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Objects="none" codeName="ThisWorkbook" defaultThemeVersion="124226"/>
  <mc:AlternateContent xmlns:mc="http://schemas.openxmlformats.org/markup-compatibility/2006">
    <mc:Choice Requires="x15">
      <x15ac:absPath xmlns:x15ac="http://schemas.microsoft.com/office/spreadsheetml/2010/11/ac" url="W:\Census Tables for Drupal\2011\"/>
    </mc:Choice>
  </mc:AlternateContent>
  <bookViews>
    <workbookView xWindow="-20" yWindow="7580" windowWidth="28860" windowHeight="5210" tabRatio="851"/>
  </bookViews>
  <sheets>
    <sheet name="Find table" sheetId="7" r:id="rId1"/>
    <sheet name="List of tables" sheetId="1" r:id="rId2"/>
    <sheet name="Population Estimates" sheetId="18" r:id="rId3"/>
    <sheet name="Key Statistics" sheetId="19" r:id="rId4"/>
    <sheet name="Quick Statistics" sheetId="20" r:id="rId5"/>
    <sheet name="Detailed Characteristics" sheetId="21" r:id="rId6"/>
    <sheet name="Local Characteristics" sheetId="22" r:id="rId7"/>
    <sheet name="Postcode" sheetId="23" r:id="rId8"/>
    <sheet name="Alternative Populations" sheetId="24" r:id="rId9"/>
    <sheet name="Settlement2015" sheetId="25" r:id="rId10"/>
    <sheet name="Notes to Tables" sheetId="11" state="hidden" r:id="rId11"/>
  </sheets>
  <definedNames>
    <definedName name="_xlnm._FilterDatabase" localSheetId="1" hidden="1">'List of tables'!$A$3:$H$621</definedName>
    <definedName name="_xlnm.Print_Area" localSheetId="0">'Find table'!$A$1:$E$631</definedName>
    <definedName name="_xlnm.Print_Area" localSheetId="1">'List of tables'!$A$1:$H$621</definedName>
    <definedName name="_xlnm.Print_Titles" localSheetId="8">'Alternative Populations'!$1:$2</definedName>
    <definedName name="_xlnm.Print_Titles" localSheetId="5">'Detailed Characteristics'!$1:$2</definedName>
    <definedName name="_xlnm.Print_Titles" localSheetId="0">'Find table'!$13:$13</definedName>
    <definedName name="_xlnm.Print_Titles" localSheetId="1">'List of tables'!$1:$3</definedName>
    <definedName name="_xlnm.Print_Titles" localSheetId="6">'Local Characteristics'!$1:$2</definedName>
    <definedName name="_xlnm.Print_Titles" localSheetId="4">'Quick Statistics'!$1:$2</definedName>
  </definedNames>
  <calcPr calcId="162913"/>
</workbook>
</file>

<file path=xl/calcChain.xml><?xml version="1.0" encoding="utf-8"?>
<calcChain xmlns="http://schemas.openxmlformats.org/spreadsheetml/2006/main">
  <c r="E137" i="7" l="1"/>
  <c r="E64" i="7"/>
  <c r="E62" i="7"/>
  <c r="F128" i="1" l="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U8" i="7"/>
  <c r="L4" i="1" s="1"/>
  <c r="U9" i="7"/>
  <c r="L5" i="1" s="1"/>
  <c r="U10" i="7"/>
  <c r="L6" i="1" s="1"/>
  <c r="U11" i="7"/>
  <c r="L7" i="1" s="1"/>
  <c r="A4" i="1" l="1"/>
  <c r="A5" i="1" l="1"/>
  <c r="A6" i="1" l="1"/>
  <c r="A7" i="1" l="1"/>
  <c r="A8" i="1" l="1"/>
  <c r="A9" i="1" l="1"/>
  <c r="A10" i="1" l="1"/>
  <c r="A11" i="1" l="1"/>
  <c r="A12" i="1" l="1"/>
  <c r="A13" i="1" l="1"/>
  <c r="A14" i="1" l="1"/>
  <c r="A15" i="1" l="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14" i="7" s="1"/>
  <c r="B14" i="7" l="1"/>
  <c r="D14" i="7"/>
  <c r="G14" i="7"/>
  <c r="E14" i="7" s="1"/>
  <c r="C14" i="7"/>
  <c r="C30" i="7"/>
  <c r="C299" i="7"/>
  <c r="C491" i="7"/>
  <c r="C629" i="7"/>
  <c r="C105" i="7"/>
  <c r="C210" i="7"/>
  <c r="C427" i="7"/>
  <c r="C253" i="7"/>
  <c r="C120" i="7"/>
  <c r="C575" i="7"/>
  <c r="C561" i="7"/>
  <c r="C528" i="7"/>
  <c r="C154" i="7"/>
  <c r="C235" i="7"/>
  <c r="C157" i="7"/>
  <c r="C57" i="7"/>
  <c r="C320" i="7"/>
  <c r="C327" i="7"/>
  <c r="C238" i="7"/>
  <c r="C126" i="7"/>
  <c r="C202" i="7"/>
  <c r="C558" i="7"/>
  <c r="C510" i="7"/>
  <c r="C500" i="7"/>
  <c r="C263" i="7"/>
  <c r="C110" i="7"/>
  <c r="C130" i="7"/>
  <c r="C138" i="7"/>
  <c r="C196" i="7"/>
  <c r="C161" i="7"/>
  <c r="C486" i="7"/>
  <c r="C279" i="7"/>
  <c r="C213" i="7"/>
  <c r="C257" i="7"/>
  <c r="C103" i="7"/>
  <c r="C104" i="7"/>
  <c r="C268" i="7"/>
  <c r="C144" i="7"/>
  <c r="C37" i="7"/>
  <c r="C601" i="7"/>
  <c r="C429" i="7"/>
  <c r="C362" i="7"/>
  <c r="C49" i="7"/>
  <c r="C567" i="7"/>
  <c r="C216" i="7"/>
  <c r="C537" i="7"/>
  <c r="C559" i="7"/>
  <c r="C260" i="7"/>
  <c r="C360" i="7"/>
  <c r="C399" i="7"/>
  <c r="C36" i="7"/>
  <c r="C400" i="7"/>
  <c r="C179" i="7"/>
  <c r="C374" i="7"/>
  <c r="C564" i="7"/>
  <c r="C198" i="7"/>
  <c r="C526" i="7"/>
  <c r="C534" i="7"/>
  <c r="C163" i="7"/>
  <c r="C90" i="7"/>
  <c r="C181" i="7"/>
  <c r="C349" i="7"/>
  <c r="C171" i="7"/>
  <c r="C507" i="7"/>
  <c r="C402" i="7"/>
  <c r="C81" i="7"/>
  <c r="C248" i="7"/>
  <c r="C43" i="7"/>
  <c r="C313" i="7"/>
  <c r="C410" i="7"/>
  <c r="C355" i="7"/>
  <c r="C153" i="7"/>
  <c r="C571" i="7"/>
  <c r="C275" i="7"/>
  <c r="C624" i="7"/>
  <c r="C270" i="7"/>
  <c r="C385" i="7"/>
  <c r="C231" i="7"/>
  <c r="C151" i="7"/>
  <c r="C190" i="7"/>
  <c r="C594" i="7"/>
  <c r="C205" i="7"/>
  <c r="C66" i="7"/>
  <c r="C310" i="7"/>
  <c r="C470" i="7"/>
  <c r="C309" i="7"/>
  <c r="C461" i="7"/>
  <c r="C314" i="7"/>
  <c r="C149" i="7"/>
  <c r="C177" i="7"/>
  <c r="C234" i="7"/>
  <c r="C89" i="7"/>
  <c r="C339" i="7"/>
  <c r="C207" i="7"/>
  <c r="C396" i="7"/>
  <c r="C614" i="7"/>
  <c r="C543" i="7"/>
  <c r="C364" i="7"/>
  <c r="C451" i="7"/>
  <c r="C286" i="7"/>
  <c r="C68" i="7"/>
  <c r="C593" i="7"/>
  <c r="C365" i="7"/>
  <c r="C383" i="7"/>
  <c r="C287" i="7"/>
  <c r="C621" i="7"/>
  <c r="C387" i="7"/>
  <c r="C222" i="7"/>
  <c r="C433" i="7"/>
  <c r="C333" i="7"/>
  <c r="C237" i="7"/>
  <c r="C332" i="7"/>
  <c r="C311" i="7"/>
  <c r="C326" i="7"/>
  <c r="C633" i="7"/>
  <c r="C372" i="7"/>
  <c r="C246" i="7"/>
  <c r="C107" i="7"/>
  <c r="C536" i="7"/>
  <c r="C214" i="7"/>
  <c r="C465" i="7"/>
  <c r="C71" i="7"/>
  <c r="C438" i="7"/>
  <c r="C193" i="7"/>
  <c r="C108" i="7"/>
  <c r="C46" i="7"/>
  <c r="C62" i="7"/>
  <c r="C240" i="7"/>
  <c r="C148" i="7"/>
  <c r="C555" i="7"/>
  <c r="C146" i="7"/>
  <c r="C379" i="7"/>
  <c r="C397" i="7"/>
  <c r="C551" i="7"/>
  <c r="C296" i="7"/>
  <c r="C195" i="7"/>
  <c r="C441" i="7"/>
  <c r="C460" i="7"/>
  <c r="C141" i="7"/>
  <c r="C615" i="7"/>
  <c r="C409" i="7"/>
  <c r="C217" i="7"/>
  <c r="C209" i="7"/>
  <c r="C186" i="7"/>
  <c r="C291" i="7"/>
  <c r="C25" i="7"/>
  <c r="C15" i="7"/>
  <c r="C552" i="7"/>
  <c r="C243" i="7"/>
  <c r="C303" i="7"/>
  <c r="C488" i="7"/>
  <c r="C524" i="7"/>
  <c r="C394" i="7"/>
  <c r="C457" i="7"/>
  <c r="C278" i="7"/>
  <c r="C505" i="7"/>
  <c r="C344" i="7"/>
  <c r="C269" i="7"/>
  <c r="C390" i="7"/>
  <c r="C211" i="7"/>
  <c r="C276" i="7"/>
  <c r="C277" i="7"/>
  <c r="C597" i="7"/>
  <c r="C381" i="7"/>
  <c r="C369" i="7"/>
  <c r="C501" i="7"/>
  <c r="C304" i="7"/>
  <c r="C174" i="7"/>
  <c r="C405" i="7"/>
  <c r="C315" i="7"/>
  <c r="C403" i="7"/>
  <c r="C408" i="7"/>
  <c r="C61" i="7"/>
  <c r="C346" i="7"/>
  <c r="C227" i="7"/>
  <c r="C55" i="7"/>
  <c r="C69" i="7"/>
  <c r="C599" i="7"/>
  <c r="C422" i="7"/>
  <c r="C335" i="7"/>
  <c r="C289" i="7"/>
  <c r="C301" i="7"/>
  <c r="C131" i="7"/>
  <c r="C262" i="7"/>
  <c r="C353" i="7"/>
  <c r="C431" i="7"/>
  <c r="C239" i="7"/>
  <c r="C122" i="7"/>
  <c r="C499" i="7"/>
  <c r="C273" i="7"/>
  <c r="C351" i="7"/>
  <c r="C298" i="7"/>
  <c r="C21" i="7"/>
  <c r="C166" i="7"/>
  <c r="C87" i="7"/>
  <c r="C189" i="7"/>
  <c r="C583" i="7"/>
  <c r="C167" i="7"/>
  <c r="C203" i="7"/>
  <c r="C200" i="7"/>
  <c r="C549" i="7"/>
  <c r="C271" i="7"/>
  <c r="C632" i="7"/>
  <c r="C494" i="7"/>
  <c r="C102" i="7"/>
  <c r="C52" i="7"/>
  <c r="C307" i="7"/>
  <c r="C172" i="7"/>
  <c r="C79" i="7"/>
  <c r="C525" i="7"/>
  <c r="C323" i="7"/>
  <c r="C111" i="7"/>
  <c r="C522" i="7"/>
  <c r="C366" i="7"/>
  <c r="C294" i="7"/>
  <c r="C343" i="7"/>
  <c r="C75" i="7"/>
  <c r="C292" i="7"/>
  <c r="C436" i="7"/>
  <c r="C23" i="7"/>
  <c r="C625" i="7"/>
  <c r="C147" i="7"/>
  <c r="C67" i="7"/>
  <c r="C582" i="7"/>
  <c r="C197" i="7"/>
  <c r="C136" i="7"/>
  <c r="C623" i="7"/>
  <c r="C605" i="7"/>
  <c r="C100" i="7"/>
  <c r="C574" i="7"/>
  <c r="C478" i="7"/>
  <c r="C606" i="7"/>
  <c r="C560" i="7"/>
  <c r="C613" i="7"/>
  <c r="C496" i="7"/>
  <c r="C533" i="7"/>
  <c r="C274" i="7"/>
  <c r="C392" i="7"/>
  <c r="C330" i="7"/>
  <c r="C371" i="7"/>
  <c r="C538" i="7"/>
  <c r="C168" i="7"/>
  <c r="C515" i="7"/>
  <c r="C232" i="7"/>
  <c r="C439" i="7"/>
  <c r="C628" i="7"/>
  <c r="C517" i="7"/>
  <c r="C80" i="7"/>
  <c r="C84" i="7"/>
  <c r="C572" i="7"/>
  <c r="C573" i="7"/>
  <c r="C76" i="7"/>
  <c r="C96" i="7"/>
  <c r="C631" i="7"/>
  <c r="C258" i="7"/>
  <c r="C616" i="7"/>
  <c r="C132" i="7"/>
  <c r="C170" i="7"/>
  <c r="C367" i="7"/>
  <c r="C208" i="7"/>
  <c r="C39" i="7"/>
  <c r="C285" i="7"/>
  <c r="C230" i="7"/>
  <c r="C137" i="7"/>
  <c r="C440" i="7"/>
  <c r="C134" i="7"/>
  <c r="C125" i="7"/>
  <c r="C20" i="7"/>
  <c r="C142" i="7"/>
  <c r="C337" i="7"/>
  <c r="C113" i="7"/>
  <c r="C254" i="7"/>
  <c r="C630" i="7"/>
  <c r="C590" i="7"/>
  <c r="C592" i="7"/>
  <c r="C469" i="7"/>
  <c r="C535" i="7"/>
  <c r="C41" i="7"/>
  <c r="C124" i="7"/>
  <c r="C65" i="7"/>
  <c r="C607" i="7"/>
  <c r="C598" i="7"/>
  <c r="C94" i="7"/>
  <c r="C31" i="7"/>
  <c r="C435" i="7"/>
  <c r="C415" i="7"/>
  <c r="C622" i="7"/>
  <c r="C504" i="7"/>
  <c r="C63" i="7"/>
  <c r="C241" i="7"/>
  <c r="C542" i="7"/>
  <c r="C123" i="7"/>
  <c r="C233" i="7"/>
  <c r="C281" i="7"/>
  <c r="C530" i="7"/>
  <c r="C280" i="7"/>
  <c r="C437" i="7"/>
  <c r="C117" i="7"/>
  <c r="C600" i="7"/>
  <c r="C354" i="7"/>
  <c r="C370" i="7"/>
  <c r="C169" i="7"/>
  <c r="C473" i="7"/>
  <c r="C159" i="7"/>
  <c r="C570" i="7"/>
  <c r="C357" i="7"/>
  <c r="C444" i="7"/>
  <c r="C497" i="7"/>
  <c r="C95" i="7"/>
  <c r="C350" i="7"/>
  <c r="C376" i="7"/>
  <c r="C493" i="7"/>
  <c r="C529" i="7"/>
  <c r="C480" i="7"/>
  <c r="C86" i="7"/>
  <c r="C531" i="7"/>
  <c r="C18" i="7"/>
  <c r="C448" i="7"/>
  <c r="C261" i="7"/>
  <c r="C265" i="7"/>
  <c r="C255" i="7"/>
  <c r="C199" i="7"/>
  <c r="C29" i="7"/>
  <c r="C158" i="7"/>
  <c r="C626" i="7"/>
  <c r="C48" i="7"/>
  <c r="C345" i="7"/>
  <c r="C19" i="7"/>
  <c r="C64" i="7"/>
  <c r="C44" i="7"/>
  <c r="C377" i="7"/>
  <c r="C617" i="7"/>
  <c r="C51" i="7"/>
  <c r="C407" i="7"/>
  <c r="C401" i="7"/>
  <c r="C324" i="7"/>
  <c r="C591" i="7"/>
  <c r="C92" i="7"/>
  <c r="C506" i="7"/>
  <c r="C576" i="7"/>
  <c r="C259" i="7"/>
  <c r="C511" i="7"/>
  <c r="C53" i="7"/>
  <c r="C121" i="7"/>
  <c r="C185" i="7"/>
  <c r="C602" i="7"/>
  <c r="C22" i="7"/>
  <c r="C308" i="7"/>
  <c r="C456" i="7"/>
  <c r="C173" i="7"/>
  <c r="C532" i="7"/>
  <c r="C194" i="7"/>
  <c r="C252" i="7"/>
  <c r="C557" i="7"/>
  <c r="C305" i="7"/>
  <c r="C160" i="7"/>
  <c r="C483" i="7"/>
  <c r="C245" i="7"/>
  <c r="C32" i="7"/>
  <c r="C192" i="7"/>
  <c r="C101" i="7"/>
  <c r="C129" i="7"/>
  <c r="C16" i="7"/>
  <c r="C93" i="7"/>
  <c r="C569" i="7"/>
  <c r="C338" i="7"/>
  <c r="C359" i="7"/>
  <c r="C272" i="7"/>
  <c r="C375" i="7"/>
  <c r="C527" i="7"/>
  <c r="C223" i="7"/>
  <c r="C85" i="7"/>
  <c r="C250" i="7"/>
  <c r="C519" i="7"/>
  <c r="C458" i="7"/>
  <c r="C215" i="7"/>
  <c r="C228" i="7"/>
  <c r="C109" i="7"/>
  <c r="C319" i="7"/>
  <c r="C74" i="7"/>
  <c r="C577" i="7"/>
  <c r="C589" i="7"/>
  <c r="C516" i="7"/>
  <c r="C119" i="7"/>
  <c r="C175" i="7"/>
  <c r="C295" i="7"/>
  <c r="C548" i="7"/>
  <c r="C414" i="7"/>
  <c r="C586" i="7"/>
  <c r="C322" i="7"/>
  <c r="C82" i="7"/>
  <c r="C513" i="7"/>
  <c r="C325" i="7"/>
  <c r="C554" i="7"/>
  <c r="C566" i="7"/>
  <c r="C447" i="7"/>
  <c r="C378" i="7"/>
  <c r="C563" i="7"/>
  <c r="C282" i="7"/>
  <c r="C38" i="7"/>
  <c r="C545" i="7"/>
  <c r="C236" i="7"/>
  <c r="C106" i="7"/>
  <c r="C546" i="7"/>
  <c r="C288" i="7"/>
  <c r="C318" i="7"/>
  <c r="C514" i="7"/>
  <c r="C118" i="7"/>
  <c r="C481" i="7"/>
  <c r="C509" i="7"/>
  <c r="C445" i="7"/>
  <c r="C386" i="7"/>
  <c r="C116" i="7"/>
  <c r="C150" i="7"/>
  <c r="C115" i="7"/>
  <c r="C165" i="7"/>
  <c r="C495" i="7"/>
  <c r="C127" i="7"/>
  <c r="C361" i="7"/>
  <c r="C565" i="7"/>
  <c r="C183" i="7"/>
  <c r="C352" i="7"/>
  <c r="C206" i="7"/>
  <c r="C603" i="7"/>
  <c r="C219" i="7"/>
  <c r="C348" i="7"/>
  <c r="C490" i="7"/>
  <c r="C471" i="7"/>
  <c r="C502" i="7"/>
  <c r="C342" i="7"/>
  <c r="C384" i="7"/>
  <c r="C503" i="7"/>
  <c r="C539" i="7"/>
  <c r="C453" i="7"/>
  <c r="C139" i="7"/>
  <c r="C162" i="7"/>
  <c r="C610" i="7"/>
  <c r="C382" i="7"/>
  <c r="C176" i="7"/>
  <c r="C212" i="7"/>
  <c r="C302" i="7"/>
  <c r="C428" i="7"/>
  <c r="C550" i="7"/>
  <c r="C450" i="7"/>
  <c r="C411" i="7"/>
  <c r="C47" i="7"/>
  <c r="C40" i="7"/>
  <c r="C143" i="7"/>
  <c r="C462" i="7"/>
  <c r="C133" i="7"/>
  <c r="C463" i="7"/>
  <c r="C518" i="7"/>
  <c r="C99" i="7"/>
  <c r="C204" i="7"/>
  <c r="C201" i="7"/>
  <c r="C523" i="7"/>
  <c r="C389" i="7"/>
  <c r="C476" i="7"/>
  <c r="C249" i="7"/>
  <c r="C430" i="7"/>
  <c r="C266" i="7"/>
  <c r="C446" i="7"/>
  <c r="C492" i="7"/>
  <c r="C135" i="7"/>
  <c r="C363" i="7"/>
  <c r="C77" i="7"/>
  <c r="C128" i="7"/>
  <c r="C588" i="7"/>
  <c r="C72" i="7"/>
  <c r="C585" i="7"/>
  <c r="C73" i="7"/>
  <c r="C467" i="7"/>
  <c r="C358" i="7"/>
  <c r="C54" i="7"/>
  <c r="C406" i="7"/>
  <c r="C225" i="7"/>
  <c r="C91" i="7"/>
  <c r="C484" i="7"/>
  <c r="C604" i="7"/>
  <c r="C395" i="7"/>
  <c r="C477" i="7"/>
  <c r="C489" i="7"/>
  <c r="C398" i="7"/>
  <c r="C334" i="7"/>
  <c r="C391" i="7"/>
  <c r="C449" i="7"/>
  <c r="C540" i="7"/>
  <c r="C455" i="7"/>
  <c r="C627" i="7"/>
  <c r="C112" i="7"/>
  <c r="C596" i="7"/>
  <c r="C220" i="7"/>
  <c r="C472" i="7"/>
  <c r="C187" i="7"/>
  <c r="C70" i="7"/>
  <c r="C413" i="7"/>
  <c r="C341" i="7"/>
  <c r="C380" i="7"/>
  <c r="C611" i="7"/>
  <c r="C191" i="7"/>
  <c r="C521" i="7"/>
  <c r="C224" i="7"/>
  <c r="C244" i="7"/>
  <c r="C59" i="7"/>
  <c r="C188" i="7"/>
  <c r="C42" i="7"/>
  <c r="C145" i="7"/>
  <c r="C221" i="7"/>
  <c r="C226" i="7"/>
  <c r="C452" i="7"/>
  <c r="C218" i="7"/>
  <c r="C442" i="7"/>
  <c r="C423" i="7"/>
  <c r="C454" i="7"/>
  <c r="C97" i="7"/>
  <c r="C26" i="7"/>
  <c r="C424" i="7"/>
  <c r="C182" i="7"/>
  <c r="C247" i="7"/>
  <c r="C587" i="7"/>
  <c r="C420" i="7"/>
  <c r="C329" i="7"/>
  <c r="C312" i="7"/>
  <c r="C242" i="7"/>
  <c r="C568" i="7"/>
  <c r="C412" i="7"/>
  <c r="C50" i="7"/>
  <c r="C393" i="7"/>
  <c r="C620" i="7"/>
  <c r="C425" i="7"/>
  <c r="C443" i="7"/>
  <c r="C388" i="7"/>
  <c r="C317" i="7"/>
  <c r="C466" i="7"/>
  <c r="C485" i="7"/>
  <c r="C498" i="7"/>
  <c r="C373" i="7"/>
  <c r="C541" i="7"/>
  <c r="C368" i="7"/>
  <c r="C479" i="7"/>
  <c r="C547" i="7"/>
  <c r="C180" i="7"/>
  <c r="C419" i="7"/>
  <c r="C609" i="7"/>
  <c r="C140" i="7"/>
  <c r="C35" i="7"/>
  <c r="C508" i="7"/>
  <c r="C562" i="7"/>
  <c r="C475" i="7"/>
  <c r="C114" i="7"/>
  <c r="C347" i="7"/>
  <c r="C426" i="7"/>
  <c r="C580" i="7"/>
  <c r="C417" i="7"/>
  <c r="C579" i="7"/>
  <c r="C608" i="7"/>
  <c r="C78" i="7"/>
  <c r="C404" i="7"/>
  <c r="C321" i="7"/>
  <c r="C229" i="7"/>
  <c r="C487" i="7"/>
  <c r="C251" i="7"/>
  <c r="C595" i="7"/>
  <c r="C474" i="7"/>
  <c r="C300" i="7"/>
  <c r="C58" i="7"/>
  <c r="C340" i="7"/>
  <c r="C316" i="7"/>
  <c r="C578" i="7"/>
  <c r="C83" i="7"/>
  <c r="C619" i="7"/>
  <c r="C98" i="7"/>
  <c r="C553" i="7"/>
  <c r="C152" i="7"/>
  <c r="C328" i="7"/>
  <c r="C34" i="7"/>
  <c r="C297" i="7"/>
  <c r="C306" i="7"/>
  <c r="C482" i="7"/>
  <c r="C88" i="7"/>
  <c r="C56" i="7"/>
  <c r="C27" i="7"/>
  <c r="C156" i="7"/>
  <c r="C468" i="7"/>
  <c r="C356" i="7"/>
  <c r="C283" i="7"/>
  <c r="C336" i="7"/>
  <c r="C618" i="7"/>
  <c r="C331" i="7"/>
  <c r="C432" i="7"/>
  <c r="C544" i="7"/>
  <c r="C24" i="7"/>
  <c r="C581" i="7"/>
  <c r="C155" i="7"/>
  <c r="C416" i="7"/>
  <c r="C28" i="7"/>
  <c r="C267" i="7"/>
  <c r="C256" i="7"/>
  <c r="C284" i="7"/>
  <c r="C418" i="7"/>
  <c r="C612" i="7"/>
  <c r="C293" i="7"/>
  <c r="C184" i="7"/>
  <c r="C584" i="7"/>
  <c r="C434" i="7"/>
  <c r="C60" i="7"/>
  <c r="C556" i="7"/>
  <c r="C464" i="7"/>
  <c r="C33" i="7"/>
  <c r="C512" i="7"/>
  <c r="C164" i="7"/>
  <c r="C45" i="7"/>
  <c r="C178" i="7"/>
  <c r="C421" i="7"/>
  <c r="C459" i="7"/>
  <c r="C290" i="7"/>
  <c r="C520" i="7"/>
  <c r="C17" i="7"/>
  <c r="C264" i="7"/>
  <c r="A243" i="7"/>
  <c r="A188" i="7"/>
  <c r="A170" i="7"/>
  <c r="G167" i="7"/>
  <c r="E167" i="7" s="1"/>
  <c r="G171" i="7"/>
  <c r="E171" i="7" s="1"/>
  <c r="D539" i="7"/>
  <c r="B27" i="7"/>
  <c r="B105" i="7"/>
  <c r="B210" i="7"/>
  <c r="B537" i="7"/>
  <c r="A151" i="7"/>
  <c r="B133" i="7"/>
  <c r="D111" i="7"/>
  <c r="A127" i="7"/>
  <c r="D128" i="7"/>
  <c r="A145" i="7"/>
  <c r="B626" i="7"/>
  <c r="A223" i="7"/>
  <c r="D465" i="7"/>
  <c r="A137" i="7"/>
  <c r="B272" i="7"/>
  <c r="G580" i="7"/>
  <c r="E580" i="7" s="1"/>
  <c r="A196" i="7"/>
  <c r="B197" i="7"/>
  <c r="B582" i="7"/>
  <c r="D451" i="7"/>
  <c r="B135" i="7"/>
  <c r="A512" i="7"/>
  <c r="G388" i="7"/>
  <c r="E388" i="7" s="1"/>
  <c r="A122" i="7"/>
  <c r="G393" i="7"/>
  <c r="E393" i="7" s="1"/>
  <c r="A329" i="7"/>
  <c r="A505" i="7"/>
  <c r="A615" i="7"/>
  <c r="A320" i="7"/>
  <c r="G231" i="7"/>
  <c r="E231" i="7" s="1"/>
  <c r="A493" i="7"/>
  <c r="A178" i="7"/>
  <c r="D438" i="7"/>
  <c r="B507" i="7"/>
  <c r="G179" i="7"/>
  <c r="E179" i="7" s="1"/>
  <c r="D418" i="7"/>
  <c r="A321" i="7"/>
  <c r="B188" i="7"/>
  <c r="A494" i="7"/>
  <c r="B592" i="7"/>
  <c r="B103" i="7"/>
  <c r="A106" i="7"/>
  <c r="D559" i="7"/>
  <c r="B388" i="7"/>
  <c r="B364" i="7"/>
  <c r="B406" i="7"/>
  <c r="A237" i="7"/>
  <c r="B252" i="7"/>
  <c r="B50" i="7"/>
  <c r="B30" i="7"/>
  <c r="B589" i="7"/>
  <c r="B588" i="7"/>
  <c r="D241" i="7"/>
  <c r="D296" i="7"/>
  <c r="D64" i="7"/>
  <c r="D557" i="7"/>
  <c r="D431" i="7"/>
  <c r="B294" i="7"/>
  <c r="D295" i="7"/>
  <c r="B309" i="7"/>
  <c r="B531" i="7"/>
  <c r="D333" i="7"/>
  <c r="G124" i="7"/>
  <c r="E124" i="7" s="1"/>
  <c r="A327" i="7"/>
  <c r="A125" i="7"/>
  <c r="G514" i="7"/>
  <c r="E514" i="7" s="1"/>
  <c r="B630" i="7"/>
  <c r="D323" i="7"/>
  <c r="A602" i="7"/>
  <c r="D426" i="7"/>
  <c r="G219" i="7"/>
  <c r="E219" i="7" s="1"/>
  <c r="D461" i="7"/>
  <c r="B470" i="7"/>
  <c r="B131" i="7"/>
  <c r="G354" i="7"/>
  <c r="E354" i="7" s="1"/>
  <c r="A61" i="7"/>
  <c r="G182" i="7"/>
  <c r="E182" i="7" s="1"/>
  <c r="G158" i="7"/>
  <c r="E158" i="7" s="1"/>
  <c r="D56" i="7"/>
  <c r="B112" i="7"/>
  <c r="B275" i="7"/>
  <c r="D291" i="7"/>
  <c r="B405" i="7"/>
  <c r="D312" i="7"/>
  <c r="B432" i="7"/>
  <c r="G320" i="7"/>
  <c r="E320" i="7" s="1"/>
  <c r="G336" i="7"/>
  <c r="E336" i="7" s="1"/>
  <c r="A502" i="7"/>
  <c r="D536" i="7"/>
  <c r="A315" i="7"/>
  <c r="D46" i="7"/>
  <c r="G476" i="7"/>
  <c r="E476" i="7" s="1"/>
  <c r="D493" i="7"/>
  <c r="B255" i="7"/>
  <c r="D315" i="7"/>
  <c r="A317" i="7"/>
  <c r="G110" i="7"/>
  <c r="E110" i="7" s="1"/>
  <c r="A177" i="7"/>
  <c r="B106" i="7"/>
  <c r="G411" i="7"/>
  <c r="E411" i="7" s="1"/>
  <c r="D151" i="7"/>
  <c r="D136" i="7"/>
  <c r="B41" i="7"/>
  <c r="G499" i="7"/>
  <c r="E499" i="7" s="1"/>
  <c r="B508" i="7"/>
  <c r="D156" i="7"/>
  <c r="G51" i="7"/>
  <c r="E51" i="7" s="1"/>
  <c r="B397" i="7"/>
  <c r="A121" i="7"/>
  <c r="D555" i="7"/>
  <c r="G154" i="7"/>
  <c r="E154" i="7" s="1"/>
  <c r="D157" i="7"/>
  <c r="B327" i="7"/>
  <c r="D126" i="7"/>
  <c r="A128" i="7"/>
  <c r="G496" i="7"/>
  <c r="E496" i="7" s="1"/>
  <c r="A532" i="7"/>
  <c r="A614" i="7"/>
  <c r="B25" i="7"/>
  <c r="D26" i="7"/>
  <c r="D597" i="7"/>
  <c r="D201" i="7"/>
  <c r="A312" i="7"/>
  <c r="D628" i="7"/>
  <c r="A583" i="7"/>
  <c r="G621" i="7"/>
  <c r="E621" i="7" s="1"/>
  <c r="A343" i="7"/>
  <c r="A287" i="7"/>
  <c r="G122" i="7"/>
  <c r="E122" i="7" s="1"/>
  <c r="A248" i="7"/>
  <c r="B567" i="7"/>
  <c r="D604" i="7"/>
  <c r="G86" i="7"/>
  <c r="E86" i="7" s="1"/>
  <c r="D271" i="7"/>
  <c r="A112" i="7"/>
  <c r="D213" i="7"/>
  <c r="B524" i="7"/>
  <c r="A86" i="7"/>
  <c r="D571" i="7"/>
  <c r="B442" i="7"/>
  <c r="D299" i="7"/>
  <c r="A301" i="7"/>
  <c r="D380" i="7"/>
  <c r="D410" i="7"/>
  <c r="D548" i="7"/>
  <c r="D464" i="7"/>
  <c r="G384" i="7"/>
  <c r="E384" i="7" s="1"/>
  <c r="D482" i="7"/>
  <c r="G389" i="7"/>
  <c r="E389" i="7" s="1"/>
  <c r="D500" i="7"/>
  <c r="D446" i="7"/>
  <c r="A338" i="7"/>
  <c r="B347" i="7"/>
  <c r="D47" i="7"/>
  <c r="B253" i="7"/>
  <c r="G479" i="7"/>
  <c r="E479" i="7" s="1"/>
  <c r="D377" i="7"/>
  <c r="B355" i="7"/>
  <c r="G239" i="7"/>
  <c r="E239" i="7" s="1"/>
  <c r="A475" i="7"/>
  <c r="B29" i="7"/>
  <c r="A314" i="7"/>
  <c r="D383" i="7"/>
  <c r="D228" i="7"/>
  <c r="A514" i="7"/>
  <c r="G26" i="7"/>
  <c r="E26" i="7" s="1"/>
  <c r="A232" i="7"/>
  <c r="D516" i="7"/>
  <c r="G611" i="7"/>
  <c r="E611" i="7" s="1"/>
  <c r="A261" i="7"/>
  <c r="D284" i="7"/>
  <c r="A424" i="7"/>
  <c r="B396" i="7"/>
  <c r="A212" i="7"/>
  <c r="A155" i="7"/>
  <c r="G215" i="7"/>
  <c r="E215" i="7" s="1"/>
  <c r="G214" i="7"/>
  <c r="E214" i="7" s="1"/>
  <c r="A474" i="7"/>
  <c r="A431" i="7"/>
  <c r="B214" i="7"/>
  <c r="B260" i="7"/>
  <c r="A281" i="7"/>
  <c r="A543" i="7"/>
  <c r="D398" i="7"/>
  <c r="G453" i="7"/>
  <c r="E453" i="7" s="1"/>
  <c r="G461" i="7"/>
  <c r="E461" i="7" s="1"/>
  <c r="B24" i="7"/>
  <c r="B334" i="7"/>
  <c r="B308" i="7"/>
  <c r="D206" i="7"/>
  <c r="D491" i="7"/>
  <c r="D407" i="7"/>
  <c r="D593" i="7"/>
  <c r="B325" i="7"/>
  <c r="B295" i="7"/>
  <c r="D336" i="7"/>
  <c r="B333" i="7"/>
  <c r="D43" i="7"/>
  <c r="B322" i="7"/>
  <c r="A246" i="7"/>
  <c r="A538" i="7"/>
  <c r="D471" i="7"/>
  <c r="G54" i="7"/>
  <c r="E54" i="7" s="1"/>
  <c r="G350" i="7"/>
  <c r="E350" i="7" s="1"/>
  <c r="D143" i="7"/>
  <c r="D303" i="7"/>
  <c r="B593" i="7"/>
  <c r="B18" i="7"/>
  <c r="D110" i="7"/>
  <c r="D257" i="7"/>
  <c r="D366" i="7"/>
  <c r="A279" i="7"/>
  <c r="B559" i="7"/>
  <c r="G485" i="7"/>
  <c r="E485" i="7" s="1"/>
  <c r="G493" i="7"/>
  <c r="E493" i="7" s="1"/>
  <c r="A498" i="7"/>
  <c r="G111" i="7"/>
  <c r="E111" i="7" s="1"/>
  <c r="B157" i="7"/>
  <c r="B303" i="7"/>
  <c r="G271" i="7"/>
  <c r="E271" i="7" s="1"/>
  <c r="D594" i="7"/>
  <c r="B172" i="7"/>
  <c r="B49" i="7"/>
  <c r="G509" i="7"/>
  <c r="E509" i="7" s="1"/>
  <c r="D505" i="7"/>
  <c r="B47" i="7"/>
  <c r="G114" i="7"/>
  <c r="E114" i="7" s="1"/>
  <c r="B92" i="7"/>
  <c r="B329" i="7"/>
  <c r="G573" i="7"/>
  <c r="E573" i="7" s="1"/>
  <c r="D305" i="7"/>
  <c r="G460" i="7"/>
  <c r="E460" i="7" s="1"/>
  <c r="B87" i="7"/>
  <c r="D215" i="7"/>
  <c r="B297" i="7"/>
  <c r="A294" i="7"/>
  <c r="G97" i="7"/>
  <c r="E97" i="7" s="1"/>
  <c r="A332" i="7"/>
  <c r="G475" i="7"/>
  <c r="E475" i="7" s="1"/>
  <c r="G57" i="7"/>
  <c r="E57" i="7" s="1"/>
  <c r="D179" i="7"/>
  <c r="B304" i="7"/>
  <c r="G157" i="7"/>
  <c r="E157" i="7" s="1"/>
  <c r="A560" i="7"/>
  <c r="D396" i="7"/>
  <c r="D608" i="7"/>
  <c r="D107" i="7"/>
  <c r="G49" i="7"/>
  <c r="E49" i="7" s="1"/>
  <c r="B42" i="7"/>
  <c r="D187" i="7"/>
  <c r="A304" i="7"/>
  <c r="B280" i="7"/>
  <c r="D379" i="7"/>
  <c r="G477" i="7"/>
  <c r="E477" i="7" s="1"/>
  <c r="B623" i="7"/>
  <c r="G522" i="7"/>
  <c r="E522" i="7" s="1"/>
  <c r="D236" i="7"/>
  <c r="G589" i="7"/>
  <c r="E589" i="7" s="1"/>
  <c r="B26" i="7"/>
  <c r="A209" i="7"/>
  <c r="B516" i="7"/>
  <c r="A366" i="7"/>
  <c r="A323" i="7"/>
  <c r="G407" i="7"/>
  <c r="E407" i="7" s="1"/>
  <c r="B313" i="7"/>
  <c r="B317" i="7"/>
  <c r="G83" i="7"/>
  <c r="E83" i="7" s="1"/>
  <c r="G117" i="7"/>
  <c r="E117" i="7" s="1"/>
  <c r="A60" i="7"/>
  <c r="B494" i="7"/>
  <c r="B220" i="7"/>
  <c r="A367" i="7"/>
  <c r="A292" i="7"/>
  <c r="A41" i="7"/>
  <c r="B474" i="7"/>
  <c r="A284" i="7"/>
  <c r="D137" i="7"/>
  <c r="D304" i="7"/>
  <c r="B160" i="7"/>
  <c r="B504" i="7"/>
  <c r="D292" i="7"/>
  <c r="B619" i="7"/>
  <c r="D190" i="7"/>
  <c r="A126" i="7"/>
  <c r="D613" i="7"/>
  <c r="A66" i="7"/>
  <c r="G92" i="7"/>
  <c r="E92" i="7" s="1"/>
  <c r="G463" i="7"/>
  <c r="E463" i="7" s="1"/>
  <c r="D48" i="7"/>
  <c r="G400" i="7"/>
  <c r="E400" i="7" s="1"/>
  <c r="A210" i="7"/>
  <c r="D402" i="7"/>
  <c r="G608" i="7"/>
  <c r="E608" i="7" s="1"/>
  <c r="A187" i="7"/>
  <c r="B314" i="7"/>
  <c r="A540" i="7"/>
  <c r="B385" i="7"/>
  <c r="D27" i="7"/>
  <c r="D106" i="7"/>
  <c r="G44" i="7"/>
  <c r="E44" i="7" s="1"/>
  <c r="B486" i="7"/>
  <c r="G365" i="7"/>
  <c r="E365" i="7" s="1"/>
  <c r="A561" i="7"/>
  <c r="G548" i="7"/>
  <c r="E548" i="7" s="1"/>
  <c r="B509" i="7"/>
  <c r="G60" i="7"/>
  <c r="E60" i="7" s="1"/>
  <c r="B298" i="7"/>
  <c r="D261" i="7"/>
  <c r="A192" i="7"/>
  <c r="G472" i="7"/>
  <c r="E472" i="7" s="1"/>
  <c r="B230" i="7"/>
  <c r="B573" i="7"/>
  <c r="A548" i="7"/>
  <c r="B594" i="7"/>
  <c r="D281" i="7"/>
  <c r="A587" i="7"/>
  <c r="G174" i="7"/>
  <c r="E174" i="7" s="1"/>
  <c r="G17" i="7"/>
  <c r="E17" i="7" s="1"/>
  <c r="B633" i="7"/>
  <c r="A194" i="7"/>
  <c r="A335" i="7"/>
  <c r="B520" i="7"/>
  <c r="G162" i="7"/>
  <c r="E162" i="7" s="1"/>
  <c r="G583" i="7"/>
  <c r="E583" i="7" s="1"/>
  <c r="D218" i="7"/>
  <c r="B414" i="7"/>
  <c r="A381" i="7"/>
  <c r="A134" i="7"/>
  <c r="G581" i="7"/>
  <c r="E581" i="7" s="1"/>
  <c r="G437" i="7"/>
  <c r="E437" i="7" s="1"/>
  <c r="D469" i="7"/>
  <c r="D487" i="7"/>
  <c r="A123" i="7"/>
  <c r="A102" i="7"/>
  <c r="G52" i="7"/>
  <c r="E52" i="7" s="1"/>
  <c r="D231" i="7"/>
  <c r="D152" i="7"/>
  <c r="B109" i="7"/>
  <c r="G377" i="7"/>
  <c r="E377" i="7" s="1"/>
  <c r="D243" i="7"/>
  <c r="A158" i="7"/>
  <c r="D445" i="7"/>
  <c r="G378" i="7"/>
  <c r="E378" i="7" s="1"/>
  <c r="A79" i="7"/>
  <c r="G132" i="7"/>
  <c r="E132" i="7" s="1"/>
  <c r="G278" i="7"/>
  <c r="E278" i="7" s="1"/>
  <c r="D372" i="7"/>
  <c r="A618" i="7"/>
  <c r="D387" i="7"/>
  <c r="D50" i="7"/>
  <c r="A94" i="7"/>
  <c r="G119" i="7"/>
  <c r="E119" i="7" s="1"/>
  <c r="A156" i="7"/>
  <c r="D75" i="7"/>
  <c r="G416" i="7"/>
  <c r="E416" i="7" s="1"/>
  <c r="A103" i="7"/>
  <c r="G287" i="7"/>
  <c r="E287" i="7" s="1"/>
  <c r="G372" i="7"/>
  <c r="E372" i="7" s="1"/>
  <c r="B533" i="7"/>
  <c r="B585" i="7"/>
  <c r="A71" i="7"/>
  <c r="B182" i="7"/>
  <c r="B599" i="7"/>
  <c r="G89" i="7"/>
  <c r="E89" i="7" s="1"/>
  <c r="B173" i="7"/>
  <c r="B572" i="7"/>
  <c r="A354" i="7"/>
  <c r="G240" i="7"/>
  <c r="E240" i="7" s="1"/>
  <c r="G221" i="7"/>
  <c r="E221" i="7" s="1"/>
  <c r="B307" i="7"/>
  <c r="G82" i="7"/>
  <c r="E82" i="7" s="1"/>
  <c r="G78" i="7"/>
  <c r="E78" i="7" s="1"/>
  <c r="A90" i="7"/>
  <c r="B420" i="7"/>
  <c r="G130" i="7"/>
  <c r="E130" i="7" s="1"/>
  <c r="G146" i="7"/>
  <c r="E146" i="7" s="1"/>
  <c r="G142" i="7"/>
  <c r="E142" i="7" s="1"/>
  <c r="G602" i="7"/>
  <c r="E602" i="7" s="1"/>
  <c r="A577" i="7"/>
  <c r="G66" i="7"/>
  <c r="E66" i="7" s="1"/>
  <c r="G612" i="7"/>
  <c r="E612" i="7" s="1"/>
  <c r="B380" i="7"/>
  <c r="B216" i="7"/>
  <c r="B16" i="7"/>
  <c r="D477" i="7"/>
  <c r="D95" i="7"/>
  <c r="B159" i="7"/>
  <c r="A160" i="7"/>
  <c r="A368" i="7"/>
  <c r="D436" i="7"/>
  <c r="A364" i="7"/>
  <c r="B549" i="7"/>
  <c r="G269" i="7"/>
  <c r="E269" i="7" s="1"/>
  <c r="A629" i="7"/>
  <c r="B102" i="7"/>
  <c r="D140" i="7"/>
  <c r="B104" i="7"/>
  <c r="G447" i="7"/>
  <c r="E447" i="7" s="1"/>
  <c r="B505" i="7"/>
  <c r="A545" i="7"/>
  <c r="A621" i="7"/>
  <c r="B465" i="7"/>
  <c r="A259" i="7"/>
  <c r="A573" i="7"/>
  <c r="D423" i="7"/>
  <c r="D340" i="7"/>
  <c r="B70" i="7"/>
  <c r="G417" i="7"/>
  <c r="E417" i="7" s="1"/>
  <c r="G281" i="7"/>
  <c r="E281" i="7" s="1"/>
  <c r="A484" i="7"/>
  <c r="G455" i="7"/>
  <c r="E455" i="7" s="1"/>
  <c r="D52" i="7"/>
  <c r="A50" i="7"/>
  <c r="D556" i="7"/>
  <c r="D440" i="7"/>
  <c r="G313" i="7"/>
  <c r="E313" i="7" s="1"/>
  <c r="G305" i="7"/>
  <c r="E305" i="7" s="1"/>
  <c r="D490" i="7"/>
  <c r="A535" i="7"/>
  <c r="B149" i="7"/>
  <c r="D168" i="7"/>
  <c r="G185" i="7"/>
  <c r="E185" i="7" s="1"/>
  <c r="D462" i="7"/>
  <c r="B86" i="7"/>
  <c r="G609" i="7"/>
  <c r="E609" i="7" s="1"/>
  <c r="G50" i="7"/>
  <c r="E50" i="7" s="1"/>
  <c r="D399" i="7"/>
  <c r="G153" i="7"/>
  <c r="E153" i="7" s="1"/>
  <c r="B581" i="7"/>
  <c r="G43" i="7"/>
  <c r="E43" i="7" s="1"/>
  <c r="G39" i="7"/>
  <c r="E39" i="7" s="1"/>
  <c r="B80" i="7"/>
  <c r="B451" i="7"/>
  <c r="G342" i="7"/>
  <c r="E342" i="7" s="1"/>
  <c r="B399" i="7"/>
  <c r="B384" i="7"/>
  <c r="D42" i="7"/>
  <c r="D244" i="7"/>
  <c r="G25" i="7"/>
  <c r="E25" i="7" s="1"/>
  <c r="G459" i="7"/>
  <c r="E459" i="7" s="1"/>
  <c r="G629" i="7"/>
  <c r="E629" i="7" s="1"/>
  <c r="G178" i="7"/>
  <c r="E178" i="7" s="1"/>
  <c r="A485" i="7"/>
  <c r="A556" i="7"/>
  <c r="A169" i="7"/>
  <c r="A504" i="7"/>
  <c r="D552" i="7"/>
  <c r="G613" i="7"/>
  <c r="E613" i="7" s="1"/>
  <c r="A258" i="7"/>
  <c r="D409" i="7"/>
  <c r="D92" i="7"/>
  <c r="B483" i="7"/>
  <c r="G409" i="7"/>
  <c r="E409" i="7" s="1"/>
  <c r="B462" i="7"/>
  <c r="A451" i="7"/>
  <c r="D444" i="7"/>
  <c r="A20" i="7"/>
  <c r="A524" i="7"/>
  <c r="B17" i="7"/>
  <c r="B207" i="7"/>
  <c r="G376" i="7"/>
  <c r="E376" i="7" s="1"/>
  <c r="B323" i="7"/>
  <c r="G155" i="7"/>
  <c r="E155" i="7" s="1"/>
  <c r="A161" i="7"/>
  <c r="G410" i="7"/>
  <c r="E410" i="7" s="1"/>
  <c r="G562" i="7"/>
  <c r="E562" i="7" s="1"/>
  <c r="D339" i="7"/>
  <c r="G293" i="7"/>
  <c r="E293" i="7" s="1"/>
  <c r="A113" i="7"/>
  <c r="A124" i="7"/>
  <c r="A371" i="7"/>
  <c r="D286" i="7"/>
  <c r="G75" i="7"/>
  <c r="E75" i="7" s="1"/>
  <c r="G71" i="7"/>
  <c r="E71" i="7" s="1"/>
  <c r="D37" i="7"/>
  <c r="B81" i="7"/>
  <c r="B456" i="7"/>
  <c r="D298" i="7"/>
  <c r="B580" i="7"/>
  <c r="G430" i="7"/>
  <c r="E430" i="7" s="1"/>
  <c r="A358" i="7"/>
  <c r="D307" i="7"/>
  <c r="B71" i="7"/>
  <c r="A462" i="7"/>
  <c r="D519" i="7"/>
  <c r="A471" i="7"/>
  <c r="D381" i="7"/>
  <c r="B510" i="7"/>
  <c r="G445" i="7"/>
  <c r="E445" i="7" s="1"/>
  <c r="D541" i="7"/>
  <c r="B277" i="7"/>
  <c r="A623" i="7"/>
  <c r="B542" i="7"/>
  <c r="B448" i="7"/>
  <c r="A554" i="7"/>
  <c r="D25" i="7"/>
  <c r="D586" i="7"/>
  <c r="A275" i="7"/>
  <c r="D18" i="7"/>
  <c r="D337" i="7"/>
  <c r="G516" i="7"/>
  <c r="E516" i="7" s="1"/>
  <c r="A579" i="7"/>
  <c r="G115" i="7"/>
  <c r="E115" i="7" s="1"/>
  <c r="A303" i="7"/>
  <c r="B120" i="7"/>
  <c r="A242" i="7"/>
  <c r="G375" i="7"/>
  <c r="E375" i="7" s="1"/>
  <c r="B23" i="7"/>
  <c r="G397" i="7"/>
  <c r="E397" i="7" s="1"/>
  <c r="B503" i="7"/>
  <c r="G33" i="7"/>
  <c r="E33" i="7" s="1"/>
  <c r="A56" i="7"/>
  <c r="D265" i="7"/>
  <c r="B565" i="7"/>
  <c r="A397" i="7"/>
  <c r="D131" i="7"/>
  <c r="B603" i="7"/>
  <c r="D198" i="7"/>
  <c r="G340" i="7"/>
  <c r="E340" i="7" s="1"/>
  <c r="B116" i="7"/>
  <c r="G495" i="7"/>
  <c r="E495" i="7" s="1"/>
  <c r="D313" i="7"/>
  <c r="G610" i="7"/>
  <c r="E610" i="7" s="1"/>
  <c r="G465" i="7"/>
  <c r="E465" i="7" s="1"/>
  <c r="G295" i="7"/>
  <c r="E295" i="7" s="1"/>
  <c r="G590" i="7"/>
  <c r="E590" i="7" s="1"/>
  <c r="G480" i="7"/>
  <c r="E480" i="7" s="1"/>
  <c r="B381" i="7"/>
  <c r="B627" i="7"/>
  <c r="A157" i="7"/>
  <c r="G420" i="7"/>
  <c r="E420" i="7" s="1"/>
  <c r="B538" i="7"/>
  <c r="A117" i="7"/>
  <c r="G343" i="7"/>
  <c r="E343" i="7" s="1"/>
  <c r="A552" i="7"/>
  <c r="B423" i="7"/>
  <c r="A257" i="7"/>
  <c r="D54" i="7"/>
  <c r="B361" i="7"/>
  <c r="G288" i="7"/>
  <c r="E288" i="7" s="1"/>
  <c r="G399" i="7"/>
  <c r="E399" i="7" s="1"/>
  <c r="D24" i="7"/>
  <c r="D416" i="7"/>
  <c r="B343" i="7"/>
  <c r="D352" i="7"/>
  <c r="G197" i="7"/>
  <c r="E197" i="7" s="1"/>
  <c r="A135" i="7"/>
  <c r="B209" i="7"/>
  <c r="G518" i="7"/>
  <c r="E518" i="7" s="1"/>
  <c r="B469" i="7"/>
  <c r="A206" i="7"/>
  <c r="D468" i="7"/>
  <c r="D367" i="7"/>
  <c r="A405" i="7"/>
  <c r="B527" i="7"/>
  <c r="G566" i="7"/>
  <c r="E566" i="7" s="1"/>
  <c r="G47" i="7"/>
  <c r="E47" i="7" s="1"/>
  <c r="G352" i="7"/>
  <c r="E352" i="7" s="1"/>
  <c r="G202" i="7"/>
  <c r="E202" i="7" s="1"/>
  <c r="B221" i="7"/>
  <c r="B554" i="7"/>
  <c r="A341" i="7"/>
  <c r="D242" i="7"/>
  <c r="B471" i="7"/>
  <c r="B426" i="7"/>
  <c r="B151" i="7"/>
  <c r="D411" i="7"/>
  <c r="B301" i="7"/>
  <c r="A58" i="7"/>
  <c r="B263" i="7"/>
  <c r="D130" i="7"/>
  <c r="B568" i="7"/>
  <c r="G184" i="7"/>
  <c r="E184" i="7" s="1"/>
  <c r="B100" i="7"/>
  <c r="B299" i="7"/>
  <c r="A59" i="7"/>
  <c r="G282" i="7"/>
  <c r="E282" i="7" s="1"/>
  <c r="D513" i="7"/>
  <c r="G222" i="7"/>
  <c r="E222" i="7" s="1"/>
  <c r="G587" i="7"/>
  <c r="E587" i="7" s="1"/>
  <c r="D419" i="7"/>
  <c r="G196" i="7"/>
  <c r="E196" i="7" s="1"/>
  <c r="A51" i="7"/>
  <c r="B278" i="7"/>
  <c r="G160" i="7"/>
  <c r="E160" i="7" s="1"/>
  <c r="D530" i="7"/>
  <c r="A140" i="7"/>
  <c r="G280" i="7"/>
  <c r="E280" i="7" s="1"/>
  <c r="G65" i="7"/>
  <c r="E65" i="7" s="1"/>
  <c r="D338" i="7"/>
  <c r="B402" i="7"/>
  <c r="A625" i="7"/>
  <c r="A48" i="7"/>
  <c r="D485" i="7"/>
  <c r="D147" i="7"/>
  <c r="D163" i="7"/>
  <c r="D577" i="7"/>
  <c r="A568" i="7"/>
  <c r="B386" i="7"/>
  <c r="A575" i="7"/>
  <c r="G357" i="7"/>
  <c r="E357" i="7" s="1"/>
  <c r="G143" i="7"/>
  <c r="E143" i="7" s="1"/>
  <c r="B264" i="7"/>
  <c r="A375" i="7"/>
  <c r="G227" i="7"/>
  <c r="E227" i="7" s="1"/>
  <c r="G382" i="7"/>
  <c r="E382" i="7" s="1"/>
  <c r="G137" i="7"/>
  <c r="D473" i="7"/>
  <c r="B487" i="7"/>
  <c r="B394" i="7"/>
  <c r="D395" i="7"/>
  <c r="B590" i="7"/>
  <c r="B241" i="7"/>
  <c r="A63" i="7"/>
  <c r="A592" i="7"/>
  <c r="A39" i="7"/>
  <c r="G549" i="7"/>
  <c r="E549" i="7" s="1"/>
  <c r="D321" i="7"/>
  <c r="A138" i="7"/>
  <c r="G421" i="7"/>
  <c r="E421" i="7" s="1"/>
  <c r="B236" i="7"/>
  <c r="G481" i="7"/>
  <c r="E481" i="7" s="1"/>
  <c r="D376" i="7"/>
  <c r="D145" i="7"/>
  <c r="D101" i="7"/>
  <c r="B243" i="7"/>
  <c r="A108" i="7"/>
  <c r="G395" i="7"/>
  <c r="E395" i="7" s="1"/>
  <c r="A566" i="7"/>
  <c r="D180" i="7"/>
  <c r="G533" i="7"/>
  <c r="E533" i="7" s="1"/>
  <c r="D248" i="7"/>
  <c r="B514" i="7"/>
  <c r="D359" i="7"/>
  <c r="G250" i="7"/>
  <c r="E250" i="7" s="1"/>
  <c r="G261" i="7"/>
  <c r="E261" i="7" s="1"/>
  <c r="B163" i="7"/>
  <c r="B89" i="7"/>
  <c r="D612" i="7"/>
  <c r="G109" i="7"/>
  <c r="E109" i="7" s="1"/>
  <c r="D531" i="7"/>
  <c r="G604" i="7"/>
  <c r="E604" i="7" s="1"/>
  <c r="B219" i="7"/>
  <c r="D102" i="7"/>
  <c r="A252" i="7"/>
  <c r="A446" i="7"/>
  <c r="A631" i="7"/>
  <c r="B147" i="7"/>
  <c r="A144" i="7"/>
  <c r="B208" i="7"/>
  <c r="G383" i="7"/>
  <c r="E383" i="7" s="1"/>
  <c r="B165" i="7"/>
  <c r="B154" i="7"/>
  <c r="B452" i="7"/>
  <c r="G123" i="7"/>
  <c r="E123" i="7" s="1"/>
  <c r="A307" i="7"/>
  <c r="B534" i="7"/>
  <c r="G595" i="7"/>
  <c r="E595" i="7" s="1"/>
  <c r="D483" i="7"/>
  <c r="B114" i="7"/>
  <c r="D329" i="7"/>
  <c r="G55" i="7"/>
  <c r="E55" i="7" s="1"/>
  <c r="B601" i="7"/>
  <c r="G220" i="7"/>
  <c r="E220" i="7" s="1"/>
  <c r="D119" i="7"/>
  <c r="B515" i="7"/>
  <c r="A133" i="7"/>
  <c r="A82" i="7"/>
  <c r="D472" i="7"/>
  <c r="D70" i="7"/>
  <c r="D49" i="7"/>
  <c r="B166" i="7"/>
  <c r="A38" i="7"/>
  <c r="G294" i="7"/>
  <c r="E294" i="7" s="1"/>
  <c r="A204" i="7"/>
  <c r="G443" i="7"/>
  <c r="E443" i="7" s="1"/>
  <c r="A32" i="7"/>
  <c r="B348" i="7"/>
  <c r="G585" i="7"/>
  <c r="E585" i="7" s="1"/>
  <c r="B422" i="7"/>
  <c r="A69" i="7"/>
  <c r="G273" i="7"/>
  <c r="E273" i="7" s="1"/>
  <c r="G34" i="7"/>
  <c r="E34" i="7" s="1"/>
  <c r="G408" i="7"/>
  <c r="E408" i="7" s="1"/>
  <c r="D93" i="7"/>
  <c r="A195" i="7"/>
  <c r="A398" i="7"/>
  <c r="D191" i="7"/>
  <c r="A85" i="7"/>
  <c r="G46" i="7"/>
  <c r="E46" i="7" s="1"/>
  <c r="A429" i="7"/>
  <c r="A362" i="7"/>
  <c r="D474" i="7"/>
  <c r="G370" i="7"/>
  <c r="E370" i="7" s="1"/>
  <c r="A111" i="7"/>
  <c r="B150" i="7"/>
  <c r="D568" i="7"/>
  <c r="D135" i="7"/>
  <c r="D276" i="7"/>
  <c r="D194" i="7"/>
  <c r="G456" i="7"/>
  <c r="E456" i="7" s="1"/>
  <c r="B553" i="7"/>
  <c r="A35" i="7"/>
  <c r="B95" i="7"/>
  <c r="G414" i="7"/>
  <c r="E414" i="7" s="1"/>
  <c r="B613" i="7"/>
  <c r="B21" i="7"/>
  <c r="D572" i="7"/>
  <c r="D226" i="7"/>
  <c r="G386" i="7"/>
  <c r="E386" i="7" s="1"/>
  <c r="B177" i="7"/>
  <c r="B330" i="7"/>
  <c r="B418" i="7"/>
  <c r="D404" i="7"/>
  <c r="A374" i="7"/>
  <c r="D439" i="7"/>
  <c r="B319" i="7"/>
  <c r="B459" i="7"/>
  <c r="B93" i="7"/>
  <c r="A340" i="7"/>
  <c r="A571" i="7"/>
  <c r="D173" i="7"/>
  <c r="D38" i="7"/>
  <c r="A33" i="7"/>
  <c r="B140" i="7"/>
  <c r="A536" i="7"/>
  <c r="A582" i="7"/>
  <c r="G165" i="7"/>
  <c r="E165" i="7" s="1"/>
  <c r="D165" i="7"/>
  <c r="B156" i="7"/>
  <c r="B185" i="7"/>
  <c r="B108" i="7"/>
  <c r="A408" i="7"/>
  <c r="G292" i="7"/>
  <c r="E292" i="7" s="1"/>
  <c r="G303" i="7"/>
  <c r="E303" i="7" s="1"/>
  <c r="D270" i="7"/>
  <c r="G204" i="7"/>
  <c r="E204" i="7" s="1"/>
  <c r="B523" i="7"/>
  <c r="B374" i="7"/>
  <c r="G183" i="7"/>
  <c r="E183" i="7" s="1"/>
  <c r="B225" i="7"/>
  <c r="D169" i="7"/>
  <c r="G618" i="7"/>
  <c r="E618" i="7" s="1"/>
  <c r="G299" i="7"/>
  <c r="E299" i="7" s="1"/>
  <c r="D100" i="7"/>
  <c r="D170" i="7"/>
  <c r="A219" i="7"/>
  <c r="G363" i="7"/>
  <c r="E363" i="7" s="1"/>
  <c r="D262" i="7"/>
  <c r="D208" i="7"/>
  <c r="D527" i="7"/>
  <c r="G347" i="7"/>
  <c r="E347" i="7" s="1"/>
  <c r="B379" i="7"/>
  <c r="A357" i="7"/>
  <c r="B550" i="7"/>
  <c r="A622" i="7"/>
  <c r="G467" i="7"/>
  <c r="E467" i="7" s="1"/>
  <c r="G529" i="7"/>
  <c r="E529" i="7" s="1"/>
  <c r="A55" i="7"/>
  <c r="D246" i="7"/>
  <c r="G577" i="7"/>
  <c r="E577" i="7" s="1"/>
  <c r="G156" i="7"/>
  <c r="E156" i="7" s="1"/>
  <c r="A172" i="7"/>
  <c r="D362" i="7"/>
  <c r="D227" i="7"/>
  <c r="B403" i="7"/>
  <c r="D435" i="7"/>
  <c r="D334" i="7"/>
  <c r="B180" i="7"/>
  <c r="D488" i="7"/>
  <c r="B126" i="7"/>
  <c r="D125" i="7"/>
  <c r="D325" i="7"/>
  <c r="B454" i="7"/>
  <c r="D429" i="7"/>
  <c r="A280" i="7"/>
  <c r="A146" i="7"/>
  <c r="G259" i="7"/>
  <c r="E259" i="7" s="1"/>
  <c r="A115" i="7"/>
  <c r="B215" i="7"/>
  <c r="B48" i="7"/>
  <c r="A328" i="7"/>
  <c r="D345" i="7"/>
  <c r="B15" i="7"/>
  <c r="D504" i="7"/>
  <c r="G59" i="7"/>
  <c r="E59" i="7" s="1"/>
  <c r="G439" i="7"/>
  <c r="E439" i="7" s="1"/>
  <c r="B318" i="7"/>
  <c r="B604" i="7"/>
  <c r="G95" i="7"/>
  <c r="E95" i="7" s="1"/>
  <c r="A17" i="7"/>
  <c r="D15" i="7"/>
  <c r="G565" i="7"/>
  <c r="E565" i="7" s="1"/>
  <c r="B357" i="7"/>
  <c r="G560" i="7"/>
  <c r="E560" i="7" s="1"/>
  <c r="B38" i="7"/>
  <c r="A37" i="7"/>
  <c r="D618" i="7"/>
  <c r="G229" i="7"/>
  <c r="E229" i="7" s="1"/>
  <c r="D414" i="7"/>
  <c r="A283" i="7"/>
  <c r="A89" i="7"/>
  <c r="A298" i="7"/>
  <c r="D480" i="7"/>
  <c r="A506" i="7"/>
  <c r="D424" i="7"/>
  <c r="A522" i="7"/>
  <c r="D425" i="7"/>
  <c r="G102" i="7"/>
  <c r="E102" i="7" s="1"/>
  <c r="D98" i="7"/>
  <c r="B519" i="7"/>
  <c r="D306" i="7"/>
  <c r="A495" i="7"/>
  <c r="B143" i="7"/>
  <c r="D105" i="7"/>
  <c r="D155" i="7"/>
  <c r="D538" i="7"/>
  <c r="A241" i="7"/>
  <c r="B370" i="7"/>
  <c r="D617" i="7"/>
  <c r="B498" i="7"/>
  <c r="D567" i="7"/>
  <c r="G23" i="7"/>
  <c r="E23" i="7" s="1"/>
  <c r="A92" i="7"/>
  <c r="D274" i="7"/>
  <c r="G617" i="7"/>
  <c r="E617" i="7" s="1"/>
  <c r="D85" i="7"/>
  <c r="G521" i="7"/>
  <c r="E521" i="7" s="1"/>
  <c r="A176" i="7"/>
  <c r="D585" i="7"/>
  <c r="A65" i="7"/>
  <c r="G307" i="7"/>
  <c r="E307" i="7" s="1"/>
  <c r="B205" i="7"/>
  <c r="B407" i="7"/>
  <c r="D89" i="7"/>
  <c r="G144" i="7"/>
  <c r="E144" i="7" s="1"/>
  <c r="G128" i="7"/>
  <c r="E128" i="7" s="1"/>
  <c r="B400" i="7"/>
  <c r="G61" i="7"/>
  <c r="E61" i="7" s="1"/>
  <c r="G310" i="7"/>
  <c r="E310" i="7" s="1"/>
  <c r="D53" i="7"/>
  <c r="D290" i="7"/>
  <c r="D609" i="7"/>
  <c r="B63" i="7"/>
  <c r="D497" i="7"/>
  <c r="D610" i="7"/>
  <c r="G232" i="7"/>
  <c r="E232" i="7" s="1"/>
  <c r="B536" i="7"/>
  <c r="G540" i="7"/>
  <c r="E540" i="7" s="1"/>
  <c r="G536" i="7"/>
  <c r="E536" i="7" s="1"/>
  <c r="A557" i="7"/>
  <c r="A627" i="7"/>
  <c r="B206" i="7"/>
  <c r="D533" i="7"/>
  <c r="A213" i="7"/>
  <c r="A500" i="7"/>
  <c r="G490" i="7"/>
  <c r="E490" i="7" s="1"/>
  <c r="G482" i="7"/>
  <c r="E482" i="7" s="1"/>
  <c r="A526" i="7"/>
  <c r="A49" i="7"/>
  <c r="A518" i="7"/>
  <c r="G125" i="7"/>
  <c r="E125" i="7" s="1"/>
  <c r="A330" i="7"/>
  <c r="B198" i="7"/>
  <c r="D551" i="7"/>
  <c r="A40" i="7"/>
  <c r="G129" i="7"/>
  <c r="E129" i="7" s="1"/>
  <c r="D353" i="7"/>
  <c r="G98" i="7"/>
  <c r="E98" i="7" s="1"/>
  <c r="A26" i="7"/>
  <c r="B548" i="7"/>
  <c r="D596" i="7"/>
  <c r="A488" i="7"/>
  <c r="G404" i="7"/>
  <c r="E404" i="7" s="1"/>
  <c r="G551" i="7"/>
  <c r="E551" i="7" s="1"/>
  <c r="B439" i="7"/>
  <c r="A385" i="7"/>
  <c r="A291" i="7"/>
  <c r="B22" i="7"/>
  <c r="B625" i="7"/>
  <c r="A168" i="7"/>
  <c r="B455" i="7"/>
  <c r="B466" i="7"/>
  <c r="B511" i="7"/>
  <c r="G405" i="7"/>
  <c r="E405" i="7" s="1"/>
  <c r="D127" i="7"/>
  <c r="A359" i="7"/>
  <c r="D570" i="7"/>
  <c r="G508" i="7"/>
  <c r="E508" i="7" s="1"/>
  <c r="G504" i="7"/>
  <c r="E504" i="7" s="1"/>
  <c r="B571" i="7"/>
  <c r="B489" i="7"/>
  <c r="B97" i="7"/>
  <c r="G262" i="7"/>
  <c r="E262" i="7" s="1"/>
  <c r="G572" i="7"/>
  <c r="E572" i="7" s="1"/>
  <c r="G568" i="7"/>
  <c r="E568" i="7" s="1"/>
  <c r="B539" i="7"/>
  <c r="A460" i="7"/>
  <c r="D182" i="7"/>
  <c r="B244" i="7"/>
  <c r="A580" i="7"/>
  <c r="A413" i="7"/>
  <c r="B359" i="7"/>
  <c r="G538" i="7"/>
  <c r="E538" i="7" s="1"/>
  <c r="D605" i="7"/>
  <c r="G311" i="7"/>
  <c r="E311" i="7" s="1"/>
  <c r="A423" i="7"/>
  <c r="B473" i="7"/>
  <c r="A501" i="7"/>
  <c r="D375" i="7"/>
  <c r="A234" i="7"/>
  <c r="D544" i="7"/>
  <c r="A174" i="7"/>
  <c r="D622" i="7"/>
  <c r="G501" i="7"/>
  <c r="E501" i="7" s="1"/>
  <c r="B137" i="7"/>
  <c r="A107" i="7"/>
  <c r="B175" i="7"/>
  <c r="B429" i="7"/>
  <c r="D172" i="7"/>
  <c r="B66" i="7"/>
  <c r="G592" i="7"/>
  <c r="E592" i="7" s="1"/>
  <c r="A420" i="7"/>
  <c r="A313" i="7"/>
  <c r="D232" i="7"/>
  <c r="A265" i="7"/>
  <c r="D390" i="7"/>
  <c r="B270" i="7"/>
  <c r="A318" i="7"/>
  <c r="B315" i="7"/>
  <c r="A393" i="7"/>
  <c r="A363" i="7"/>
  <c r="B496" i="7"/>
  <c r="B546" i="7"/>
  <c r="B583" i="7"/>
  <c r="B365" i="7"/>
  <c r="B615" i="7"/>
  <c r="B629" i="7"/>
  <c r="B235" i="7"/>
  <c r="A231" i="7"/>
  <c r="B55" i="7"/>
  <c r="G391" i="7"/>
  <c r="E391" i="7" s="1"/>
  <c r="B123" i="7"/>
  <c r="A521" i="7"/>
  <c r="G576" i="7"/>
  <c r="E576" i="7" s="1"/>
  <c r="G187" i="7"/>
  <c r="E187" i="7" s="1"/>
  <c r="D221" i="7"/>
  <c r="B183" i="7"/>
  <c r="G332" i="7"/>
  <c r="E332" i="7" s="1"/>
  <c r="B31" i="7"/>
  <c r="D564" i="7"/>
  <c r="B287" i="7"/>
  <c r="A513" i="7"/>
  <c r="A299" i="7"/>
  <c r="B358" i="7"/>
  <c r="D237" i="7"/>
  <c r="G603" i="7"/>
  <c r="E603" i="7" s="1"/>
  <c r="D484" i="7"/>
  <c r="B369" i="7"/>
  <c r="B238" i="7"/>
  <c r="A382" i="7"/>
  <c r="A537" i="7"/>
  <c r="G512" i="7"/>
  <c r="E512" i="7" s="1"/>
  <c r="B342" i="7"/>
  <c r="G255" i="7"/>
  <c r="E255" i="7" s="1"/>
  <c r="B530" i="7"/>
  <c r="A569" i="7"/>
  <c r="D174" i="7"/>
  <c r="D167" i="7"/>
  <c r="G316" i="7"/>
  <c r="E316" i="7" s="1"/>
  <c r="D225" i="7"/>
  <c r="A360" i="7"/>
  <c r="G163" i="7"/>
  <c r="E163" i="7" s="1"/>
  <c r="D569" i="7"/>
  <c r="D408" i="7"/>
  <c r="G237" i="7"/>
  <c r="E237" i="7" s="1"/>
  <c r="D535" i="7"/>
  <c r="D631" i="7"/>
  <c r="A468" i="7"/>
  <c r="D65" i="7"/>
  <c r="G530" i="7"/>
  <c r="E530" i="7" s="1"/>
  <c r="G594" i="7"/>
  <c r="E594" i="7" s="1"/>
  <c r="D62" i="7"/>
  <c r="B584" i="7"/>
  <c r="B258" i="7"/>
  <c r="B412" i="7"/>
  <c r="D413" i="7"/>
  <c r="A482" i="7"/>
  <c r="D73" i="7"/>
  <c r="G100" i="7"/>
  <c r="E100" i="7" s="1"/>
  <c r="B436" i="7"/>
  <c r="A452" i="7"/>
  <c r="G213" i="7"/>
  <c r="E213" i="7" s="1"/>
  <c r="A351" i="7"/>
  <c r="A508" i="7"/>
  <c r="D196" i="7"/>
  <c r="D455" i="7"/>
  <c r="A310" i="7"/>
  <c r="D21" i="7"/>
  <c r="A380" i="7"/>
  <c r="D620" i="7"/>
  <c r="D112" i="7"/>
  <c r="G381" i="7"/>
  <c r="E381" i="7" s="1"/>
  <c r="B556" i="7"/>
  <c r="B614" i="7"/>
  <c r="G605" i="7"/>
  <c r="E605" i="7" s="1"/>
  <c r="G90" i="7"/>
  <c r="E90" i="7" s="1"/>
  <c r="B271" i="7"/>
  <c r="B132" i="7"/>
  <c r="D181" i="7"/>
  <c r="A30" i="7"/>
  <c r="B344" i="7"/>
  <c r="A239" i="7"/>
  <c r="B564" i="7"/>
  <c r="D441" i="7"/>
  <c r="G537" i="7"/>
  <c r="E537" i="7" s="1"/>
  <c r="B234" i="7"/>
  <c r="D30" i="7"/>
  <c r="G176" i="7"/>
  <c r="E176" i="7" s="1"/>
  <c r="G27" i="7"/>
  <c r="E27" i="7" s="1"/>
  <c r="B167" i="7"/>
  <c r="A24" i="7"/>
  <c r="A83" i="7"/>
  <c r="G600" i="7"/>
  <c r="E600" i="7" s="1"/>
  <c r="G591" i="7"/>
  <c r="E591" i="7" s="1"/>
  <c r="B597" i="7"/>
  <c r="B125" i="7"/>
  <c r="B142" i="7"/>
  <c r="D422" i="7"/>
  <c r="B463" i="7"/>
  <c r="D55" i="7"/>
  <c r="A517" i="7"/>
  <c r="D32" i="7"/>
  <c r="G265" i="7"/>
  <c r="E265" i="7" s="1"/>
  <c r="D205" i="7"/>
  <c r="A499" i="7"/>
  <c r="A346" i="7"/>
  <c r="G211" i="7"/>
  <c r="E211" i="7" s="1"/>
  <c r="D209" i="7"/>
  <c r="A401" i="7"/>
  <c r="A132" i="7"/>
  <c r="G94" i="7"/>
  <c r="E94" i="7" s="1"/>
  <c r="A129" i="7"/>
  <c r="B118" i="7"/>
  <c r="D188" i="7"/>
  <c r="A21" i="7"/>
  <c r="A465" i="7"/>
  <c r="B417" i="7"/>
  <c r="D195" i="7"/>
  <c r="A520" i="7"/>
  <c r="G291" i="7"/>
  <c r="E291" i="7" s="1"/>
  <c r="B541" i="7"/>
  <c r="D611" i="7"/>
  <c r="G243" i="7"/>
  <c r="E243" i="7" s="1"/>
  <c r="G62" i="7"/>
  <c r="G315" i="7"/>
  <c r="E315" i="7" s="1"/>
  <c r="B212" i="7"/>
  <c r="D627" i="7"/>
  <c r="B312" i="7"/>
  <c r="D31" i="7"/>
  <c r="G285" i="7"/>
  <c r="E285" i="7" s="1"/>
  <c r="D582" i="7"/>
  <c r="D35" i="7"/>
  <c r="G429" i="7"/>
  <c r="E429" i="7" s="1"/>
  <c r="D587" i="7"/>
  <c r="B337" i="7"/>
  <c r="G557" i="7"/>
  <c r="E557" i="7" s="1"/>
  <c r="D521" i="7"/>
  <c r="D394" i="7"/>
  <c r="D310" i="7"/>
  <c r="G546" i="7"/>
  <c r="E546" i="7" s="1"/>
  <c r="A549" i="7"/>
  <c r="A529" i="7"/>
  <c r="D164" i="7"/>
  <c r="D520" i="7"/>
  <c r="B65" i="7"/>
  <c r="B305" i="7"/>
  <c r="A601" i="7"/>
  <c r="D120" i="7"/>
  <c r="A396" i="7"/>
  <c r="A394" i="7"/>
  <c r="G367" i="7"/>
  <c r="E367" i="7" s="1"/>
  <c r="G438" i="7"/>
  <c r="E438" i="7" s="1"/>
  <c r="A15" i="7"/>
  <c r="A604" i="7"/>
  <c r="G283" i="7"/>
  <c r="E283" i="7" s="1"/>
  <c r="G277" i="7"/>
  <c r="E277" i="7" s="1"/>
  <c r="D457" i="7"/>
  <c r="D90" i="7"/>
  <c r="G478" i="7"/>
  <c r="E478" i="7" s="1"/>
  <c r="D354" i="7"/>
  <c r="D343" i="7"/>
  <c r="A78" i="7"/>
  <c r="D229" i="7"/>
  <c r="B269" i="7"/>
  <c r="D193" i="7"/>
  <c r="D616" i="7"/>
  <c r="A595" i="7"/>
  <c r="B376" i="7"/>
  <c r="A547" i="7"/>
  <c r="G446" i="7"/>
  <c r="E446" i="7" s="1"/>
  <c r="A163" i="7"/>
  <c r="A164" i="7"/>
  <c r="A23" i="7"/>
  <c r="A458" i="7"/>
  <c r="D142" i="7"/>
  <c r="G396" i="7"/>
  <c r="E396" i="7" s="1"/>
  <c r="D322" i="7"/>
  <c r="G112" i="7"/>
  <c r="E112" i="7" s="1"/>
  <c r="D141" i="7"/>
  <c r="B74" i="7"/>
  <c r="G387" i="7"/>
  <c r="E387" i="7" s="1"/>
  <c r="G366" i="7"/>
  <c r="E366" i="7" s="1"/>
  <c r="B168" i="7"/>
  <c r="G502" i="7"/>
  <c r="E502" i="7" s="1"/>
  <c r="A136" i="7"/>
  <c r="G564" i="7"/>
  <c r="E564" i="7" s="1"/>
  <c r="G93" i="7"/>
  <c r="E93" i="7" s="1"/>
  <c r="D84" i="7"/>
  <c r="B606" i="7"/>
  <c r="A613" i="7"/>
  <c r="D121" i="7"/>
  <c r="A578" i="7"/>
  <c r="A447" i="7"/>
  <c r="A97" i="7"/>
  <c r="B201" i="7"/>
  <c r="G251" i="7"/>
  <c r="E251" i="7" s="1"/>
  <c r="D358" i="7"/>
  <c r="A208" i="7"/>
  <c r="A101" i="7"/>
  <c r="A77" i="7"/>
  <c r="A441" i="7"/>
  <c r="G432" i="7"/>
  <c r="E432" i="7" s="1"/>
  <c r="A369" i="7"/>
  <c r="A193" i="7"/>
  <c r="D129" i="7"/>
  <c r="G152" i="7"/>
  <c r="E152" i="7" s="1"/>
  <c r="A167" i="7"/>
  <c r="A409" i="7"/>
  <c r="G515" i="7"/>
  <c r="E515" i="7" s="1"/>
  <c r="A509" i="7"/>
  <c r="G30" i="7"/>
  <c r="E30" i="7" s="1"/>
  <c r="B96" i="7"/>
  <c r="B20" i="7"/>
  <c r="A148" i="7"/>
  <c r="G177" i="7"/>
  <c r="E177" i="7" s="1"/>
  <c r="D139" i="7"/>
  <c r="B617" i="7"/>
  <c r="A337" i="7"/>
  <c r="D619" i="7"/>
  <c r="D427" i="7"/>
  <c r="G558" i="7"/>
  <c r="E558" i="7" s="1"/>
  <c r="A377" i="7"/>
  <c r="D235" i="7"/>
  <c r="G136" i="7"/>
  <c r="E136" i="7" s="1"/>
  <c r="G20" i="7"/>
  <c r="E20" i="7" s="1"/>
  <c r="G235" i="7"/>
  <c r="E235" i="7" s="1"/>
  <c r="B433" i="7"/>
  <c r="A585" i="7"/>
  <c r="D518" i="7"/>
  <c r="A607" i="7"/>
  <c r="G245" i="7"/>
  <c r="E245" i="7" s="1"/>
  <c r="D492" i="7"/>
  <c r="A443" i="7"/>
  <c r="G151" i="7"/>
  <c r="E151" i="7" s="1"/>
  <c r="B475" i="7"/>
  <c r="D223" i="7"/>
  <c r="D581" i="7"/>
  <c r="B438" i="7"/>
  <c r="D397" i="7"/>
  <c r="A608" i="7"/>
  <c r="A417" i="7"/>
  <c r="A355" i="7"/>
  <c r="D108" i="7"/>
  <c r="G76" i="7"/>
  <c r="E76" i="7" s="1"/>
  <c r="A74" i="7"/>
  <c r="B566" i="7"/>
  <c r="G554" i="7"/>
  <c r="E554" i="7" s="1"/>
  <c r="B130" i="7"/>
  <c r="A400" i="7"/>
  <c r="D44" i="7"/>
  <c r="A372" i="7"/>
  <c r="B401" i="7"/>
  <c r="D186" i="7"/>
  <c r="D293" i="7"/>
  <c r="A251" i="7"/>
  <c r="G127" i="7"/>
  <c r="E127" i="7" s="1"/>
  <c r="B231" i="7"/>
  <c r="G379" i="7"/>
  <c r="E379" i="7" s="1"/>
  <c r="A88" i="7"/>
  <c r="G436" i="7"/>
  <c r="E436" i="7" s="1"/>
  <c r="A324" i="7"/>
  <c r="D269" i="7"/>
  <c r="B94" i="7"/>
  <c r="B443" i="7"/>
  <c r="D452" i="7"/>
  <c r="D517" i="7"/>
  <c r="D234" i="7"/>
  <c r="G454" i="7"/>
  <c r="E454" i="7" s="1"/>
  <c r="G140" i="7"/>
  <c r="E140" i="7" s="1"/>
  <c r="B169" i="7"/>
  <c r="B44" i="7"/>
  <c r="G359" i="7"/>
  <c r="E359" i="7" s="1"/>
  <c r="B248" i="7"/>
  <c r="A256" i="7"/>
  <c r="G452" i="7"/>
  <c r="E452" i="7" s="1"/>
  <c r="B353" i="7"/>
  <c r="D502" i="7"/>
  <c r="D449" i="7"/>
  <c r="A435" i="7"/>
  <c r="A229" i="7"/>
  <c r="G306" i="7"/>
  <c r="E306" i="7" s="1"/>
  <c r="B251" i="7"/>
  <c r="D60" i="7"/>
  <c r="B467" i="7"/>
  <c r="G527" i="7"/>
  <c r="E527" i="7" s="1"/>
  <c r="A570" i="7"/>
  <c r="D475" i="7"/>
  <c r="G441" i="7"/>
  <c r="E441" i="7" s="1"/>
  <c r="B444" i="7"/>
  <c r="D118" i="7"/>
  <c r="B276" i="7"/>
  <c r="G309" i="7"/>
  <c r="E309" i="7" s="1"/>
  <c r="G492" i="7"/>
  <c r="E492" i="7" s="1"/>
  <c r="B256" i="7"/>
  <c r="B540" i="7"/>
  <c r="D311" i="7"/>
  <c r="D161" i="7"/>
  <c r="B600" i="7"/>
  <c r="B290" i="7"/>
  <c r="B217" i="7"/>
  <c r="B375" i="7"/>
  <c r="D514" i="7"/>
  <c r="G627" i="7"/>
  <c r="E627" i="7" s="1"/>
  <c r="D122" i="7"/>
  <c r="D496" i="7"/>
  <c r="B392" i="7"/>
  <c r="A153" i="7"/>
  <c r="B59" i="7"/>
  <c r="A189" i="7"/>
  <c r="A70" i="7"/>
  <c r="A528" i="7"/>
  <c r="B561" i="7"/>
  <c r="A42" i="7"/>
  <c r="A226" i="7"/>
  <c r="D549" i="7"/>
  <c r="G586" i="7"/>
  <c r="E586" i="7" s="1"/>
  <c r="B190" i="7"/>
  <c r="A419" i="7"/>
  <c r="A348" i="7"/>
  <c r="B227" i="7"/>
  <c r="A347" i="7"/>
  <c r="A64" i="7"/>
  <c r="B377" i="7"/>
  <c r="G107" i="7"/>
  <c r="E107" i="7" s="1"/>
  <c r="G413" i="7"/>
  <c r="E413" i="7" s="1"/>
  <c r="A390" i="7"/>
  <c r="A391" i="7"/>
  <c r="A185" i="7"/>
  <c r="B90" i="7"/>
  <c r="G526" i="7"/>
  <c r="E526" i="7" s="1"/>
  <c r="A273" i="7"/>
  <c r="B155" i="7"/>
  <c r="G276" i="7"/>
  <c r="E276" i="7" s="1"/>
  <c r="G56" i="7"/>
  <c r="E56" i="7" s="1"/>
  <c r="A322" i="7"/>
  <c r="D116" i="7"/>
  <c r="A472" i="7"/>
  <c r="A567" i="7"/>
  <c r="A454" i="7"/>
  <c r="G353" i="7"/>
  <c r="E353" i="7" s="1"/>
  <c r="B101" i="7"/>
  <c r="B586" i="7"/>
  <c r="D36" i="7"/>
  <c r="B34" i="7"/>
  <c r="A96" i="7"/>
  <c r="G491" i="7"/>
  <c r="E491" i="7" s="1"/>
  <c r="A586" i="7"/>
  <c r="A457" i="7"/>
  <c r="B283" i="7"/>
  <c r="D371" i="7"/>
  <c r="A326" i="7"/>
  <c r="B391" i="7"/>
  <c r="G337" i="7"/>
  <c r="E337" i="7" s="1"/>
  <c r="A250" i="7"/>
  <c r="G22" i="7"/>
  <c r="E22" i="7" s="1"/>
  <c r="G169" i="7"/>
  <c r="E169" i="7" s="1"/>
  <c r="B477" i="7"/>
  <c r="D254" i="7"/>
  <c r="G101" i="7"/>
  <c r="E101" i="7" s="1"/>
  <c r="A311" i="7"/>
  <c r="D576" i="7"/>
  <c r="B199" i="7"/>
  <c r="D319" i="7"/>
  <c r="A47" i="7"/>
  <c r="D266" i="7"/>
  <c r="A18" i="7"/>
  <c r="D63" i="7"/>
  <c r="G483" i="7"/>
  <c r="E483" i="7" s="1"/>
  <c r="A365" i="7"/>
  <c r="D546" i="7"/>
  <c r="B447" i="7"/>
  <c r="G520" i="7"/>
  <c r="E520" i="7" s="1"/>
  <c r="D71" i="7"/>
  <c r="G256" i="7"/>
  <c r="E256" i="7" s="1"/>
  <c r="G319" i="7"/>
  <c r="E319" i="7" s="1"/>
  <c r="B610" i="7"/>
  <c r="A198" i="7"/>
  <c r="A254" i="7"/>
  <c r="D166" i="7"/>
  <c r="B229" i="7"/>
  <c r="G135" i="7"/>
  <c r="E135" i="7" s="1"/>
  <c r="A267" i="7"/>
  <c r="G601" i="7"/>
  <c r="E601" i="7" s="1"/>
  <c r="G425" i="7"/>
  <c r="E425" i="7" s="1"/>
  <c r="A29" i="7"/>
  <c r="A455" i="7"/>
  <c r="D428" i="7"/>
  <c r="D123" i="7"/>
  <c r="A270" i="7"/>
  <c r="D260" i="7"/>
  <c r="G338" i="7"/>
  <c r="E338" i="7" s="1"/>
  <c r="D629" i="7"/>
  <c r="G624" i="7"/>
  <c r="E624" i="7" s="1"/>
  <c r="B628" i="7"/>
  <c r="G134" i="7"/>
  <c r="E134" i="7" s="1"/>
  <c r="B464" i="7"/>
  <c r="D385" i="7"/>
  <c r="G48" i="7"/>
  <c r="E48" i="7" s="1"/>
  <c r="G296" i="7"/>
  <c r="E296" i="7" s="1"/>
  <c r="G584" i="7"/>
  <c r="E584" i="7" s="1"/>
  <c r="B512" i="7"/>
  <c r="B242" i="7"/>
  <c r="B302" i="7"/>
  <c r="B203" i="7"/>
  <c r="B544" i="7"/>
  <c r="D510" i="7"/>
  <c r="A218" i="7"/>
  <c r="B378" i="7"/>
  <c r="D103" i="7"/>
  <c r="A576" i="7"/>
  <c r="G422" i="7"/>
  <c r="E422" i="7" s="1"/>
  <c r="G607" i="7"/>
  <c r="E607" i="7" s="1"/>
  <c r="D357" i="7"/>
  <c r="G300" i="7"/>
  <c r="E300" i="7" s="1"/>
  <c r="D443" i="7"/>
  <c r="G80" i="7"/>
  <c r="E80" i="7" s="1"/>
  <c r="G79" i="7"/>
  <c r="E79" i="7" s="1"/>
  <c r="G334" i="7"/>
  <c r="E334" i="7" s="1"/>
  <c r="G547" i="7"/>
  <c r="E547" i="7" s="1"/>
  <c r="D524" i="7"/>
  <c r="D19" i="7"/>
  <c r="G264" i="7"/>
  <c r="E264" i="7" s="1"/>
  <c r="A166" i="7"/>
  <c r="D203" i="7"/>
  <c r="A173" i="7"/>
  <c r="D561" i="7"/>
  <c r="B54" i="7"/>
  <c r="G401" i="7"/>
  <c r="E401" i="7" s="1"/>
  <c r="D240" i="7"/>
  <c r="B340" i="7"/>
  <c r="G620" i="7"/>
  <c r="E620" i="7" s="1"/>
  <c r="G24" i="7"/>
  <c r="E24" i="7" s="1"/>
  <c r="G462" i="7"/>
  <c r="E462" i="7" s="1"/>
  <c r="A238" i="7"/>
  <c r="A207" i="7"/>
  <c r="G15" i="7"/>
  <c r="E15" i="7" s="1"/>
  <c r="A440" i="7"/>
  <c r="G534" i="7"/>
  <c r="E534" i="7" s="1"/>
  <c r="G593" i="7"/>
  <c r="E593" i="7" s="1"/>
  <c r="B449" i="7"/>
  <c r="A36" i="7"/>
  <c r="B513" i="7"/>
  <c r="D373" i="7"/>
  <c r="D633" i="7"/>
  <c r="D66" i="7"/>
  <c r="A62" i="7"/>
  <c r="A99" i="7"/>
  <c r="G242" i="7"/>
  <c r="E242" i="7" s="1"/>
  <c r="G70" i="7"/>
  <c r="E70" i="7" s="1"/>
  <c r="B488" i="7"/>
  <c r="B196" i="7"/>
  <c r="D494" i="7"/>
  <c r="G442" i="7"/>
  <c r="E442" i="7" s="1"/>
  <c r="G616" i="7"/>
  <c r="E616" i="7" s="1"/>
  <c r="B82" i="7"/>
  <c r="A606" i="7"/>
  <c r="G266" i="7"/>
  <c r="E266" i="7" s="1"/>
  <c r="G470" i="7"/>
  <c r="E470" i="7" s="1"/>
  <c r="A266" i="7"/>
  <c r="G330" i="7"/>
  <c r="E330" i="7" s="1"/>
  <c r="D317" i="7"/>
  <c r="A415" i="7"/>
  <c r="B335" i="7"/>
  <c r="D543" i="7"/>
  <c r="G427" i="7"/>
  <c r="E427" i="7" s="1"/>
  <c r="D525" i="7"/>
  <c r="D29" i="7"/>
  <c r="B492" i="7"/>
  <c r="B72" i="7"/>
  <c r="B490" i="7"/>
  <c r="B478" i="7"/>
  <c r="A141" i="7"/>
  <c r="B425" i="7"/>
  <c r="B281" i="7"/>
  <c r="A525" i="7"/>
  <c r="G253" i="7"/>
  <c r="E253" i="7" s="1"/>
  <c r="B35" i="7"/>
  <c r="A333" i="7"/>
  <c r="A27" i="7"/>
  <c r="A395" i="7"/>
  <c r="D230" i="7"/>
  <c r="A425" i="7"/>
  <c r="A388" i="7"/>
  <c r="B51" i="7"/>
  <c r="A215" i="7"/>
  <c r="D178" i="7"/>
  <c r="B506" i="7"/>
  <c r="D40" i="7"/>
  <c r="G267" i="7"/>
  <c r="E267" i="7" s="1"/>
  <c r="A28" i="7"/>
  <c r="D72" i="7"/>
  <c r="A534" i="7"/>
  <c r="A523" i="7"/>
  <c r="D297" i="7"/>
  <c r="D534" i="7"/>
  <c r="B445" i="7"/>
  <c r="A142" i="7"/>
  <c r="D192" i="7"/>
  <c r="A376" i="7"/>
  <c r="G148" i="7"/>
  <c r="E148" i="7" s="1"/>
  <c r="A565" i="7"/>
  <c r="G523" i="7"/>
  <c r="E523" i="7" s="1"/>
  <c r="D522" i="7"/>
  <c r="A619" i="7"/>
  <c r="A373" i="7"/>
  <c r="G42" i="7"/>
  <c r="E42" i="7" s="1"/>
  <c r="D406" i="7"/>
  <c r="B73" i="7"/>
  <c r="B237" i="7"/>
  <c r="A432" i="7"/>
  <c r="B468" i="7"/>
  <c r="A216" i="7"/>
  <c r="D300" i="7"/>
  <c r="B328" i="7"/>
  <c r="B153" i="7"/>
  <c r="B428" i="7"/>
  <c r="B450" i="7"/>
  <c r="B85" i="7"/>
  <c r="D365" i="7"/>
  <c r="A25" i="7"/>
  <c r="B321" i="7"/>
  <c r="A319" i="7"/>
  <c r="B224" i="7"/>
  <c r="D263" i="7"/>
  <c r="D554" i="7"/>
  <c r="G532" i="7"/>
  <c r="E532" i="7" s="1"/>
  <c r="B413" i="7"/>
  <c r="A274" i="7"/>
  <c r="A563" i="7"/>
  <c r="B430" i="7"/>
  <c r="D233" i="7"/>
  <c r="G623" i="7"/>
  <c r="E623" i="7" s="1"/>
  <c r="G118" i="7"/>
  <c r="E118" i="7" s="1"/>
  <c r="A507" i="7"/>
  <c r="D470" i="7"/>
  <c r="G511" i="7"/>
  <c r="E511" i="7" s="1"/>
  <c r="B631" i="7"/>
  <c r="B528" i="7"/>
  <c r="D210" i="7"/>
  <c r="G423" i="7"/>
  <c r="E423" i="7" s="1"/>
  <c r="A225" i="7"/>
  <c r="A605" i="7"/>
  <c r="D285" i="7"/>
  <c r="D189" i="7"/>
  <c r="A510" i="7"/>
  <c r="D341" i="7"/>
  <c r="D349" i="7"/>
  <c r="G201" i="7"/>
  <c r="E201" i="7" s="1"/>
  <c r="G120" i="7"/>
  <c r="E120" i="7" s="1"/>
  <c r="G348" i="7"/>
  <c r="E348" i="7" s="1"/>
  <c r="B226" i="7"/>
  <c r="G402" i="7"/>
  <c r="E402" i="7" s="1"/>
  <c r="D623" i="7"/>
  <c r="D421" i="7"/>
  <c r="G488" i="7"/>
  <c r="E488" i="7" s="1"/>
  <c r="B146" i="7"/>
  <c r="B419" i="7"/>
  <c r="G406" i="7"/>
  <c r="E406" i="7" s="1"/>
  <c r="D124" i="7"/>
  <c r="A262" i="7"/>
  <c r="G21" i="7"/>
  <c r="E21" i="7" s="1"/>
  <c r="A426" i="7"/>
  <c r="D389" i="7"/>
  <c r="G559" i="7"/>
  <c r="E559" i="7" s="1"/>
  <c r="D39" i="7"/>
  <c r="G35" i="7"/>
  <c r="E35" i="7" s="1"/>
  <c r="A411" i="7"/>
  <c r="G450" i="7"/>
  <c r="E450" i="7" s="1"/>
  <c r="B624" i="7"/>
  <c r="G38" i="7"/>
  <c r="E38" i="7" s="1"/>
  <c r="D330" i="7"/>
  <c r="A591" i="7"/>
  <c r="D499" i="7"/>
  <c r="A293" i="7"/>
  <c r="B517" i="7"/>
  <c r="G208" i="7"/>
  <c r="E208" i="7" s="1"/>
  <c r="A19" i="7"/>
  <c r="A171" i="7"/>
  <c r="B218" i="7"/>
  <c r="G588" i="7"/>
  <c r="E588" i="7" s="1"/>
  <c r="B453" i="7"/>
  <c r="B320" i="7"/>
  <c r="B171" i="7"/>
  <c r="G159" i="7"/>
  <c r="E159" i="7" s="1"/>
  <c r="D159" i="7"/>
  <c r="G181" i="7"/>
  <c r="E181" i="7" s="1"/>
  <c r="B607" i="7"/>
  <c r="B75" i="7"/>
  <c r="G249" i="7"/>
  <c r="E249" i="7" s="1"/>
  <c r="A476" i="7"/>
  <c r="G161" i="7"/>
  <c r="E161" i="7" s="1"/>
  <c r="G434" i="7"/>
  <c r="E434" i="7" s="1"/>
  <c r="D355" i="7"/>
  <c r="A67" i="7"/>
  <c r="A120" i="7"/>
  <c r="B144" i="7"/>
  <c r="A114" i="7"/>
  <c r="B193" i="7"/>
  <c r="A516" i="7"/>
  <c r="A344" i="7"/>
  <c r="G390" i="7"/>
  <c r="E390" i="7" s="1"/>
  <c r="G175" i="7"/>
  <c r="E175" i="7" s="1"/>
  <c r="G200" i="7"/>
  <c r="E200" i="7" s="1"/>
  <c r="D503" i="7"/>
  <c r="G217" i="7"/>
  <c r="E217" i="7" s="1"/>
  <c r="G270" i="7"/>
  <c r="E270" i="7" s="1"/>
  <c r="G451" i="7"/>
  <c r="E451" i="7" s="1"/>
  <c r="A54" i="7"/>
  <c r="D328" i="7"/>
  <c r="A162" i="7"/>
  <c r="B79" i="7"/>
  <c r="G339" i="7"/>
  <c r="E339" i="7" s="1"/>
  <c r="A95" i="7"/>
  <c r="D83" i="7"/>
  <c r="A437" i="7"/>
  <c r="D224" i="7"/>
  <c r="G170" i="7"/>
  <c r="E170" i="7" s="1"/>
  <c r="A339" i="7"/>
  <c r="D588" i="7"/>
  <c r="A190" i="7"/>
  <c r="B43" i="7"/>
  <c r="B267" i="7"/>
  <c r="B310" i="7"/>
  <c r="B127" i="7"/>
  <c r="G345" i="7"/>
  <c r="E345" i="7" s="1"/>
  <c r="G606" i="7"/>
  <c r="E606" i="7" s="1"/>
  <c r="G368" i="7"/>
  <c r="E368" i="7" s="1"/>
  <c r="B621" i="7"/>
  <c r="D632" i="7"/>
  <c r="B117" i="7"/>
  <c r="G571" i="7"/>
  <c r="E571" i="7" s="1"/>
  <c r="A430" i="7"/>
  <c r="B161" i="7"/>
  <c r="G373" i="7"/>
  <c r="E373" i="7" s="1"/>
  <c r="B331" i="7"/>
  <c r="G69" i="7"/>
  <c r="E69" i="7" s="1"/>
  <c r="B40" i="7"/>
  <c r="B576" i="7"/>
  <c r="B609" i="7"/>
  <c r="A253" i="7"/>
  <c r="B28" i="7"/>
  <c r="B476" i="7"/>
  <c r="A422" i="7"/>
  <c r="A179" i="7"/>
  <c r="G444" i="7"/>
  <c r="E444" i="7" s="1"/>
  <c r="B91" i="7"/>
  <c r="A282" i="7"/>
  <c r="G542" i="7"/>
  <c r="E542" i="7" s="1"/>
  <c r="G314" i="7"/>
  <c r="E314" i="7" s="1"/>
  <c r="B289" i="7"/>
  <c r="A418" i="7"/>
  <c r="A600" i="7"/>
  <c r="G619" i="7"/>
  <c r="E619" i="7" s="1"/>
  <c r="G104" i="7"/>
  <c r="E104" i="7" s="1"/>
  <c r="G335" i="7"/>
  <c r="E335" i="7" s="1"/>
  <c r="D511" i="7"/>
  <c r="D171" i="7"/>
  <c r="A272" i="7"/>
  <c r="A378" i="7"/>
  <c r="D57" i="7"/>
  <c r="G238" i="7"/>
  <c r="E238" i="7" s="1"/>
  <c r="D578" i="7"/>
  <c r="D478" i="7"/>
  <c r="D528" i="7"/>
  <c r="G199" i="7"/>
  <c r="E199" i="7" s="1"/>
  <c r="B446" i="7"/>
  <c r="A574" i="7"/>
  <c r="D592" i="7"/>
  <c r="A260" i="7"/>
  <c r="D360" i="7"/>
  <c r="D146" i="7"/>
  <c r="G631" i="7"/>
  <c r="E631" i="7" s="1"/>
  <c r="B37" i="7"/>
  <c r="D595" i="7"/>
  <c r="D219" i="7"/>
  <c r="A466" i="7"/>
  <c r="D82" i="7"/>
  <c r="G328" i="7"/>
  <c r="E328" i="7" s="1"/>
  <c r="A490" i="7"/>
  <c r="D326" i="7"/>
  <c r="B372" i="7"/>
  <c r="B408" i="7"/>
  <c r="G398" i="7"/>
  <c r="E398" i="7" s="1"/>
  <c r="G517" i="7"/>
  <c r="E517" i="7" s="1"/>
  <c r="D268" i="7"/>
  <c r="D344" i="7"/>
  <c r="D294" i="7"/>
  <c r="D197" i="7"/>
  <c r="D61" i="7"/>
  <c r="D247" i="7"/>
  <c r="D361" i="7"/>
  <c r="D134" i="7"/>
  <c r="G419" i="7"/>
  <c r="E419" i="7" s="1"/>
  <c r="B545" i="7"/>
  <c r="B598" i="7"/>
  <c r="D114" i="7"/>
  <c r="B284" i="7"/>
  <c r="B440" i="7"/>
  <c r="A463" i="7"/>
  <c r="B431" i="7"/>
  <c r="B484" i="7"/>
  <c r="G284" i="7"/>
  <c r="E284" i="7" s="1"/>
  <c r="B577" i="7"/>
  <c r="D162" i="7"/>
  <c r="A473" i="7"/>
  <c r="A224" i="7"/>
  <c r="A264" i="7"/>
  <c r="D28" i="7"/>
  <c r="B56" i="7"/>
  <c r="G424" i="7"/>
  <c r="E424" i="7" s="1"/>
  <c r="B502" i="7"/>
  <c r="A562" i="7"/>
  <c r="D41" i="7"/>
  <c r="B458" i="7"/>
  <c r="D476" i="7"/>
  <c r="G74" i="7"/>
  <c r="E74" i="7" s="1"/>
  <c r="D350" i="7"/>
  <c r="B174" i="7"/>
  <c r="D450" i="7"/>
  <c r="B213" i="7"/>
  <c r="G194" i="7"/>
  <c r="E194" i="7" s="1"/>
  <c r="G448" i="7"/>
  <c r="E448" i="7" s="1"/>
  <c r="D275" i="7"/>
  <c r="B410" i="7"/>
  <c r="G371" i="7"/>
  <c r="E371" i="7" s="1"/>
  <c r="B179" i="7"/>
  <c r="D176" i="7"/>
  <c r="A410" i="7"/>
  <c r="D273" i="7"/>
  <c r="D33" i="7"/>
  <c r="A93" i="7"/>
  <c r="D144" i="7"/>
  <c r="A191" i="7"/>
  <c r="B138" i="7"/>
  <c r="A72" i="7"/>
  <c r="D279" i="7"/>
  <c r="B461" i="7"/>
  <c r="A541" i="7"/>
  <c r="D109" i="7"/>
  <c r="D252" i="7"/>
  <c r="A143" i="7"/>
  <c r="G535" i="7"/>
  <c r="E535" i="7" s="1"/>
  <c r="D498" i="7"/>
  <c r="G150" i="7"/>
  <c r="E150" i="7" s="1"/>
  <c r="A594" i="7"/>
  <c r="A288" i="7"/>
  <c r="B460" i="7"/>
  <c r="B383" i="7"/>
  <c r="D364" i="7"/>
  <c r="A453" i="7"/>
  <c r="D589" i="7"/>
  <c r="A421" i="7"/>
  <c r="A439" i="7"/>
  <c r="D463" i="7"/>
  <c r="D222" i="7"/>
  <c r="B552" i="7"/>
  <c r="B497" i="7"/>
  <c r="B362" i="7"/>
  <c r="D630" i="7"/>
  <c r="G362" i="7"/>
  <c r="E362" i="7" s="1"/>
  <c r="B36" i="7"/>
  <c r="A230" i="7"/>
  <c r="A450" i="7"/>
  <c r="A165" i="7"/>
  <c r="B368" i="7"/>
  <c r="A116" i="7"/>
  <c r="G45" i="7"/>
  <c r="E45" i="7" s="1"/>
  <c r="G18" i="7"/>
  <c r="E18" i="7" s="1"/>
  <c r="G205" i="7"/>
  <c r="E205" i="7" s="1"/>
  <c r="G304" i="7"/>
  <c r="E304" i="7" s="1"/>
  <c r="D200" i="7"/>
  <c r="G473" i="7"/>
  <c r="E473" i="7" s="1"/>
  <c r="B145" i="7"/>
  <c r="G260" i="7"/>
  <c r="E260" i="7" s="1"/>
  <c r="B366" i="7"/>
  <c r="D454" i="7"/>
  <c r="G325" i="7"/>
  <c r="E325" i="7" s="1"/>
  <c r="B404" i="7"/>
  <c r="G172" i="7"/>
  <c r="E172" i="7" s="1"/>
  <c r="D251" i="7"/>
  <c r="B579" i="7"/>
  <c r="A296" i="7"/>
  <c r="A43" i="7"/>
  <c r="D148" i="7"/>
  <c r="D382" i="7"/>
  <c r="A68" i="7"/>
  <c r="A539" i="7"/>
  <c r="G168" i="7"/>
  <c r="E168" i="7" s="1"/>
  <c r="A477" i="7"/>
  <c r="G440" i="7"/>
  <c r="E440" i="7" s="1"/>
  <c r="D342" i="7"/>
  <c r="A414" i="7"/>
  <c r="G392" i="7"/>
  <c r="E392" i="7" s="1"/>
  <c r="A624" i="7"/>
  <c r="D542" i="7"/>
  <c r="B532" i="7"/>
  <c r="A305" i="7"/>
  <c r="D217" i="7"/>
  <c r="G19" i="7"/>
  <c r="E19" i="7" s="1"/>
  <c r="G36" i="7"/>
  <c r="E36" i="7" s="1"/>
  <c r="B324" i="7"/>
  <c r="G147" i="7"/>
  <c r="E147" i="7" s="1"/>
  <c r="G468" i="7"/>
  <c r="E468" i="7" s="1"/>
  <c r="G40" i="7"/>
  <c r="E40" i="7" s="1"/>
  <c r="B415" i="7"/>
  <c r="G58" i="7"/>
  <c r="E58" i="7" s="1"/>
  <c r="A551" i="7"/>
  <c r="G41" i="7"/>
  <c r="E41" i="7" s="1"/>
  <c r="B266" i="7"/>
  <c r="D158" i="7"/>
  <c r="A612" i="7"/>
  <c r="G188" i="7"/>
  <c r="E188" i="7" s="1"/>
  <c r="B387" i="7"/>
  <c r="G578" i="7"/>
  <c r="E578" i="7" s="1"/>
  <c r="A76" i="7"/>
  <c r="G507" i="7"/>
  <c r="E507" i="7" s="1"/>
  <c r="D177" i="7"/>
  <c r="A480" i="7"/>
  <c r="D20" i="7"/>
  <c r="G286" i="7"/>
  <c r="E286" i="7" s="1"/>
  <c r="B194" i="7"/>
  <c r="G198" i="7"/>
  <c r="E198" i="7" s="1"/>
  <c r="D532" i="7"/>
  <c r="A228" i="7"/>
  <c r="G341" i="7"/>
  <c r="E341" i="7" s="1"/>
  <c r="A276" i="7"/>
  <c r="G361" i="7"/>
  <c r="E361" i="7" s="1"/>
  <c r="A589" i="7"/>
  <c r="B373" i="7"/>
  <c r="D420" i="7"/>
  <c r="A412" i="7"/>
  <c r="B152" i="7"/>
  <c r="B200" i="7"/>
  <c r="G139" i="7"/>
  <c r="E139" i="7" s="1"/>
  <c r="A555" i="7"/>
  <c r="D68" i="7"/>
  <c r="A370" i="7"/>
  <c r="A427" i="7"/>
  <c r="A186" i="7"/>
  <c r="D183" i="7"/>
  <c r="G91" i="7"/>
  <c r="E91" i="7" s="1"/>
  <c r="G615" i="7"/>
  <c r="E615" i="7" s="1"/>
  <c r="A406" i="7"/>
  <c r="D599" i="7"/>
  <c r="A16" i="7"/>
  <c r="B363" i="7"/>
  <c r="G141" i="7"/>
  <c r="E141" i="7" s="1"/>
  <c r="B45" i="7"/>
  <c r="B356" i="7"/>
  <c r="G290" i="7"/>
  <c r="E290" i="7" s="1"/>
  <c r="G145" i="7"/>
  <c r="E145" i="7" s="1"/>
  <c r="A182" i="7"/>
  <c r="A205" i="7"/>
  <c r="A610" i="7"/>
  <c r="D288" i="7"/>
  <c r="A599" i="7"/>
  <c r="B434" i="7"/>
  <c r="G207" i="7"/>
  <c r="E207" i="7" s="1"/>
  <c r="B158" i="7"/>
  <c r="D335" i="7"/>
  <c r="G539" i="7"/>
  <c r="E539" i="7" s="1"/>
  <c r="B338" i="7"/>
  <c r="D113" i="7"/>
  <c r="G308" i="7"/>
  <c r="E308" i="7" s="1"/>
  <c r="A445" i="7"/>
  <c r="D132" i="7"/>
  <c r="B525" i="7"/>
  <c r="A325" i="7"/>
  <c r="G394" i="7"/>
  <c r="E394" i="7" s="1"/>
  <c r="G318" i="7"/>
  <c r="E318" i="7" s="1"/>
  <c r="B300" i="7"/>
  <c r="D562" i="7"/>
  <c r="B332" i="7"/>
  <c r="B518" i="7"/>
  <c r="D405" i="7"/>
  <c r="D256" i="7"/>
  <c r="G487" i="7"/>
  <c r="E487" i="7" s="1"/>
  <c r="A553" i="7"/>
  <c r="B233" i="7"/>
  <c r="G225" i="7"/>
  <c r="E225" i="7" s="1"/>
  <c r="B371" i="7"/>
  <c r="G81" i="7"/>
  <c r="E81" i="7" s="1"/>
  <c r="D369" i="7"/>
  <c r="D267" i="7"/>
  <c r="A73" i="7"/>
  <c r="D466" i="7"/>
  <c r="A598" i="7"/>
  <c r="G28" i="7"/>
  <c r="E28" i="7" s="1"/>
  <c r="D540" i="7"/>
  <c r="G356" i="7"/>
  <c r="E356" i="7" s="1"/>
  <c r="A352" i="7"/>
  <c r="B560" i="7"/>
  <c r="A199" i="7"/>
  <c r="G99" i="7"/>
  <c r="E99" i="7" s="1"/>
  <c r="A152" i="7"/>
  <c r="G77" i="7"/>
  <c r="E77" i="7" s="1"/>
  <c r="B341" i="7"/>
  <c r="A449" i="7"/>
  <c r="G524" i="7"/>
  <c r="E524" i="7" s="1"/>
  <c r="G458" i="7"/>
  <c r="E458" i="7" s="1"/>
  <c r="G329" i="7"/>
  <c r="E329" i="7" s="1"/>
  <c r="A483" i="7"/>
  <c r="G192" i="7"/>
  <c r="E192" i="7" s="1"/>
  <c r="B441" i="7"/>
  <c r="B521" i="7"/>
  <c r="A559" i="7"/>
  <c r="B141" i="7"/>
  <c r="D591" i="7"/>
  <c r="B202" i="7"/>
  <c r="G484" i="7"/>
  <c r="E484" i="7" s="1"/>
  <c r="D598" i="7"/>
  <c r="G431" i="7"/>
  <c r="E431" i="7" s="1"/>
  <c r="G32" i="7"/>
  <c r="E32" i="7" s="1"/>
  <c r="G241" i="7"/>
  <c r="E241" i="7" s="1"/>
  <c r="A34" i="7"/>
  <c r="B398" i="7"/>
  <c r="B58" i="7"/>
  <c r="A596" i="7"/>
  <c r="D282" i="7"/>
  <c r="B115" i="7"/>
  <c r="B395" i="7"/>
  <c r="A486" i="7"/>
  <c r="A130" i="7"/>
  <c r="A220" i="7"/>
  <c r="G331" i="7"/>
  <c r="E331" i="7" s="1"/>
  <c r="G216" i="7"/>
  <c r="E216" i="7" s="1"/>
  <c r="B249" i="7"/>
  <c r="B134" i="7"/>
  <c r="B435" i="7"/>
  <c r="G173" i="7"/>
  <c r="E173" i="7" s="1"/>
  <c r="A233" i="7"/>
  <c r="A383" i="7"/>
  <c r="A44" i="7"/>
  <c r="G630" i="7"/>
  <c r="E630" i="7" s="1"/>
  <c r="D437" i="7"/>
  <c r="A356" i="7"/>
  <c r="B500" i="7"/>
  <c r="D566" i="7"/>
  <c r="D347" i="7"/>
  <c r="B555" i="7"/>
  <c r="D331" i="7"/>
  <c r="B176" i="7"/>
  <c r="A227" i="7"/>
  <c r="A353" i="7"/>
  <c r="G510" i="7"/>
  <c r="E510" i="7" s="1"/>
  <c r="G457" i="7"/>
  <c r="E457" i="7" s="1"/>
  <c r="G553" i="7"/>
  <c r="E553" i="7" s="1"/>
  <c r="G369" i="7"/>
  <c r="E369" i="7" s="1"/>
  <c r="B268" i="7"/>
  <c r="D153" i="7"/>
  <c r="G274" i="7"/>
  <c r="E274" i="7" s="1"/>
  <c r="G598" i="7"/>
  <c r="E598" i="7" s="1"/>
  <c r="D207" i="7"/>
  <c r="D45" i="7"/>
  <c r="B587" i="7"/>
  <c r="B68" i="7"/>
  <c r="D614" i="7"/>
  <c r="A245" i="7"/>
  <c r="A57" i="7"/>
  <c r="B522" i="7"/>
  <c r="D351" i="7"/>
  <c r="D69" i="7"/>
  <c r="G528" i="7"/>
  <c r="E528" i="7" s="1"/>
  <c r="G233" i="7"/>
  <c r="E233" i="7" s="1"/>
  <c r="D88" i="7"/>
  <c r="A202" i="7"/>
  <c r="D104" i="7"/>
  <c r="D249" i="7"/>
  <c r="G449" i="7"/>
  <c r="E449" i="7" s="1"/>
  <c r="B616" i="7"/>
  <c r="A53" i="7"/>
  <c r="D16" i="7"/>
  <c r="B178" i="7"/>
  <c r="A295" i="7"/>
  <c r="B99" i="7"/>
  <c r="D384" i="7"/>
  <c r="A118" i="7"/>
  <c r="A98" i="7"/>
  <c r="G333" i="7"/>
  <c r="E333" i="7" s="1"/>
  <c r="D563" i="7"/>
  <c r="A616" i="7"/>
  <c r="B257" i="7"/>
  <c r="B472" i="7"/>
  <c r="A45" i="7"/>
  <c r="G84" i="7"/>
  <c r="E84" i="7" s="1"/>
  <c r="D547" i="7"/>
  <c r="D481" i="7"/>
  <c r="G246" i="7"/>
  <c r="E246" i="7" s="1"/>
  <c r="A100" i="7"/>
  <c r="A628" i="7"/>
  <c r="D447" i="7"/>
  <c r="B326" i="7"/>
  <c r="G53" i="7"/>
  <c r="E53" i="7" s="1"/>
  <c r="A478" i="7"/>
  <c r="A183" i="7"/>
  <c r="D154" i="7"/>
  <c r="A479" i="7"/>
  <c r="A389" i="7"/>
  <c r="G268" i="7"/>
  <c r="E268" i="7" s="1"/>
  <c r="B19" i="7"/>
  <c r="D607" i="7"/>
  <c r="A404" i="7"/>
  <c r="B121" i="7"/>
  <c r="B382" i="7"/>
  <c r="D94" i="7"/>
  <c r="B107" i="7"/>
  <c r="B128" i="7"/>
  <c r="G164" i="7"/>
  <c r="E164" i="7" s="1"/>
  <c r="A392" i="7"/>
  <c r="B113" i="7"/>
  <c r="G471" i="7"/>
  <c r="E471" i="7" s="1"/>
  <c r="A428" i="7"/>
  <c r="B595" i="7"/>
  <c r="G575" i="7"/>
  <c r="E575" i="7" s="1"/>
  <c r="D590" i="7"/>
  <c r="B111" i="7"/>
  <c r="D621" i="7"/>
  <c r="A249" i="7"/>
  <c r="D363" i="7"/>
  <c r="A240" i="7"/>
  <c r="A302" i="7"/>
  <c r="A203" i="7"/>
  <c r="B485" i="7"/>
  <c r="G203" i="7"/>
  <c r="E203" i="7" s="1"/>
  <c r="A159" i="7"/>
  <c r="B250" i="7"/>
  <c r="A345" i="7"/>
  <c r="G301" i="7"/>
  <c r="E301" i="7" s="1"/>
  <c r="G103" i="7"/>
  <c r="E103" i="7" s="1"/>
  <c r="D388" i="7"/>
  <c r="D573" i="7"/>
  <c r="B551" i="7"/>
  <c r="G106" i="7"/>
  <c r="E106" i="7" s="1"/>
  <c r="A496" i="7"/>
  <c r="G67" i="7"/>
  <c r="E67" i="7" s="1"/>
  <c r="A211" i="7"/>
  <c r="B482" i="7"/>
  <c r="G322" i="7"/>
  <c r="E322" i="7" s="1"/>
  <c r="B282" i="7"/>
  <c r="B562" i="7"/>
  <c r="D432" i="7"/>
  <c r="G226" i="7"/>
  <c r="E226" i="7" s="1"/>
  <c r="B164" i="7"/>
  <c r="G73" i="7"/>
  <c r="E73" i="7" s="1"/>
  <c r="A584" i="7"/>
  <c r="B575" i="7"/>
  <c r="B612" i="7"/>
  <c r="G254" i="7"/>
  <c r="E254" i="7" s="1"/>
  <c r="A221" i="7"/>
  <c r="B261" i="7"/>
  <c r="B33" i="7"/>
  <c r="A438" i="7"/>
  <c r="G87" i="7"/>
  <c r="E87" i="7" s="1"/>
  <c r="G544" i="7"/>
  <c r="E544" i="7" s="1"/>
  <c r="D239" i="7"/>
  <c r="G272" i="7"/>
  <c r="E272" i="7" s="1"/>
  <c r="D370" i="7"/>
  <c r="D280" i="7"/>
  <c r="A444" i="7"/>
  <c r="D459" i="7"/>
  <c r="G579" i="7"/>
  <c r="E579" i="7" s="1"/>
  <c r="A255" i="7"/>
  <c r="G531" i="7"/>
  <c r="E531" i="7" s="1"/>
  <c r="A277" i="7"/>
  <c r="D526" i="7"/>
  <c r="A448" i="7"/>
  <c r="G497" i="7"/>
  <c r="E497" i="7" s="1"/>
  <c r="D59" i="7"/>
  <c r="G428" i="7"/>
  <c r="E428" i="7" s="1"/>
  <c r="G327" i="7"/>
  <c r="E327" i="7" s="1"/>
  <c r="G466" i="7"/>
  <c r="E466" i="7" s="1"/>
  <c r="B293" i="7"/>
  <c r="D467" i="7"/>
  <c r="D456" i="7"/>
  <c r="D150" i="7"/>
  <c r="G248" i="7"/>
  <c r="E248" i="7" s="1"/>
  <c r="B409" i="7"/>
  <c r="G247" i="7"/>
  <c r="E247" i="7" s="1"/>
  <c r="G569" i="7"/>
  <c r="E569" i="7" s="1"/>
  <c r="B354" i="7"/>
  <c r="G505" i="7"/>
  <c r="E505" i="7" s="1"/>
  <c r="B558" i="7"/>
  <c r="G252" i="7"/>
  <c r="E252" i="7" s="1"/>
  <c r="G258" i="7"/>
  <c r="E258" i="7" s="1"/>
  <c r="D289" i="7"/>
  <c r="B529" i="7"/>
  <c r="A632" i="7"/>
  <c r="B346" i="7"/>
  <c r="B389" i="7"/>
  <c r="G302" i="7"/>
  <c r="E302" i="7" s="1"/>
  <c r="A268" i="7"/>
  <c r="G279" i="7"/>
  <c r="E279" i="7" s="1"/>
  <c r="D214" i="7"/>
  <c r="B569" i="7"/>
  <c r="D316" i="7"/>
  <c r="G597" i="7"/>
  <c r="E597" i="7" s="1"/>
  <c r="B279" i="7"/>
  <c r="A289" i="7"/>
  <c r="B122" i="7"/>
  <c r="G298" i="7"/>
  <c r="E298" i="7" s="1"/>
  <c r="B535" i="7"/>
  <c r="G224" i="7"/>
  <c r="E224" i="7" s="1"/>
  <c r="G415" i="7"/>
  <c r="E415" i="7" s="1"/>
  <c r="G435" i="7"/>
  <c r="E435" i="7" s="1"/>
  <c r="B526" i="7"/>
  <c r="A235" i="7"/>
  <c r="B39" i="7"/>
  <c r="D17" i="7"/>
  <c r="B110" i="7"/>
  <c r="D393" i="7"/>
  <c r="G85" i="7"/>
  <c r="E85" i="7" s="1"/>
  <c r="A84" i="7"/>
  <c r="G180" i="7"/>
  <c r="E180" i="7" s="1"/>
  <c r="D91" i="7"/>
  <c r="B274" i="7"/>
  <c r="G474" i="7"/>
  <c r="E474" i="7" s="1"/>
  <c r="B69" i="7"/>
  <c r="G599" i="7"/>
  <c r="E599" i="7" s="1"/>
  <c r="D76" i="7"/>
  <c r="A331" i="7"/>
  <c r="A433" i="7"/>
  <c r="D515" i="7"/>
  <c r="B306" i="7"/>
  <c r="D318" i="7"/>
  <c r="B211" i="7"/>
  <c r="G556" i="7"/>
  <c r="E556" i="7" s="1"/>
  <c r="G68" i="7"/>
  <c r="E68" i="7" s="1"/>
  <c r="G29" i="7"/>
  <c r="E29" i="7" s="1"/>
  <c r="B495" i="7"/>
  <c r="D74" i="7"/>
  <c r="D495" i="7"/>
  <c r="A200" i="7"/>
  <c r="A386" i="7"/>
  <c r="A588" i="7"/>
  <c r="D442" i="7"/>
  <c r="G555" i="7"/>
  <c r="E555" i="7" s="1"/>
  <c r="G149" i="7"/>
  <c r="E149" i="7" s="1"/>
  <c r="B291" i="7"/>
  <c r="B189" i="7"/>
  <c r="B246" i="7"/>
  <c r="G321" i="7"/>
  <c r="E321" i="7" s="1"/>
  <c r="B162" i="7"/>
  <c r="G72" i="7"/>
  <c r="E72" i="7" s="1"/>
  <c r="D433" i="7"/>
  <c r="A110" i="7"/>
  <c r="G317" i="7"/>
  <c r="E317" i="7" s="1"/>
  <c r="A550" i="7"/>
  <c r="D199" i="7"/>
  <c r="A461" i="7"/>
  <c r="D615" i="7"/>
  <c r="A336" i="7"/>
  <c r="G543" i="7"/>
  <c r="E543" i="7" s="1"/>
  <c r="D185" i="7"/>
  <c r="D600" i="7"/>
  <c r="D507" i="7"/>
  <c r="G550" i="7"/>
  <c r="E550" i="7" s="1"/>
  <c r="B311" i="7"/>
  <c r="G358" i="7"/>
  <c r="E358" i="7" s="1"/>
  <c r="B602" i="7"/>
  <c r="G519" i="7"/>
  <c r="E519" i="7" s="1"/>
  <c r="G126" i="7"/>
  <c r="E126" i="7" s="1"/>
  <c r="B222" i="7"/>
  <c r="A263" i="7"/>
  <c r="B262" i="7"/>
  <c r="A269" i="7"/>
  <c r="A469" i="7"/>
  <c r="G64" i="7"/>
  <c r="G525" i="7"/>
  <c r="E525" i="7" s="1"/>
  <c r="D138" i="7"/>
  <c r="B557" i="7"/>
  <c r="B349" i="7"/>
  <c r="B578" i="7"/>
  <c r="D238" i="7"/>
  <c r="B170" i="7"/>
  <c r="A481" i="7"/>
  <c r="B245" i="7"/>
  <c r="A52" i="7"/>
  <c r="D81" i="7"/>
  <c r="A75" i="7"/>
  <c r="G385" i="7"/>
  <c r="E385" i="7" s="1"/>
  <c r="D272" i="7"/>
  <c r="D400" i="7"/>
  <c r="A407" i="7"/>
  <c r="B437" i="7"/>
  <c r="D523" i="7"/>
  <c r="D509" i="7"/>
  <c r="D133" i="7"/>
  <c r="B204" i="7"/>
  <c r="A184" i="7"/>
  <c r="G513" i="7"/>
  <c r="E513" i="7" s="1"/>
  <c r="B620" i="7"/>
  <c r="G380" i="7"/>
  <c r="E380" i="7" s="1"/>
  <c r="D412" i="7"/>
  <c r="G257" i="7"/>
  <c r="E257" i="7" s="1"/>
  <c r="D97" i="7"/>
  <c r="G263" i="7"/>
  <c r="E263" i="7" s="1"/>
  <c r="G209" i="7"/>
  <c r="E209" i="7" s="1"/>
  <c r="B148" i="7"/>
  <c r="D583" i="7"/>
  <c r="B350" i="7"/>
  <c r="D320" i="7"/>
  <c r="D430" i="7"/>
  <c r="D403" i="7"/>
  <c r="A399" i="7"/>
  <c r="D545" i="7"/>
  <c r="A214" i="7"/>
  <c r="A154" i="7"/>
  <c r="G31" i="7"/>
  <c r="E31" i="7" s="1"/>
  <c r="D253" i="7"/>
  <c r="A531" i="7"/>
  <c r="D96" i="7"/>
  <c r="D348" i="7"/>
  <c r="B618" i="7"/>
  <c r="D565" i="7"/>
  <c r="D117" i="7"/>
  <c r="G464" i="7"/>
  <c r="E464" i="7" s="1"/>
  <c r="B88" i="7"/>
  <c r="A306" i="7"/>
  <c r="G108" i="7"/>
  <c r="E108" i="7" s="1"/>
  <c r="A590" i="7"/>
  <c r="D216" i="7"/>
  <c r="G297" i="7"/>
  <c r="E297" i="7" s="1"/>
  <c r="A487" i="7"/>
  <c r="A104" i="7"/>
  <c r="A87" i="7"/>
  <c r="A436" i="7"/>
  <c r="B499" i="7"/>
  <c r="B352" i="7"/>
  <c r="B608" i="7"/>
  <c r="A533" i="7"/>
  <c r="A297" i="7"/>
  <c r="A290" i="7"/>
  <c r="G545" i="7"/>
  <c r="E545" i="7" s="1"/>
  <c r="A81" i="7"/>
  <c r="B286" i="7"/>
  <c r="A22" i="7"/>
  <c r="A201" i="7"/>
  <c r="G275" i="7"/>
  <c r="E275" i="7" s="1"/>
  <c r="D453" i="7"/>
  <c r="G355" i="7"/>
  <c r="E355" i="7" s="1"/>
  <c r="A109" i="7"/>
  <c r="B316" i="7"/>
  <c r="A630" i="7"/>
  <c r="D601" i="7"/>
  <c r="B265" i="7"/>
  <c r="A149" i="7"/>
  <c r="B480" i="7"/>
  <c r="A546" i="7"/>
  <c r="B228" i="7"/>
  <c r="D626" i="7"/>
  <c r="B139" i="7"/>
  <c r="G596" i="7"/>
  <c r="E596" i="7" s="1"/>
  <c r="A150" i="7"/>
  <c r="G326" i="7"/>
  <c r="E326" i="7" s="1"/>
  <c r="B192" i="7"/>
  <c r="B181" i="7"/>
  <c r="B53" i="7"/>
  <c r="D149" i="7"/>
  <c r="G503" i="7"/>
  <c r="E503" i="7" s="1"/>
  <c r="B184" i="7"/>
  <c r="A603" i="7"/>
  <c r="B78" i="7"/>
  <c r="B427" i="7"/>
  <c r="B32" i="7"/>
  <c r="D160" i="7"/>
  <c r="A402" i="7"/>
  <c r="D301" i="7"/>
  <c r="A285" i="7"/>
  <c r="B605" i="7"/>
  <c r="B611" i="7"/>
  <c r="B187" i="7"/>
  <c r="A416" i="7"/>
  <c r="D324" i="7"/>
  <c r="D23" i="7"/>
  <c r="D624" i="7"/>
  <c r="A511" i="7"/>
  <c r="G626" i="7"/>
  <c r="E626" i="7" s="1"/>
  <c r="A544" i="7"/>
  <c r="D579" i="7"/>
  <c r="G498" i="7"/>
  <c r="E498" i="7" s="1"/>
  <c r="A236" i="7"/>
  <c r="D278" i="7"/>
  <c r="A459" i="7"/>
  <c r="A558" i="7"/>
  <c r="G116" i="7"/>
  <c r="E116" i="7" s="1"/>
  <c r="B336" i="7"/>
  <c r="B119" i="7"/>
  <c r="G206" i="7"/>
  <c r="E206" i="7" s="1"/>
  <c r="A180" i="7"/>
  <c r="B393" i="7"/>
  <c r="D378" i="7"/>
  <c r="B84" i="7"/>
  <c r="D560" i="7"/>
  <c r="A247" i="7"/>
  <c r="A456" i="7"/>
  <c r="A350" i="7"/>
  <c r="B124" i="7"/>
  <c r="G469" i="7"/>
  <c r="E469" i="7" s="1"/>
  <c r="A633" i="7"/>
  <c r="A564" i="7"/>
  <c r="B481" i="7"/>
  <c r="G563" i="7"/>
  <c r="E563" i="7" s="1"/>
  <c r="A597" i="7"/>
  <c r="D250" i="7"/>
  <c r="A572" i="7"/>
  <c r="A222" i="7"/>
  <c r="D550" i="7"/>
  <c r="G218" i="7"/>
  <c r="E218" i="7" s="1"/>
  <c r="B547" i="7"/>
  <c r="D58" i="7"/>
  <c r="D368" i="7"/>
  <c r="B292" i="7"/>
  <c r="G561" i="7"/>
  <c r="E561" i="7" s="1"/>
  <c r="D80" i="7"/>
  <c r="B288" i="7"/>
  <c r="G351" i="7"/>
  <c r="E351" i="7" s="1"/>
  <c r="A119" i="7"/>
  <c r="D606" i="7"/>
  <c r="D86" i="7"/>
  <c r="B574" i="7"/>
  <c r="B360" i="7"/>
  <c r="A467" i="7"/>
  <c r="G349" i="7"/>
  <c r="E349" i="7" s="1"/>
  <c r="D78" i="7"/>
  <c r="G193" i="7"/>
  <c r="E193" i="7" s="1"/>
  <c r="G210" i="7"/>
  <c r="E210" i="7" s="1"/>
  <c r="B61" i="7"/>
  <c r="D314" i="7"/>
  <c r="D99" i="7"/>
  <c r="B191" i="7"/>
  <c r="G500" i="7"/>
  <c r="E500" i="7" s="1"/>
  <c r="G121" i="7"/>
  <c r="E121" i="7" s="1"/>
  <c r="G189" i="7"/>
  <c r="E189" i="7" s="1"/>
  <c r="B411" i="7"/>
  <c r="A300" i="7"/>
  <c r="B339" i="7"/>
  <c r="G541" i="7"/>
  <c r="E541" i="7" s="1"/>
  <c r="B239" i="7"/>
  <c r="B77" i="7"/>
  <c r="D264" i="7"/>
  <c r="A593" i="7"/>
  <c r="G234" i="7"/>
  <c r="E234" i="7" s="1"/>
  <c r="D508" i="7"/>
  <c r="D558" i="7"/>
  <c r="G16" i="7"/>
  <c r="E16" i="7" s="1"/>
  <c r="D258" i="7"/>
  <c r="G344" i="7"/>
  <c r="E344" i="7" s="1"/>
  <c r="B491" i="7"/>
  <c r="D415" i="7"/>
  <c r="G105" i="7"/>
  <c r="E105" i="7" s="1"/>
  <c r="B285" i="7"/>
  <c r="G186" i="7"/>
  <c r="E186" i="7" s="1"/>
  <c r="B457" i="7"/>
  <c r="G236" i="7"/>
  <c r="E236" i="7" s="1"/>
  <c r="A497" i="7"/>
  <c r="A617" i="7"/>
  <c r="D401" i="7"/>
  <c r="G230" i="7"/>
  <c r="E230" i="7" s="1"/>
  <c r="D204" i="7"/>
  <c r="D22" i="7"/>
  <c r="B543" i="7"/>
  <c r="A361" i="7"/>
  <c r="B416" i="7"/>
  <c r="A581" i="7"/>
  <c r="D87" i="7"/>
  <c r="B247" i="7"/>
  <c r="A403" i="7"/>
  <c r="A271" i="7"/>
  <c r="B424" i="7"/>
  <c r="A626" i="7"/>
  <c r="G374" i="7"/>
  <c r="E374" i="7" s="1"/>
  <c r="G88" i="7"/>
  <c r="E88" i="7" s="1"/>
  <c r="D603" i="7"/>
  <c r="D308" i="7"/>
  <c r="G312" i="7"/>
  <c r="E312" i="7" s="1"/>
  <c r="A80" i="7"/>
  <c r="G190" i="7"/>
  <c r="E190" i="7" s="1"/>
  <c r="B195" i="7"/>
  <c r="D115" i="7"/>
  <c r="D51" i="7"/>
  <c r="A349" i="7"/>
  <c r="B570" i="7"/>
  <c r="G494" i="7"/>
  <c r="E494" i="7" s="1"/>
  <c r="D580" i="7"/>
  <c r="A503" i="7"/>
  <c r="D448" i="7"/>
  <c r="A131" i="7"/>
  <c r="D79" i="7"/>
  <c r="D391" i="7"/>
  <c r="B64" i="7"/>
  <c r="B57" i="7"/>
  <c r="G63" i="7"/>
  <c r="E63" i="7" s="1"/>
  <c r="D77" i="7"/>
  <c r="A384" i="7"/>
  <c r="D625" i="7"/>
  <c r="D202" i="7"/>
  <c r="A342" i="7"/>
  <c r="B232" i="7"/>
  <c r="B186" i="7"/>
  <c r="G228" i="7"/>
  <c r="E228" i="7" s="1"/>
  <c r="A609" i="7"/>
  <c r="D489" i="7"/>
  <c r="B62" i="7"/>
  <c r="A515" i="7"/>
  <c r="A197" i="7"/>
  <c r="A491" i="7"/>
  <c r="D574" i="7"/>
  <c r="A91" i="7"/>
  <c r="B240" i="7"/>
  <c r="A489" i="7"/>
  <c r="G223" i="7"/>
  <c r="E223" i="7" s="1"/>
  <c r="B345" i="7"/>
  <c r="B479" i="7"/>
  <c r="B254" i="7"/>
  <c r="D287" i="7"/>
  <c r="A542" i="7"/>
  <c r="G346" i="7"/>
  <c r="E346" i="7" s="1"/>
  <c r="G506" i="7"/>
  <c r="E506" i="7" s="1"/>
  <c r="D537" i="7"/>
  <c r="A519" i="7"/>
  <c r="D501" i="7"/>
  <c r="G403" i="7"/>
  <c r="E403" i="7" s="1"/>
  <c r="G244" i="7"/>
  <c r="E244" i="7" s="1"/>
  <c r="D356" i="7"/>
  <c r="G364" i="7"/>
  <c r="E364" i="7" s="1"/>
  <c r="D259" i="7"/>
  <c r="A46" i="7"/>
  <c r="D175" i="7"/>
  <c r="G622" i="7"/>
  <c r="E622" i="7" s="1"/>
  <c r="A316" i="7"/>
  <c r="B76" i="7"/>
  <c r="B129" i="7"/>
  <c r="G289" i="7"/>
  <c r="E289" i="7" s="1"/>
  <c r="A492" i="7"/>
  <c r="G582" i="7"/>
  <c r="E582" i="7" s="1"/>
  <c r="D327" i="7"/>
  <c r="D67" i="7"/>
  <c r="A334" i="7"/>
  <c r="B83" i="7"/>
  <c r="B223" i="7"/>
  <c r="D309" i="7"/>
  <c r="D245" i="7"/>
  <c r="A308" i="7"/>
  <c r="G37" i="7"/>
  <c r="E37" i="7" s="1"/>
  <c r="B296" i="7"/>
  <c r="D184" i="7"/>
  <c r="D486" i="7"/>
  <c r="B98" i="7"/>
  <c r="B622" i="7"/>
  <c r="G625" i="7"/>
  <c r="E625" i="7" s="1"/>
  <c r="A611" i="7"/>
  <c r="D211" i="7"/>
  <c r="G195" i="7"/>
  <c r="E195" i="7" s="1"/>
  <c r="D332" i="7"/>
  <c r="G113" i="7"/>
  <c r="E113" i="7" s="1"/>
  <c r="D346" i="7"/>
  <c r="D283" i="7"/>
  <c r="D374" i="7"/>
  <c r="G426" i="7"/>
  <c r="E426" i="7" s="1"/>
  <c r="G552" i="7"/>
  <c r="E552" i="7" s="1"/>
  <c r="B273" i="7"/>
  <c r="A278" i="7"/>
  <c r="A147" i="7"/>
  <c r="G486" i="7"/>
  <c r="E486" i="7" s="1"/>
  <c r="A105" i="7"/>
  <c r="G614" i="7"/>
  <c r="E614" i="7" s="1"/>
  <c r="B52" i="7"/>
  <c r="B259" i="7"/>
  <c r="B136" i="7"/>
  <c r="G133" i="7"/>
  <c r="E133" i="7" s="1"/>
  <c r="A286" i="7"/>
  <c r="B632" i="7"/>
  <c r="G131" i="7"/>
  <c r="E131" i="7" s="1"/>
  <c r="A442" i="7"/>
  <c r="B390" i="7"/>
  <c r="G324" i="7"/>
  <c r="E324" i="7" s="1"/>
  <c r="G489" i="7"/>
  <c r="E489" i="7" s="1"/>
  <c r="G418" i="7"/>
  <c r="E418" i="7" s="1"/>
  <c r="A217" i="7"/>
  <c r="D553" i="7"/>
  <c r="D458" i="7"/>
  <c r="B351" i="7"/>
  <c r="D479" i="7"/>
  <c r="D575" i="7"/>
  <c r="D506" i="7"/>
  <c r="G360" i="7"/>
  <c r="E360" i="7" s="1"/>
  <c r="G570" i="7"/>
  <c r="E570" i="7" s="1"/>
  <c r="B421" i="7"/>
  <c r="A31" i="7"/>
  <c r="G412" i="7"/>
  <c r="E412" i="7" s="1"/>
  <c r="G96" i="7"/>
  <c r="E96" i="7" s="1"/>
  <c r="B367" i="7"/>
  <c r="D602" i="7"/>
  <c r="B493" i="7"/>
  <c r="B563" i="7"/>
  <c r="A387" i="7"/>
  <c r="A139" i="7"/>
  <c r="A620" i="7"/>
  <c r="A244" i="7"/>
  <c r="D212" i="7"/>
  <c r="B67" i="7"/>
  <c r="B46" i="7"/>
  <c r="A470" i="7"/>
  <c r="A464" i="7"/>
  <c r="G567" i="7"/>
  <c r="E567" i="7" s="1"/>
  <c r="D460" i="7"/>
  <c r="D434" i="7"/>
  <c r="D386" i="7"/>
  <c r="A379" i="7"/>
  <c r="G191" i="7"/>
  <c r="E191" i="7" s="1"/>
  <c r="A181" i="7"/>
  <c r="B591" i="7"/>
  <c r="G323" i="7"/>
  <c r="E323" i="7" s="1"/>
  <c r="D584" i="7"/>
  <c r="D277" i="7"/>
  <c r="A530" i="7"/>
  <c r="D255" i="7"/>
  <c r="G212" i="7"/>
  <c r="E212" i="7" s="1"/>
  <c r="B596" i="7"/>
  <c r="D392" i="7"/>
  <c r="G433" i="7"/>
  <c r="E433" i="7" s="1"/>
  <c r="D417" i="7"/>
  <c r="A309" i="7"/>
  <c r="D512" i="7"/>
  <c r="B501" i="7"/>
  <c r="D529" i="7"/>
  <c r="D302" i="7"/>
  <c r="A175" i="7"/>
  <c r="A527" i="7"/>
  <c r="G628" i="7"/>
  <c r="E628" i="7" s="1"/>
  <c r="D220" i="7"/>
  <c r="D34" i="7"/>
  <c r="G166" i="7"/>
  <c r="E166" i="7" s="1"/>
  <c r="A434" i="7"/>
  <c r="G574" i="7"/>
  <c r="E574" i="7" s="1"/>
  <c r="G138" i="7"/>
  <c r="E138" i="7" s="1"/>
  <c r="B60" i="7"/>
  <c r="G633" i="7"/>
  <c r="E633" i="7" s="1"/>
  <c r="G632" i="7"/>
  <c r="E632" i="7" s="1"/>
  <c r="F675" i="7"/>
  <c r="F647" i="7"/>
  <c r="F641" i="7"/>
  <c r="F636" i="7"/>
  <c r="D636" i="7" s="1"/>
  <c r="F644" i="7"/>
  <c r="F676" i="7"/>
  <c r="F657" i="7"/>
  <c r="F635" i="7"/>
  <c r="D635" i="7" s="1"/>
  <c r="F649" i="7"/>
  <c r="F650" i="7"/>
  <c r="F674" i="7"/>
  <c r="F672" i="7"/>
  <c r="F662" i="7"/>
  <c r="F666" i="7"/>
  <c r="F651" i="7"/>
  <c r="F660" i="7"/>
  <c r="F669" i="7"/>
  <c r="F667" i="7"/>
  <c r="F634" i="7"/>
  <c r="D634" i="7" s="1"/>
  <c r="F640" i="7"/>
  <c r="D640" i="7" s="1"/>
  <c r="F664" i="7"/>
  <c r="F643" i="7"/>
  <c r="F639" i="7"/>
  <c r="D639" i="7" s="1"/>
  <c r="F659" i="7"/>
  <c r="F654" i="7"/>
  <c r="F668" i="7"/>
  <c r="F670" i="7"/>
  <c r="F638" i="7"/>
  <c r="D638" i="7" s="1"/>
  <c r="F665" i="7"/>
  <c r="F661" i="7"/>
  <c r="F637" i="7"/>
  <c r="D637" i="7" s="1"/>
  <c r="F658" i="7"/>
  <c r="F663" i="7"/>
  <c r="F655" i="7"/>
  <c r="F642" i="7"/>
  <c r="F646" i="7"/>
  <c r="F656" i="7"/>
  <c r="F653" i="7"/>
  <c r="F648" i="7"/>
  <c r="F673" i="7"/>
  <c r="F645" i="7"/>
  <c r="F671" i="7"/>
  <c r="F652" i="7"/>
</calcChain>
</file>

<file path=xl/sharedStrings.xml><?xml version="1.0" encoding="utf-8"?>
<sst xmlns="http://schemas.openxmlformats.org/spreadsheetml/2006/main" count="4809" uniqueCount="2051">
  <si>
    <t>Sex</t>
  </si>
  <si>
    <t>Dwellings</t>
  </si>
  <si>
    <t>Notes</t>
  </si>
  <si>
    <t>Standard Output Tables</t>
  </si>
  <si>
    <t>Key Statistics Tables</t>
  </si>
  <si>
    <t>Table title</t>
  </si>
  <si>
    <t>ID</t>
  </si>
  <si>
    <t>lower case title</t>
  </si>
  <si>
    <t>Search Item 1</t>
  </si>
  <si>
    <t>Search Item 2</t>
  </si>
  <si>
    <t>Search Item 3</t>
  </si>
  <si>
    <t>Topic 1</t>
  </si>
  <si>
    <t>Topic 2</t>
  </si>
  <si>
    <t>Topic 3</t>
  </si>
  <si>
    <t>Table Number</t>
  </si>
  <si>
    <t>Table Title</t>
  </si>
  <si>
    <t>Adjustment of small counts</t>
  </si>
  <si>
    <t>Note that small counts in tables have been adjusted to prevent the disclosure of information about identifiable individuals. This means that different tables may show different counts of the same population.</t>
  </si>
  <si>
    <t>Notes to Tables</t>
  </si>
  <si>
    <t>The algorithm for deriving Approximated Social Grade was developed with the Market Research Society. Results produced using the algorithm are similar to other sources of information on Social Grade for Household Reference Persons aged 16-64 (and for adults aged 16-64) but show significant differences from other sources for those aged 65 and above, which will affect the total counts.  More information about the causes and extent of the differences is available from the Market Research Society (http://www.mrs.org.uk/networking/cgg/sga.htm).</t>
  </si>
  <si>
    <t>UV81, UV93</t>
  </si>
  <si>
    <t xml:space="preserve">CAS66; CAS67; UV50 </t>
  </si>
  <si>
    <t>UV81 Armed Forces and UV93 Same-Sex Couples will be published for Local Authorities in Autumn 2003.</t>
  </si>
  <si>
    <t>These tables, relating largely to migration and place of work, are not contained on this product but will be supplied on a supplementary DVD to this product in Autumn 2003.</t>
  </si>
  <si>
    <t>CAS008-010, CAS120-121, UV02, UV23, UV52, UV35, UV37, UV75-80</t>
  </si>
  <si>
    <t>Geography</t>
  </si>
  <si>
    <t>Topic 4</t>
  </si>
  <si>
    <t xml:space="preserve"> </t>
  </si>
  <si>
    <t>Click here to view table</t>
  </si>
  <si>
    <t>Link</t>
  </si>
  <si>
    <t>Age Structure</t>
  </si>
  <si>
    <t>Living Arrangements</t>
  </si>
  <si>
    <t>Country of Birth</t>
  </si>
  <si>
    <t>Ethnic Group</t>
  </si>
  <si>
    <t>Health and Provision of Unpaid Care</t>
  </si>
  <si>
    <t>Economic Activity - Males</t>
  </si>
  <si>
    <t>Economic Activity - Females</t>
  </si>
  <si>
    <t>Hours Worked</t>
  </si>
  <si>
    <t>Industry of Employment - Females</t>
  </si>
  <si>
    <t>Qualifications and Students</t>
  </si>
  <si>
    <t>Dwellings, Household Spaces and Accommodation Type</t>
  </si>
  <si>
    <t>Household Composition</t>
  </si>
  <si>
    <t>Lone Parent Households with Dependent Children</t>
  </si>
  <si>
    <t>Northern Ireland</t>
  </si>
  <si>
    <t>Religion</t>
  </si>
  <si>
    <t>Population Density</t>
  </si>
  <si>
    <t>Multiple Ethnic Groups</t>
  </si>
  <si>
    <t>General Health</t>
  </si>
  <si>
    <t>Method of Travel to Work (Resident Population)</t>
  </si>
  <si>
    <t>Industry of Employment - Males</t>
  </si>
  <si>
    <t>Provision of Unpaid Care</t>
  </si>
  <si>
    <t>Number of Rooms</t>
  </si>
  <si>
    <t>NS-SeC by Tenure</t>
  </si>
  <si>
    <t>Country of Birth by Ethnic Group</t>
  </si>
  <si>
    <t>Occupation by Industry</t>
  </si>
  <si>
    <t>2011 Census: Standard Output</t>
  </si>
  <si>
    <t>KS101NI</t>
  </si>
  <si>
    <t>Usual Resident Population</t>
  </si>
  <si>
    <t>KS102NI</t>
  </si>
  <si>
    <t>KS103NI</t>
  </si>
  <si>
    <t>Marital and Civil Partnership Status</t>
  </si>
  <si>
    <t>KS104NI</t>
  </si>
  <si>
    <t>KS105NI</t>
  </si>
  <si>
    <t>KS106NI</t>
  </si>
  <si>
    <t>All Households with: Adults not in Employment; Dependent Children; and Persons with Long-Term Health Problem or Disability</t>
  </si>
  <si>
    <t>KS107NI</t>
  </si>
  <si>
    <t>KS201NI</t>
  </si>
  <si>
    <t>KS202NI</t>
  </si>
  <si>
    <t>National Identity (Classification 1)</t>
  </si>
  <si>
    <t>KS203NI</t>
  </si>
  <si>
    <t>National Identity (Classification 2)</t>
  </si>
  <si>
    <t>KS204NI</t>
  </si>
  <si>
    <t>KS205NI</t>
  </si>
  <si>
    <t>Passports Held (Classification 1)</t>
  </si>
  <si>
    <t>KS206NI</t>
  </si>
  <si>
    <t>Passports Held (Classification 2)</t>
  </si>
  <si>
    <t>KS207NI</t>
  </si>
  <si>
    <t>Main Language</t>
  </si>
  <si>
    <t>KS208NI</t>
  </si>
  <si>
    <t>Household Language</t>
  </si>
  <si>
    <t>KS209NI</t>
  </si>
  <si>
    <t xml:space="preserve">Knowledge of Irish </t>
  </si>
  <si>
    <t>KS210NI</t>
  </si>
  <si>
    <t xml:space="preserve">Knowledge of Ulster-Scots
</t>
  </si>
  <si>
    <t>KS211NI</t>
  </si>
  <si>
    <t>KS212NI</t>
  </si>
  <si>
    <t>Religion or Religion Brought Up In</t>
  </si>
  <si>
    <t>KS301NI</t>
  </si>
  <si>
    <t>KS302NI</t>
  </si>
  <si>
    <t>Type of Long-Term Condition</t>
  </si>
  <si>
    <t>KS401NI</t>
  </si>
  <si>
    <t>KS402NI</t>
  </si>
  <si>
    <t>Tenure and Landlord</t>
  </si>
  <si>
    <t>KS403NI</t>
  </si>
  <si>
    <t>Household Size</t>
  </si>
  <si>
    <t>KS404NI</t>
  </si>
  <si>
    <t>Central Heating</t>
  </si>
  <si>
    <t>KS405NI</t>
  </si>
  <si>
    <t>Car or Van Availability</t>
  </si>
  <si>
    <t>KS406NI</t>
  </si>
  <si>
    <t>Adaptation to Accommodation</t>
  </si>
  <si>
    <t>KS407NI</t>
  </si>
  <si>
    <t>Communal Establishment Residents and Long-Term Health Problem or Disability</t>
  </si>
  <si>
    <t>KS501NI</t>
  </si>
  <si>
    <t>KS601NI</t>
  </si>
  <si>
    <t>Economic Activity</t>
  </si>
  <si>
    <t>KS602NI</t>
  </si>
  <si>
    <t>KS603NI</t>
  </si>
  <si>
    <t>KS604NI</t>
  </si>
  <si>
    <t>KS605NI</t>
  </si>
  <si>
    <t>Industry of Employment</t>
  </si>
  <si>
    <t>KS606NI</t>
  </si>
  <si>
    <t>KS607NI</t>
  </si>
  <si>
    <t>KS608NI</t>
  </si>
  <si>
    <t>KS609NI</t>
  </si>
  <si>
    <t>KS610NI</t>
  </si>
  <si>
    <t>KS611NI</t>
  </si>
  <si>
    <t>National Statistics Socio-economic Classification (NS-SeC)</t>
  </si>
  <si>
    <t>KS612NI</t>
  </si>
  <si>
    <t>KS613NI</t>
  </si>
  <si>
    <t>KS701NI</t>
  </si>
  <si>
    <t>KS702NI</t>
  </si>
  <si>
    <t>Method of Travel to Work or Place of Study (Resident Population)</t>
  </si>
  <si>
    <t>KS801NI</t>
  </si>
  <si>
    <t>Usual Residents Born in Northern Ireland Who Have Resided Elsewhere, and Short-Term Residents</t>
  </si>
  <si>
    <t>Quick Statistics Tables</t>
  </si>
  <si>
    <t>QS101NI</t>
  </si>
  <si>
    <t>Residence Type</t>
  </si>
  <si>
    <t>QS102NI</t>
  </si>
  <si>
    <t>QS103NI</t>
  </si>
  <si>
    <t>Age - Single Year</t>
  </si>
  <si>
    <t>QS104NI</t>
  </si>
  <si>
    <t>Age - 5 Year</t>
  </si>
  <si>
    <t>QS105NI</t>
  </si>
  <si>
    <t>QS106NI</t>
  </si>
  <si>
    <t>Schoolchildren and Students in Full-Time Education Living Away from Home During Term Time</t>
  </si>
  <si>
    <t>QS107NI</t>
  </si>
  <si>
    <t>QS108NI</t>
  </si>
  <si>
    <t>Adult Lifestage (Alternative Adult Definition)</t>
  </si>
  <si>
    <t>QS109NI</t>
  </si>
  <si>
    <t>Household lifestage</t>
  </si>
  <si>
    <t>QS110NI</t>
  </si>
  <si>
    <t>Household Composition - Usual Residents</t>
  </si>
  <si>
    <t>QS111NI</t>
  </si>
  <si>
    <t>Household Composition - Households</t>
  </si>
  <si>
    <t>QS112NI</t>
  </si>
  <si>
    <t>Household Composition (Alternative Child and Adult Definitions) - Usual Residents</t>
  </si>
  <si>
    <t>QS113NI</t>
  </si>
  <si>
    <t>Household Composition (Alternative Child and Adult Definitions) - Households</t>
  </si>
  <si>
    <t>QS114NI</t>
  </si>
  <si>
    <t>All Usual Residents Aged 18  to 64 in Single Adult Households</t>
  </si>
  <si>
    <t>QS115NI</t>
  </si>
  <si>
    <t>Families with Dependent Children</t>
  </si>
  <si>
    <t>QS116NI</t>
  </si>
  <si>
    <t>Number of Dependent Children - Households</t>
  </si>
  <si>
    <t>QS117NI</t>
  </si>
  <si>
    <t>Number of Dependent Children - Families</t>
  </si>
  <si>
    <t>QS201NI</t>
  </si>
  <si>
    <t>Ethnic Group - Full Detail</t>
  </si>
  <si>
    <t>QS202NI</t>
  </si>
  <si>
    <t xml:space="preserve">Ethnic Group of Household Reference Person (HRP) - 6 Way Classification </t>
  </si>
  <si>
    <t>QS203NI</t>
  </si>
  <si>
    <t xml:space="preserve">Ethnic Group of Household Reference Person (HRP) - 12 Way Classification </t>
  </si>
  <si>
    <t>QS204NI</t>
  </si>
  <si>
    <t>QS205NI</t>
  </si>
  <si>
    <t>National Identity - Full Detail</t>
  </si>
  <si>
    <t>QS206NI</t>
  </si>
  <si>
    <t>Country of Birth - Full Detail</t>
  </si>
  <si>
    <t>QS207NI</t>
  </si>
  <si>
    <t>Country of Birth - Basic Detail</t>
  </si>
  <si>
    <t>QS208NI</t>
  </si>
  <si>
    <t>Country of Birth - Intermediate Detail</t>
  </si>
  <si>
    <t>QS209NI</t>
  </si>
  <si>
    <t>Passports Held- Full Detail</t>
  </si>
  <si>
    <t>QS210NI</t>
  </si>
  <si>
    <t>Main Language - Full Detail</t>
  </si>
  <si>
    <t>QS211NI</t>
  </si>
  <si>
    <t>Proficiency in English</t>
  </si>
  <si>
    <t>QS212NI</t>
  </si>
  <si>
    <t>Irish Language Skills</t>
  </si>
  <si>
    <t>QS213NI</t>
  </si>
  <si>
    <t>Ulster-Scots Language Skills</t>
  </si>
  <si>
    <t>QS214NI</t>
  </si>
  <si>
    <t>Knowledge of Irish - Intermediate Detail</t>
  </si>
  <si>
    <t>QS215NI</t>
  </si>
  <si>
    <t>Knowledge of Ulster-Scots - Intermediate Detail</t>
  </si>
  <si>
    <t>QS216NI</t>
  </si>
  <si>
    <t>Knowledge of Irish - Full Detail</t>
  </si>
  <si>
    <t>QS217NI</t>
  </si>
  <si>
    <t>Knowledge of Ulster-Scots - Full Detail</t>
  </si>
  <si>
    <t>QS218NI</t>
  </si>
  <si>
    <t>Religion - Full Detail</t>
  </si>
  <si>
    <t>QS219NI</t>
  </si>
  <si>
    <t>Religion of Household Reference Person (HRP)</t>
  </si>
  <si>
    <t>QS220NI</t>
  </si>
  <si>
    <t>Religion or Religion Brought Up In of Household Reference Person (HRP)</t>
  </si>
  <si>
    <t>QS221NI</t>
  </si>
  <si>
    <t>Religion or Religion Brought Up In Structure of Household</t>
  </si>
  <si>
    <t>QS301NI</t>
  </si>
  <si>
    <t>QS302NI</t>
  </si>
  <si>
    <t>QS303NI</t>
  </si>
  <si>
    <t>Long-Term Health Problem or Disability</t>
  </si>
  <si>
    <t>QS401NI</t>
  </si>
  <si>
    <t>Accommodation Type - Usual Residents</t>
  </si>
  <si>
    <t>QS402NI</t>
  </si>
  <si>
    <t>Accommodation Type - Households</t>
  </si>
  <si>
    <t>QS403NI</t>
  </si>
  <si>
    <t>Tenure - Usual Residents</t>
  </si>
  <si>
    <t>QS404NI</t>
  </si>
  <si>
    <t>Tenure where Household Reference Person (HRP) Aged 65 and Over</t>
  </si>
  <si>
    <t>QS405NI</t>
  </si>
  <si>
    <t>Tenure - Households</t>
  </si>
  <si>
    <t>QS406NI</t>
  </si>
  <si>
    <t>QS407NI</t>
  </si>
  <si>
    <t>Occupancy Rating - Rooms</t>
  </si>
  <si>
    <t>QS408NI</t>
  </si>
  <si>
    <t>Persons per Room - Households</t>
  </si>
  <si>
    <t>QS409NI</t>
  </si>
  <si>
    <t>Persons per Room - Usual Residents</t>
  </si>
  <si>
    <t>QS410NI</t>
  </si>
  <si>
    <t>Household Spaces</t>
  </si>
  <si>
    <t>QS411NI</t>
  </si>
  <si>
    <t>QS412NI</t>
  </si>
  <si>
    <t>Position in Communal Establishment</t>
  </si>
  <si>
    <t>QS413NI</t>
  </si>
  <si>
    <t>Communal Establishment Management and Type - Communal Establishments</t>
  </si>
  <si>
    <t>QS414NI</t>
  </si>
  <si>
    <t>Communal Establishment Management and Type - Usual Residents</t>
  </si>
  <si>
    <t>QS601NI</t>
  </si>
  <si>
    <t>QS602NI</t>
  </si>
  <si>
    <t>Economic Activity of Household Reference Person (HRP)</t>
  </si>
  <si>
    <t>QS603NI</t>
  </si>
  <si>
    <t>Economic Activity - Full-Time students</t>
  </si>
  <si>
    <t>QS604NI</t>
  </si>
  <si>
    <t>Industry - Manufacturing Detail</t>
  </si>
  <si>
    <t>QS605NI</t>
  </si>
  <si>
    <t>Occupation - Minor Groups</t>
  </si>
  <si>
    <t>QS606NI</t>
  </si>
  <si>
    <t>QS607NI</t>
  </si>
  <si>
    <t>NS-SeC of Household Reference Person (HRP) - Usual Residents Aged Under 65</t>
  </si>
  <si>
    <t>QS608NI</t>
  </si>
  <si>
    <t>NS-SeC of Household Reference Person (HRP) - Usual Residents</t>
  </si>
  <si>
    <t>QS609NI</t>
  </si>
  <si>
    <t>NS-SeC of Household Reference Person (HRP) Aged Under 65 - Usual Residents</t>
  </si>
  <si>
    <t>QS610NI</t>
  </si>
  <si>
    <t>Year Last Worked</t>
  </si>
  <si>
    <t>QS611NI</t>
  </si>
  <si>
    <t>Approximated Social Grade - Household Reference Person (HRP) Aged 16 to 64</t>
  </si>
  <si>
    <t>Detailed Characteristics Tables</t>
  </si>
  <si>
    <t>DC1101NI</t>
  </si>
  <si>
    <t>Residence Type by Age by Sex</t>
  </si>
  <si>
    <t>DC1102NI</t>
  </si>
  <si>
    <t>Schoolchildren and Students in Full-Time Education Living Away from Home during Term Time by Age by Sex</t>
  </si>
  <si>
    <t>DC1103NI</t>
  </si>
  <si>
    <t>Marital and Civil Partnership Status by Age by Sex</t>
  </si>
  <si>
    <t>DC1104NI</t>
  </si>
  <si>
    <t>Marital and Civil Partnership Status by Age by Sex of HRP</t>
  </si>
  <si>
    <t>DC1105NI</t>
  </si>
  <si>
    <t>Living Arrangements by Age by Sex</t>
  </si>
  <si>
    <t>DC1106NI</t>
  </si>
  <si>
    <t xml:space="preserve">Living Arrangements by Age by Sex of HRP </t>
  </si>
  <si>
    <t>DC1107NI</t>
  </si>
  <si>
    <t>Marital and Civil Partnership Status by Age by Sex - Communal Establishments</t>
  </si>
  <si>
    <t>DC1108NI</t>
  </si>
  <si>
    <t>Dependent Children by Household Composition by Age of HRP - Usual Residents</t>
  </si>
  <si>
    <t>DC1111NI</t>
  </si>
  <si>
    <t>Number and Age of Dependent Children by Family Type by Age of FRP</t>
  </si>
  <si>
    <t>DC1112NI</t>
  </si>
  <si>
    <t>Dependent Children by Household Composition by Age of HRP - Households</t>
  </si>
  <si>
    <t>DC2101NI</t>
  </si>
  <si>
    <t>Ethnic Group by Age by Sex</t>
  </si>
  <si>
    <t>DC2102NI</t>
  </si>
  <si>
    <t>Household Composition by Ethnic Group of HRP</t>
  </si>
  <si>
    <t>DC2104NI</t>
  </si>
  <si>
    <t>Living Arrangements by Ethnic Group</t>
  </si>
  <si>
    <t>DC2105NI</t>
  </si>
  <si>
    <t>National Identity (Classification 1) by Age by Sex</t>
  </si>
  <si>
    <t>DC2106NI</t>
  </si>
  <si>
    <t>National Identity (Classification 2) by Age by Sex</t>
  </si>
  <si>
    <t>DC2107NI</t>
  </si>
  <si>
    <t>Country of Birth by Age by Sex</t>
  </si>
  <si>
    <t>DC2108NI</t>
  </si>
  <si>
    <t>Living Arrangements by Country of Birth</t>
  </si>
  <si>
    <t>DC2109NI</t>
  </si>
  <si>
    <t>Passports Held (Classification 1) by Age by Sex</t>
  </si>
  <si>
    <t>DC2110NI</t>
  </si>
  <si>
    <t>Passports Held (Classification 2) by Age by Sex</t>
  </si>
  <si>
    <t>DC2111NI</t>
  </si>
  <si>
    <t>Main Language by Age by Sex</t>
  </si>
  <si>
    <t>DC2112NI</t>
  </si>
  <si>
    <t>Proficiency in English by Age by Sex</t>
  </si>
  <si>
    <t>DC2113NI</t>
  </si>
  <si>
    <t>Type of Communal Establishment by Proficiency in English by Sex</t>
  </si>
  <si>
    <t>DC2114NI</t>
  </si>
  <si>
    <t>Religion by Age by Sex</t>
  </si>
  <si>
    <t>DC2115NI</t>
  </si>
  <si>
    <t>Religion or Religion Brought Up In by Age by Sex</t>
  </si>
  <si>
    <t>DC2116NI</t>
  </si>
  <si>
    <t>Religion by Age</t>
  </si>
  <si>
    <t>DC2117NI</t>
  </si>
  <si>
    <t>Religion or Religion Brought Up In by Age</t>
  </si>
  <si>
    <t>DC2118NI</t>
  </si>
  <si>
    <t>Religion (Full Detail) by Sex</t>
  </si>
  <si>
    <t>DC2119NI</t>
  </si>
  <si>
    <t>Household Composition by Religion of HRP</t>
  </si>
  <si>
    <t>DC2120NI</t>
  </si>
  <si>
    <t>Household Composition by Religion or Religion Brought Up In of HRP</t>
  </si>
  <si>
    <t>DC2121NI</t>
  </si>
  <si>
    <t>Living Arrangements by Religion by Sex</t>
  </si>
  <si>
    <t>DC2122NI</t>
  </si>
  <si>
    <t>Living Arrangements by Religion or Religion Brought Up In by Sex</t>
  </si>
  <si>
    <t>DC2123NI</t>
  </si>
  <si>
    <t>Knowledge of Irish by Age by Sex</t>
  </si>
  <si>
    <t>DC2124NI</t>
  </si>
  <si>
    <t>Knowledge of Ulster-Scots by Age by Sex</t>
  </si>
  <si>
    <t>DC2125NI</t>
  </si>
  <si>
    <t>Religion by Broad Age Bands by Sex</t>
  </si>
  <si>
    <t>DC2126NI</t>
  </si>
  <si>
    <t>Religion or Religion Brought Up In by Broad Age Bands by Sex</t>
  </si>
  <si>
    <t>DC2201NI</t>
  </si>
  <si>
    <t>DC2202NI</t>
  </si>
  <si>
    <t>Main Language by Ethnic Group</t>
  </si>
  <si>
    <t>DC2203NI</t>
  </si>
  <si>
    <t>Proficiency in English by Ethnic Group</t>
  </si>
  <si>
    <t>DC2204NI</t>
  </si>
  <si>
    <t>Passports Held (Classification 1) by Ethnic Group</t>
  </si>
  <si>
    <t>DC2205NI</t>
  </si>
  <si>
    <t>Passports Held (Classification 2) by Ethnic Group</t>
  </si>
  <si>
    <t>DC2206NI</t>
  </si>
  <si>
    <t>National Identity (Classification 1) by Ethnic Group</t>
  </si>
  <si>
    <t>DC2207NI</t>
  </si>
  <si>
    <t>National Identity (Classification 2) by Ethnic Group</t>
  </si>
  <si>
    <t>DC2208NI</t>
  </si>
  <si>
    <t>National Identity (Classification 1) by Knowledge of Irish</t>
  </si>
  <si>
    <t>DC2209NI</t>
  </si>
  <si>
    <t>National Identity (Classification 2) by Knowledge of Irish</t>
  </si>
  <si>
    <t>DC2210NI</t>
  </si>
  <si>
    <t>National Identity (Classification 1) by Knowledge of Ulster-Scots</t>
  </si>
  <si>
    <t>DC2211NI</t>
  </si>
  <si>
    <t>National Identity (Classification 2) by Knowledge of Ulster-Scots</t>
  </si>
  <si>
    <t>DC2212NI</t>
  </si>
  <si>
    <t>Country of Birth by National Identity (Classification 1)</t>
  </si>
  <si>
    <t>DC2213NI</t>
  </si>
  <si>
    <t>Country of Birth by National Identity (Classification 2)</t>
  </si>
  <si>
    <t>DC2214NI</t>
  </si>
  <si>
    <t>National Identity (Classification 1) by Main Language</t>
  </si>
  <si>
    <t>DC2215NI</t>
  </si>
  <si>
    <t>National Identity (Classification 2) by Main Language</t>
  </si>
  <si>
    <t>DC2216NI</t>
  </si>
  <si>
    <t>National Identity (Classification 1) by Proficiency in English</t>
  </si>
  <si>
    <t>DC2217NI</t>
  </si>
  <si>
    <t>National Identity (Classification 2) by Proficiency in English</t>
  </si>
  <si>
    <t>DC2218NI</t>
  </si>
  <si>
    <t>National Identity (Classification 1) by Passports Held (Classification 1)</t>
  </si>
  <si>
    <t>DC2219NI</t>
  </si>
  <si>
    <t>National Identity (Classification 1) by Passports Held (Classification 2)</t>
  </si>
  <si>
    <t>DC2220NI</t>
  </si>
  <si>
    <t>National Identity (Classification 2) by Passports Held (Classification 1)</t>
  </si>
  <si>
    <t>DC2221NI</t>
  </si>
  <si>
    <t>National Identity (Classification 2) by Passports Held (Classification 2)</t>
  </si>
  <si>
    <t>DC2222NI</t>
  </si>
  <si>
    <t>Country of Birth by Main Language</t>
  </si>
  <si>
    <t>DC2223NI</t>
  </si>
  <si>
    <t>Country of Birth by Proficiency in English</t>
  </si>
  <si>
    <t>DC2224NI</t>
  </si>
  <si>
    <t>Country of Birth by Passports Held (Classification 1)</t>
  </si>
  <si>
    <t>DC2225NI</t>
  </si>
  <si>
    <t>Country of Birth by Passports Held (Classification 2)</t>
  </si>
  <si>
    <t>DC2226NI</t>
  </si>
  <si>
    <t>Knowledge of Irish by Country of Birth by Religion or Religion Brought Up In by Age</t>
  </si>
  <si>
    <t>DC2227NI</t>
  </si>
  <si>
    <t>Knowledge of Ulster-Scots by Country of Birth by Religion or Religion Brought Up In by Age</t>
  </si>
  <si>
    <t>DC2228NI</t>
  </si>
  <si>
    <t>Passports Held (Classification 1) by Knowledge of Irish</t>
  </si>
  <si>
    <t>DC2229NI</t>
  </si>
  <si>
    <t>Passports Held (Classification 2) by Knowledge of Irish</t>
  </si>
  <si>
    <t>DC2230NI</t>
  </si>
  <si>
    <t>Passports Held (Classification 1) by Knowledge of Ulster-Scots</t>
  </si>
  <si>
    <t>DC2231NI</t>
  </si>
  <si>
    <t>Passports Held (Classification 2) by Knowledge of Ulster-Scots</t>
  </si>
  <si>
    <t>DC2232NI</t>
  </si>
  <si>
    <t>Proficiency in English by Main Language</t>
  </si>
  <si>
    <t>DC2233NI</t>
  </si>
  <si>
    <t>Passports Held (Classification 1) by Main Language</t>
  </si>
  <si>
    <t>DC2234NI</t>
  </si>
  <si>
    <t>Passports Held (Classification 2) by Main Language</t>
  </si>
  <si>
    <t>DC2235NI</t>
  </si>
  <si>
    <t>Proficiency in English by Passports Held (Classification 1)</t>
  </si>
  <si>
    <t>DC2236NI</t>
  </si>
  <si>
    <t>Proficiency in English by Passports Held (Classification 2)</t>
  </si>
  <si>
    <t>DC2237NI</t>
  </si>
  <si>
    <t>National Identity (Classification 1) by Religion</t>
  </si>
  <si>
    <t>DC2238NI</t>
  </si>
  <si>
    <t>National Identity (Classification 1) by Religion or Religion Brought Up In</t>
  </si>
  <si>
    <t>DC2239NI</t>
  </si>
  <si>
    <t>National Identity (Classification 2) by Religion</t>
  </si>
  <si>
    <t>DC2240NI</t>
  </si>
  <si>
    <t>National Identity (Classification 2) by Religion or Religion Brought Up In</t>
  </si>
  <si>
    <t>DC2241NI</t>
  </si>
  <si>
    <t>Country of Birth by Religion</t>
  </si>
  <si>
    <t>DC2242NI</t>
  </si>
  <si>
    <t>Country of Birth by Religion or Religion Brought Up In</t>
  </si>
  <si>
    <t>DC2243NI</t>
  </si>
  <si>
    <t>Knowledge of Irish by Religion by Age by Sex</t>
  </si>
  <si>
    <t>DC2244NI</t>
  </si>
  <si>
    <t>Knowledge of Irish by Religion or Religion Brought Up In by Age by Sex</t>
  </si>
  <si>
    <t>DC2245NI</t>
  </si>
  <si>
    <t>Knowledge of Ulster-Scots by Religion by Age by Sex</t>
  </si>
  <si>
    <t>DC2246NI</t>
  </si>
  <si>
    <t>Knowledge of Ulster-Scots by Religion or Religion Brought Up In by Age by Sex</t>
  </si>
  <si>
    <t>DC2247NI</t>
  </si>
  <si>
    <t>Ethnic Group by Religion</t>
  </si>
  <si>
    <t>DC2248NI</t>
  </si>
  <si>
    <t>Ethnic Group by Religion or Religion Brought Up In</t>
  </si>
  <si>
    <t>DC2249NI</t>
  </si>
  <si>
    <t>Passports Held (Classification 1) by Religion</t>
  </si>
  <si>
    <t>DC2250NI</t>
  </si>
  <si>
    <t>Passports Held (Classification 1) by Religion or Religion Brought Up In</t>
  </si>
  <si>
    <t>DC2251NI</t>
  </si>
  <si>
    <t>Passports Held (Classification 2) by Religion</t>
  </si>
  <si>
    <t>DC2252NI</t>
  </si>
  <si>
    <t>Passports Held (Classification 2) by Religion or Religion Brought Up In</t>
  </si>
  <si>
    <t>DC2253NI</t>
  </si>
  <si>
    <t>Country of Birth by Religion by Age</t>
  </si>
  <si>
    <t>DC2254NI</t>
  </si>
  <si>
    <t>Country of Birth by Religion or Religion Brought Up In by Age</t>
  </si>
  <si>
    <t>DC2301NI</t>
  </si>
  <si>
    <t>General Health by Ethnic Group by Age by Sex</t>
  </si>
  <si>
    <t>DC2302NI</t>
  </si>
  <si>
    <t>Long-Term Health Problem or Disability by Ethnic Group by Age by Sex</t>
  </si>
  <si>
    <t>DC2303NI</t>
  </si>
  <si>
    <t>Long-Term Health Problem or Disability by General Health by Ethnic Group by Age</t>
  </si>
  <si>
    <t>DC2304NI</t>
  </si>
  <si>
    <t>Country of Birth by General Health by Long-Term Health Problem or Disability</t>
  </si>
  <si>
    <t>DC2305NI</t>
  </si>
  <si>
    <t>Proficiency in English by General Health by Long-Term Health Problem or Disability by Age by Sex</t>
  </si>
  <si>
    <t>DC2306NI</t>
  </si>
  <si>
    <t>General Health by Religion by Age by Sex</t>
  </si>
  <si>
    <t>DC2307NI</t>
  </si>
  <si>
    <t>General Health by Religion or Religion Brought Up In by Age by Sex</t>
  </si>
  <si>
    <t>DC2308NI</t>
  </si>
  <si>
    <t>Long-Term Health Problem or Disability by Religion by Age by Sex</t>
  </si>
  <si>
    <t>DC2309NI</t>
  </si>
  <si>
    <t>Long-Term Health Problem or Disability by Religion or Religion Brought Up In by Age by Sex</t>
  </si>
  <si>
    <t>DC2401NI</t>
  </si>
  <si>
    <t>Type of Communal Establishment by Ethnic Group by Sex</t>
  </si>
  <si>
    <t>DC2402NI</t>
  </si>
  <si>
    <t>Tenure by Number of Cars or Vans by Ethnic Group of HRP</t>
  </si>
  <si>
    <t>DC2403NI</t>
  </si>
  <si>
    <t>Tenure by Occupancy Rating (Rooms) by Ethnic Group</t>
  </si>
  <si>
    <t>DC2404NI</t>
  </si>
  <si>
    <t>Tenure by Occupancy Rating (Rooms) by Ethnic Group of HRP</t>
  </si>
  <si>
    <t>DC2405NI</t>
  </si>
  <si>
    <t>Household Size by Ethnic Group of HRP</t>
  </si>
  <si>
    <t>DC2406NI</t>
  </si>
  <si>
    <t>Type of Communal Establishment by Country of Birth by Sex</t>
  </si>
  <si>
    <t>DC2407NI</t>
  </si>
  <si>
    <t>Tenure by Occupancy Rating (Rooms) by Country of Birth</t>
  </si>
  <si>
    <t>DC2409NI</t>
  </si>
  <si>
    <t>Country of Birth of HRP by Household Size</t>
  </si>
  <si>
    <t>DC2412NI</t>
  </si>
  <si>
    <t>Type of Communal Establishment by Religion by Sex</t>
  </si>
  <si>
    <t>DC2413NI</t>
  </si>
  <si>
    <t>Type of Communal Establishment by Religion or Religion Brought Up In by Sex</t>
  </si>
  <si>
    <t>DC2414NI</t>
  </si>
  <si>
    <t>Tenure by Number of Cars or Vans by Religion of HRP</t>
  </si>
  <si>
    <t>DC2415NI</t>
  </si>
  <si>
    <t>Tenure by Number of Cars or Vans by Religion or Religion Brought Up In of HRP</t>
  </si>
  <si>
    <t>DC2416NI</t>
  </si>
  <si>
    <t>Tenure by Occupancy Rating (Rooms) by Religion</t>
  </si>
  <si>
    <t>DC2417NI</t>
  </si>
  <si>
    <t>Tenure by Occupancy Rating (Rooms) by Religion or Religion Brought Up In</t>
  </si>
  <si>
    <t>DC2418NI</t>
  </si>
  <si>
    <t>Tenure by Religion of HRP</t>
  </si>
  <si>
    <t>DC2419NI</t>
  </si>
  <si>
    <t>Tenure by Religion or Religion Brought Up of HRP</t>
  </si>
  <si>
    <t>DC2420NI</t>
  </si>
  <si>
    <t>Household Size by Religion of HRP</t>
  </si>
  <si>
    <t>DC2421NI</t>
  </si>
  <si>
    <t>Household Size by Religion or Religion Brought Up In of HRP</t>
  </si>
  <si>
    <t>DC2501NI</t>
  </si>
  <si>
    <t>Highest Level of Qualification by Ethnic Group by Sex</t>
  </si>
  <si>
    <t>DC2502NI</t>
  </si>
  <si>
    <t>Highest Level of Qualification by Ethnic Group by Age</t>
  </si>
  <si>
    <t>DC2503NI</t>
  </si>
  <si>
    <t>Country of Birth by Highest Level of Qualification</t>
  </si>
  <si>
    <t>DC2506NI</t>
  </si>
  <si>
    <t>Highest Level of Qualification by Main Language</t>
  </si>
  <si>
    <t>DC2507NI</t>
  </si>
  <si>
    <t>Proficiency in English by Highest Level of Qualification by Age by Sex</t>
  </si>
  <si>
    <t>DC2508NI</t>
  </si>
  <si>
    <t>Highest Level of Qualification by Religion by Sex</t>
  </si>
  <si>
    <t>DC2509NI</t>
  </si>
  <si>
    <t>Highest Level of Qualification by Religion or Religion Brought Up In by Sex</t>
  </si>
  <si>
    <t>DC2510NI</t>
  </si>
  <si>
    <t>Highest Level of Qualification by Religion by Age by Sex</t>
  </si>
  <si>
    <t>DC2511NI</t>
  </si>
  <si>
    <t>Highest Level of Qualification by Religion or Religion Brought Up In by Age by Sex</t>
  </si>
  <si>
    <t>DC2601NI</t>
  </si>
  <si>
    <t>Economic Activity by Ethnic Group by Age by Sex</t>
  </si>
  <si>
    <t>DC2603NI</t>
  </si>
  <si>
    <t>Occupation by Ethnic Group by Sex</t>
  </si>
  <si>
    <t>DC2604NI</t>
  </si>
  <si>
    <t>Industry by Ethnic Group by Sex</t>
  </si>
  <si>
    <t>DC2605NI</t>
  </si>
  <si>
    <t>NS-SeC by Ethnic Group by Sex</t>
  </si>
  <si>
    <t>DC2606NI</t>
  </si>
  <si>
    <t>Economic Activity by Country of Birth by Age by Sex</t>
  </si>
  <si>
    <t>DC2607NI</t>
  </si>
  <si>
    <t>Occupation by Country of Birth by Sex</t>
  </si>
  <si>
    <t>DC2608NI</t>
  </si>
  <si>
    <t>Industry by Country of Birth by Sex</t>
  </si>
  <si>
    <t>DC2611NI</t>
  </si>
  <si>
    <t>Proficiency in English by Industry by Employment Status by Hours Worked</t>
  </si>
  <si>
    <t>DC2612NI</t>
  </si>
  <si>
    <t>Economic Activity by Main Language</t>
  </si>
  <si>
    <t>DC2613NI</t>
  </si>
  <si>
    <t>Occupation by Proficiency in English by Sex</t>
  </si>
  <si>
    <t>DC2614NI</t>
  </si>
  <si>
    <t>Economic Activity by Religion by Sex</t>
  </si>
  <si>
    <t>DC2615NI</t>
  </si>
  <si>
    <t>Economic Activity by Religion or Religion Brought Up In by Sex</t>
  </si>
  <si>
    <t>DC2616NI</t>
  </si>
  <si>
    <t>Economic Activity by Religion by Age by Sex</t>
  </si>
  <si>
    <t>DC2617NI</t>
  </si>
  <si>
    <t>Economic Activity by Religion or Religion Brought Up In by Age by Sex</t>
  </si>
  <si>
    <t>DC2618NI</t>
  </si>
  <si>
    <t>Occupation by Religion by Sex</t>
  </si>
  <si>
    <t>DC2619NI</t>
  </si>
  <si>
    <t>Occupation by Religion or Religion Brought Up In by Sex</t>
  </si>
  <si>
    <t>DC2620NI</t>
  </si>
  <si>
    <t>Industry by Religion by Sex</t>
  </si>
  <si>
    <t>DC2621NI</t>
  </si>
  <si>
    <t>Industry by Religion or Religion Brought Up In by Sex</t>
  </si>
  <si>
    <t>DC2622NI</t>
  </si>
  <si>
    <t>NS-SeC by Religion by Sex</t>
  </si>
  <si>
    <t>DC2623NI</t>
  </si>
  <si>
    <t>NS-SeC by Religion or Religion Brought Up In by Sex</t>
  </si>
  <si>
    <t>DC2624NI</t>
  </si>
  <si>
    <t>Economic Activity by Proficiency in English by Age by Sex</t>
  </si>
  <si>
    <t>DC2625NI</t>
  </si>
  <si>
    <t>Economic Activity by Religion by Age</t>
  </si>
  <si>
    <t>DC2626NI</t>
  </si>
  <si>
    <t>Economic Activity by Religion or Religion Brought Up In by Age</t>
  </si>
  <si>
    <t>DC3101NI</t>
  </si>
  <si>
    <t>Type of Long-Term Condition by Age by Sex</t>
  </si>
  <si>
    <t>DC3301NI</t>
  </si>
  <si>
    <t>General Health by Provision of Unpaid Care by Age by Sex</t>
  </si>
  <si>
    <t>DC3302NI</t>
  </si>
  <si>
    <t>Economic Activity by General Health by Provision of Unpaid Care by Sex</t>
  </si>
  <si>
    <t>DC3304NI</t>
  </si>
  <si>
    <t>Long-Term Health Problem or Disability by Provision of Unpaid Care by Age by Sex</t>
  </si>
  <si>
    <t>DC3305NI</t>
  </si>
  <si>
    <t>General Health by Long-Term Health Problem or Disability by Age by Sex</t>
  </si>
  <si>
    <t>DC3306NI</t>
  </si>
  <si>
    <t>Tenure by General Health by Long-Term Health Problem or Disability by Age</t>
  </si>
  <si>
    <t>DC3308NI</t>
  </si>
  <si>
    <t>Number of Cars or Vans by General Health by Long-Term Health Problem or Disability by Age by Sex</t>
  </si>
  <si>
    <t>DC3309NI</t>
  </si>
  <si>
    <t>General Health by Long-Term Health Problem or Disability by Age by Sex - Communal Establishments</t>
  </si>
  <si>
    <t>DC3310NI</t>
  </si>
  <si>
    <t>Type of Long-Term Condition by General Health by Long-term Health Problem or Disability</t>
  </si>
  <si>
    <t>DC3401NI</t>
  </si>
  <si>
    <t>Type of Long-Term Condition by Tenure</t>
  </si>
  <si>
    <t>DC3402NI</t>
  </si>
  <si>
    <t>Type of Long-Term Condition by Adaptation of Accommodation</t>
  </si>
  <si>
    <t>DC3601NI</t>
  </si>
  <si>
    <t>Provision of Unpaid Care by Hours Worked</t>
  </si>
  <si>
    <t>DC3602NI</t>
  </si>
  <si>
    <t>General Health by Long-Term Health Problem or Disability by Occupancy Rating (Rooms) by Age</t>
  </si>
  <si>
    <t>DC3603NI</t>
  </si>
  <si>
    <t>General Health by NS-SeC by Age by Sex</t>
  </si>
  <si>
    <t>DC3604NI</t>
  </si>
  <si>
    <t>Economic Activity by Hours Worked by Long-Term Health Problem or Disability by Sex</t>
  </si>
  <si>
    <t>DC3605NI</t>
  </si>
  <si>
    <t>Long-Term Health Problem or Disability by NS-SeC by Age by Sex</t>
  </si>
  <si>
    <t>DC3606NI</t>
  </si>
  <si>
    <t>Type of Long-Term Condition by Economic Activity</t>
  </si>
  <si>
    <t>DC4101NI</t>
  </si>
  <si>
    <t>Tenure by Household Composition</t>
  </si>
  <si>
    <t>DC4103NI</t>
  </si>
  <si>
    <t>Household Composition by Numbers of Cars or Vans Available</t>
  </si>
  <si>
    <t>DC4104NI</t>
  </si>
  <si>
    <t>Type of Communal Establishment by Resident Type By Age by Sex</t>
  </si>
  <si>
    <t>DC4301NI</t>
  </si>
  <si>
    <t>DC4302NI</t>
  </si>
  <si>
    <t>Long-Term Health Problem or Disability by Type of Communal Establishment by Age by Sex</t>
  </si>
  <si>
    <t>DC4303NI</t>
  </si>
  <si>
    <t>General Health by Type of Communal Establishment by Age by Sex</t>
  </si>
  <si>
    <t>DC4304NI</t>
  </si>
  <si>
    <t>General Health by Adaptation of Accommodation</t>
  </si>
  <si>
    <t>DC4305NI</t>
  </si>
  <si>
    <t>Long-Term Health Problem or Disability by Adaptation of Accommodation</t>
  </si>
  <si>
    <t>DC4306NI</t>
  </si>
  <si>
    <t>Provision of Unpaid Care by Adaptation of Accommodation</t>
  </si>
  <si>
    <t>DC4401NI</t>
  </si>
  <si>
    <t>Dwelling Type by Accommodation Type by Household Space Type</t>
  </si>
  <si>
    <t>DC4402NI</t>
  </si>
  <si>
    <t>Dwelling Type by Accommodation Type by Tenure - Households</t>
  </si>
  <si>
    <t>DC4403NI</t>
  </si>
  <si>
    <t>Dwelling Type by Accommodation Type by Tenure - Usual Residents</t>
  </si>
  <si>
    <t>DC4405NI</t>
  </si>
  <si>
    <t>Accommodation Type by Car or Van Availability by Number of Usual Residents aged 17 or over in the Household</t>
  </si>
  <si>
    <t>DC4406NI</t>
  </si>
  <si>
    <t>Tenure by Household Size by Number of Rooms</t>
  </si>
  <si>
    <t>DC4407NI</t>
  </si>
  <si>
    <t>Tenure by Persons per Room by Accommodation Type</t>
  </si>
  <si>
    <t>DC4408NI</t>
  </si>
  <si>
    <t>Household Composition by Tenure by Occupancy Rating (Rooms)</t>
  </si>
  <si>
    <t>DC4409NI</t>
  </si>
  <si>
    <t>Tenure by Central Heating by Household Composition</t>
  </si>
  <si>
    <t>DC4410NI</t>
  </si>
  <si>
    <t>Tenure by Car or Van Availability by Number of Usual Residents aged 17 or over in the Household</t>
  </si>
  <si>
    <t>DC4413NI</t>
  </si>
  <si>
    <t>Tenure by Adaptation of Accommodation</t>
  </si>
  <si>
    <t>DC5101NI</t>
  </si>
  <si>
    <t>Highest Level of Qualification by Age by Sex</t>
  </si>
  <si>
    <t>DC6101NI</t>
  </si>
  <si>
    <t>Economic Activity by Age by Sex</t>
  </si>
  <si>
    <t>DC6102NI</t>
  </si>
  <si>
    <t>Economic Activity by Living Arrangements by Sex</t>
  </si>
  <si>
    <t>DC6104NI</t>
  </si>
  <si>
    <t>Economic Activity by Household Type by Tenure by Age of Full-Time Students</t>
  </si>
  <si>
    <t>DC6105NI</t>
  </si>
  <si>
    <t>Hours Worked by Age by Sex</t>
  </si>
  <si>
    <t>DC6106NI</t>
  </si>
  <si>
    <t>Industry by Age by Sex</t>
  </si>
  <si>
    <t>DC6107NI</t>
  </si>
  <si>
    <t>Former Industry by Age by Sex</t>
  </si>
  <si>
    <t>DC6108NI</t>
  </si>
  <si>
    <t>Occupation by Age by Sex</t>
  </si>
  <si>
    <t>DC6109NI</t>
  </si>
  <si>
    <t>Former Occupation by Age by Sex</t>
  </si>
  <si>
    <t>DC6110NI</t>
  </si>
  <si>
    <t>NS-SeC by Age by Sex</t>
  </si>
  <si>
    <t>DC6111NI</t>
  </si>
  <si>
    <t>NS-SeC of HRP by Household Composition by Sex</t>
  </si>
  <si>
    <t>DC6112NI</t>
  </si>
  <si>
    <t>NS-SeC of HRP by Age by Sex</t>
  </si>
  <si>
    <t>DC6113NI</t>
  </si>
  <si>
    <t>NS-SeC of HRP by Households with Full-Time Students Away from Home by Age of Student</t>
  </si>
  <si>
    <t>DC6116NI</t>
  </si>
  <si>
    <t>Voluntary Work by Age by Sex</t>
  </si>
  <si>
    <t>DC6201NI</t>
  </si>
  <si>
    <t>Ethnic Group by Voluntary Work</t>
  </si>
  <si>
    <t>DC6202NI</t>
  </si>
  <si>
    <t>Religion or Religion Brought up In by Voluntary Work</t>
  </si>
  <si>
    <t>DC6301NI</t>
  </si>
  <si>
    <t>Provision of Unpaid Care by Voluntary Work</t>
  </si>
  <si>
    <t>DC6302NI</t>
  </si>
  <si>
    <t>Long-Term Health Problem or Disability by General Health by Voluntary Work</t>
  </si>
  <si>
    <t>DC6401NI</t>
  </si>
  <si>
    <t>Tenure by Economic Activity by Age of HRP</t>
  </si>
  <si>
    <t>DC6402NI</t>
  </si>
  <si>
    <t>Tenure by Car or Van Availability by Economic Activity</t>
  </si>
  <si>
    <t>DC6403NI</t>
  </si>
  <si>
    <t>NS-SeC of HRP by Tenure by Sex</t>
  </si>
  <si>
    <t>DC6404NI</t>
  </si>
  <si>
    <t>DC6501NI</t>
  </si>
  <si>
    <t>Highest Level of Qualification by Economic Activity by Age by Sex</t>
  </si>
  <si>
    <t>DC6504NI</t>
  </si>
  <si>
    <t>Occupation by Highest Level of Qualification by Age by Sex</t>
  </si>
  <si>
    <t>DC6505NI</t>
  </si>
  <si>
    <t>NS-SeC by Highest Level of Qualification by Age by Sex</t>
  </si>
  <si>
    <t>DC6506NI</t>
  </si>
  <si>
    <t>Highest Level of Qualification by Voluntary Work</t>
  </si>
  <si>
    <t>DC6601NI</t>
  </si>
  <si>
    <t>Economic Activity by Year Last Worked by Age by Sex</t>
  </si>
  <si>
    <t>DC6602NI</t>
  </si>
  <si>
    <t>NS-SeC by Economic Activity by Sex</t>
  </si>
  <si>
    <t>DC6603NI</t>
  </si>
  <si>
    <t>Occupation by Hours Worked by Age by Sex</t>
  </si>
  <si>
    <t>DC6604NI</t>
  </si>
  <si>
    <t>Industry by Employment Status by Hours Worked by Age by Sex</t>
  </si>
  <si>
    <t>DC6605NI</t>
  </si>
  <si>
    <t>DC6606NI</t>
  </si>
  <si>
    <t>Occupation by Employment Status by Hours Worked by Age by Sex</t>
  </si>
  <si>
    <t>DC6607NI</t>
  </si>
  <si>
    <t>Economic Activity by Voluntary Work</t>
  </si>
  <si>
    <t>Local Characteristics Tables</t>
  </si>
  <si>
    <t>usual resident population</t>
  </si>
  <si>
    <t>age structure</t>
  </si>
  <si>
    <t>marital and civil partnership status</t>
  </si>
  <si>
    <t>living arrangements</t>
  </si>
  <si>
    <t>household composition</t>
  </si>
  <si>
    <t>all households with: adults not in employment; dependent children; and persons with long-term health problem or disability</t>
  </si>
  <si>
    <t>lone parent households with dependent children</t>
  </si>
  <si>
    <t>country of birth</t>
  </si>
  <si>
    <t>main language</t>
  </si>
  <si>
    <t>household language</t>
  </si>
  <si>
    <t>religion</t>
  </si>
  <si>
    <t>health and provision of unpaid care</t>
  </si>
  <si>
    <t>type of long-term condition</t>
  </si>
  <si>
    <t>dwellings, household spaces and accommodation type</t>
  </si>
  <si>
    <t>tenure and landlord</t>
  </si>
  <si>
    <t>household size</t>
  </si>
  <si>
    <t>central heating</t>
  </si>
  <si>
    <t>car or van availability</t>
  </si>
  <si>
    <t>adaptation to accommodation</t>
  </si>
  <si>
    <t>communal establishment residents and long-term health problem or disability</t>
  </si>
  <si>
    <t>hours worked</t>
  </si>
  <si>
    <t>industry of employment</t>
  </si>
  <si>
    <t>industry of employment - males</t>
  </si>
  <si>
    <t>industry of employment - females</t>
  </si>
  <si>
    <t>occupation groups</t>
  </si>
  <si>
    <t>occupation groups - males</t>
  </si>
  <si>
    <t>occupation groups - females</t>
  </si>
  <si>
    <t>usual residents born in northern ireland who have resided elsewhere, and short-term residents</t>
  </si>
  <si>
    <t>residence type</t>
  </si>
  <si>
    <t>population density</t>
  </si>
  <si>
    <t>age - single year</t>
  </si>
  <si>
    <t>age - 5 year</t>
  </si>
  <si>
    <t>sex</t>
  </si>
  <si>
    <t>schoolchildren and students in full-time education living away from home during term time</t>
  </si>
  <si>
    <t>household lifestage</t>
  </si>
  <si>
    <t>household composition - usual residents</t>
  </si>
  <si>
    <t>household composition - households</t>
  </si>
  <si>
    <t>all usual residents aged 18  to 64 in single adult households</t>
  </si>
  <si>
    <t>families with dependent children</t>
  </si>
  <si>
    <t>number of dependent children - households</t>
  </si>
  <si>
    <t>number of dependent children - families</t>
  </si>
  <si>
    <t>country of birth - full detail</t>
  </si>
  <si>
    <t>country of birth - basic detail</t>
  </si>
  <si>
    <t>country of birth - intermediate detail</t>
  </si>
  <si>
    <t>passports held- full detail</t>
  </si>
  <si>
    <t>main language - full detail</t>
  </si>
  <si>
    <t>irish language skills</t>
  </si>
  <si>
    <t>ulster-scots language skills</t>
  </si>
  <si>
    <t>religion - full detail</t>
  </si>
  <si>
    <t>provision of unpaid care</t>
  </si>
  <si>
    <t>general health</t>
  </si>
  <si>
    <t>long-term health problem or disability</t>
  </si>
  <si>
    <t>accommodation type - usual residents</t>
  </si>
  <si>
    <t>accommodation type - households</t>
  </si>
  <si>
    <t>tenure - usual residents</t>
  </si>
  <si>
    <t>tenure - households</t>
  </si>
  <si>
    <t>number of rooms</t>
  </si>
  <si>
    <t>occupancy rating - rooms</t>
  </si>
  <si>
    <t>persons per room - households</t>
  </si>
  <si>
    <t>persons per room - usual residents</t>
  </si>
  <si>
    <t>household spaces</t>
  </si>
  <si>
    <t>dwellings</t>
  </si>
  <si>
    <t>position in communal establishment</t>
  </si>
  <si>
    <t>communal establishment management and type - communal establishments</t>
  </si>
  <si>
    <t>communal establishment management and type - usual residents</t>
  </si>
  <si>
    <t>industry - manufacturing detail</t>
  </si>
  <si>
    <t>occupation - minor groups</t>
  </si>
  <si>
    <t>year last worked</t>
  </si>
  <si>
    <t>residence type by age by sex</t>
  </si>
  <si>
    <t>schoolchildren and students in full-time education living away from home during term time by age by sex</t>
  </si>
  <si>
    <t>marital and civil partnership status by age by sex</t>
  </si>
  <si>
    <t>marital and civil partnership status by age by sex of hrp</t>
  </si>
  <si>
    <t>living arrangements by age by sex</t>
  </si>
  <si>
    <t xml:space="preserve">living arrangements by age by sex of hrp </t>
  </si>
  <si>
    <t>marital and civil partnership status by age by sex - communal establishments</t>
  </si>
  <si>
    <t>dependent children by household composition by age of hrp - usual residents</t>
  </si>
  <si>
    <t>number and age of dependent children by family type by age of frp</t>
  </si>
  <si>
    <t>dependent children by household composition by age of hrp - households</t>
  </si>
  <si>
    <t>country of birth by age by sex</t>
  </si>
  <si>
    <t>living arrangements by country of birth</t>
  </si>
  <si>
    <t>main language by age by sex</t>
  </si>
  <si>
    <t>religion by age by sex</t>
  </si>
  <si>
    <t>religion by age</t>
  </si>
  <si>
    <t>household composition by religion of hrp</t>
  </si>
  <si>
    <t>living arrangements by religion by sex</t>
  </si>
  <si>
    <t>religion by broad age bands by sex</t>
  </si>
  <si>
    <t>country of birth by main language</t>
  </si>
  <si>
    <t>proficiency in english by main language</t>
  </si>
  <si>
    <t>country of birth by religion</t>
  </si>
  <si>
    <t>country of birth by religion by age</t>
  </si>
  <si>
    <t>country of birth by general health by long-term health problem or disability</t>
  </si>
  <si>
    <t>general health by religion by age by sex</t>
  </si>
  <si>
    <t>long-term health problem or disability by religion by age by sex</t>
  </si>
  <si>
    <t>type of communal establishment by country of birth by sex</t>
  </si>
  <si>
    <t>country of birth of hrp by household size</t>
  </si>
  <si>
    <t>type of communal establishment by religion by sex</t>
  </si>
  <si>
    <t>tenure by number of cars or vans by religion of hrp</t>
  </si>
  <si>
    <t>tenure by religion of hrp</t>
  </si>
  <si>
    <t>household size by religion of hrp</t>
  </si>
  <si>
    <t>occupation by country of birth by sex</t>
  </si>
  <si>
    <t>industry by country of birth by sex</t>
  </si>
  <si>
    <t>occupation by religion by sex</t>
  </si>
  <si>
    <t>industry by religion by sex</t>
  </si>
  <si>
    <t>type of long-term condition by age by sex</t>
  </si>
  <si>
    <t>general health by provision of unpaid care by age by sex</t>
  </si>
  <si>
    <t>long-term health problem or disability by provision of unpaid care by age by sex</t>
  </si>
  <si>
    <t>general health by long-term health problem or disability by age by sex</t>
  </si>
  <si>
    <t>tenure by general health by long-term health problem or disability by age</t>
  </si>
  <si>
    <t>number of cars or vans by general health by long-term health problem or disability by age by sex</t>
  </si>
  <si>
    <t>general health by long-term health problem or disability by age by sex - communal establishments</t>
  </si>
  <si>
    <t>type of long-term condition by general health by long-term health problem or disability</t>
  </si>
  <si>
    <t>type of long-term condition by tenure</t>
  </si>
  <si>
    <t>type of long-term condition by adaptation of accommodation</t>
  </si>
  <si>
    <t>provision of unpaid care by hours worked</t>
  </si>
  <si>
    <t>tenure by household composition</t>
  </si>
  <si>
    <t>household composition by numbers of cars or vans available</t>
  </si>
  <si>
    <t>type of communal establishment by resident type by age by sex</t>
  </si>
  <si>
    <t>long-term health problem or disability by type of communal establishment by age by sex</t>
  </si>
  <si>
    <t>general health by type of communal establishment by age by sex</t>
  </si>
  <si>
    <t>general health by adaptation of accommodation</t>
  </si>
  <si>
    <t>long-term health problem or disability by adaptation of accommodation</t>
  </si>
  <si>
    <t>provision of unpaid care by adaptation of accommodation</t>
  </si>
  <si>
    <t>dwelling type by accommodation type by household space type</t>
  </si>
  <si>
    <t>dwelling type by accommodation type by tenure - households</t>
  </si>
  <si>
    <t>dwelling type by accommodation type by tenure - usual residents</t>
  </si>
  <si>
    <t>accommodation type by car or van availability by number of usual residents aged 17 or over in the household</t>
  </si>
  <si>
    <t>tenure by household size by number of rooms</t>
  </si>
  <si>
    <t>tenure by persons per room by accommodation type</t>
  </si>
  <si>
    <t>tenure by central heating by household composition</t>
  </si>
  <si>
    <t>tenure by car or van availability by number of usual residents aged 17 or over in the household</t>
  </si>
  <si>
    <t>tenure by adaptation of accommodation</t>
  </si>
  <si>
    <t>hours worked by age by sex</t>
  </si>
  <si>
    <t>industry by age by sex</t>
  </si>
  <si>
    <t>former industry by age by sex</t>
  </si>
  <si>
    <t>occupation by age by sex</t>
  </si>
  <si>
    <t>former occupation by age by sex</t>
  </si>
  <si>
    <t>voluntary work by age by sex</t>
  </si>
  <si>
    <t>provision of unpaid care by voluntary work</t>
  </si>
  <si>
    <t>long-term health problem or disability by general health by voluntary work</t>
  </si>
  <si>
    <t>occupation by hours worked by age by sex</t>
  </si>
  <si>
    <t>industry by employment status by hours worked by age by sex</t>
  </si>
  <si>
    <t>occupation by industry</t>
  </si>
  <si>
    <t>occupation by employment status by hours worked by age by sex</t>
  </si>
  <si>
    <t>ethnic group ethnicity</t>
  </si>
  <si>
    <t>ethnic group - full detail ethnicity</t>
  </si>
  <si>
    <t>Ethnic Group of Household Reference Person (HRP) - 6 Way Classification</t>
  </si>
  <si>
    <t>Ethnic Group of Household Reference Person (HRP) - 12 Way Classification</t>
  </si>
  <si>
    <t>multiple ethnic groups ethnicity</t>
  </si>
  <si>
    <t>ethnic group by age by sex ethnicity</t>
  </si>
  <si>
    <t>country of birth by ethnic group ethnicity</t>
  </si>
  <si>
    <t>main language by ethnic group ethnicity</t>
  </si>
  <si>
    <t>ethnic group by religion ethnicity</t>
  </si>
  <si>
    <t>general health by ethnic group by age by sex ethnicity</t>
  </si>
  <si>
    <t>long-term health problem or disability by ethnic group by age by sex ethnicity</t>
  </si>
  <si>
    <t>long-term health problem or disability by general health by ethnic group by age ethnicity</t>
  </si>
  <si>
    <t>type of communal establishment by ethnic group by sex ethnicity</t>
  </si>
  <si>
    <t>tenure by number of cars or vans by ethnic group of hrp ethnicity</t>
  </si>
  <si>
    <t>household size by ethnic group of hrp ethnicity</t>
  </si>
  <si>
    <t>occupation by ethnic group by sex ethnicity</t>
  </si>
  <si>
    <t>industry by ethnic group by sex ethnicity</t>
  </si>
  <si>
    <t>ethnic group by voluntary work ethnicity</t>
  </si>
  <si>
    <t>household composition by ethnic group of hrp ethnicity</t>
  </si>
  <si>
    <t>living arrangements by ethnic group ethnicity</t>
  </si>
  <si>
    <t>national identity - full detail nationality</t>
  </si>
  <si>
    <t>economic activity economically active economically inactive</t>
  </si>
  <si>
    <t>economic activity - males economically active economically inactive</t>
  </si>
  <si>
    <t>economic activity - females economically active economically inactive</t>
  </si>
  <si>
    <t>economic activity - full-time students economically active economically inactive</t>
  </si>
  <si>
    <t>economic activity by ethnic group by age by sex ethnicity economically active economically inactive</t>
  </si>
  <si>
    <t>economic activity by country of birth by age by sex economically active economically inactive</t>
  </si>
  <si>
    <t>economic activity by main language economically active economically inactive</t>
  </si>
  <si>
    <t>economic activity by religion by sex economically active economically inactive</t>
  </si>
  <si>
    <t>economic activity by religion by age by sex economically active economically inactive</t>
  </si>
  <si>
    <t>economic activity by religion by age economically active economically inactive</t>
  </si>
  <si>
    <t>economic activity by general health by provision of unpaid care by sex economically active economically inactive</t>
  </si>
  <si>
    <t>economic activity by hours worked by long-term health problem or disability by sex economically active economically inactive</t>
  </si>
  <si>
    <t>type of long-term condition by economic activity economically active economically inactive</t>
  </si>
  <si>
    <t>economic activity by age by sex economically active economically inactive</t>
  </si>
  <si>
    <t>economic activity by living arrangements by sex economically active economically inactive</t>
  </si>
  <si>
    <t>economic activity by household type by tenure by age of full-time students economically active economically inactive</t>
  </si>
  <si>
    <t>economic activity by year last worked by age by sex economically active economically inactive</t>
  </si>
  <si>
    <t>tenure by economic activity by age of hrp economically active economically inactive</t>
  </si>
  <si>
    <t>tenure by car or van availability by economic activity economically active economically inactive</t>
  </si>
  <si>
    <t>economic activity by voluntary work economically active economically inactive</t>
  </si>
  <si>
    <t>ns-sec of hrp by tenure by sex national statistics socio-economic classification</t>
  </si>
  <si>
    <t>ns-sec by tenure national statistics socio-economic classification</t>
  </si>
  <si>
    <t>ns-sec by economic activity by sex economically active economically inactive national statistics socio-economic classification</t>
  </si>
  <si>
    <t>ns-sec by age by sex national statistics socio-economic classification</t>
  </si>
  <si>
    <t>ns-sec of hrp by household composition by sex national statistics socio-economic classification</t>
  </si>
  <si>
    <t>ns-sec of hrp by age by sex national statistics socio-economic classification</t>
  </si>
  <si>
    <t>ns-sec of hrp by households with full-time students away from home by age of student national statistics socio-economic classification</t>
  </si>
  <si>
    <t>ns-sec by ethnic group by sex ethnicity national statistics socio-economic classification</t>
  </si>
  <si>
    <t>ns-sec by religion by sex national statistics socio-economic classification</t>
  </si>
  <si>
    <t>general health by ns-sec by age by sex national statistics socio-economic classification</t>
  </si>
  <si>
    <t>long-term health problem or disability by ns-sec by age by sex national statistics socio-economic classification</t>
  </si>
  <si>
    <t>qualifications and students qualification</t>
  </si>
  <si>
    <t>highest level of qualification by ethnic group by sex ethnicity qualifications</t>
  </si>
  <si>
    <t>highest level of qualification by ethnic group by age ethnicity qualifications</t>
  </si>
  <si>
    <t>highest level of qualification by main language qualifications</t>
  </si>
  <si>
    <t>highest level of qualification by religion by sex qualifications</t>
  </si>
  <si>
    <t>highest level of qualification by religion by age by sex qualifications</t>
  </si>
  <si>
    <t>country of birth by highest level of qualification qualifications</t>
  </si>
  <si>
    <t>highest level of qualification by age by sex qualifications</t>
  </si>
  <si>
    <t>occupation by highest level of qualification by age by sex qualifications</t>
  </si>
  <si>
    <t>highest level of qualification by economic activity by age by sex economically active economically inactive qualifications</t>
  </si>
  <si>
    <t>ns-sec by highest level of qualification by age by sex national statistics socio-economic classification qualifications</t>
  </si>
  <si>
    <t>highest level of qualification by voluntary work qualifications</t>
  </si>
  <si>
    <t>Population and Household Estimates</t>
  </si>
  <si>
    <t>Usually Resident Population by single year of age</t>
  </si>
  <si>
    <t>Usually Resident Population by single year of age and sex</t>
  </si>
  <si>
    <t>Usually Resident Population by five year age bands and sex</t>
  </si>
  <si>
    <t>Usually Resident Population by broad age bands and sex</t>
  </si>
  <si>
    <t>Usually Resident Population, Households and Average Household Size</t>
  </si>
  <si>
    <t>-</t>
  </si>
  <si>
    <t>Headcount and Household Estimates for Postcodes</t>
  </si>
  <si>
    <t>Postcodes</t>
  </si>
  <si>
    <t>headcount and household estimates for postcodes postcode headcounts</t>
  </si>
  <si>
    <t>LC1101NI</t>
  </si>
  <si>
    <t>Marital and Civil Partnership Status by Age</t>
  </si>
  <si>
    <t>LC1102NI</t>
  </si>
  <si>
    <t>Marital and Civil Partnership Status by Sex</t>
  </si>
  <si>
    <t>LC1103NI</t>
  </si>
  <si>
    <t>LC1104NI</t>
  </si>
  <si>
    <t>LC1105NI</t>
  </si>
  <si>
    <t>Living Arrangements by Age by Sex of HRP</t>
  </si>
  <si>
    <t>LC2101NI</t>
  </si>
  <si>
    <t>National Identity (Classification 1) by Age</t>
  </si>
  <si>
    <t>LC2102NI</t>
  </si>
  <si>
    <t>National Identity (Classification 1) by Sex</t>
  </si>
  <si>
    <t>LC2103NI</t>
  </si>
  <si>
    <t>Country of Birth by Age</t>
  </si>
  <si>
    <t>LC2104NI</t>
  </si>
  <si>
    <t>Country of Birth by Sex</t>
  </si>
  <si>
    <t>LC2105NI</t>
  </si>
  <si>
    <t>Passports Held (Classification 1) by Age</t>
  </si>
  <si>
    <t>LC2106NI</t>
  </si>
  <si>
    <t>Passports Held (Classification 1) by Sex</t>
  </si>
  <si>
    <t>LC2107NI</t>
  </si>
  <si>
    <t>Main Language by Age</t>
  </si>
  <si>
    <t>LC2108NI</t>
  </si>
  <si>
    <t>Main Language by Sex</t>
  </si>
  <si>
    <t>LC2109NI</t>
  </si>
  <si>
    <t>LC2110NI</t>
  </si>
  <si>
    <t>LC2111NI</t>
  </si>
  <si>
    <t>Religion by Sex</t>
  </si>
  <si>
    <t>LC2112NI</t>
  </si>
  <si>
    <t>Religion or Religion Brought Up In by Sex</t>
  </si>
  <si>
    <t>LC2113NI</t>
  </si>
  <si>
    <t>Knowledge of Irish by Age</t>
  </si>
  <si>
    <t>LC2114NI</t>
  </si>
  <si>
    <t>Knowledge of Ulster-Scots by Age</t>
  </si>
  <si>
    <t>LC2115NI</t>
  </si>
  <si>
    <t>Knowledge of Irish by Sex</t>
  </si>
  <si>
    <t>LC2116NI</t>
  </si>
  <si>
    <t>Knowledge of Ulster-Scots by Sex</t>
  </si>
  <si>
    <t>LC2117NI</t>
  </si>
  <si>
    <t>LC2118NI</t>
  </si>
  <si>
    <t>LC2119NI</t>
  </si>
  <si>
    <t>LC2120NI</t>
  </si>
  <si>
    <t>LC2201NI</t>
  </si>
  <si>
    <t>LC2202NI</t>
  </si>
  <si>
    <t>LC2203NI</t>
  </si>
  <si>
    <t>LC2204NI</t>
  </si>
  <si>
    <t>Knowledge of Irish by Religion</t>
  </si>
  <si>
    <t>LC2205NI</t>
  </si>
  <si>
    <t>Knowledge of Ulster-Scots by Religion</t>
  </si>
  <si>
    <t>LC2206NI</t>
  </si>
  <si>
    <t>Knowledge of Irish by National Identity (Classification 1)</t>
  </si>
  <si>
    <t>LC2207NI</t>
  </si>
  <si>
    <t>Knowledge of Ulster-Scots by National Identity (Classification 1)</t>
  </si>
  <si>
    <t>LC2208NI</t>
  </si>
  <si>
    <t>Knowledge of Irish by Passports Held (Classification 1)</t>
  </si>
  <si>
    <t>LC2209NI</t>
  </si>
  <si>
    <t>Knowledge of Ulster-Scots by Passports Held (Classification 1)</t>
  </si>
  <si>
    <t>LC2210NI</t>
  </si>
  <si>
    <t>LC2211NI</t>
  </si>
  <si>
    <t>Knowledge of Irish by Religion or Religion Brought Up In</t>
  </si>
  <si>
    <t>LC2212NI</t>
  </si>
  <si>
    <t>Knowledge of Ulster-Scots by Religion or Religion Brought Up In</t>
  </si>
  <si>
    <t>LC2213NI</t>
  </si>
  <si>
    <t>LC2214NI</t>
  </si>
  <si>
    <t>LC2215NI</t>
  </si>
  <si>
    <t>LC2301NI</t>
  </si>
  <si>
    <t>General Health by Religion</t>
  </si>
  <si>
    <t>LC2302NI</t>
  </si>
  <si>
    <t>General Health by Religion or Religion Brought Up In</t>
  </si>
  <si>
    <t>LC2303NI</t>
  </si>
  <si>
    <t>Long-Term Health Problem or Disability by Religion</t>
  </si>
  <si>
    <t>LC2304NI</t>
  </si>
  <si>
    <t>Long-Term Health Problem or Disability by Religion or Religion Brought Up In</t>
  </si>
  <si>
    <t>LC2401NI</t>
  </si>
  <si>
    <t>Tenure by Religion</t>
  </si>
  <si>
    <t>LC2402NI</t>
  </si>
  <si>
    <t>Tenure by Religion or Religion Brought Up In</t>
  </si>
  <si>
    <t>LC2403NI</t>
  </si>
  <si>
    <t>LC2404NI</t>
  </si>
  <si>
    <t>LC2405NI</t>
  </si>
  <si>
    <t>Household Size by Religion or Religion Brought Up in of HRP</t>
  </si>
  <si>
    <t>LC2406NI</t>
  </si>
  <si>
    <t>Tenure by Religion or Religion Brought Up In of HRP</t>
  </si>
  <si>
    <t>LC2407NI</t>
  </si>
  <si>
    <t>Number of Cars or Vans by Religion of HRP</t>
  </si>
  <si>
    <t>LC2408NI</t>
  </si>
  <si>
    <t>Number of Cars or Vans by Religion or Religion Brought Up In of HRP</t>
  </si>
  <si>
    <t>LC2409NI</t>
  </si>
  <si>
    <t>LC2501NI</t>
  </si>
  <si>
    <t>LC2502NI</t>
  </si>
  <si>
    <t>Highest Level of Qualification by Religion</t>
  </si>
  <si>
    <t>LC2503NI</t>
  </si>
  <si>
    <t>Highest Level of Qualification by Religion or Religion Brought Up In</t>
  </si>
  <si>
    <t>LC2601NI</t>
  </si>
  <si>
    <t>Economic Activity by Country of Birth by Age</t>
  </si>
  <si>
    <t>LC2602NI</t>
  </si>
  <si>
    <t>Economic Activity by Country of Birth by Sex</t>
  </si>
  <si>
    <t>LC2603NI</t>
  </si>
  <si>
    <t>Economic Activity by Passports Held (Classification 1)</t>
  </si>
  <si>
    <t>LC2604NI</t>
  </si>
  <si>
    <t>NS-SeC by Religion</t>
  </si>
  <si>
    <t>LC2605NI</t>
  </si>
  <si>
    <t>Country of Birth by Occupation</t>
  </si>
  <si>
    <t>LC2606NI</t>
  </si>
  <si>
    <t>Economic Activity by Religion</t>
  </si>
  <si>
    <t>LC2607NI</t>
  </si>
  <si>
    <t>Economic Activity by Religion or Religion Brought Up In</t>
  </si>
  <si>
    <t>LC2608NI</t>
  </si>
  <si>
    <t>NS-SeC by Religion or Religion Brought Up In</t>
  </si>
  <si>
    <t>LC2609NI</t>
  </si>
  <si>
    <t>Occupation by Religion</t>
  </si>
  <si>
    <t>LC2610NI</t>
  </si>
  <si>
    <t>Occupation by Religion or Religion Brought Up In</t>
  </si>
  <si>
    <t>LC3101NI</t>
  </si>
  <si>
    <t>Provision of Unpaid Care by Age</t>
  </si>
  <si>
    <t>LC3102NI</t>
  </si>
  <si>
    <t>Provision of Unpaid Care by Sex</t>
  </si>
  <si>
    <t>LC3103NI</t>
  </si>
  <si>
    <t>General Health by Age</t>
  </si>
  <si>
    <t>LC3104NI</t>
  </si>
  <si>
    <t>General Health by Sex</t>
  </si>
  <si>
    <t>LC3105NI</t>
  </si>
  <si>
    <t>Long-Term Health Problem or Disability by Age</t>
  </si>
  <si>
    <t>LC3106NI</t>
  </si>
  <si>
    <t>Long-Term Health Problem or Disability by Sex</t>
  </si>
  <si>
    <t>LC3301NI</t>
  </si>
  <si>
    <t>Long-Term Health Problem or Disability by General Health</t>
  </si>
  <si>
    <t>LC3302NI</t>
  </si>
  <si>
    <t>Long-Term Health Problem or Disability by Provision of Unpaid Care</t>
  </si>
  <si>
    <t>LC3303NI</t>
  </si>
  <si>
    <t>LC3401NI</t>
  </si>
  <si>
    <t>Occupancy Rating by General Health</t>
  </si>
  <si>
    <t>LC3402NI</t>
  </si>
  <si>
    <t>Occupancy Rating by Long-Term Health Problem or Disability</t>
  </si>
  <si>
    <t>LC3601NI</t>
  </si>
  <si>
    <t>General Health by NS-SeC by Sex</t>
  </si>
  <si>
    <t>LC3602NI</t>
  </si>
  <si>
    <t>Long-Term Health Problem or Disability by NS-SeC by Sex</t>
  </si>
  <si>
    <t>LC3603NI</t>
  </si>
  <si>
    <t>Economic Activity by General Health</t>
  </si>
  <si>
    <t>LC3604NI</t>
  </si>
  <si>
    <t>Economic Activity by Provision of Unpaid Care</t>
  </si>
  <si>
    <t>LC3605NI</t>
  </si>
  <si>
    <t>Economic Activity by Long-Term Health Problem or Disability</t>
  </si>
  <si>
    <t>LC3606NI</t>
  </si>
  <si>
    <t>LC4101NI</t>
  </si>
  <si>
    <t>Tenure by Age of HRP</t>
  </si>
  <si>
    <t>LC4102NI</t>
  </si>
  <si>
    <t>Household Composition by Tenure</t>
  </si>
  <si>
    <t>LC4103NI</t>
  </si>
  <si>
    <t>LC4104NI</t>
  </si>
  <si>
    <t>Household Composition by Number of Cars or Vans Available</t>
  </si>
  <si>
    <t>LC4301NI</t>
  </si>
  <si>
    <t>Tenure by General Health</t>
  </si>
  <si>
    <t>LC4302NI</t>
  </si>
  <si>
    <t>Tenure by Long-Term Health Problem or Disability</t>
  </si>
  <si>
    <t>LC4401NI</t>
  </si>
  <si>
    <t>Tenure by Car or Van Availability by Number of Usual Residents Aged 17 or Over in the Household</t>
  </si>
  <si>
    <t>LC4402NI</t>
  </si>
  <si>
    <t>Central Heating by Accommodation Type</t>
  </si>
  <si>
    <t>LC4403NI</t>
  </si>
  <si>
    <t>Number of Rooms by Tenure</t>
  </si>
  <si>
    <t>LC4404NI</t>
  </si>
  <si>
    <t>LC4406NI</t>
  </si>
  <si>
    <t>Accommodation Type by Tenure</t>
  </si>
  <si>
    <t>LC4407NI</t>
  </si>
  <si>
    <t>Central Heating by Tenure</t>
  </si>
  <si>
    <t>LC4408NI</t>
  </si>
  <si>
    <t>Household Size by Tenure</t>
  </si>
  <si>
    <t>LC4409NI</t>
  </si>
  <si>
    <t>Household Size by Number of Rooms</t>
  </si>
  <si>
    <t>LC4410NI</t>
  </si>
  <si>
    <t>Accommodation Type by Household Space Type</t>
  </si>
  <si>
    <t>LC4411NI</t>
  </si>
  <si>
    <t>Car or Van Availability by Accommodation Type</t>
  </si>
  <si>
    <t>LC5101NI</t>
  </si>
  <si>
    <t>Highest Level of Qualification by Age</t>
  </si>
  <si>
    <t>LC5102NI</t>
  </si>
  <si>
    <t>Highest Level of Qualification by Sex</t>
  </si>
  <si>
    <t>LC6101NI</t>
  </si>
  <si>
    <t>LC6102NI</t>
  </si>
  <si>
    <t>Industry by Age</t>
  </si>
  <si>
    <t>LC6103NI</t>
  </si>
  <si>
    <t>Occupation by Age</t>
  </si>
  <si>
    <t>LC6104NI</t>
  </si>
  <si>
    <t>Occupation by Sex</t>
  </si>
  <si>
    <t>LC6105NI</t>
  </si>
  <si>
    <t>NS-SeC by Age</t>
  </si>
  <si>
    <t>LC6106NI</t>
  </si>
  <si>
    <t>NS-SeC by Sex</t>
  </si>
  <si>
    <t>LC6107NI</t>
  </si>
  <si>
    <t>Economic Activity by Age</t>
  </si>
  <si>
    <t>LC6108NI</t>
  </si>
  <si>
    <t>Economic Activity by Sex</t>
  </si>
  <si>
    <t>LC6109NI</t>
  </si>
  <si>
    <t>Hours Worked by Age</t>
  </si>
  <si>
    <t>LC6110NI</t>
  </si>
  <si>
    <t>Hours Worked by Sex</t>
  </si>
  <si>
    <t>LC6111NI</t>
  </si>
  <si>
    <t>NS-SeC of HRP by Age</t>
  </si>
  <si>
    <t>LC6112NI</t>
  </si>
  <si>
    <t>NS-SeC of HRP by Sex</t>
  </si>
  <si>
    <t>LC6113NI</t>
  </si>
  <si>
    <t>Economic Activity by Living Arrangements</t>
  </si>
  <si>
    <t>LC6301NI</t>
  </si>
  <si>
    <t>LC6302NI</t>
  </si>
  <si>
    <t>Long-Term Health Problem or Disability by Voluntary Work</t>
  </si>
  <si>
    <t>LC6303NI</t>
  </si>
  <si>
    <t>General Health by Voluntary Work</t>
  </si>
  <si>
    <t>LC6401NI</t>
  </si>
  <si>
    <t>LC6402NI</t>
  </si>
  <si>
    <t>Tenure by Economic Activity of HRP</t>
  </si>
  <si>
    <t>LC6403NI</t>
  </si>
  <si>
    <t>NS-SeC of HRP by Tenure</t>
  </si>
  <si>
    <t>LC6501NI</t>
  </si>
  <si>
    <t>LC6502NI</t>
  </si>
  <si>
    <t>NS-SeC by Highest Level of Qualification</t>
  </si>
  <si>
    <t>LC6503NI</t>
  </si>
  <si>
    <t>Highest Level of Qualification by Economic Activity by Age</t>
  </si>
  <si>
    <t>LC6601NI</t>
  </si>
  <si>
    <t>LC6603NI</t>
  </si>
  <si>
    <t>LC6604NI</t>
  </si>
  <si>
    <t>Occupation by Hours Worked by Sex</t>
  </si>
  <si>
    <t>marital and civil partnership status by age</t>
  </si>
  <si>
    <t>marital and civil partnership status by sex</t>
  </si>
  <si>
    <t>living arrangements by age by sex of hrp</t>
  </si>
  <si>
    <t>country of birth by age</t>
  </si>
  <si>
    <t>country of birth by sex</t>
  </si>
  <si>
    <t>main language by age</t>
  </si>
  <si>
    <t>main language by sex</t>
  </si>
  <si>
    <t>religion by sex</t>
  </si>
  <si>
    <t>general health by religion</t>
  </si>
  <si>
    <t>long-term health problem or disability by religion</t>
  </si>
  <si>
    <t>tenure by religion</t>
  </si>
  <si>
    <t>number of cars or vans by religion of hrp</t>
  </si>
  <si>
    <t>country of birth by occupation</t>
  </si>
  <si>
    <t>occupation by religion</t>
  </si>
  <si>
    <t>provision of unpaid care by age</t>
  </si>
  <si>
    <t>provision of unpaid care by sex</t>
  </si>
  <si>
    <t>general health by age</t>
  </si>
  <si>
    <t>general health by sex</t>
  </si>
  <si>
    <t>long-term health problem or disability by age</t>
  </si>
  <si>
    <t>long-term health problem or disability by sex</t>
  </si>
  <si>
    <t>long-term health problem or disability by general health</t>
  </si>
  <si>
    <t>long-term health problem or disability by provision of unpaid care</t>
  </si>
  <si>
    <t>general health by long-term health problem or disability by number of cars of vans</t>
  </si>
  <si>
    <t>occupancy rating by general health</t>
  </si>
  <si>
    <t>occupancy rating by long-term health problem or disability</t>
  </si>
  <si>
    <t>tenure by age of hrp</t>
  </si>
  <si>
    <t>household composition by tenure</t>
  </si>
  <si>
    <t>household composition by number of cars or vans available</t>
  </si>
  <si>
    <t>tenure by general health</t>
  </si>
  <si>
    <t>tenure by long-term health problem or disability</t>
  </si>
  <si>
    <t>central heating by accommodation type</t>
  </si>
  <si>
    <t>number of rooms by tenure</t>
  </si>
  <si>
    <t>accommodation type by tenure</t>
  </si>
  <si>
    <t>central heating by tenure</t>
  </si>
  <si>
    <t>household size by tenure</t>
  </si>
  <si>
    <t>household size by number of rooms</t>
  </si>
  <si>
    <t>accommodation type by household space type</t>
  </si>
  <si>
    <t>car or van availability by accommodation type</t>
  </si>
  <si>
    <t>industry by age</t>
  </si>
  <si>
    <t>occupation by age</t>
  </si>
  <si>
    <t>occupation by sex</t>
  </si>
  <si>
    <t>hours worked by age</t>
  </si>
  <si>
    <t>hours worked by sex</t>
  </si>
  <si>
    <t>long-term health problem or disability by voluntary work</t>
  </si>
  <si>
    <t>general health by voluntary work</t>
  </si>
  <si>
    <t>occupation by hours worked by sex</t>
  </si>
  <si>
    <t>ns-sec by religion national statistics socio-economic classification</t>
  </si>
  <si>
    <t>general health by ns-sec by sex national statistics socio-economic classification</t>
  </si>
  <si>
    <t>long-term health problem or disability by ns-sec by sex national statistics socio-economic classification</t>
  </si>
  <si>
    <t>ns-sec by age national statistics socio-economic classification</t>
  </si>
  <si>
    <t>ns-sec by sex national statistics socio-economic classification</t>
  </si>
  <si>
    <t>ns-sec of hrp by age national statistics socio-economic classification</t>
  </si>
  <si>
    <t>ns-sec of hrp by sex national statistics socio-economic classification</t>
  </si>
  <si>
    <t>ns-sec of hrp by tenure national statistics socio-economic classification</t>
  </si>
  <si>
    <t>ns-sec by highest level of qualification national statistics socio-economic classification</t>
  </si>
  <si>
    <t>religion or religion brought up in by age community background</t>
  </si>
  <si>
    <t>religion or religion brought up in by sex community background</t>
  </si>
  <si>
    <t>household composition by religion or religion brought up in of hrp community background</t>
  </si>
  <si>
    <t>living arrangements by religion or religion brought up in by sex community background</t>
  </si>
  <si>
    <t>country of birth by religion or religion brought up in community background</t>
  </si>
  <si>
    <t>general health by religion or religion brought up in community background</t>
  </si>
  <si>
    <t>long-term health problem or disability by religion or religion brought up in community background</t>
  </si>
  <si>
    <t>tenure by religion or religion brought up in community background</t>
  </si>
  <si>
    <t>household size by religion or religion brought up in of hrp community background</t>
  </si>
  <si>
    <t>tenure by religion or religion brought up in of hrp community background</t>
  </si>
  <si>
    <t>number of cars or vans by religion or religion brought up in of hrp community background</t>
  </si>
  <si>
    <t>occupation by religion or religion brought up in community background</t>
  </si>
  <si>
    <t>economic activity by country of birth by age economically active economically inactive</t>
  </si>
  <si>
    <t>economic activity by country of birth by sex economically active economically inactive</t>
  </si>
  <si>
    <t>economic activity by religion economically active economically inactive</t>
  </si>
  <si>
    <t>economic activity by religion or religion brought up in community background economically active economically inactive</t>
  </si>
  <si>
    <t>economic activity by general health economically active economically inactive</t>
  </si>
  <si>
    <t>economic activity by provision of unpaid care economically active economically inactive</t>
  </si>
  <si>
    <t>economic activity by long-term health problem or disability economically active economically inactive</t>
  </si>
  <si>
    <t>economic activity by age economically active economically inactive</t>
  </si>
  <si>
    <t>economic activity by sex economically active economically inactive</t>
  </si>
  <si>
    <t>economic activity by living arrangements economically active economically inactive</t>
  </si>
  <si>
    <t>tenure by economic activity of hrp economically active economically inactive</t>
  </si>
  <si>
    <t>ns-sec by economic activity by sex national statistics socio-economic classification economically active economically inactive</t>
  </si>
  <si>
    <t>highest level of qualification by religion qualifications</t>
  </si>
  <si>
    <t>highest level of qualification by religion or religion brought up in community background qualifications</t>
  </si>
  <si>
    <t>highest level of qualification by age qualifications</t>
  </si>
  <si>
    <t>highest level of qualification by sex qualifications</t>
  </si>
  <si>
    <t>highest level of qualification by economic activity by age economically active economically inactive qualifications</t>
  </si>
  <si>
    <t>ns-sec by religion or religion brought up in community background national statistics socio-economic classification</t>
  </si>
  <si>
    <t>religion or religion brought up in by age by sex community background</t>
  </si>
  <si>
    <t>religion or religion brought up in by broad age bands by sex community background</t>
  </si>
  <si>
    <t>ethnic group by religion or religion brought up in ethnicity community background</t>
  </si>
  <si>
    <t>general health by religion or religion brought up in by age by sex community background</t>
  </si>
  <si>
    <t>long-term health problem or disability by religion or religion brought up in by age by sex community background</t>
  </si>
  <si>
    <t>type of communal establishment by religion or religion brought up in by sex community background</t>
  </si>
  <si>
    <t>tenure by number of cars or vans by religion or religion brought up in of hrp community background</t>
  </si>
  <si>
    <t>highest level of qualification by religion or religion brought up in by sex qualifications community background</t>
  </si>
  <si>
    <t>highest level of qualification by religion or religion brought up in by age by sex qualifications community background</t>
  </si>
  <si>
    <t>economic activity by religion or religion brought up in by sex economically active economically inactive community background</t>
  </si>
  <si>
    <t>economic activity by religion or religion brought up in by age by sex economically active economically inactive community background</t>
  </si>
  <si>
    <t>occupation by religion or religion brought up in by sex community background</t>
  </si>
  <si>
    <t>industry by religion or religion brought up in by sex community background</t>
  </si>
  <si>
    <t>ns-sec by religion or religion brought up in by sex national statistics socio-economic classification community background</t>
  </si>
  <si>
    <t>economic activity by religion or religion brought up in by age economically active economically inactive community background</t>
  </si>
  <si>
    <t>religion or religion brought up in community background</t>
  </si>
  <si>
    <t>religion or religion brought up in structure of household community background</t>
  </si>
  <si>
    <t>country of birth by religion or religion brought up in by age community background</t>
  </si>
  <si>
    <t>religion or religion brought up in by voluntary work community background</t>
  </si>
  <si>
    <t>knowledge of irish language</t>
  </si>
  <si>
    <t xml:space="preserve">knowledge of ulster-scots language
</t>
  </si>
  <si>
    <t>proficiency in english language</t>
  </si>
  <si>
    <t>knowledge of irish - intermediate detail language</t>
  </si>
  <si>
    <t>knowledge of ulster-scots - intermediate detail language</t>
  </si>
  <si>
    <t>knowledge of irish - full detail language</t>
  </si>
  <si>
    <t>knowledge of ulster-scots - full detail language</t>
  </si>
  <si>
    <t>proficiency in english by ethnic group ethnicity language</t>
  </si>
  <si>
    <t>knowledge of ulster-scots by age by sex ulster scots language</t>
  </si>
  <si>
    <t>knowledge of irish by age by sex language</t>
  </si>
  <si>
    <t>country of birth by proficiency in english language</t>
  </si>
  <si>
    <t>knowledge of irish by country of birth by religion or religion brought up in by age community background language</t>
  </si>
  <si>
    <t>knowledge of ulster-scots by country of birth by religion or religion brought up in by age community background ulster scots language</t>
  </si>
  <si>
    <t>knowledge of irish by religion by age by sex language</t>
  </si>
  <si>
    <t>knowledge of irish by religion or religion brought up in by age by sex community background language</t>
  </si>
  <si>
    <t>knowledge of ulster-scots by religion by age by sex ulster scots language</t>
  </si>
  <si>
    <t>knowledge of ulster-scots by religion or religion brought up in by age by sex community background ulster scots language</t>
  </si>
  <si>
    <t>proficiency in english by general health by long-term health problem or disability by age by sex language</t>
  </si>
  <si>
    <t>knowledge of irish by age language</t>
  </si>
  <si>
    <t>knowledge of ulster-scots by age ulster scots language</t>
  </si>
  <si>
    <t>knowledge of ulster-scots by religion ulster scots language</t>
  </si>
  <si>
    <t>knowledge of irish by religion language</t>
  </si>
  <si>
    <t>knowledge of ulster-scots by sex ulster scots language</t>
  </si>
  <si>
    <t>knowledge of irish by sex language</t>
  </si>
  <si>
    <t>knowledge of irish by religion or religion brought up in community background language</t>
  </si>
  <si>
    <t>knowledge of ulster-scots by religion or religion brought up in community background ulster scots language</t>
  </si>
  <si>
    <t>proficiency in english by age by sex language</t>
  </si>
  <si>
    <t>type of communal establishment by proficiency in english by sex language</t>
  </si>
  <si>
    <t>proficiency in english by highest level of qualification by age by sex qualifications language</t>
  </si>
  <si>
    <t>proficiency in english by industry by employment status by hours worked language</t>
  </si>
  <si>
    <t>occupation by proficiency in english by sex language</t>
  </si>
  <si>
    <t>economic activity by proficiency in english by age by sex economically active economically inactive language</t>
  </si>
  <si>
    <t>General Health by Long-Term Health Problem or Disability by Number of Cars of Vans</t>
  </si>
  <si>
    <t>ST101NI</t>
  </si>
  <si>
    <t>Residence Type (Short-Term Residents)</t>
  </si>
  <si>
    <t>ST102NI</t>
  </si>
  <si>
    <t>Population Density (Short-Term Residents)</t>
  </si>
  <si>
    <t>ST103NI</t>
  </si>
  <si>
    <t>Sex by Single Year of Age (Short-Term Residents)</t>
  </si>
  <si>
    <t>ST201NI</t>
  </si>
  <si>
    <t>Ethnic Group (Short-Term Residents)</t>
  </si>
  <si>
    <t>ST202NI</t>
  </si>
  <si>
    <t>Country of Birth - Intermediate Detail (Short-Term Residents)</t>
  </si>
  <si>
    <t>ST203NI</t>
  </si>
  <si>
    <t>Main Language (Short-Term Residents)</t>
  </si>
  <si>
    <t>ST204NI</t>
  </si>
  <si>
    <t>Religion (Short-Term Residents)</t>
  </si>
  <si>
    <t>ST205NI</t>
  </si>
  <si>
    <t>Religion or Religion Brought Up In (Short-Term Residents)</t>
  </si>
  <si>
    <t>ST206NI</t>
  </si>
  <si>
    <t>Passports Held (Classification1) (Short-Term Residents)</t>
  </si>
  <si>
    <t>ST207NI</t>
  </si>
  <si>
    <t>Passports Held (Classification 2) (Short-Term Residents)</t>
  </si>
  <si>
    <t>ST301NI</t>
  </si>
  <si>
    <t>Provision of Unpaid Care (Short-Term Residents)</t>
  </si>
  <si>
    <t>ST302NI</t>
  </si>
  <si>
    <t>General Health (Short-Term Residents)</t>
  </si>
  <si>
    <t>ST401NI</t>
  </si>
  <si>
    <t>Tenure - Short-Term Residents</t>
  </si>
  <si>
    <t>ST601NI</t>
  </si>
  <si>
    <t>Economic Activity (Short-Term Residents)</t>
  </si>
  <si>
    <t>ST602NI</t>
  </si>
  <si>
    <t>Hours Worked (Short-Term Residents)</t>
  </si>
  <si>
    <t>ST603NI</t>
  </si>
  <si>
    <t>Industry of Employment (Short-Term Residents)</t>
  </si>
  <si>
    <t>ST604NI</t>
  </si>
  <si>
    <t>Occupation (Short-Term Residents)</t>
  </si>
  <si>
    <t>ST605NI</t>
  </si>
  <si>
    <t>National Statistics Socio-Economic Classification (NS-SeC) (Short-Term Residents)</t>
  </si>
  <si>
    <t>ST701NI</t>
  </si>
  <si>
    <t>Method of Travel to Work (Short-Term Residents)</t>
  </si>
  <si>
    <t>ST702NI</t>
  </si>
  <si>
    <t>Method of Travel to Work or Place of Study (Short-Term Residents)</t>
  </si>
  <si>
    <t>tenure - short-term residents</t>
  </si>
  <si>
    <t>residence type short-term residents</t>
  </si>
  <si>
    <t>population density short-term residents</t>
  </si>
  <si>
    <t>sex by single year of age short-term residents</t>
  </si>
  <si>
    <t>country of birth - intermediate detail short-term residents</t>
  </si>
  <si>
    <t>main language short-term residents</t>
  </si>
  <si>
    <t>religion short-term residents</t>
  </si>
  <si>
    <t>provision of unpaid care short-term residents</t>
  </si>
  <si>
    <t>general health short-term residents</t>
  </si>
  <si>
    <t>hours worked short-term residents</t>
  </si>
  <si>
    <t>industry of employment short-term residents</t>
  </si>
  <si>
    <t>occupation short-term residents</t>
  </si>
  <si>
    <t>method of travel to work short-term residents</t>
  </si>
  <si>
    <t>method of travel to work or place of study short-term residents</t>
  </si>
  <si>
    <t>ethnic group short-term residents ethnicity</t>
  </si>
  <si>
    <t>religion or religion brought up in short-term residents community background</t>
  </si>
  <si>
    <t>national statistics socio-economic classification ns-sec short-term residents</t>
  </si>
  <si>
    <t>economic activity short-term residents economically active economically inactive</t>
  </si>
  <si>
    <t>WP101NI</t>
  </si>
  <si>
    <t>Population (Workplace Population)</t>
  </si>
  <si>
    <t>WP102NI</t>
  </si>
  <si>
    <t>Population Density (Workplace Population)</t>
  </si>
  <si>
    <t>WP103NI</t>
  </si>
  <si>
    <t>Single Year of Age by Sex (Workplace Population)</t>
  </si>
  <si>
    <t>WP104NI</t>
  </si>
  <si>
    <t>WP201NI</t>
  </si>
  <si>
    <t>Ethnic Group (Workplace Population)</t>
  </si>
  <si>
    <t>WP202NI</t>
  </si>
  <si>
    <t>Country of Birth - Intermediate  Detail (Workplace Population)</t>
  </si>
  <si>
    <t>WP203NI</t>
  </si>
  <si>
    <t>Main Language (Workplace Population)</t>
  </si>
  <si>
    <t>WP204NI</t>
  </si>
  <si>
    <t>Irish Language Skills (Workplace Population)</t>
  </si>
  <si>
    <t>WP205NI</t>
  </si>
  <si>
    <t>Ulster-Scots Language Skills (Workplace Population)</t>
  </si>
  <si>
    <t>WP206NI</t>
  </si>
  <si>
    <t>Religion (Workplace Population)</t>
  </si>
  <si>
    <t>WP207NI</t>
  </si>
  <si>
    <t>Religion or Religion Brought Up In (Workplace Population)</t>
  </si>
  <si>
    <t>WP208NI</t>
  </si>
  <si>
    <t>Passports Held (Classification 1) (Workplace Population)</t>
  </si>
  <si>
    <t>WP209NI</t>
  </si>
  <si>
    <t>Passports Held (Classification 2) (Workplace Population)</t>
  </si>
  <si>
    <t>WP301NI</t>
  </si>
  <si>
    <t>General Health (Workplace Population)</t>
  </si>
  <si>
    <t>WP401NI</t>
  </si>
  <si>
    <t>Tenure (Workplace Population)</t>
  </si>
  <si>
    <t>WP501NI</t>
  </si>
  <si>
    <t>Highest Level of Qualification (Workplace Population)</t>
  </si>
  <si>
    <t>WP502NI</t>
  </si>
  <si>
    <t>Occupation by Highest Level of Qualification (Workplace Population)</t>
  </si>
  <si>
    <t>WP503NI</t>
  </si>
  <si>
    <t>Highest Level of Qualification by Industry (Workplace Population)</t>
  </si>
  <si>
    <t>WP601NI</t>
  </si>
  <si>
    <t>Employment Status (Workplace Population)</t>
  </si>
  <si>
    <t>WP602NI</t>
  </si>
  <si>
    <t>Hours Worked (Workplace Population)</t>
  </si>
  <si>
    <t>WP603NI</t>
  </si>
  <si>
    <t>Industry of Employment (Workplace Population)</t>
  </si>
  <si>
    <t>WP604NI</t>
  </si>
  <si>
    <t>Occupation - Minor Groups (Workplace Population)</t>
  </si>
  <si>
    <t>WP605NI</t>
  </si>
  <si>
    <t>National Statistics Socio-Economic Classification (NS-SeC) (Workplace Population)</t>
  </si>
  <si>
    <t>WP606NI</t>
  </si>
  <si>
    <t>Approximated Social Grade (Workplace Population)</t>
  </si>
  <si>
    <t>WP607NI</t>
  </si>
  <si>
    <t>Occupation by Industry (Workplace Population)</t>
  </si>
  <si>
    <t>WP608NI</t>
  </si>
  <si>
    <t>Industry by Age (Workplace Population)</t>
  </si>
  <si>
    <t>WP609NI</t>
  </si>
  <si>
    <t>Occupation by Age (Workplace Population)</t>
  </si>
  <si>
    <t>WP701NI</t>
  </si>
  <si>
    <t>Method of Travel to Work (Workplace Population)</t>
  </si>
  <si>
    <t>WP706NI</t>
  </si>
  <si>
    <t>Method of Travel to Work by Age (Workplace Population)</t>
  </si>
  <si>
    <t>population workplace population</t>
  </si>
  <si>
    <t>population density workplace population</t>
  </si>
  <si>
    <t>single year of age by sex workplace population</t>
  </si>
  <si>
    <t>main language workplace population</t>
  </si>
  <si>
    <t>irish language skills workplace population</t>
  </si>
  <si>
    <t>religion workplace population</t>
  </si>
  <si>
    <t>general health workplace population</t>
  </si>
  <si>
    <t>tenure workplace population</t>
  </si>
  <si>
    <t>employment status workplace population</t>
  </si>
  <si>
    <t>hours worked workplace population</t>
  </si>
  <si>
    <t>industry of employment workplace population</t>
  </si>
  <si>
    <t>occupation - minor groups workplace population</t>
  </si>
  <si>
    <t>national statistics socio-economic classification ns-sec workplace population</t>
  </si>
  <si>
    <t>approximated social grade workplace population</t>
  </si>
  <si>
    <t>occupation by industry workplace population</t>
  </si>
  <si>
    <t>industry by age workplace population</t>
  </si>
  <si>
    <t>occupation by age workplace population</t>
  </si>
  <si>
    <t>method of travel to work workplace population</t>
  </si>
  <si>
    <t>method of travel to work by age workplace population</t>
  </si>
  <si>
    <t>occupation by highest level of qualification workplace population qualifications</t>
  </si>
  <si>
    <t>highest level of qualification by industry workplace population qualifications</t>
  </si>
  <si>
    <t>highest level of qualification workplace population qualifications</t>
  </si>
  <si>
    <t>usually resident population by single year of age</t>
  </si>
  <si>
    <t>usually resident population by single year of age and sex</t>
  </si>
  <si>
    <t>usually resident population by five year age bands and sex</t>
  </si>
  <si>
    <t>usually resident population by broad age bands and sex</t>
  </si>
  <si>
    <t>national identity classification 1 nationality</t>
  </si>
  <si>
    <t>national identity classification 2 nationality</t>
  </si>
  <si>
    <t>passports held classification 1</t>
  </si>
  <si>
    <t>passports held classification 2</t>
  </si>
  <si>
    <t>national statistics socio-economic classification ns-sec</t>
  </si>
  <si>
    <t>method of travel to work resident population</t>
  </si>
  <si>
    <t>method of travel to work or place of study resident population</t>
  </si>
  <si>
    <t>adult lifestage alternative adult definition</t>
  </si>
  <si>
    <t>household composition alternative child and adult definitions - usual residents</t>
  </si>
  <si>
    <t>household composition alternative child and adult definitions - households</t>
  </si>
  <si>
    <t>ethnic group of household reference person hrp - 6 way classification ethnicity</t>
  </si>
  <si>
    <t>ethnic group of household reference person hrp - 12 way classification ethnicity</t>
  </si>
  <si>
    <t>religion of household reference person hrp</t>
  </si>
  <si>
    <t>religion or religion brought up in of household reference person hrp community background</t>
  </si>
  <si>
    <t>tenure where household reference person hrp aged 65 and over</t>
  </si>
  <si>
    <t>economic activity of household reference person hrp economically active economically inactive</t>
  </si>
  <si>
    <t>ns-sec of household reference person hrp - usual residents aged under 65 national statistics socio-economic classification</t>
  </si>
  <si>
    <t>ns-sec of household reference person hrp - usual residents national statistics socio-economic classification</t>
  </si>
  <si>
    <t>ns-sec of household reference person hrp aged under 65 - usual residents national statistics socio-economic classification</t>
  </si>
  <si>
    <t>approximated social grade - household reference person hrp aged 16 to 64</t>
  </si>
  <si>
    <t>national identity classification 1 by age by sex nationality</t>
  </si>
  <si>
    <t>national identity classification 2 by age by sex nationality</t>
  </si>
  <si>
    <t>passports held classification 1 by age by sex</t>
  </si>
  <si>
    <t>passports held classification 2 by age by sex</t>
  </si>
  <si>
    <t>religion full detail by sex</t>
  </si>
  <si>
    <t>passports held classification 1 by ethnic group ethnicity</t>
  </si>
  <si>
    <t>passports held classification 2 by ethnic group ethnicity</t>
  </si>
  <si>
    <t>national identity classification 1 by ethnic group ethnicity nationality</t>
  </si>
  <si>
    <t>national identity classification 2 by ethnic group ethnicity nationality</t>
  </si>
  <si>
    <t>national identity classification 1 by knowledge of irish nationality language</t>
  </si>
  <si>
    <t>national identity classification 2 by knowledge of irish nationality language</t>
  </si>
  <si>
    <t>national identity classification 1 by knowledge of ulster-scots nationality ulster scots language</t>
  </si>
  <si>
    <t>national identity classification 2 by knowledge of ulster-scots nationality ulster scots language</t>
  </si>
  <si>
    <t>country of birth by national identity classification 1 nationality</t>
  </si>
  <si>
    <t>country of birth by national identity classification 2 nationality</t>
  </si>
  <si>
    <t>national identity classification 1 by main language nationality</t>
  </si>
  <si>
    <t>national identity classification 2 by main language nationality</t>
  </si>
  <si>
    <t>national identity classification 1 by proficiency in english nationality language</t>
  </si>
  <si>
    <t>national identity classification 2 by proficiency in english nationality language</t>
  </si>
  <si>
    <t>national identity classification 1 by passports held classification 1 nationality</t>
  </si>
  <si>
    <t>national identity classification 1 by passports held classification 2 nationality</t>
  </si>
  <si>
    <t>national identity classification 2 by passports held classification 1 nationality</t>
  </si>
  <si>
    <t>national identity classification 2 by passports held classification 2 nationality</t>
  </si>
  <si>
    <t>country of birth by passports held classification 1</t>
  </si>
  <si>
    <t>country of birth by passports held classification 2</t>
  </si>
  <si>
    <t>passports held classification 1 by knowledge of irish language</t>
  </si>
  <si>
    <t>passports held classification 2 by knowledge of irish language</t>
  </si>
  <si>
    <t>passports held classification 1 by knowledge of ulster-scots ulster scots language</t>
  </si>
  <si>
    <t>passports held classification 2 by knowledge of ulster-scots ulster scots language</t>
  </si>
  <si>
    <t>passports held classification 1 by main language</t>
  </si>
  <si>
    <t>passports held classification 2 by main language</t>
  </si>
  <si>
    <t>proficiency in english by passports held classification 1 language</t>
  </si>
  <si>
    <t>proficiency in english by passports held classification 2 language</t>
  </si>
  <si>
    <t>national identity classification 1 by religion nationality</t>
  </si>
  <si>
    <t>national identity classification 1 by religion or religion brought up in nationality community background</t>
  </si>
  <si>
    <t>national identity classification 2 by religion nationality</t>
  </si>
  <si>
    <t>national identity classification 2 by religion or religion brought up in nationality community background</t>
  </si>
  <si>
    <t>passports held classification 1 by religion</t>
  </si>
  <si>
    <t>passports held classification 1 by religion or religion brought up in community background</t>
  </si>
  <si>
    <t>passports held classification 2 by religion</t>
  </si>
  <si>
    <t>passports held classification 2 by religion or religion brought up in community background</t>
  </si>
  <si>
    <t>tenure by occupancy rating rooms by ethnic group ethnicity</t>
  </si>
  <si>
    <t>tenure by occupancy rating rooms by ethnic group of hrp ethnicity</t>
  </si>
  <si>
    <t>tenure by occupancy rating rooms by country of birth</t>
  </si>
  <si>
    <t>tenure by occupancy rating rooms by religion</t>
  </si>
  <si>
    <t>tenure by occupancy rating rooms by religion or religion brought up in community background</t>
  </si>
  <si>
    <t>general health by long-term health problem or disability by occupancy rating rooms by age</t>
  </si>
  <si>
    <t>household composition by tenure by occupancy rating rooms</t>
  </si>
  <si>
    <t>national identity classification 1 by age nationality</t>
  </si>
  <si>
    <t>national identity classification 1 by sex nationality</t>
  </si>
  <si>
    <t>passports held classification 1 by age</t>
  </si>
  <si>
    <t>passports held classification 1 by sex</t>
  </si>
  <si>
    <t>knowledge of irish by national identity classification 1 nationality language</t>
  </si>
  <si>
    <t>knowledge of ulster-scots by national identity classification 1 nationality ulster scots language</t>
  </si>
  <si>
    <t>knowledge of irish by passports held classification 1 language</t>
  </si>
  <si>
    <t>knowledge of ulster-scots by passports held classification 1 ulster scots language</t>
  </si>
  <si>
    <t>economic activity by passports held classification 1 economically active economically inactive</t>
  </si>
  <si>
    <t>Components of Workplace Population (Workplace Population)</t>
  </si>
  <si>
    <t>components of workplace population</t>
  </si>
  <si>
    <t>Country of Birth - Intermediate Detail (Workplace Population)</t>
  </si>
  <si>
    <t>country of birth - intermediate detail workplace population</t>
  </si>
  <si>
    <t>DT101NI</t>
  </si>
  <si>
    <t>Population Density (Daytime Population)</t>
  </si>
  <si>
    <t>DT102NI</t>
  </si>
  <si>
    <t>Components of Daytime Population (Daytime Population)</t>
  </si>
  <si>
    <t>DT103NI</t>
  </si>
  <si>
    <t>Age by Sex (Daytime Population)</t>
  </si>
  <si>
    <t>DT104NI</t>
  </si>
  <si>
    <t>Reconciliation of Usual Resident and Daytime Populations (Daytime Population)</t>
  </si>
  <si>
    <t>DT201NI</t>
  </si>
  <si>
    <t>Ethnic Group (Daytime Population)</t>
  </si>
  <si>
    <t>DT202NI</t>
  </si>
  <si>
    <t>Country of Birth - Intermediate Detail (Daytime Population)</t>
  </si>
  <si>
    <t>DT203NI</t>
  </si>
  <si>
    <t>Main Language (Daytime Population)</t>
  </si>
  <si>
    <t>DT204NI</t>
  </si>
  <si>
    <t>Irish Language Skills (Daytime Population)</t>
  </si>
  <si>
    <t>DT205NI</t>
  </si>
  <si>
    <t>Ulster-Scots Language Skills (Daytime Population)</t>
  </si>
  <si>
    <t>DT206NI</t>
  </si>
  <si>
    <t>Religion (Daytime Population)</t>
  </si>
  <si>
    <t>DT207NI</t>
  </si>
  <si>
    <t>Religion or Religion Brought Up In (Daytime Population)</t>
  </si>
  <si>
    <t>DT208NI</t>
  </si>
  <si>
    <t>Passports Held (Classification 1) (Daytime Population)</t>
  </si>
  <si>
    <t>DT209NI</t>
  </si>
  <si>
    <t>Passports Held (Classification 2) (Daytime Population)</t>
  </si>
  <si>
    <t>DT301NI</t>
  </si>
  <si>
    <t>General Health (Daytime Population)</t>
  </si>
  <si>
    <t>DT401NI</t>
  </si>
  <si>
    <t>Tenure (Daytime Population)</t>
  </si>
  <si>
    <t>DT501NI</t>
  </si>
  <si>
    <t>Highest Level of Qualification (Daytime Population)</t>
  </si>
  <si>
    <t>DT601NI</t>
  </si>
  <si>
    <t>Economic Activity (Daytime Population)</t>
  </si>
  <si>
    <t>DT602NI</t>
  </si>
  <si>
    <t>Hours Worked (Daytime Population)</t>
  </si>
  <si>
    <t>DT603NI</t>
  </si>
  <si>
    <t>Industry of Employment (Daytime Population)</t>
  </si>
  <si>
    <t>DT604NI</t>
  </si>
  <si>
    <t>Occupation - Minor Groups (Daytime Population)</t>
  </si>
  <si>
    <t>DT605NI</t>
  </si>
  <si>
    <t>National Statistics Socio-economic Classification (NS-SeC) (Daytime Population)</t>
  </si>
  <si>
    <t>DT606NI</t>
  </si>
  <si>
    <t>Approximated Social Grade (Daytime Population)</t>
  </si>
  <si>
    <t>DT701NI</t>
  </si>
  <si>
    <t>Method of Travel to Work or Place of Study (Daytime Population)</t>
  </si>
  <si>
    <t>population density daytime population</t>
  </si>
  <si>
    <t>components of daytime population daytime population</t>
  </si>
  <si>
    <t>age by sex daytime population</t>
  </si>
  <si>
    <t>reconciliation of usual resident and daytime populations daytime population</t>
  </si>
  <si>
    <t>country of birth - intermediate detail daytime population</t>
  </si>
  <si>
    <t>main language daytime population</t>
  </si>
  <si>
    <t>irish language skills daytime population</t>
  </si>
  <si>
    <t>religion daytime population</t>
  </si>
  <si>
    <t>general health daytime population</t>
  </si>
  <si>
    <t>tenure daytime population</t>
  </si>
  <si>
    <t>hours worked daytime population</t>
  </si>
  <si>
    <t>industry of employment daytime population</t>
  </si>
  <si>
    <t>occupation - minor groups daytime population</t>
  </si>
  <si>
    <t>national statistics socio-economic classification ns-sec daytime population</t>
  </si>
  <si>
    <t>approximated social grade daytime population</t>
  </si>
  <si>
    <t>method of travel to work or place of study daytime population</t>
  </si>
  <si>
    <t>ethnic group daytime population ethnicity</t>
  </si>
  <si>
    <t>ulster-scots language skills daytime population ulster scots</t>
  </si>
  <si>
    <t>religion or religion brought up in daytime population community background</t>
  </si>
  <si>
    <t>passports held classification 1 daytime population passport</t>
  </si>
  <si>
    <t>passports held classification 2 daytime population passport</t>
  </si>
  <si>
    <t>highest level of qualification daytime population qualifications</t>
  </si>
  <si>
    <t>passports held classification 1 workplace population passport</t>
  </si>
  <si>
    <t>passports held classification 2 workplace population passport</t>
  </si>
  <si>
    <t>ulster-scots language skills workplace population ulster scots</t>
  </si>
  <si>
    <t>religion or religion brought up in workplace population community background</t>
  </si>
  <si>
    <t>ethnic group workplace population ethnicity</t>
  </si>
  <si>
    <t>passports held classification 2 short-term residents passport</t>
  </si>
  <si>
    <t>economic activity daytime population economically active economically inactive</t>
  </si>
  <si>
    <t>Household Lifestage</t>
  </si>
  <si>
    <t>National Statistics Socio-economic Classification (NS-SeC) (Workplace Population)</t>
  </si>
  <si>
    <t>National Statistics Socio-economic Classification (NS-SeC) (Short-Term Residents)</t>
  </si>
  <si>
    <t>Religion or Religion Brought Up In by Voluntary Work</t>
  </si>
  <si>
    <t>Type of Long-Term Condition by General Health by Long-Term Health Problem or Disability</t>
  </si>
  <si>
    <t>Type of Communal Establishment by Resident Type by Age by Sex</t>
  </si>
  <si>
    <t>Passports Held - Full Detail</t>
  </si>
  <si>
    <t>Passports Held (Classification 1) (Short-Term Residents)</t>
  </si>
  <si>
    <t>passports held classification 1 short-term residents passport</t>
  </si>
  <si>
    <t>DC7101NI</t>
  </si>
  <si>
    <t>Method of Travel to Work by Age by Sex</t>
  </si>
  <si>
    <t>method of travel to work by age by sex</t>
  </si>
  <si>
    <t>DC7102NI</t>
  </si>
  <si>
    <t>Distance Travelled to Work by Age by Sex</t>
  </si>
  <si>
    <t>distance travelled to work by age by sex</t>
  </si>
  <si>
    <t>DC7103NI</t>
  </si>
  <si>
    <t>Method of Travel to Place of Study by Age by Sex</t>
  </si>
  <si>
    <t>method of travel to place of study by age by sex</t>
  </si>
  <si>
    <t>DC7104NI</t>
  </si>
  <si>
    <t>Distance Travelled to Place of Study by Age by Sex</t>
  </si>
  <si>
    <t>distance travelled to place of study by age by sex</t>
  </si>
  <si>
    <t>DC7201NI</t>
  </si>
  <si>
    <t>Ethnic Group by Method of Travel to Work</t>
  </si>
  <si>
    <t>ethnic group by method of travel to work ethnicity</t>
  </si>
  <si>
    <t>DC7202NI</t>
  </si>
  <si>
    <t>Ethnic Group by Distance Travelled to Work</t>
  </si>
  <si>
    <t>ethnic group by distance travelled to work ethnicity</t>
  </si>
  <si>
    <t>DC7203NI</t>
  </si>
  <si>
    <t>Religion by Distance Travelled to Work by Sex</t>
  </si>
  <si>
    <t>religion by distance travelled to work by sex</t>
  </si>
  <si>
    <t>DC7204NI</t>
  </si>
  <si>
    <t>Religion or Religion Brought Up In by Distance Travelled to Work by Sex</t>
  </si>
  <si>
    <t>religion or religion brought up in by distance travelled to work by sex community background</t>
  </si>
  <si>
    <t>DC7205NI</t>
  </si>
  <si>
    <t>Religion by Distance Travelled to Place of Study by Sex</t>
  </si>
  <si>
    <t>religion by distance travelled to place of study by sex</t>
  </si>
  <si>
    <t>DC7206NI</t>
  </si>
  <si>
    <t>DC7301NI</t>
  </si>
  <si>
    <t>Long-Term Health Problem or Disability by Method of Travel to Work</t>
  </si>
  <si>
    <t>long-term health problem or disability by method of travel to work</t>
  </si>
  <si>
    <t>DC7302NI</t>
  </si>
  <si>
    <t>Long-Term Health Problem or Disability by Distance Travelled to Work</t>
  </si>
  <si>
    <t>long-term health problem or disability by distance travelled to work</t>
  </si>
  <si>
    <t>DC7303NI</t>
  </si>
  <si>
    <t>Long-Term Health Problem or Disability by Method of Travel to Place of Study</t>
  </si>
  <si>
    <t>long-term health problem or disability by method of travel to place of study</t>
  </si>
  <si>
    <t>DC7304NI</t>
  </si>
  <si>
    <t>Long-Term Health Problem or Disability by Distance Travelled to Place of Study</t>
  </si>
  <si>
    <t>long-term health problem or disability by distance travelled to place of study</t>
  </si>
  <si>
    <t>DC7401NI</t>
  </si>
  <si>
    <t>Method of Travel to Work by Car or Van Availability</t>
  </si>
  <si>
    <t>method of travel to work by car or van availability</t>
  </si>
  <si>
    <t>DC7402NI</t>
  </si>
  <si>
    <t>Distance Travelled to Work by Car or Van Availability</t>
  </si>
  <si>
    <t>distance travelled to work by car or van availability</t>
  </si>
  <si>
    <t>DC7403NI</t>
  </si>
  <si>
    <t>DC7404NI</t>
  </si>
  <si>
    <t>DC7501NI</t>
  </si>
  <si>
    <t>Method of Travel to Work by Highest Level of Qualification by Sex</t>
  </si>
  <si>
    <t>method of travel to work by highest level of qualification by sex qualifications</t>
  </si>
  <si>
    <t>DC7502NI</t>
  </si>
  <si>
    <t>Distance Travelled to Work by Highest Level of Qualification by Sex</t>
  </si>
  <si>
    <t>distance travelled to work by highest level of qualification by sex qualifications</t>
  </si>
  <si>
    <t>DC7601NI</t>
  </si>
  <si>
    <t>Hours Worked by Method of Travel to Work by Sex</t>
  </si>
  <si>
    <t>hours worked by method of travel to work by sex</t>
  </si>
  <si>
    <t>DC7602NI</t>
  </si>
  <si>
    <t>Hours Worked by Distance Travelled to Work by Sex</t>
  </si>
  <si>
    <t>hours worked by distance travelled to work by sex</t>
  </si>
  <si>
    <t>DC7603NI</t>
  </si>
  <si>
    <t>Industry by Method of Travel to Work</t>
  </si>
  <si>
    <t>industry by method of travel to work</t>
  </si>
  <si>
    <t>DC7604NI</t>
  </si>
  <si>
    <t>Industry by Distance Travelled to Work</t>
  </si>
  <si>
    <t>industry by distance travelled to work</t>
  </si>
  <si>
    <t>DC7605NI</t>
  </si>
  <si>
    <t>Method of Travel to Work by Occupation by Sex</t>
  </si>
  <si>
    <t>method of travel to work by occupation by sex</t>
  </si>
  <si>
    <t>DC7606NI</t>
  </si>
  <si>
    <t>Occupation by Distance Travelled to Work by Sex</t>
  </si>
  <si>
    <t>occupation by distance travelled to work by sex</t>
  </si>
  <si>
    <t>DC7607NI</t>
  </si>
  <si>
    <t>NS-SeC by Method of Travel to Work by Sex</t>
  </si>
  <si>
    <t>ns-sec by method of travel to work by sex national statistics socio-economic classification</t>
  </si>
  <si>
    <t>DC7608NI</t>
  </si>
  <si>
    <t>DC7609NI</t>
  </si>
  <si>
    <t>Employment Status by Distance Travelled to Work by Sex</t>
  </si>
  <si>
    <t>employment status by distance travelled to work by sex</t>
  </si>
  <si>
    <t>DC7701NI</t>
  </si>
  <si>
    <t>Method of Travel to Work by Distance Travelled to Work</t>
  </si>
  <si>
    <t>method of travel to work by distance travelled to work</t>
  </si>
  <si>
    <t>DC7702NI</t>
  </si>
  <si>
    <t>Method of Travel to Place of Study by Distance Travelled to Place of Study</t>
  </si>
  <si>
    <t>method of travel to place of study by distance travelled to place of study</t>
  </si>
  <si>
    <t>LC7101NI</t>
  </si>
  <si>
    <t>Method of Travel to Work by Age</t>
  </si>
  <si>
    <t>method of travel to work by age</t>
  </si>
  <si>
    <t>LC7102NI</t>
  </si>
  <si>
    <t>Method of Travel to Work by Sex</t>
  </si>
  <si>
    <t>method of travel to work by sex</t>
  </si>
  <si>
    <t>LC7103NI</t>
  </si>
  <si>
    <t>Distance Travelled to Work by Age</t>
  </si>
  <si>
    <t>distance travelled to work by age</t>
  </si>
  <si>
    <t>LC7104NI</t>
  </si>
  <si>
    <t>Distance Travelled to Work by Sex</t>
  </si>
  <si>
    <t>distance travelled to work by sex</t>
  </si>
  <si>
    <t>LC7401NI</t>
  </si>
  <si>
    <t>LC7402NI</t>
  </si>
  <si>
    <t>LC7501NI</t>
  </si>
  <si>
    <t>Method of Travel to Work by Highest Level of Qualification</t>
  </si>
  <si>
    <t>method of travel to work by highest level of qualification qualifications</t>
  </si>
  <si>
    <t>LC7502NI</t>
  </si>
  <si>
    <t>Distance Travelled to Work by Highest Level of Qualification</t>
  </si>
  <si>
    <t>distance travelled to work by highest level of qualification qualifications</t>
  </si>
  <si>
    <t>LC7601NI</t>
  </si>
  <si>
    <t>Hours Worked by Method of Travel to Work</t>
  </si>
  <si>
    <t>hours worked by method of travel to work</t>
  </si>
  <si>
    <t>LC7603NI</t>
  </si>
  <si>
    <t>Method of Travel to Work by Industry</t>
  </si>
  <si>
    <t>method of travel to work by industry</t>
  </si>
  <si>
    <t>LC7604NI</t>
  </si>
  <si>
    <t>LC7605NI</t>
  </si>
  <si>
    <t>Method of Travel to Work by Occupation</t>
  </si>
  <si>
    <t>method of travel to work by occupation</t>
  </si>
  <si>
    <t>LC7606NI</t>
  </si>
  <si>
    <t>Distance Travelled to Work by Occupation</t>
  </si>
  <si>
    <t>distance travelled to work by occupation</t>
  </si>
  <si>
    <t>LC7607NI</t>
  </si>
  <si>
    <t>NS-SeC by Method of Travel to Work</t>
  </si>
  <si>
    <t>ns-sec by method of travel to work national statistics socio-economic classification</t>
  </si>
  <si>
    <t>LC7608NI</t>
  </si>
  <si>
    <t>NS-SeC by Distance Travelled to Work</t>
  </si>
  <si>
    <t>ns-sec by distance travelled to work national statistics socio-economic classification</t>
  </si>
  <si>
    <t>LC7701NI</t>
  </si>
  <si>
    <t>WP702NI</t>
  </si>
  <si>
    <t>Distance Travelled to Work (Workplace Population)</t>
  </si>
  <si>
    <t>distance travelled to work workplace population</t>
  </si>
  <si>
    <t>WP703NI</t>
  </si>
  <si>
    <t>Distance Travelled to Work by Industry (Workplace Population)</t>
  </si>
  <si>
    <t>distance travelled to work by industry workplace population</t>
  </si>
  <si>
    <t>WP704NI</t>
  </si>
  <si>
    <t>Distance Travelled to Work by Occupation (Workplace Population)</t>
  </si>
  <si>
    <t>distance travelled to work by occupation workplace population</t>
  </si>
  <si>
    <t>WP705NI</t>
  </si>
  <si>
    <t>Method of Travel to Work by Distance Travelled to Work (Workplace Population)</t>
  </si>
  <si>
    <t>method of travel to work by distance travelled to work workplace population</t>
  </si>
  <si>
    <t>WP707NI</t>
  </si>
  <si>
    <t>Distance Travelled to Work by Age (Workplace Population)</t>
  </si>
  <si>
    <t>distance travelled to work by age workplace population</t>
  </si>
  <si>
    <t>DT702NI</t>
  </si>
  <si>
    <t>Distance Travelled to Work or Place of Study (Daytime Population)</t>
  </si>
  <si>
    <t>distance travelled to work or place of study daytime population</t>
  </si>
  <si>
    <t>Alternative Populations Tables</t>
  </si>
  <si>
    <t>Religion or Religion Brought Up in by Distance Travelled to Place of Study by Sex</t>
  </si>
  <si>
    <t>religion or religion brought up in by distance travelled to place of study by sex community background</t>
  </si>
  <si>
    <t>Method of Travel to Place of Study by Car or Van Availability</t>
  </si>
  <si>
    <t>method of travel to place of study by car or van availability</t>
  </si>
  <si>
    <t>Distance Travelled to Place of Study by Car or Van Availability</t>
  </si>
  <si>
    <t>distance travelled to place of study by car or van availability</t>
  </si>
  <si>
    <t>NS-SeC by Distance Travelled to Work by Sex</t>
  </si>
  <si>
    <t>distance travelled to work by ns-sec by sex national statistics socio-economic classification</t>
  </si>
  <si>
    <t>Usually Resident Population</t>
  </si>
  <si>
    <t>Households</t>
  </si>
  <si>
    <t>usually resident population households and average household size</t>
  </si>
  <si>
    <t>usually resident population</t>
  </si>
  <si>
    <t>households household</t>
  </si>
  <si>
    <t>DC6117NI</t>
  </si>
  <si>
    <t>Approximated Social Grade by Age by Sex</t>
  </si>
  <si>
    <t>DC6118NI</t>
  </si>
  <si>
    <t>Approximated Social Grade by Adult Lifestage (Alternative Adult Definition)</t>
  </si>
  <si>
    <t>DC6119NI</t>
  </si>
  <si>
    <t>Approximated Social Grade by Adult Lifestage (Alternative Adult Definition) - HRPs</t>
  </si>
  <si>
    <t>DC6120NI</t>
  </si>
  <si>
    <t>Approximated Social Grade by Household Composition</t>
  </si>
  <si>
    <t>DC6203NI</t>
  </si>
  <si>
    <t>Approximated Social Grade by Country of Birth</t>
  </si>
  <si>
    <t>DC6204NI</t>
  </si>
  <si>
    <t>Approximated Social Grade by National Identity (Classification 1)</t>
  </si>
  <si>
    <t>DC6205NI</t>
  </si>
  <si>
    <t>Approximated Social Grade by Religion</t>
  </si>
  <si>
    <t>DC6206NI</t>
  </si>
  <si>
    <t>Approximated Social Grade by Religion or Religion Brought Up In</t>
  </si>
  <si>
    <t>DC6405NI</t>
  </si>
  <si>
    <t>Approximated Social Grade by Tenure by Car or Van Availability</t>
  </si>
  <si>
    <t>DC8101NI</t>
  </si>
  <si>
    <t>Country of Birth by Year of Most Recent Arrival in Northern Ireland by Age (Born outside Northern Ireland)</t>
  </si>
  <si>
    <t>DC8102NI</t>
  </si>
  <si>
    <t>Year of Most Recent Arrival in Northern Ireland by Age by Sex (Born in Northern Ireland)</t>
  </si>
  <si>
    <t>DC8201NI</t>
  </si>
  <si>
    <t>Country of Birth by Ethnic Group by Year of Most Recent Arrival in Northern Ireland (Born outside Northern Ireland)</t>
  </si>
  <si>
    <t>DC8202NI</t>
  </si>
  <si>
    <t>Country of Birth by Year of Most Recent Arrival in Northern Ireland (Born outside Northern Ireland)</t>
  </si>
  <si>
    <t>DC8203NI</t>
  </si>
  <si>
    <t>Country of Birth by Proficiency in English by Year of Most Recent Arrival in Northern Ireland (Born outside Northern Ireland)</t>
  </si>
  <si>
    <t>DC8501NI</t>
  </si>
  <si>
    <t>Country of Birth by Highest Level of Qualification by Year of Most Recent Arrival in Northern Ireland (Born outside Northern Ireland)</t>
  </si>
  <si>
    <t>DC8502NI</t>
  </si>
  <si>
    <t>Highest Level of Qualification by Year of Most Recent Arrival in Northern Ireland (Born in Northern Ireland)</t>
  </si>
  <si>
    <t>DC8601NI</t>
  </si>
  <si>
    <t>Country of Birth by Economic Activity by Year of Most Recent Arrival in Northern Ireland (Born outside Northern Ireland)</t>
  </si>
  <si>
    <t>DC8602NI</t>
  </si>
  <si>
    <t>Economic Activity by Year of Most Recent Arrival in Northern Ireland (Born in Northern Ireland)</t>
  </si>
  <si>
    <t>DC8801NI</t>
  </si>
  <si>
    <t>Year of Most Recent Arrival in Northern Ireland by Age of Most Recent Arrival in Northern Ireland (Born outside Northern Ireland)</t>
  </si>
  <si>
    <t>LC6114NI</t>
  </si>
  <si>
    <t>LC6115NI</t>
  </si>
  <si>
    <t>Headcount and Household Estimates for Settlements</t>
  </si>
  <si>
    <t>QS801NI</t>
  </si>
  <si>
    <t>Year of Most Recent Arrival in Northern Ireland (Born outside Northern Ireland)</t>
  </si>
  <si>
    <t>QS802NI</t>
  </si>
  <si>
    <t>Age of Most Recent Arrival in Northern Ireland (Born outside Northern Ireland)</t>
  </si>
  <si>
    <t>QS803NI</t>
  </si>
  <si>
    <t>Country of Previous Residence (Born outside Northern Ireland)</t>
  </si>
  <si>
    <t>QS804NI</t>
  </si>
  <si>
    <t>Ethnic Group (Born in Northern Ireland)</t>
  </si>
  <si>
    <t>QS805NI</t>
  </si>
  <si>
    <t>Religion (Born in Northern Ireland)</t>
  </si>
  <si>
    <t>QS806NI</t>
  </si>
  <si>
    <t>Religion or Religion Brought Up In (Born in Northern Ireland)</t>
  </si>
  <si>
    <t>approximated social grade by age by sex</t>
  </si>
  <si>
    <t>approximated social grade by household composition</t>
  </si>
  <si>
    <t>approximated social grade by country of birth</t>
  </si>
  <si>
    <t>approximated social grade by religion</t>
  </si>
  <si>
    <t>approximated social grade by tenure by car or van availability</t>
  </si>
  <si>
    <t>year of most recent arrival in northern ireland born outside northern ireland</t>
  </si>
  <si>
    <t>age of most recent arrival in northern ireland born outside northern ireland</t>
  </si>
  <si>
    <t>country of previous residence born outside northern ireland</t>
  </si>
  <si>
    <t>religion born in northern ireland</t>
  </si>
  <si>
    <t>approximated social grade by adult lifestage alternative adult definition</t>
  </si>
  <si>
    <t>approximated social grade by adult lifestage alternative adult definition - hrps</t>
  </si>
  <si>
    <t>approximated social grade by national identity classification 1</t>
  </si>
  <si>
    <t>country of birth by year of most recent arrival in northern ireland by age born outside northern ireland</t>
  </si>
  <si>
    <t>year of most recent arrival in northern ireland by age by sex born in northern ireland</t>
  </si>
  <si>
    <t>country of birth by year of most recent arrival in northern ireland born outside northern ireland</t>
  </si>
  <si>
    <t>year of most recent arrival in northern ireland by age of most recent arrival in northern ireland born outside northern ireland</t>
  </si>
  <si>
    <t>ethnic group born in northern ireland ethnicity</t>
  </si>
  <si>
    <t>religion or religion brought up in born in northern ireland community background</t>
  </si>
  <si>
    <t>approximated social grade by religion or religion brought up in community background</t>
  </si>
  <si>
    <t>country of birth by ethnic group by year of most recent arrival in northern ireland born outside northern ireland ethnicity</t>
  </si>
  <si>
    <t>country of birth by proficiency in english by year of most recent arrival in northern ireland born outside northern ireland language</t>
  </si>
  <si>
    <t>highest level of qualification by year of most recent arrival in northern ireland born in northern ireland qualifications</t>
  </si>
  <si>
    <t>country of birth by economic activity by year of most recent arrival in northern ireland born outside northern ireland economically active economically inactive</t>
  </si>
  <si>
    <t>economic activity by year of most recent arrival in northern ireland born in northern ireland economically active economically inactive</t>
  </si>
  <si>
    <t>country of birth by highest level of qualification by year of most recent arrival in northern ireland born outside northern ireland qualifications</t>
  </si>
  <si>
    <t>headcount and household estimates for settlements settlement 2015</t>
  </si>
  <si>
    <t>DC8204NI</t>
  </si>
  <si>
    <t>DC8205NI</t>
  </si>
  <si>
    <t>DC8503NI</t>
  </si>
  <si>
    <t>Religion by Migration</t>
  </si>
  <si>
    <t>Highest Level of Qualification by Migration</t>
  </si>
  <si>
    <t>Religion or Religion Brought Up In by Migration</t>
  </si>
  <si>
    <t>religion by migration</t>
  </si>
  <si>
    <t>religion or religion brought up in by migration community background</t>
  </si>
  <si>
    <t>highest level of qualification by migration qualifications</t>
  </si>
  <si>
    <t>Occupation</t>
  </si>
  <si>
    <t>Occupation - Males</t>
  </si>
  <si>
    <t>Occupation - Females</t>
  </si>
  <si>
    <t>http://www.ninis2.nisra.gov.uk/public/SearchResults.aspx?sk=Postcodes;</t>
  </si>
  <si>
    <t>http://www.ninis2.nisra.gov.uk/public/SearchResults.aspx?sk=household;estimates;settlements*&amp;AllAny=1&amp;numToFetch=200&amp;DataInterBoth=1&amp;FromAdvanced=true&amp;dsk=136&amp;dsv=Census%202011&amp;gk=&amp;gv=&amp;sy=1981&amp;ey=2037</t>
  </si>
  <si>
    <t>Settlement2015</t>
  </si>
  <si>
    <t>Table population</t>
  </si>
  <si>
    <t>All usual residents</t>
  </si>
  <si>
    <t>All usual residents aged 16 and over</t>
  </si>
  <si>
    <t>All usual residents aged 16 and over in households</t>
  </si>
  <si>
    <t>All households</t>
  </si>
  <si>
    <t>All lone parent households with dependent children where the lone parent is aged 16 to 74</t>
  </si>
  <si>
    <t xml:space="preserve">All usual residents </t>
  </si>
  <si>
    <t>All usual residents aged 3 and over</t>
  </si>
  <si>
    <t>All dwellings; All household spaces</t>
  </si>
  <si>
    <t>All communal establishments</t>
  </si>
  <si>
    <t xml:space="preserve">All usual residents aged 16 and over </t>
  </si>
  <si>
    <t>All usual residents aged 16 to 74</t>
  </si>
  <si>
    <t>All male usual residents aged 16 to 74</t>
  </si>
  <si>
    <t>All female usual residents aged 16 to 74</t>
  </si>
  <si>
    <t>All usual residents aged 16 to 74 in employment</t>
  </si>
  <si>
    <t xml:space="preserve">All usual residents aged 16 to 74 in employment </t>
  </si>
  <si>
    <t xml:space="preserve">All male usual residents aged 16 to 74 in employment </t>
  </si>
  <si>
    <t xml:space="preserve">All female usual residents aged 16 to 74 in employment </t>
  </si>
  <si>
    <t>All female usual residents aged 16 to 74 in employment</t>
  </si>
  <si>
    <t>All usual residents aged 16 to 74 (excluding students) in employment and currently working</t>
  </si>
  <si>
    <t xml:space="preserve">All usual residents of primary school age and over in full-time education or aged 16 to 74 in employment and currently working </t>
  </si>
  <si>
    <t>All usual residents born in Northern Ireland and short-term residents</t>
  </si>
  <si>
    <t>All full-time students and schoolchildren aged 4 and over living away from home during term time</t>
  </si>
  <si>
    <t>All usual residents in households</t>
  </si>
  <si>
    <t>All usual residents aged 18 to 64 in households</t>
  </si>
  <si>
    <t>All families in households; All dependent children in families</t>
  </si>
  <si>
    <t>All families in households</t>
  </si>
  <si>
    <t>All Household Reference Persons (HRPs)</t>
  </si>
  <si>
    <t>All Households</t>
  </si>
  <si>
    <t>All households where the Household Reference Person is aged 65 and over</t>
  </si>
  <si>
    <t>All household spaces</t>
  </si>
  <si>
    <t>All dwellings</t>
  </si>
  <si>
    <t>All usual residents in communal establishments</t>
  </si>
  <si>
    <t>All Household Reference Persons (HRPs) aged 16 to 74</t>
  </si>
  <si>
    <t xml:space="preserve">All full-time students aged 16 to 74 </t>
  </si>
  <si>
    <t xml:space="preserve">All usual residents aged 16 to 74 </t>
  </si>
  <si>
    <t>All usual residents aged under 65 in households</t>
  </si>
  <si>
    <t>All usual residents in households where Household Reference Person is aged under 65</t>
  </si>
  <si>
    <t>All Household Reference Persons (HRPs) aged 16 to 64</t>
  </si>
  <si>
    <t>All usual residents who were born and have lived outside Northern Ireland</t>
  </si>
  <si>
    <t>All usual residents born in Northern Ireland and who have lived outside Northern Ireland.</t>
  </si>
  <si>
    <t>All families</t>
  </si>
  <si>
    <t>All usual residents in communal establishments aged 3 and over</t>
  </si>
  <si>
    <t>All usual residents resident in communal establishments (excluding staff and their families)</t>
  </si>
  <si>
    <t>All usual residents in communal establishments (excluding staff and their families)</t>
  </si>
  <si>
    <t>All occupied household spaces</t>
  </si>
  <si>
    <t>All usual residents aged 16 to 74 in households</t>
  </si>
  <si>
    <t>All full-time students and schoolchildren aged 16 and over at their term time address</t>
  </si>
  <si>
    <t xml:space="preserve">All usual residents aged 16 to 74 not in employment </t>
  </si>
  <si>
    <t xml:space="preserve">All usual residents aged 16 to 74 not in employment  </t>
  </si>
  <si>
    <t>All households with students and schoolchildren aged 4 and over in full-time education who would reside in the area were they not living away from home during term-time</t>
  </si>
  <si>
    <t>All usual residents aged 16 to 64 in households</t>
  </si>
  <si>
    <t xml:space="preserve">All households with Household Reference Person aged 16 to 74 </t>
  </si>
  <si>
    <t xml:space="preserve">All usual residents aged 16 to 74 in households </t>
  </si>
  <si>
    <t>All usual residents of primary school age and over in full-time education</t>
  </si>
  <si>
    <t>All usual residents aged 16 to 74 (excluding full-time students) in employment and currently working</t>
  </si>
  <si>
    <t>All usual residents aged 16 to 74 (excluding students) in households in employment and currently working</t>
  </si>
  <si>
    <t>All usual residents of primary school age and over living in households in full-time education</t>
  </si>
  <si>
    <t>All usual residents born outside Northern Ireland</t>
  </si>
  <si>
    <t>All usual residents in the area and those who have moved from the area in the past year within Northern Ireland</t>
  </si>
  <si>
    <t>All usual residents aged 16 and over born outside Northern Ireland</t>
  </si>
  <si>
    <t>All usual residents aged 16 and over born in Northern Ireland and who have lived outside Northern Ireland.</t>
  </si>
  <si>
    <t>All usual residents aged 16 and over in the area and those who have moved from the area in the past year within Northern Ireland</t>
  </si>
  <si>
    <t>All usual residents aged 16 to 74 born outside Northern Ireland</t>
  </si>
  <si>
    <t>All usual residents aged 16 to 74 born in Northern Ireland and who have lived outside Northern Ireland.</t>
  </si>
  <si>
    <t xml:space="preserve">All usual residents in households </t>
  </si>
  <si>
    <t xml:space="preserve">All households </t>
  </si>
  <si>
    <t>All usual residents in households aged 16 to 74</t>
  </si>
  <si>
    <t>All HRPs aged 16 to 74</t>
  </si>
  <si>
    <t xml:space="preserve">All households with Household Reference Person (HRP) aged 16 to 74 </t>
  </si>
  <si>
    <t>All usual residents aged 16 to 74 (excluding students) in employment and currently working in the area.</t>
  </si>
  <si>
    <t>All usual residents in households aged 16 to 74 (excluding students) in employment and currently working in the area.</t>
  </si>
  <si>
    <t xml:space="preserve"> All usual residents in households aged 16 to 64 (excluding students) in employment and currently working in the area</t>
  </si>
  <si>
    <t xml:space="preserve">All Daytime population  </t>
  </si>
  <si>
    <t>All usual residents in Northern Ireland</t>
  </si>
  <si>
    <t xml:space="preserve">All daytime population  </t>
  </si>
  <si>
    <t>All daytime population aged 3 and over</t>
  </si>
  <si>
    <t>All daytime population in households</t>
  </si>
  <si>
    <t>All daytime population aged 16 and over</t>
  </si>
  <si>
    <t>All daytime population aged 16 to 74</t>
  </si>
  <si>
    <t>All daytime population aged 16 to 64</t>
  </si>
  <si>
    <t>All non-UK born short-term residents</t>
  </si>
  <si>
    <t>All non-UK born short-term residents aged 3 and over</t>
  </si>
  <si>
    <t>All non-UK born short-term residents in households</t>
  </si>
  <si>
    <t>All non-UK born short-term residents aged 16 to 74</t>
  </si>
  <si>
    <t>All non-UK born short-term residents aged 16 to 74 in employment</t>
  </si>
  <si>
    <t>All non-UK born short-term residents aged 16 to 74 (excluding students) in employment and currently working</t>
  </si>
  <si>
    <t>All non-UK born short-term residents of primary school age and over in full-time education or aged 16 to 74 in employment and currently working</t>
  </si>
  <si>
    <t>All usual residents; All households</t>
  </si>
  <si>
    <t>Workplace Population</t>
  </si>
  <si>
    <t>All usual residents and households</t>
  </si>
  <si>
    <t>Table Population</t>
  </si>
  <si>
    <t>This spreadsheet contains descriptions of all standard output tables from the 2011 Census in Northern Ireland.</t>
  </si>
  <si>
    <t>Small Area, Super Output Area, Electoral Ward, Local Government District, Local Government District (2014), Assembly Area, NUTS3, Education and Library Board, Health and Social Care Trust, Northern Ireland</t>
  </si>
  <si>
    <t>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t>
  </si>
  <si>
    <t>Settlement2015, Small Area, Super Output Area, Electoral Ward, Local Government District, District Electoral Area (2014), Local Government District (2014), Assembly Area, NUTS3, Education and Library Board, Health and Social Care Trust, Northern Ireland</t>
  </si>
  <si>
    <t>Small Area, Super Output Area, Electoral Ward, Local Government District, Assembly Area, NUTS3, Education and Library Board, Health and Social Care Trust, Northern Ireland</t>
  </si>
  <si>
    <t>Neighbourhood Renewal Area, Delivery Office, Small Area, Super Output Area, Electoral Ward, Local Government District, Assembly Area, NUTS3, Education and Library Board, Health and Social Care Trust, Northern Ireland</t>
  </si>
  <si>
    <t>Local Government District, NUTS3, Education and Library Board, Health and Social Care Trust, Northern Ireland</t>
  </si>
  <si>
    <t>Local Government District, Northern Ireland</t>
  </si>
  <si>
    <t>Super Output Area, Electoral Ward, Local Government District</t>
  </si>
  <si>
    <t>Super Output Area, Electoral Ward, Local Government District, Assembly Area, NUTS3, Education and Library Board, Health and Social Care Trust, Northern Ireland</t>
  </si>
  <si>
    <t>Table number</t>
  </si>
  <si>
    <t>Table titles</t>
  </si>
  <si>
    <t>Alternatively, you can identify tables of interest by entering the topics of interest (for example, age, ethnic group) in cells B8-B11.</t>
  </si>
  <si>
    <t>You can view a list of all the tables, in table identifier order, by clicking on the 'List of Tables' tab.</t>
  </si>
  <si>
    <t>https://www.nisra.gov.uk/system/files/statistics/census-2011-usually-resident-population-by-single-year-of-age-table.xlsx</t>
  </si>
  <si>
    <t>https://www.nisra.gov.uk/system/files/statistics/census-2011-usually-resident-population-by-single-year-of-age-and-sex-table.xlsx</t>
  </si>
  <si>
    <t>https://www.nisra.gov.uk/system/files/statistics/census-2011-usually-resident-population-by-five-year-age-bands-and-sex-table.xlsx</t>
  </si>
  <si>
    <t>https://www.nisra.gov.uk/system/files/statistics/census-2011-usually-resident-population-by-broad-age-bands-and-sex-table.xlsx</t>
  </si>
  <si>
    <t>https://www.nisra.gov.uk/system/files/statistics/census-2011-usually-resident-population-households-and-average-household-size-table.xlsx</t>
  </si>
  <si>
    <t>https://www.nisra.gov.uk/system/files/statistics/census-2011-usually-resident-population-table.xlsx</t>
  </si>
  <si>
    <t>https://www.nisra.gov.uk/system/files/statistics/census-2011-households-table.xlsx</t>
  </si>
  <si>
    <t>https://www.nisra.gov.uk/system/files/statistics/census-2011-ks101ni.xlsx</t>
  </si>
  <si>
    <t>https://www.nisra.gov.uk/system/files/statistics/census-2011-ks102ni.xlsx</t>
  </si>
  <si>
    <t>https://www.nisra.gov.uk/system/files/statistics/census-2011-ks103ni.xlsx</t>
  </si>
  <si>
    <t>https://www.nisra.gov.uk/system/files/statistics/census-2011-ks104ni.xlsx</t>
  </si>
  <si>
    <t>https://www.nisra.gov.uk/system/files/statistics/census-2011-ks105ni.xlsx</t>
  </si>
  <si>
    <t>https://www.nisra.gov.uk/system/files/statistics/census-2011-ks106ni.xlsx</t>
  </si>
  <si>
    <t>https://www.nisra.gov.uk/system/files/statistics/census-2011-ks107ni.xlsx</t>
  </si>
  <si>
    <t>https://www.nisra.gov.uk/system/files/statistics/census-2011-ks201ni.xlsx</t>
  </si>
  <si>
    <t>https://www.nisra.gov.uk/system/files/statistics/census-2011-ks202ni.xlsx</t>
  </si>
  <si>
    <t>https://www.nisra.gov.uk/system/files/statistics/census-2011-ks203ni.xlsx</t>
  </si>
  <si>
    <t>https://www.nisra.gov.uk/system/files/statistics/census-2011-ks204ni.xlsx</t>
  </si>
  <si>
    <t>https://www.nisra.gov.uk/system/files/statistics/census-2011-ks205ni.xlsx</t>
  </si>
  <si>
    <t>https://www.nisra.gov.uk/system/files/statistics/census-2011-ks206ni.xlsx</t>
  </si>
  <si>
    <t>https://www.nisra.gov.uk/system/files/statistics/census-2011-ks207ni.xlsx</t>
  </si>
  <si>
    <t>https://www.nisra.gov.uk/system/files/statistics/census-2011-ks208ni.xlsx</t>
  </si>
  <si>
    <t>https://www.nisra.gov.uk/system/files/statistics/census-2011-ks209ni.xlsx</t>
  </si>
  <si>
    <t>https://www.nisra.gov.uk/system/files/statistics/census-2011-ks210ni.xlsx</t>
  </si>
  <si>
    <t>https://www.nisra.gov.uk/system/files/statistics/census-2011-ks211ni.xlsx</t>
  </si>
  <si>
    <t>https://www.nisra.gov.uk/system/files/statistics/census-2011-ks212ni.xlsx</t>
  </si>
  <si>
    <t>https://www.nisra.gov.uk/system/files/statistics/census-2011-ks301ni.xlsx</t>
  </si>
  <si>
    <t>https://www.nisra.gov.uk/system/files/statistics/census-2011-ks302ni.xlsx</t>
  </si>
  <si>
    <t>https://www.nisra.gov.uk/system/files/statistics/census-2011-ks401ni.xlsx</t>
  </si>
  <si>
    <t>https://www.nisra.gov.uk/system/files/statistics/census-2011-ks402ni.xlsx</t>
  </si>
  <si>
    <t>https://www.nisra.gov.uk/system/files/statistics/census-2011-ks403ni.xlsx</t>
  </si>
  <si>
    <t>https://www.nisra.gov.uk/system/files/statistics/census-2011-ks404ni.xlsx</t>
  </si>
  <si>
    <t>https://www.nisra.gov.uk/system/files/statistics/census-2011-ks405ni.xlsx</t>
  </si>
  <si>
    <t>https://www.nisra.gov.uk/system/files/statistics/census-2011-ks406ni.xlsx</t>
  </si>
  <si>
    <t>https://www.nisra.gov.uk/system/files/statistics/census-2011-ks407ni.xlsx</t>
  </si>
  <si>
    <t>https://www.nisra.gov.uk/system/files/statistics/census-2011-qs101ni.xlsx</t>
  </si>
  <si>
    <t>https://www.nisra.gov.uk/system/files/statistics/census-2011-qs102ni.xlsx</t>
  </si>
  <si>
    <t>https://www.nisra.gov.uk/system/files/statistics/census-2011-qs103ni.xlsx</t>
  </si>
  <si>
    <t>https://www.nisra.gov.uk/system/files/statistics/census-2011-qs104ni.xlsx</t>
  </si>
  <si>
    <t>https://www.nisra.gov.uk/system/files/statistics/census-2011-qs105ni.xlsx</t>
  </si>
  <si>
    <t>https://www.nisra.gov.uk/system/files/statistics/census-2011-qs106ni.xlsx</t>
  </si>
  <si>
    <t>https://www.nisra.gov.uk/system/files/statistics/census-2011-qs107ni.xlsx</t>
  </si>
  <si>
    <t>https://www.nisra.gov.uk/system/files/statistics/census-2011-qs108ni.xlsx</t>
  </si>
  <si>
    <t>https://www.nisra.gov.uk/system/files/statistics/census-2011-qs109ni.xlsx</t>
  </si>
  <si>
    <t>https://www.nisra.gov.uk/system/files/statistics/census-2011-qs110ni.xlsx</t>
  </si>
  <si>
    <t>https://www.nisra.gov.uk/system/files/statistics/census-2011-qs111ni.xlsx</t>
  </si>
  <si>
    <t>https://www.nisra.gov.uk/system/files/statistics/census-2011-qs112ni.xlsx</t>
  </si>
  <si>
    <t>https://www.nisra.gov.uk/system/files/statistics/census-2011-qs113ni.xlsx</t>
  </si>
  <si>
    <t>https://www.nisra.gov.uk/system/files/statistics/census-2011-qs114ni.xlsx</t>
  </si>
  <si>
    <t>https://www.nisra.gov.uk/system/files/statistics/census-2011-qs115ni.xlsx</t>
  </si>
  <si>
    <t>https://www.nisra.gov.uk/system/files/statistics/census-2011-qs116ni.xlsx</t>
  </si>
  <si>
    <t>https://www.nisra.gov.uk/system/files/statistics/census-2011-qs117ni.xlsx</t>
  </si>
  <si>
    <t>https://www.nisra.gov.uk/system/files/statistics/census-2011-qs201ni.xlsx</t>
  </si>
  <si>
    <t>https://www.nisra.gov.uk/system/files/statistics/census-2011-qs202ni.xlsx</t>
  </si>
  <si>
    <t>https://www.nisra.gov.uk/system/files/statistics/census-2011-qs203ni.xlsx</t>
  </si>
  <si>
    <t>https://www.nisra.gov.uk/system/files/statistics/census-2011-qs204ni.xlsx</t>
  </si>
  <si>
    <t>https://www.nisra.gov.uk/system/files/statistics/census-2011-qs205ni.xlsx</t>
  </si>
  <si>
    <t>https://www.nisra.gov.uk/system/files/statistics/census-2011-qs206ni.xlsx</t>
  </si>
  <si>
    <t>https://www.nisra.gov.uk/system/files/statistics/census-2011-qs207ni.xlsx</t>
  </si>
  <si>
    <t>https://www.nisra.gov.uk/system/files/statistics/census-2011-qs208ni.xlsx</t>
  </si>
  <si>
    <t>https://www.nisra.gov.uk/system/files/statistics/census-2011-qs209ni.xlsx</t>
  </si>
  <si>
    <t>https://www.nisra.gov.uk/system/files/statistics/census-2011-qs210ni.xlsx</t>
  </si>
  <si>
    <t>https://www.nisra.gov.uk/system/files/statistics/census-2011-qs211ni.xlsx</t>
  </si>
  <si>
    <t>https://www.nisra.gov.uk/system/files/statistics/census-2011-qs212ni.xlsx</t>
  </si>
  <si>
    <t>https://www.nisra.gov.uk/system/files/statistics/census-2011-qs213ni.xlsx</t>
  </si>
  <si>
    <t>https://www.nisra.gov.uk/system/files/statistics/census-2011-qs214ni.xlsx</t>
  </si>
  <si>
    <t>https://www.nisra.gov.uk/system/files/statistics/census-2011-qs215ni.xlsx</t>
  </si>
  <si>
    <t>https://www.nisra.gov.uk/system/files/statistics/census-2011-qs216ni.xlsx</t>
  </si>
  <si>
    <t>https://www.nisra.gov.uk/system/files/statistics/census-2011-qs217ni.xlsx</t>
  </si>
  <si>
    <t>https://www.nisra.gov.uk/system/files/statistics/census-2011-qs218ni.xlsx</t>
  </si>
  <si>
    <t>https://www.nisra.gov.uk/system/files/statistics/census-2011-qs219ni.xlsx</t>
  </si>
  <si>
    <t>https://www.nisra.gov.uk/system/files/statistics/census-2011-qs220ni.xlsx</t>
  </si>
  <si>
    <t>https://www.nisra.gov.uk/system/files/statistics/census-2011-qs221ni.xlsx</t>
  </si>
  <si>
    <t xml:space="preserve">https://www.nisra.gov.uk/system/files/statistics/census-2011-qs301ni.xlsx </t>
  </si>
  <si>
    <t>https://www.nisra.gov.uk/system/files/statistics/census-2011-qs302ni.xlsx</t>
  </si>
  <si>
    <t>https://www.nisra.gov.uk/system/files/statistics/census-2011-qs303ni.xlsx</t>
  </si>
  <si>
    <t>https://www.nisra.gov.uk/system/files/statistics/census-2011-qs401ni.xlsx</t>
  </si>
  <si>
    <t>https://www.nisra.gov.uk/system/files/statistics/census-2011-qs402ni.xlsx</t>
  </si>
  <si>
    <t>https://www.nisra.gov.uk/system/files/statistics/census-2011-qs403ni.xlsx</t>
  </si>
  <si>
    <t>https://www.nisra.gov.uk/system/files/statistics/census-2011-qs404ni.xlsx</t>
  </si>
  <si>
    <t>https://www.nisra.gov.uk/system/files/statistics/census-2011-qs405ni.xlsx</t>
  </si>
  <si>
    <t>https://www.nisra.gov.uk/system/files/statistics/census-2011-qs406ni.xlsx</t>
  </si>
  <si>
    <t>https://www.nisra.gov.uk/system/files/statistics/census-2011-qs407ni.xlsx</t>
  </si>
  <si>
    <t>https://www.nisra.gov.uk/system/files/statistics/census-2011-qs408ni.xlsx</t>
  </si>
  <si>
    <t>https://www.nisra.gov.uk/system/files/statistics/census-2011-qs409ni.xlsx</t>
  </si>
  <si>
    <t>https://www.nisra.gov.uk/system/files/statistics/census-2011-qs410ni.xlsx</t>
  </si>
  <si>
    <t>https://www.nisra.gov.uk/system/files/statistics/census-2011-qs411ni.xlsx</t>
  </si>
  <si>
    <t>https://www.nisra.gov.uk/system/files/statistics/census-2011-qs412ni.xlsx</t>
  </si>
  <si>
    <t>https://www.nisra.gov.uk/system/files/statistics/census-2011-qs413ni.xlsx</t>
  </si>
  <si>
    <t>https://www.nisra.gov.uk/system/files/statistics/census-2011-qs414ni.xlsx</t>
  </si>
  <si>
    <t>https://www.nisra.gov.uk/system/files/statistics/census-2011-ks501ni.xlsx</t>
  </si>
  <si>
    <t>https://www.nisra.gov.uk/system/files/statistics/census-2011-ks601ni.xlsx</t>
  </si>
  <si>
    <t>https://www.nisra.gov.uk/system/files/statistics/census-2011-ks701ni.xlsx</t>
  </si>
  <si>
    <t>https://www.nisra.gov.uk/system/files/statistics/census-2011-ks702ni.xlsx</t>
  </si>
  <si>
    <t>https://www.nisra.gov.uk/system/files/statistics/census-2011-ks801ni.xlsx</t>
  </si>
  <si>
    <t>https://www.nisra.gov.uk/system/files/statistics/census-2011-ks602ni.xlsx</t>
  </si>
  <si>
    <t>https://www.nisra.gov.uk/system/files/statistics/census-2011-ks603ni.xlsx</t>
  </si>
  <si>
    <t>https://www.nisra.gov.uk/system/files/statistics/census-2011-ks604ni.xlsx</t>
  </si>
  <si>
    <t>https://www.nisra.gov.uk/system/files/statistics/census-2011-ks605ni.xlsx</t>
  </si>
  <si>
    <t>https://www.nisra.gov.uk/system/files/statistics/census-2011-ks606ni.xlsx</t>
  </si>
  <si>
    <t>https://www.nisra.gov.uk/system/files/statistics/census-2011-ks607ni.xlsx</t>
  </si>
  <si>
    <t>https://www.nisra.gov.uk/system/files/statistics/census-2011-ks608ni.xlsx</t>
  </si>
  <si>
    <t>https://www.nisra.gov.uk/system/files/statistics/census-2011-ks609ni.xlsx</t>
  </si>
  <si>
    <t>https://www.nisra.gov.uk/system/files/statistics/census-2011-ks610ni.xlsx</t>
  </si>
  <si>
    <t>https://www.nisra.gov.uk/system/files/statistics/census-2011-ks611ni.xlsx</t>
  </si>
  <si>
    <t>https://www.nisra.gov.uk/system/files/statistics/census-2011-ks612ni.xlsx</t>
  </si>
  <si>
    <t>https://www.nisra.gov.uk/system/files/statistics/census-2011-ks613ni.xlsx</t>
  </si>
  <si>
    <t>https://www.nisra.gov.uk/system/files/statistics/census-2011-qs601ni.xlsx</t>
  </si>
  <si>
    <t>https://www.nisra.gov.uk/system/files/statistics/census-2011-qs801ni.xlsx</t>
  </si>
  <si>
    <t>https://www.nisra.gov.uk/system/files/statistics/census-2011-qs802ni.xlsx</t>
  </si>
  <si>
    <t>https://www.nisra.gov.uk/system/files/statistics/census-2011-qs803ni.xlsx</t>
  </si>
  <si>
    <t>https://www.nisra.gov.uk/system/files/statistics/census-2011-qs804ni.xlsx</t>
  </si>
  <si>
    <t>https://www.nisra.gov.uk/system/files/statistics/census-2011-qs805ni.xlsx</t>
  </si>
  <si>
    <t>https://www.nisra.gov.uk/system/files/statistics/census-2011-qs806ni.xlsx</t>
  </si>
  <si>
    <t>https://www.nisra.gov.uk/system/files/statistics/census-2011-qs602ni.xlsx</t>
  </si>
  <si>
    <t>https://www.nisra.gov.uk/system/files/statistics/census-2011-qs603ni.xlsx</t>
  </si>
  <si>
    <t>https://www.nisra.gov.uk/system/files/statistics/census-2011-qs604ni.xlsx</t>
  </si>
  <si>
    <t>https://www.nisra.gov.uk/system/files/statistics/census-2011-qs605ni.xlsx</t>
  </si>
  <si>
    <t>https://www.nisra.gov.uk/system/files/statistics/census-2011-qs606ni.xlsx</t>
  </si>
  <si>
    <t>https://www.nisra.gov.uk/system/files/statistics/census-2011-qs607ni.xlsx</t>
  </si>
  <si>
    <t>https://www.nisra.gov.uk/system/files/statistics/census-2011-qs608ni.xlsx</t>
  </si>
  <si>
    <t>https://www.nisra.gov.uk/system/files/statistics/census-2011-qs609ni.xlsx</t>
  </si>
  <si>
    <t>https://www.nisra.gov.uk/system/files/statistics/census-2011-qs610ni.xlsx</t>
  </si>
  <si>
    <t>https://www.nisra.gov.uk/system/files/statistics/census-2011-qs611ni.xlsx</t>
  </si>
  <si>
    <t>The relevant tables will be listed, along with information on the geography for which the table is available.</t>
  </si>
  <si>
    <t>National Statistics Socio-economic Classification (NS-SeC) - Males</t>
  </si>
  <si>
    <t>National Statistics Socio-economic Classification (NS-SeC) - Females</t>
  </si>
  <si>
    <t>national statistics socio-economic classification ns-sec - males</t>
  </si>
  <si>
    <t>national statistics socio-economic classification ns-sec - females</t>
  </si>
  <si>
    <t>Access data</t>
  </si>
  <si>
    <t xml:space="preserve">Column E provides links to access the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</si>
</sst>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sz val="11"/>
      <color theme="1"/>
      <name val="Calibri"/>
      <family val="2"/>
      <scheme val="minor"/>
    </font>
    <font>
      <sz val="11"/>
      <color theme="1"/>
      <name val="Calibri"/>
      <family val="2"/>
      <scheme val="minor"/>
    </font>
    <font>
      <b/>
      <sz val="10"/>
      <name val="Arial"/>
      <family val="2"/>
    </font>
    <font>
      <b/>
      <i/>
      <sz val="10"/>
      <name val="Arial"/>
      <family val="2"/>
    </font>
    <font>
      <sz val="10"/>
      <name val="Arial"/>
      <family val="2"/>
    </font>
    <font>
      <b/>
      <sz val="12"/>
      <name val="Arial"/>
      <family val="2"/>
    </font>
    <font>
      <sz val="12"/>
      <name val="Arial"/>
      <family val="2"/>
    </font>
    <font>
      <sz val="12"/>
      <color indexed="8"/>
      <name val="Arial"/>
      <family val="2"/>
    </font>
    <font>
      <sz val="12"/>
      <color theme="1"/>
      <name val="Arial"/>
      <family val="2"/>
    </font>
    <font>
      <u/>
      <sz val="10"/>
      <color theme="10"/>
      <name val="Arial"/>
      <family val="2"/>
    </font>
    <font>
      <b/>
      <sz val="11"/>
      <color indexed="9"/>
      <name val="Arial"/>
      <family val="2"/>
    </font>
    <font>
      <sz val="11"/>
      <name val="Arial"/>
      <family val="2"/>
    </font>
    <font>
      <b/>
      <sz val="11"/>
      <name val="Arial"/>
      <family val="2"/>
    </font>
    <font>
      <u/>
      <sz val="11"/>
      <color theme="10"/>
      <name val="Arial"/>
      <family val="2"/>
    </font>
    <font>
      <b/>
      <sz val="11"/>
      <color theme="0"/>
      <name val="Arial"/>
      <family val="2"/>
    </font>
    <font>
      <sz val="11"/>
      <color indexed="8"/>
      <name val="Arial"/>
      <family val="2"/>
    </font>
    <font>
      <b/>
      <i/>
      <sz val="11"/>
      <name val="Arial"/>
      <family val="2"/>
    </font>
    <font>
      <sz val="11"/>
      <color theme="1"/>
      <name val="Arial"/>
      <family val="2"/>
    </font>
    <font>
      <b/>
      <sz val="15"/>
      <name val="Arial"/>
      <family val="2"/>
    </font>
    <font>
      <b/>
      <sz val="15"/>
      <color rgb="FF6E2585"/>
      <name val="Arial"/>
      <family val="2"/>
    </font>
    <font>
      <b/>
      <sz val="12"/>
      <color theme="0"/>
      <name val="Arial"/>
      <family val="2"/>
    </font>
  </fonts>
  <fills count="5">
    <fill>
      <patternFill patternType="none"/>
    </fill>
    <fill>
      <patternFill patternType="gray125"/>
    </fill>
    <fill>
      <patternFill patternType="solid">
        <fgColor theme="0"/>
        <bgColor indexed="64"/>
      </patternFill>
    </fill>
    <fill>
      <patternFill patternType="solid">
        <fgColor rgb="FF6E2585"/>
        <bgColor indexed="64"/>
      </patternFill>
    </fill>
    <fill>
      <patternFill patternType="solid">
        <fgColor rgb="FFD4BEDA"/>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s>
  <cellStyleXfs count="6">
    <xf numFmtId="0" fontId="0" fillId="0" borderId="0"/>
    <xf numFmtId="0" fontId="5" fillId="0" borderId="0"/>
    <xf numFmtId="0" fontId="2" fillId="0" borderId="0"/>
    <xf numFmtId="0" fontId="1" fillId="0" borderId="0"/>
    <xf numFmtId="0" fontId="10" fillId="0" borderId="0" applyNumberFormat="0" applyFill="0" applyBorder="0" applyAlignment="0" applyProtection="0">
      <alignment vertical="top"/>
      <protection locked="0"/>
    </xf>
    <xf numFmtId="0" fontId="19" fillId="0" borderId="2" applyNumberFormat="0" applyFill="0" applyBorder="0" applyAlignment="0" applyProtection="0"/>
  </cellStyleXfs>
  <cellXfs count="89">
    <xf numFmtId="0" fontId="0" fillId="0" borderId="0" xfId="0"/>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6" fillId="0" borderId="0" xfId="0" applyFont="1"/>
    <xf numFmtId="0" fontId="7" fillId="0" borderId="0" xfId="0" applyFont="1"/>
    <xf numFmtId="0" fontId="8" fillId="0" borderId="0" xfId="0" applyFont="1" applyFill="1" applyBorder="1" applyAlignment="1" applyProtection="1">
      <alignment horizontal="left" vertical="center"/>
      <protection locked="0"/>
    </xf>
    <xf numFmtId="0" fontId="8" fillId="0" borderId="0" xfId="0" applyFont="1" applyFill="1" applyBorder="1" applyAlignment="1" applyProtection="1">
      <alignment vertical="center"/>
      <protection locked="0"/>
    </xf>
    <xf numFmtId="0" fontId="7" fillId="0" borderId="0" xfId="0" applyFont="1" applyBorder="1" applyAlignment="1"/>
    <xf numFmtId="0" fontId="8" fillId="0" borderId="0" xfId="1" applyFont="1" applyFill="1" applyBorder="1" applyAlignment="1" applyProtection="1">
      <alignment horizontal="left" vertical="center"/>
      <protection locked="0"/>
    </xf>
    <xf numFmtId="0" fontId="7" fillId="0" borderId="0" xfId="1" applyFont="1" applyFill="1" applyBorder="1" applyAlignment="1" applyProtection="1">
      <alignment horizontal="left" vertical="center"/>
      <protection locked="0"/>
    </xf>
    <xf numFmtId="0" fontId="8" fillId="0" borderId="0" xfId="1" applyFont="1" applyFill="1" applyBorder="1" applyAlignment="1" applyProtection="1">
      <alignment vertical="center"/>
      <protection locked="0"/>
    </xf>
    <xf numFmtId="0" fontId="7" fillId="0" borderId="0" xfId="3" applyFont="1" applyFill="1" applyBorder="1"/>
    <xf numFmtId="0" fontId="9" fillId="0" borderId="0" xfId="3" applyFont="1" applyFill="1" applyBorder="1"/>
    <xf numFmtId="0" fontId="7" fillId="0" borderId="0" xfId="0" applyFont="1" applyFill="1" applyBorder="1" applyAlignment="1">
      <alignment vertical="center"/>
    </xf>
    <xf numFmtId="0" fontId="7" fillId="0" borderId="0" xfId="0" applyFont="1" applyFill="1" applyBorder="1"/>
    <xf numFmtId="0" fontId="6" fillId="0" borderId="0" xfId="0" applyFont="1" applyFill="1" applyBorder="1" applyAlignment="1" applyProtection="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xf numFmtId="0" fontId="14" fillId="0" borderId="0" xfId="4" applyFont="1" applyAlignment="1" applyProtection="1"/>
    <xf numFmtId="0" fontId="12" fillId="0" borderId="1" xfId="0" applyFont="1" applyBorder="1" applyAlignment="1">
      <alignment vertical="center" wrapText="1"/>
    </xf>
    <xf numFmtId="0" fontId="14" fillId="0" borderId="1" xfId="4" applyFont="1" applyBorder="1" applyAlignment="1" applyProtection="1">
      <alignment vertical="center" wrapText="1"/>
    </xf>
    <xf numFmtId="0" fontId="11" fillId="3" borderId="1" xfId="0" applyFont="1" applyFill="1" applyBorder="1" applyAlignment="1">
      <alignment vertical="center" wrapText="1"/>
    </xf>
    <xf numFmtId="0" fontId="7" fillId="4" borderId="1" xfId="0" applyFont="1" applyFill="1" applyBorder="1" applyAlignment="1">
      <alignment vertical="center"/>
    </xf>
    <xf numFmtId="0" fontId="12" fillId="0" borderId="0" xfId="0" applyFont="1" applyAlignment="1">
      <alignment horizontal="left" vertical="center" wrapText="1"/>
    </xf>
    <xf numFmtId="0" fontId="12" fillId="0" borderId="0" xfId="0" applyFont="1" applyAlignment="1">
      <alignment horizontal="left" vertical="center"/>
    </xf>
    <xf numFmtId="0" fontId="16" fillId="0" borderId="0" xfId="0" applyFont="1" applyFill="1" applyBorder="1" applyAlignment="1" applyProtection="1">
      <alignment horizontal="left" vertical="top" wrapText="1"/>
      <protection locked="0"/>
    </xf>
    <xf numFmtId="0" fontId="12" fillId="0" borderId="0" xfId="0" applyFont="1" applyFill="1" applyBorder="1" applyAlignment="1">
      <alignment vertical="center" wrapText="1"/>
    </xf>
    <xf numFmtId="0" fontId="12" fillId="0" borderId="0" xfId="0" applyNumberFormat="1" applyFont="1" applyFill="1" applyBorder="1" applyAlignment="1">
      <alignment vertical="center" wrapText="1"/>
    </xf>
    <xf numFmtId="0" fontId="12" fillId="0" borderId="0" xfId="0" applyFont="1" applyBorder="1" applyAlignment="1">
      <alignment vertical="center" wrapText="1"/>
    </xf>
    <xf numFmtId="0" fontId="12" fillId="0" borderId="0" xfId="0" applyFont="1" applyFill="1" applyBorder="1" applyAlignment="1">
      <alignment horizontal="left" vertical="center" wrapText="1"/>
    </xf>
    <xf numFmtId="0" fontId="12" fillId="2" borderId="0" xfId="0" applyFont="1" applyFill="1" applyBorder="1" applyAlignment="1">
      <alignment vertical="center" wrapText="1"/>
    </xf>
    <xf numFmtId="0" fontId="12" fillId="0" borderId="0" xfId="0" applyFont="1" applyFill="1" applyBorder="1" applyAlignment="1" applyProtection="1">
      <alignment horizontal="left" vertical="center" wrapText="1"/>
      <protection locked="0"/>
    </xf>
    <xf numFmtId="0" fontId="12" fillId="0" borderId="0" xfId="0" applyFont="1" applyBorder="1" applyAlignment="1">
      <alignment horizontal="left" vertical="center" wrapText="1"/>
    </xf>
    <xf numFmtId="0" fontId="12" fillId="0" borderId="0" xfId="0" applyNumberFormat="1" applyFont="1" applyFill="1" applyBorder="1" applyAlignment="1">
      <alignment horizontal="left" vertical="center" wrapText="1"/>
    </xf>
    <xf numFmtId="0" fontId="12" fillId="0" borderId="0" xfId="0" applyFont="1" applyFill="1" applyBorder="1" applyAlignment="1" applyProtection="1">
      <alignment vertical="center" wrapText="1"/>
    </xf>
    <xf numFmtId="0" fontId="18" fillId="0" borderId="0" xfId="0" applyFont="1" applyAlignment="1">
      <alignment wrapText="1"/>
    </xf>
    <xf numFmtId="0" fontId="18" fillId="0" borderId="0" xfId="0" applyFont="1" applyAlignment="1">
      <alignment vertical="center" wrapText="1"/>
    </xf>
    <xf numFmtId="0" fontId="7" fillId="0" borderId="0" xfId="0" applyFont="1" applyFill="1" applyBorder="1" applyAlignment="1">
      <alignment horizontal="left"/>
    </xf>
    <xf numFmtId="0" fontId="7" fillId="0" borderId="0" xfId="0" applyFont="1" applyFill="1" applyBorder="1" applyAlignment="1" applyProtection="1">
      <alignment horizontal="left" vertical="center"/>
      <protection locked="0"/>
    </xf>
    <xf numFmtId="0" fontId="7" fillId="0" borderId="0" xfId="0" applyFont="1" applyBorder="1" applyAlignment="1">
      <alignment horizontal="left"/>
    </xf>
    <xf numFmtId="0" fontId="7" fillId="0" borderId="0" xfId="0" applyFont="1" applyAlignment="1">
      <alignment horizontal="left"/>
    </xf>
    <xf numFmtId="0" fontId="6" fillId="0" borderId="0" xfId="0" applyFont="1" applyFill="1" applyBorder="1" applyAlignment="1" applyProtection="1">
      <alignment horizontal="left" vertical="center" wrapText="1"/>
    </xf>
    <xf numFmtId="0" fontId="7" fillId="0" borderId="0" xfId="0" applyFont="1" applyAlignment="1">
      <alignment vertical="center" wrapText="1"/>
    </xf>
    <xf numFmtId="0" fontId="19" fillId="0" borderId="0" xfId="5" applyFont="1" applyBorder="1"/>
    <xf numFmtId="0" fontId="19" fillId="0" borderId="0" xfId="5" applyBorder="1" applyAlignment="1">
      <alignment horizontal="left"/>
    </xf>
    <xf numFmtId="0" fontId="7" fillId="0" borderId="0" xfId="0" applyFont="1" applyAlignment="1">
      <alignment horizontal="left" wrapText="1"/>
    </xf>
    <xf numFmtId="0" fontId="7" fillId="0" borderId="0" xfId="3" applyFont="1" applyFill="1" applyBorder="1" applyAlignment="1">
      <alignment horizontal="left"/>
    </xf>
    <xf numFmtId="0" fontId="9" fillId="0" borderId="0" xfId="3" applyFont="1" applyFill="1" applyBorder="1" applyAlignment="1">
      <alignment horizontal="left"/>
    </xf>
    <xf numFmtId="0" fontId="7" fillId="0" borderId="0" xfId="0" applyFont="1" applyFill="1" applyBorder="1" applyAlignment="1">
      <alignment horizontal="left" vertical="center"/>
    </xf>
    <xf numFmtId="0" fontId="6" fillId="0" borderId="0" xfId="0" applyFont="1" applyFill="1" applyBorder="1" applyAlignment="1" applyProtection="1">
      <alignment horizontal="left" vertical="center"/>
    </xf>
    <xf numFmtId="0" fontId="7" fillId="0" borderId="0" xfId="0" applyFont="1" applyAlignment="1">
      <alignment vertical="center"/>
    </xf>
    <xf numFmtId="0" fontId="6" fillId="0" borderId="0" xfId="0" applyFont="1" applyAlignment="1">
      <alignment vertical="center"/>
    </xf>
    <xf numFmtId="0" fontId="13" fillId="0" borderId="0" xfId="0" applyFont="1" applyFill="1" applyBorder="1" applyAlignment="1" applyProtection="1">
      <alignment vertical="center" wrapText="1"/>
    </xf>
    <xf numFmtId="0" fontId="12" fillId="0" borderId="0" xfId="1" applyFont="1" applyFill="1" applyBorder="1" applyAlignment="1" applyProtection="1">
      <alignment horizontal="center" vertical="center" wrapText="1"/>
      <protection locked="0"/>
    </xf>
    <xf numFmtId="0" fontId="16" fillId="0" borderId="0" xfId="0" applyFont="1" applyFill="1" applyBorder="1" applyAlignment="1" applyProtection="1">
      <alignment horizontal="left" vertical="center" wrapText="1"/>
      <protection locked="0"/>
    </xf>
    <xf numFmtId="0" fontId="12" fillId="0" borderId="0" xfId="0" quotePrefix="1" applyFont="1" applyFill="1" applyBorder="1" applyAlignment="1" applyProtection="1">
      <alignment vertical="center" wrapText="1"/>
    </xf>
    <xf numFmtId="0" fontId="17" fillId="0" borderId="0" xfId="0" applyFont="1" applyFill="1" applyBorder="1" applyAlignment="1" applyProtection="1">
      <alignment vertical="center" wrapText="1"/>
    </xf>
    <xf numFmtId="0" fontId="12"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protection locked="0"/>
    </xf>
    <xf numFmtId="0" fontId="12" fillId="0" borderId="0" xfId="0" applyFont="1" applyFill="1" applyBorder="1" applyAlignment="1">
      <alignment horizontal="center" vertical="center" wrapText="1"/>
    </xf>
    <xf numFmtId="0" fontId="12" fillId="0" borderId="0" xfId="0" applyFont="1" applyFill="1" applyBorder="1" applyAlignment="1" applyProtection="1">
      <alignment horizontal="center" vertical="center" wrapText="1"/>
      <protection locked="0"/>
    </xf>
    <xf numFmtId="0" fontId="16" fillId="0" borderId="0" xfId="0" applyFont="1" applyFill="1" applyBorder="1" applyAlignment="1" applyProtection="1">
      <alignment vertical="center" wrapText="1"/>
      <protection locked="0"/>
    </xf>
    <xf numFmtId="0" fontId="12" fillId="0" borderId="0" xfId="0" applyFont="1" applyBorder="1" applyAlignment="1">
      <alignment horizontal="center" vertical="center" wrapText="1"/>
    </xf>
    <xf numFmtId="0" fontId="16" fillId="0" borderId="0" xfId="1" applyFont="1" applyFill="1" applyBorder="1" applyAlignment="1" applyProtection="1">
      <alignment horizontal="center" vertical="center" wrapText="1"/>
      <protection locked="0"/>
    </xf>
    <xf numFmtId="0" fontId="16" fillId="0" borderId="0" xfId="1" applyFont="1" applyFill="1" applyBorder="1" applyAlignment="1" applyProtection="1">
      <alignment horizontal="left" vertical="center" wrapText="1"/>
      <protection locked="0"/>
    </xf>
    <xf numFmtId="0" fontId="12" fillId="0" borderId="0" xfId="1" applyFont="1" applyFill="1" applyBorder="1" applyAlignment="1" applyProtection="1">
      <alignment horizontal="left" vertical="center" wrapText="1"/>
      <protection locked="0"/>
    </xf>
    <xf numFmtId="0" fontId="16" fillId="0" borderId="0" xfId="1" applyFont="1" applyFill="1" applyBorder="1" applyAlignment="1" applyProtection="1">
      <alignment vertical="center" wrapText="1"/>
      <protection locked="0"/>
    </xf>
    <xf numFmtId="0" fontId="12" fillId="0" borderId="0" xfId="2" applyFont="1" applyFill="1" applyBorder="1" applyAlignment="1">
      <alignment horizontal="center" vertical="center" wrapText="1"/>
    </xf>
    <xf numFmtId="0" fontId="12" fillId="0" borderId="0" xfId="2" applyFont="1" applyFill="1" applyBorder="1" applyAlignment="1">
      <alignment vertical="center" wrapText="1"/>
    </xf>
    <xf numFmtId="0" fontId="18" fillId="0" borderId="0" xfId="2" applyFont="1" applyFill="1" applyBorder="1" applyAlignment="1">
      <alignment horizontal="center" vertical="center" wrapText="1"/>
    </xf>
    <xf numFmtId="0" fontId="18" fillId="0" borderId="0" xfId="2" applyFont="1" applyFill="1" applyBorder="1" applyAlignment="1">
      <alignment vertical="center" wrapText="1"/>
    </xf>
    <xf numFmtId="0" fontId="12" fillId="0" borderId="0" xfId="0" applyFont="1" applyBorder="1" applyAlignment="1" applyProtection="1">
      <alignment vertical="center" wrapText="1"/>
      <protection locked="0"/>
    </xf>
    <xf numFmtId="0" fontId="12" fillId="0" borderId="0" xfId="0" applyFont="1" applyAlignment="1">
      <alignment vertical="top"/>
    </xf>
    <xf numFmtId="0" fontId="12" fillId="0" borderId="0" xfId="0" applyFont="1" applyBorder="1" applyAlignment="1">
      <alignment vertical="top"/>
    </xf>
    <xf numFmtId="0" fontId="12" fillId="0" borderId="0" xfId="0" applyFont="1" applyAlignment="1">
      <alignment horizontal="left" vertical="top"/>
    </xf>
    <xf numFmtId="0" fontId="12" fillId="0" borderId="0" xfId="0" applyFont="1" applyAlignment="1">
      <alignment horizontal="left" vertical="top" wrapText="1"/>
    </xf>
    <xf numFmtId="0" fontId="12" fillId="0" borderId="0" xfId="0" applyFont="1" applyAlignment="1">
      <alignment vertical="top" wrapText="1"/>
    </xf>
    <xf numFmtId="0" fontId="20" fillId="0" borderId="0" xfId="5" applyFont="1" applyFill="1" applyBorder="1" applyAlignment="1">
      <alignment vertical="top"/>
    </xf>
    <xf numFmtId="0" fontId="15" fillId="0" borderId="0" xfId="0" applyFont="1" applyFill="1" applyAlignment="1">
      <alignment vertical="top"/>
    </xf>
    <xf numFmtId="0" fontId="12" fillId="0" borderId="0" xfId="0" applyFont="1" applyFill="1" applyBorder="1" applyAlignment="1">
      <alignment vertical="top"/>
    </xf>
    <xf numFmtId="0" fontId="12" fillId="0" borderId="0" xfId="0" applyFont="1" applyFill="1" applyAlignment="1">
      <alignment vertical="top"/>
    </xf>
    <xf numFmtId="0" fontId="14" fillId="0" borderId="1" xfId="4" applyFont="1" applyFill="1" applyBorder="1" applyAlignment="1" applyProtection="1">
      <alignment vertical="center" wrapText="1"/>
    </xf>
    <xf numFmtId="0" fontId="21" fillId="3" borderId="1" xfId="0" applyFont="1" applyFill="1" applyBorder="1" applyAlignment="1">
      <alignment vertical="center"/>
    </xf>
    <xf numFmtId="0" fontId="7" fillId="0" borderId="0" xfId="0" applyFont="1" applyAlignment="1">
      <alignment vertical="top"/>
    </xf>
    <xf numFmtId="0" fontId="7" fillId="0" borderId="0" xfId="0" applyFont="1" applyAlignment="1">
      <alignment horizontal="left" vertical="top"/>
    </xf>
    <xf numFmtId="0" fontId="7" fillId="0" borderId="0" xfId="0" applyFont="1" applyFill="1" applyAlignment="1">
      <alignment vertical="top"/>
    </xf>
    <xf numFmtId="0" fontId="7" fillId="0" borderId="0" xfId="0" applyFont="1" applyAlignment="1">
      <alignment horizontal="left" vertical="center"/>
    </xf>
  </cellXfs>
  <cellStyles count="6">
    <cellStyle name="Heading 1" xfId="5" builtinId="16" customBuiltin="1"/>
    <cellStyle name="Hyperlink" xfId="4" builtinId="8"/>
    <cellStyle name="Normal" xfId="0" builtinId="0"/>
    <cellStyle name="Normal 2" xfId="1"/>
    <cellStyle name="Normal 4" xfId="2"/>
    <cellStyle name="Normal 4 2" xfId="3"/>
  </cellStyles>
  <dxfs count="104">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bottom" textRotation="0" wrapText="0" indent="0" justifyLastLine="0" shrinkToFit="0" readingOrder="0"/>
    </dxf>
    <dxf>
      <fill>
        <patternFill>
          <bgColor rgb="FF92D05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92D050"/>
        </patternFill>
      </fill>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bottom" textRotation="0" wrapText="0" indent="0" justifyLastLine="0" shrinkToFit="0" readingOrder="0"/>
    </dxf>
    <dxf>
      <fill>
        <patternFill>
          <bgColor rgb="FF92D050"/>
        </patternFill>
      </fill>
    </dxf>
    <dxf>
      <fill>
        <patternFill>
          <bgColor rgb="FF92D050"/>
        </patternFill>
      </fill>
    </dxf>
    <dxf>
      <fill>
        <patternFill>
          <bgColor rgb="FF92D05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92D050"/>
        </patternFill>
      </fill>
    </dxf>
    <dxf>
      <fill>
        <patternFill>
          <bgColor rgb="FF92D05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92D050"/>
        </patternFill>
      </fill>
    </dxf>
    <dxf>
      <fill>
        <patternFill>
          <bgColor rgb="FF92D050"/>
        </patternFill>
      </fill>
    </dxf>
    <dxf>
      <fill>
        <patternFill>
          <bgColor rgb="FF92D05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92D050"/>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0" indent="0" justifyLastLine="0" shrinkToFit="0" readingOrder="0"/>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12"/>
        <color auto="1"/>
        <name val="Arial"/>
        <scheme val="none"/>
      </font>
      <alignment horizontal="general" vertical="center" textRotation="0" wrapText="0" indent="0" justifyLastLine="0" shrinkToFit="0" readingOrder="0"/>
    </dxf>
    <dxf>
      <fill>
        <patternFill>
          <bgColor rgb="FF92D050"/>
        </patternFill>
      </fill>
    </dxf>
    <dxf>
      <fill>
        <patternFill>
          <bgColor rgb="FF92D05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PivotStyle="PivotStyleLight16"/>
  <colors>
    <mruColors>
      <color rgb="FF6E2585"/>
      <color rgb="FFD4BEDA"/>
      <color rgb="FF7D7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A7" totalsRowShown="0" headerRowDxfId="91" dataDxfId="90">
  <autoFilter ref="A2:A7">
    <filterColumn colId="0" hiddenButton="1"/>
  </autoFilter>
  <tableColumns count="1">
    <tableColumn id="1" name="Table titles" dataDxfId="89"/>
  </tableColumns>
  <tableStyleInfo showFirstColumn="0" showLastColumn="0" showRowStripes="1" showColumnStripes="0"/>
</table>
</file>

<file path=xl/tables/table2.xml><?xml version="1.0" encoding="utf-8"?>
<table xmlns="http://schemas.openxmlformats.org/spreadsheetml/2006/main" id="2" name="Table2" displayName="Table2" ref="A2:B47" totalsRowShown="0" headerRowDxfId="88" dataDxfId="87">
  <autoFilter ref="A2:B47">
    <filterColumn colId="0" hiddenButton="1"/>
    <filterColumn colId="1" hiddenButton="1"/>
  </autoFilter>
  <tableColumns count="2">
    <tableColumn id="1" name="Table number" dataDxfId="86"/>
    <tableColumn id="2" name="Table title" dataDxfId="85"/>
  </tableColumns>
  <tableStyleInfo showFirstColumn="0" showLastColumn="0" showRowStripes="1" showColumnStripes="0"/>
</table>
</file>

<file path=xl/tables/table3.xml><?xml version="1.0" encoding="utf-8"?>
<table xmlns="http://schemas.openxmlformats.org/spreadsheetml/2006/main" id="3" name="Table3" displayName="Table3" ref="A2:B74" totalsRowShown="0" dataDxfId="84" dataCellStyle="Normal 2">
  <autoFilter ref="A2:B74">
    <filterColumn colId="0" hiddenButton="1"/>
    <filterColumn colId="1" hiddenButton="1"/>
  </autoFilter>
  <tableColumns count="2">
    <tableColumn id="1" name="Table number" dataDxfId="83" dataCellStyle="Normal 2"/>
    <tableColumn id="2" name="Table title" dataDxfId="82" dataCellStyle="Normal 2"/>
  </tableColumns>
  <tableStyleInfo showFirstColumn="0" showLastColumn="0" showRowStripes="1" showColumnStripes="0"/>
</table>
</file>

<file path=xl/tables/table4.xml><?xml version="1.0" encoding="utf-8"?>
<table xmlns="http://schemas.openxmlformats.org/spreadsheetml/2006/main" id="4" name="Table4" displayName="Table4" ref="A2:B269" totalsRowShown="0">
  <autoFilter ref="A2:B269">
    <filterColumn colId="0" hiddenButton="1"/>
    <filterColumn colId="1" hiddenButton="1"/>
  </autoFilter>
  <tableColumns count="2">
    <tableColumn id="1" name="Table number" dataDxfId="46"/>
    <tableColumn id="2" name="Table title" dataDxfId="45"/>
  </tableColumns>
  <tableStyleInfo showFirstColumn="0" showLastColumn="0" showRowStripes="1" showColumnStripes="0"/>
</table>
</file>

<file path=xl/tables/table5.xml><?xml version="1.0" encoding="utf-8"?>
<table xmlns="http://schemas.openxmlformats.org/spreadsheetml/2006/main" id="5" name="Table5" displayName="Table5" ref="A2:B146" totalsRowShown="0">
  <autoFilter ref="A2:B146">
    <filterColumn colId="0" hiddenButton="1"/>
    <filterColumn colId="1" hiddenButton="1"/>
  </autoFilter>
  <tableColumns count="2">
    <tableColumn id="1" name="Table number" dataDxfId="17"/>
    <tableColumn id="2" name="Table title" dataDxfId="16"/>
  </tableColumns>
  <tableStyleInfo showFirstColumn="0" showLastColumn="0" showRowStripes="1" showColumnStripes="0"/>
</table>
</file>

<file path=xl/tables/table6.xml><?xml version="1.0" encoding="utf-8"?>
<table xmlns="http://schemas.openxmlformats.org/spreadsheetml/2006/main" id="6" name="Table6" displayName="Table6" ref="A2:A3" totalsRowShown="0" headerRowDxfId="15" dataDxfId="14">
  <autoFilter ref="A2:A3">
    <filterColumn colId="0" hiddenButton="1"/>
  </autoFilter>
  <tableColumns count="1">
    <tableColumn id="1" name="Table title" dataDxfId="13"/>
  </tableColumns>
  <tableStyleInfo showFirstColumn="0" showLastColumn="0" showRowStripes="1" showColumnStripes="0"/>
</table>
</file>

<file path=xl/tables/table7.xml><?xml version="1.0" encoding="utf-8"?>
<table xmlns="http://schemas.openxmlformats.org/spreadsheetml/2006/main" id="7" name="Table7" displayName="Table7" ref="A2:B80" totalsRowShown="0">
  <autoFilter ref="A2:B80">
    <filterColumn colId="0" hiddenButton="1"/>
    <filterColumn colId="1" hiddenButton="1"/>
  </autoFilter>
  <tableColumns count="2">
    <tableColumn id="1" name="Table number" dataDxfId="4"/>
    <tableColumn id="2" name="Table title" dataDxfId="3"/>
  </tableColumns>
  <tableStyleInfo showFirstColumn="0" showLastColumn="0" showRowStripes="1" showColumnStripes="0"/>
</table>
</file>

<file path=xl/tables/table8.xml><?xml version="1.0" encoding="utf-8"?>
<table xmlns="http://schemas.openxmlformats.org/spreadsheetml/2006/main" id="8" name="Table8" displayName="Table8" ref="A2:A3" totalsRowShown="0" headerRowDxfId="2" dataDxfId="1">
  <autoFilter ref="A2:A3">
    <filterColumn colId="0" hiddenButton="1"/>
  </autoFilter>
  <tableColumns count="1">
    <tableColumn id="1" name="Table titl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nisra.gov.uk/system/files/statistics/census-2011-usually-resident-population-by-single-year-of-age-table.xlsx"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676"/>
  <sheetViews>
    <sheetView tabSelected="1" zoomScaleNormal="100" workbookViewId="0">
      <pane ySplit="13" topLeftCell="A14" activePane="bottomLeft" state="frozen"/>
      <selection pane="bottomLeft"/>
    </sheetView>
  </sheetViews>
  <sheetFormatPr defaultColWidth="9.1796875" defaultRowHeight="14" x14ac:dyDescent="0.3"/>
  <cols>
    <col min="1" max="1" width="13" style="19" customWidth="1"/>
    <col min="2" max="2" width="77.7265625" style="19" customWidth="1"/>
    <col min="3" max="3" width="43.08984375" style="19" customWidth="1"/>
    <col min="4" max="4" width="70.1796875" style="19" customWidth="1"/>
    <col min="5" max="5" width="16" style="19" customWidth="1"/>
    <col min="6" max="6" width="9.1796875" style="18" customWidth="1"/>
    <col min="7" max="7" width="9.1796875" style="17" hidden="1" customWidth="1"/>
    <col min="8" max="8" width="9.1796875" style="17"/>
    <col min="9" max="16384" width="9.1796875" style="19"/>
  </cols>
  <sheetData>
    <row r="1" spans="1:21" s="82" customFormat="1" ht="22" customHeight="1" x14ac:dyDescent="0.25">
      <c r="A1" s="79" t="s">
        <v>55</v>
      </c>
      <c r="B1" s="80"/>
      <c r="C1" s="80"/>
      <c r="D1" s="80"/>
      <c r="E1" s="80"/>
      <c r="F1" s="81"/>
    </row>
    <row r="2" spans="1:21" s="74" customFormat="1" ht="19.5" customHeight="1" x14ac:dyDescent="0.25">
      <c r="A2" s="85" t="s">
        <v>1906</v>
      </c>
      <c r="F2" s="75"/>
    </row>
    <row r="3" spans="1:21" s="74" customFormat="1" ht="19.5" customHeight="1" x14ac:dyDescent="0.25">
      <c r="A3" s="86" t="s">
        <v>1919</v>
      </c>
      <c r="B3" s="76"/>
      <c r="C3" s="76"/>
      <c r="D3" s="76"/>
      <c r="E3" s="76"/>
      <c r="F3" s="75"/>
    </row>
    <row r="4" spans="1:21" s="74" customFormat="1" ht="19.5" customHeight="1" x14ac:dyDescent="0.25">
      <c r="A4" s="85" t="s">
        <v>1918</v>
      </c>
      <c r="F4" s="75"/>
    </row>
    <row r="5" spans="1:21" s="74" customFormat="1" ht="19.5" customHeight="1" x14ac:dyDescent="0.25">
      <c r="A5" s="86" t="s">
        <v>2044</v>
      </c>
      <c r="B5" s="77"/>
      <c r="C5" s="77"/>
      <c r="D5" s="77"/>
      <c r="E5" s="76"/>
      <c r="F5" s="75"/>
    </row>
    <row r="6" spans="1:21" s="74" customFormat="1" ht="19.5" customHeight="1" x14ac:dyDescent="0.25">
      <c r="A6" s="87" t="s">
        <v>2050</v>
      </c>
      <c r="B6" s="78"/>
      <c r="C6" s="78"/>
      <c r="D6" s="78"/>
      <c r="E6" s="78"/>
      <c r="F6" s="75"/>
    </row>
    <row r="7" spans="1:21" s="17" customFormat="1" ht="15.5" customHeight="1" x14ac:dyDescent="0.25">
      <c r="A7" s="88"/>
      <c r="B7" s="25"/>
      <c r="C7" s="26"/>
      <c r="D7" s="26"/>
      <c r="E7" s="26"/>
      <c r="F7" s="18"/>
    </row>
    <row r="8" spans="1:21" s="17" customFormat="1" ht="15.5" x14ac:dyDescent="0.25">
      <c r="A8" s="84" t="s">
        <v>11</v>
      </c>
      <c r="B8" s="24"/>
      <c r="F8" s="18"/>
      <c r="U8" s="17" t="str">
        <f>LOWER(B8)</f>
        <v/>
      </c>
    </row>
    <row r="9" spans="1:21" s="17" customFormat="1" ht="15.5" x14ac:dyDescent="0.25">
      <c r="A9" s="84" t="s">
        <v>12</v>
      </c>
      <c r="B9" s="24"/>
      <c r="F9" s="18"/>
      <c r="U9" s="17" t="str">
        <f>LOWER(B9)</f>
        <v/>
      </c>
    </row>
    <row r="10" spans="1:21" s="17" customFormat="1" ht="15.5" x14ac:dyDescent="0.25">
      <c r="A10" s="84" t="s">
        <v>13</v>
      </c>
      <c r="B10" s="24"/>
      <c r="F10" s="18"/>
      <c r="U10" s="17" t="str">
        <f>LOWER(B10)</f>
        <v/>
      </c>
    </row>
    <row r="11" spans="1:21" s="17" customFormat="1" ht="15.5" x14ac:dyDescent="0.25">
      <c r="A11" s="84" t="s">
        <v>26</v>
      </c>
      <c r="B11" s="24"/>
      <c r="F11" s="18"/>
      <c r="U11" s="17" t="str">
        <f>LOWER(B11)</f>
        <v/>
      </c>
    </row>
    <row r="12" spans="1:21" s="17" customFormat="1" ht="15.5" customHeight="1" x14ac:dyDescent="0.35">
      <c r="A12" s="5"/>
      <c r="B12" s="19"/>
      <c r="F12" s="18"/>
    </row>
    <row r="13" spans="1:21" ht="28" x14ac:dyDescent="0.3">
      <c r="A13" s="23" t="s">
        <v>14</v>
      </c>
      <c r="B13" s="23" t="s">
        <v>15</v>
      </c>
      <c r="C13" s="23" t="s">
        <v>1905</v>
      </c>
      <c r="D13" s="23" t="s">
        <v>25</v>
      </c>
      <c r="E13" s="23" t="s">
        <v>2049</v>
      </c>
      <c r="F13" s="17"/>
      <c r="G13" s="18"/>
    </row>
    <row r="14" spans="1:21" ht="70" customHeight="1" x14ac:dyDescent="0.3">
      <c r="A14" s="23" t="str">
        <f>IF(ISNA(VLOOKUP((ROW(A16)-15),'List of tables'!$A$4:$H$621,2,FALSE))," ",VLOOKUP((ROW(A16)-15),'List of tables'!$A$4:$H$621,2,FALSE))</f>
        <v>-</v>
      </c>
      <c r="B14" s="21" t="str">
        <f>IF(ISNA(VLOOKUP((ROW(B16)-15),'List of tables'!$A$4:$H$621,3,FALSE))," ",VLOOKUP((ROW(B16)-15),'List of tables'!$A$4:$H$621,3,FALSE))</f>
        <v>Usually Resident Population by single year of age</v>
      </c>
      <c r="C14" s="21" t="str">
        <f>IF(ISNA(VLOOKUP((ROW(H16)-15),'List of tables'!$A$4:$H$621,8,FALSE))," ",VLOOKUP((ROW(H16)-15),'List of tables'!$A$4:$H$621,8,FALSE))</f>
        <v>All usual residents</v>
      </c>
      <c r="D14" s="21" t="str">
        <f>IF(ISNA(VLOOKUP((ROW(D16)-15),'List of tables'!$A$4:$H$621,5,FALSE))," ",VLOOKUP((ROW(D16)-15),'List of tables'!$A$4:$H$621,5,FALSE))</f>
        <v>Small Area, Super Output Area, Electoral Ward, Local Government District, Local Government District (2014), Assembly Area, NUTS3, Education and Library Board, Health and Social Care Trust, Northern Ireland</v>
      </c>
      <c r="E14" s="83" t="str">
        <f>IF(LEN(G14)&lt;10,"",HYPERLINK(G14,"Download file (Excel 2.8 MB)"))</f>
        <v>Download file (Excel 2.8 MB)</v>
      </c>
      <c r="G14" s="18" t="str">
        <f>IF(ISNA(VLOOKUP((ROW(G16)-15),'List of tables'!$A$4:$H$621,6,FALSE))," ",VLOOKUP((ROW(G16)-15),'List of tables'!$A$4:$H$621,6,FALSE))</f>
        <v>https://www.nisra.gov.uk/system/files/statistics/census-2011-usually-resident-population-by-single-year-of-age-table.xlsx</v>
      </c>
    </row>
    <row r="15" spans="1:21" ht="70" customHeight="1" x14ac:dyDescent="0.3">
      <c r="A15" s="23" t="str">
        <f>IF(ISNA(VLOOKUP((ROW(A17)-15),'List of tables'!$A$4:$H$621,2,FALSE))," ",VLOOKUP((ROW(A17)-15),'List of tables'!$A$4:$H$621,2,FALSE))</f>
        <v>-</v>
      </c>
      <c r="B15" s="21" t="str">
        <f>IF(ISNA(VLOOKUP((ROW(B17)-15),'List of tables'!$A$4:$H$621,3,FALSE))," ",VLOOKUP((ROW(B17)-15),'List of tables'!$A$4:$H$621,3,FALSE))</f>
        <v>Usually Resident Population by single year of age and sex</v>
      </c>
      <c r="C15" s="21" t="str">
        <f>IF(ISNA(VLOOKUP((ROW(H17)-15),'List of tables'!$A$4:$H$621,8,FALSE))," ",VLOOKUP((ROW(H17)-15),'List of tables'!$A$4:$H$621,8,FALSE))</f>
        <v>All usual residents</v>
      </c>
      <c r="D15" s="21" t="str">
        <f>IF(ISNA(VLOOKUP((ROW(D17)-15),'List of tables'!$A$4:$H$621,5,FALSE))," ",VLOOKUP((ROW(D17)-15),'List of tables'!$A$4:$H$621,5,FALSE))</f>
        <v>Small Area, Super Output Area, Electoral Ward, Local Government District, Local Government District (2014), Assembly Area, NUTS3, Education and Library Board, Health and Social Care Trust, Northern Ireland</v>
      </c>
      <c r="E15" s="83" t="str">
        <f>IF(LEN(G15)&lt;10,"",HYPERLINK(G15,"Download file (Excel 5 MB)"))</f>
        <v>Download file (Excel 5 MB)</v>
      </c>
      <c r="G15" s="18" t="str">
        <f>IF(ISNA(VLOOKUP((ROW(G17)-15),'List of tables'!$A$4:$H$621,6,FALSE))," ",VLOOKUP((ROW(G17)-15),'List of tables'!$A$4:$H$621,6,FALSE))</f>
        <v>https://www.nisra.gov.uk/system/files/statistics/census-2011-usually-resident-population-by-single-year-of-age-and-sex-table.xlsx</v>
      </c>
    </row>
    <row r="16" spans="1:21" ht="70" customHeight="1" x14ac:dyDescent="0.3">
      <c r="A16" s="23" t="str">
        <f>IF(ISNA(VLOOKUP((ROW(A18)-15),'List of tables'!$A$4:$H$621,2,FALSE))," ",VLOOKUP((ROW(A18)-15),'List of tables'!$A$4:$H$621,2,FALSE))</f>
        <v>-</v>
      </c>
      <c r="B16" s="21" t="str">
        <f>IF(ISNA(VLOOKUP((ROW(B18)-15),'List of tables'!$A$4:$H$621,3,FALSE))," ",VLOOKUP((ROW(B18)-15),'List of tables'!$A$4:$H$621,3,FALSE))</f>
        <v>Usually Resident Population by five year age bands and sex</v>
      </c>
      <c r="C16" s="21" t="str">
        <f>IF(ISNA(VLOOKUP((ROW(H18)-15),'List of tables'!$A$4:$H$621,8,FALSE))," ",VLOOKUP((ROW(H18)-15),'List of tables'!$A$4:$H$621,8,FALSE))</f>
        <v>All usual residents</v>
      </c>
      <c r="D16" s="21" t="str">
        <f>IF(ISNA(VLOOKUP((ROW(D18)-15),'List of tables'!$A$4:$H$621,5,FALSE))," ",VLOOKUP((ROW(D18)-15),'List of tables'!$A$4:$H$621,5,FALSE))</f>
        <v>Small Area, Super Output Area, Electoral Ward, Local Government District, Local Government District (2014), Assembly Area, NUTS3, Education and Library Board, Health and Social Care Trust, Northern Ireland</v>
      </c>
      <c r="E16" s="83" t="str">
        <f>IF(LEN(G16)&lt;10,"",HYPERLINK(G16,"Download file (Excel 4.2 MB)"))</f>
        <v>Download file (Excel 4.2 MB)</v>
      </c>
      <c r="G16" s="18" t="str">
        <f>IF(ISNA(VLOOKUP((ROW(G18)-15),'List of tables'!$A$4:$H$621,6,FALSE))," ",VLOOKUP((ROW(G18)-15),'List of tables'!$A$4:$H$621,6,FALSE))</f>
        <v>https://www.nisra.gov.uk/system/files/statistics/census-2011-usually-resident-population-by-five-year-age-bands-and-sex-table.xlsx</v>
      </c>
    </row>
    <row r="17" spans="1:7" ht="70" customHeight="1" x14ac:dyDescent="0.3">
      <c r="A17" s="23" t="str">
        <f>IF(ISNA(VLOOKUP((ROW(A19)-15),'List of tables'!$A$4:$H$621,2,FALSE))," ",VLOOKUP((ROW(A19)-15),'List of tables'!$A$4:$H$621,2,FALSE))</f>
        <v>-</v>
      </c>
      <c r="B17" s="21" t="str">
        <f>IF(ISNA(VLOOKUP((ROW(B19)-15),'List of tables'!$A$4:$H$621,3,FALSE))," ",VLOOKUP((ROW(B19)-15),'List of tables'!$A$4:$H$621,3,FALSE))</f>
        <v>Usually Resident Population by broad age bands and sex</v>
      </c>
      <c r="C17" s="21" t="str">
        <f>IF(ISNA(VLOOKUP((ROW(H19)-15),'List of tables'!$A$4:$H$621,8,FALSE))," ",VLOOKUP((ROW(H19)-15),'List of tables'!$A$4:$H$621,8,FALSE))</f>
        <v>All usual residents</v>
      </c>
      <c r="D17" s="21" t="str">
        <f>IF(ISNA(VLOOKUP((ROW(D19)-15),'List of tables'!$A$4:$H$621,5,FALSE))," ",VLOOKUP((ROW(D19)-15),'List of tables'!$A$4:$H$621,5,FALSE))</f>
        <v>Small Area, Super Output Area, Electoral Ward, Local Government District, Local Government District (2014), Assembly Area, NUTS3, Education and Library Board, Health and Social Care Trust, Northern Ireland</v>
      </c>
      <c r="E17" s="83" t="str">
        <f>IF(LEN(G17)&lt;10,"",HYPERLINK(G17,"Download file (Excel 1.5 MB)"))</f>
        <v>Download file (Excel 1.5 MB)</v>
      </c>
      <c r="G17" s="18" t="str">
        <f>IF(ISNA(VLOOKUP((ROW(G19)-15),'List of tables'!$A$4:$H$621,6,FALSE))," ",VLOOKUP((ROW(G19)-15),'List of tables'!$A$4:$H$621,6,FALSE))</f>
        <v>https://www.nisra.gov.uk/system/files/statistics/census-2011-usually-resident-population-by-broad-age-bands-and-sex-table.xlsx</v>
      </c>
    </row>
    <row r="18" spans="1:7" ht="70" customHeight="1" x14ac:dyDescent="0.3">
      <c r="A18" s="23" t="str">
        <f>IF(ISNA(VLOOKUP((ROW(A20)-15),'List of tables'!$A$4:$H$621,2,FALSE))," ",VLOOKUP((ROW(A20)-15),'List of tables'!$A$4:$H$621,2,FALSE))</f>
        <v>-</v>
      </c>
      <c r="B18" s="21" t="str">
        <f>IF(ISNA(VLOOKUP((ROW(B20)-15),'List of tables'!$A$4:$H$621,3,FALSE))," ",VLOOKUP((ROW(B20)-15),'List of tables'!$A$4:$H$621,3,FALSE))</f>
        <v>Usually Resident Population, Households and Average Household Size</v>
      </c>
      <c r="C18" s="21" t="str">
        <f>IF(ISNA(VLOOKUP((ROW(H20)-15),'List of tables'!$A$4:$H$621,8,FALSE))," ",VLOOKUP((ROW(H20)-15),'List of tables'!$A$4:$H$621,8,FALSE))</f>
        <v>All usual residents; All households</v>
      </c>
      <c r="D18" s="21" t="str">
        <f>IF(ISNA(VLOOKUP((ROW(D20)-15),'List of tables'!$A$4:$H$621,5,FALSE))," ",VLOOKUP((ROW(D20)-15),'List of tables'!$A$4:$H$621,5,FALSE))</f>
        <v>Small Area, Super Output Area, Electoral Ward, Local Government District, Local Government District (2014), Assembly Area, NUTS3, Education and Library Board, Health and Social Care Trust, Northern Ireland</v>
      </c>
      <c r="E18" s="83" t="str">
        <f>IF(LEN(G18)&lt;10,"",HYPERLINK(G18,"Download file (Excel 646 KB)"))</f>
        <v>Download file (Excel 646 KB)</v>
      </c>
      <c r="G18" s="18" t="str">
        <f>IF(ISNA(VLOOKUP((ROW(G20)-15),'List of tables'!$A$4:$H$621,6,FALSE))," ",VLOOKUP((ROW(G20)-15),'List of tables'!$A$4:$H$621,6,FALSE))</f>
        <v>https://www.nisra.gov.uk/system/files/statistics/census-2011-usually-resident-population-households-and-average-household-size-table.xlsx</v>
      </c>
    </row>
    <row r="19" spans="1:7" ht="70" customHeight="1" x14ac:dyDescent="0.3">
      <c r="A19" s="23" t="str">
        <f>IF(ISNA(VLOOKUP((ROW(A21)-15),'List of tables'!$A$4:$H$621,2,FALSE))," ",VLOOKUP((ROW(A21)-15),'List of tables'!$A$4:$H$621,2,FALSE))</f>
        <v>-</v>
      </c>
      <c r="B19" s="21" t="str">
        <f>IF(ISNA(VLOOKUP((ROW(B21)-15),'List of tables'!$A$4:$H$621,3,FALSE))," ",VLOOKUP((ROW(B21)-15),'List of tables'!$A$4:$H$621,3,FALSE))</f>
        <v>Usually Resident Population</v>
      </c>
      <c r="C19" s="21" t="str">
        <f>IF(ISNA(VLOOKUP((ROW(H21)-15),'List of tables'!$A$4:$H$621,8,FALSE))," ",VLOOKUP((ROW(H21)-15),'List of tables'!$A$4:$H$621,8,FALSE))</f>
        <v>All usual residents</v>
      </c>
      <c r="D19" s="21" t="str">
        <f>IF(ISNA(VLOOKUP((ROW(D21)-15),'List of tables'!$A$4:$H$621,5,FALSE))," ",VLOOKUP((ROW(D21)-15),'List of tables'!$A$4:$H$621,5,FALSE))</f>
        <v>Small Area, Super Output Area, Electoral Ward, Local Government District, Local Government District (2014), Assembly Area, NUTS3, Education and Library Board, Health and Social Care Trust, Northern Ireland</v>
      </c>
      <c r="E19" s="83" t="str">
        <f>IF(LEN(G19)&lt;10,"",HYPERLINK(G19,"Download file (Excel 436 KB)"))</f>
        <v>Download file (Excel 436 KB)</v>
      </c>
      <c r="G19" s="18" t="str">
        <f>IF(ISNA(VLOOKUP((ROW(G21)-15),'List of tables'!$A$4:$H$621,6,FALSE))," ",VLOOKUP((ROW(G21)-15),'List of tables'!$A$4:$H$621,6,FALSE))</f>
        <v>https://www.nisra.gov.uk/system/files/statistics/census-2011-usually-resident-population-table.xlsx</v>
      </c>
    </row>
    <row r="20" spans="1:7" ht="70" customHeight="1" x14ac:dyDescent="0.3">
      <c r="A20" s="23" t="str">
        <f>IF(ISNA(VLOOKUP((ROW(A22)-15),'List of tables'!$A$4:$H$621,2,FALSE))," ",VLOOKUP((ROW(A22)-15),'List of tables'!$A$4:$H$621,2,FALSE))</f>
        <v>-</v>
      </c>
      <c r="B20" s="21" t="str">
        <f>IF(ISNA(VLOOKUP((ROW(B22)-15),'List of tables'!$A$4:$H$621,3,FALSE))," ",VLOOKUP((ROW(B22)-15),'List of tables'!$A$4:$H$621,3,FALSE))</f>
        <v>Households</v>
      </c>
      <c r="C20" s="21" t="str">
        <f>IF(ISNA(VLOOKUP((ROW(H22)-15),'List of tables'!$A$4:$H$621,8,FALSE))," ",VLOOKUP((ROW(H22)-15),'List of tables'!$A$4:$H$621,8,FALSE))</f>
        <v>All households</v>
      </c>
      <c r="D20" s="21" t="str">
        <f>IF(ISNA(VLOOKUP((ROW(D22)-15),'List of tables'!$A$4:$H$621,5,FALSE))," ",VLOOKUP((ROW(D22)-15),'List of tables'!$A$4:$H$621,5,FALSE))</f>
        <v>Small Area, Super Output Area, Electoral Ward, Local Government District, Local Government District (2014), Assembly Area, NUTS3, Education and Library Board, Health and Social Care Trust, Northern Ireland</v>
      </c>
      <c r="E20" s="83" t="str">
        <f>IF(LEN(G20)&lt;10,"",HYPERLINK(G20,"Download file (Excel 388 KB)"))</f>
        <v>Download file (Excel 388 KB)</v>
      </c>
      <c r="G20" s="18" t="str">
        <f>IF(ISNA(VLOOKUP((ROW(G22)-15),'List of tables'!$A$4:$H$621,6,FALSE))," ",VLOOKUP((ROW(G22)-15),'List of tables'!$A$4:$H$621,6,FALSE))</f>
        <v>https://www.nisra.gov.uk/system/files/statistics/census-2011-households-table.xlsx</v>
      </c>
    </row>
    <row r="21" spans="1:7" ht="70" customHeight="1" x14ac:dyDescent="0.3">
      <c r="A21" s="23" t="str">
        <f>IF(ISNA(VLOOKUP((ROW(A23)-15),'List of tables'!$A$4:$H$621,2,FALSE))," ",VLOOKUP((ROW(A23)-15),'List of tables'!$A$4:$H$621,2,FALSE))</f>
        <v>KS101NI</v>
      </c>
      <c r="B21" s="21" t="str">
        <f>IF(ISNA(VLOOKUP((ROW(B23)-15),'List of tables'!$A$4:$H$621,3,FALSE))," ",VLOOKUP((ROW(B23)-15),'List of tables'!$A$4:$H$621,3,FALSE))</f>
        <v>Usual Resident Population</v>
      </c>
      <c r="C21" s="21" t="str">
        <f>IF(ISNA(VLOOKUP((ROW(H23)-15),'List of tables'!$A$4:$H$621,8,FALSE))," ",VLOOKUP((ROW(H23)-15),'List of tables'!$A$4:$H$621,8,FALSE))</f>
        <v>All usual residents</v>
      </c>
      <c r="D21" s="21" t="str">
        <f>IF(ISNA(VLOOKUP((ROW(D23)-15),'List of tables'!$A$4:$H$621,5,FALSE))," ",VLOOKUP((ROW(D23)-15),'List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21" s="83" t="str">
        <f>IF(LEN(G21)&lt;10,"",HYPERLINK(G21,"Download file (Excel 663 KB)"))</f>
        <v>Download file (Excel 663 KB)</v>
      </c>
      <c r="G21" s="18" t="str">
        <f>IF(ISNA(VLOOKUP((ROW(G23)-15),'List of tables'!$A$4:$H$621,6,FALSE))," ",VLOOKUP((ROW(G23)-15),'List of tables'!$A$4:$H$621,6,FALSE))</f>
        <v>https://www.nisra.gov.uk/system/files/statistics/census-2011-ks101ni.xlsx</v>
      </c>
    </row>
    <row r="22" spans="1:7" ht="70" customHeight="1" x14ac:dyDescent="0.3">
      <c r="A22" s="23" t="str">
        <f>IF(ISNA(VLOOKUP((ROW(A24)-15),'List of tables'!$A$4:$H$621,2,FALSE))," ",VLOOKUP((ROW(A24)-15),'List of tables'!$A$4:$H$621,2,FALSE))</f>
        <v>KS102NI</v>
      </c>
      <c r="B22" s="21" t="str">
        <f>IF(ISNA(VLOOKUP((ROW(B24)-15),'List of tables'!$A$4:$H$621,3,FALSE))," ",VLOOKUP((ROW(B24)-15),'List of tables'!$A$4:$H$621,3,FALSE))</f>
        <v>Age Structure</v>
      </c>
      <c r="C22" s="21" t="str">
        <f>IF(ISNA(VLOOKUP((ROW(H24)-15),'List of tables'!$A$4:$H$621,8,FALSE))," ",VLOOKUP((ROW(H24)-15),'List of tables'!$A$4:$H$621,8,FALSE))</f>
        <v>All usual residents</v>
      </c>
      <c r="D22" s="21" t="str">
        <f>IF(ISNA(VLOOKUP((ROW(D24)-15),'List of tables'!$A$4:$H$621,5,FALSE))," ",VLOOKUP((ROW(D24)-15),'List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22" s="83" t="str">
        <f>IF(LEN(G22)&lt;10,"",HYPERLINK(G22,"Download file (Excel 1.7 MB)"))</f>
        <v>Download file (Excel 1.7 MB)</v>
      </c>
      <c r="G22" s="18" t="str">
        <f>IF(ISNA(VLOOKUP((ROW(G24)-15),'List of tables'!$A$4:$H$621,6,FALSE))," ",VLOOKUP((ROW(G24)-15),'List of tables'!$A$4:$H$621,6,FALSE))</f>
        <v>https://www.nisra.gov.uk/system/files/statistics/census-2011-ks102ni.xlsx</v>
      </c>
    </row>
    <row r="23" spans="1:7" ht="70" customHeight="1" x14ac:dyDescent="0.3">
      <c r="A23" s="23" t="str">
        <f>IF(ISNA(VLOOKUP((ROW(A25)-15),'List of tables'!$A$4:$H$621,2,FALSE))," ",VLOOKUP((ROW(A25)-15),'List of tables'!$A$4:$H$621,2,FALSE))</f>
        <v>KS103NI</v>
      </c>
      <c r="B23" s="21" t="str">
        <f>IF(ISNA(VLOOKUP((ROW(B25)-15),'List of tables'!$A$4:$H$621,3,FALSE))," ",VLOOKUP((ROW(B25)-15),'List of tables'!$A$4:$H$621,3,FALSE))</f>
        <v>Marital and Civil Partnership Status</v>
      </c>
      <c r="C23" s="21" t="str">
        <f>IF(ISNA(VLOOKUP((ROW(H25)-15),'List of tables'!$A$4:$H$621,8,FALSE))," ",VLOOKUP((ROW(H25)-15),'List of tables'!$A$4:$H$621,8,FALSE))</f>
        <v>All usual residents aged 16 and over</v>
      </c>
      <c r="D23" s="21" t="str">
        <f>IF(ISNA(VLOOKUP((ROW(D25)-15),'List of tables'!$A$4:$H$621,5,FALSE))," ",VLOOKUP((ROW(D25)-15),'List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23" s="83" t="str">
        <f>IF(LEN(G23)&lt;10,"",HYPERLINK(G23,"Download file (Excel 839 KB)"))</f>
        <v>Download file (Excel 839 KB)</v>
      </c>
      <c r="G23" s="18" t="str">
        <f>IF(ISNA(VLOOKUP((ROW(G25)-15),'List of tables'!$A$4:$H$621,6,FALSE))," ",VLOOKUP((ROW(G25)-15),'List of tables'!$A$4:$H$621,6,FALSE))</f>
        <v>https://www.nisra.gov.uk/system/files/statistics/census-2011-ks103ni.xlsx</v>
      </c>
    </row>
    <row r="24" spans="1:7" ht="70" customHeight="1" x14ac:dyDescent="0.3">
      <c r="A24" s="23" t="str">
        <f>IF(ISNA(VLOOKUP((ROW(A26)-15),'List of tables'!$A$4:$H$621,2,FALSE))," ",VLOOKUP((ROW(A26)-15),'List of tables'!$A$4:$H$621,2,FALSE))</f>
        <v>KS104NI</v>
      </c>
      <c r="B24" s="21" t="str">
        <f>IF(ISNA(VLOOKUP((ROW(B26)-15),'List of tables'!$A$4:$H$621,3,FALSE))," ",VLOOKUP((ROW(B26)-15),'List of tables'!$A$4:$H$621,3,FALSE))</f>
        <v>Living Arrangements</v>
      </c>
      <c r="C24" s="21" t="str">
        <f>IF(ISNA(VLOOKUP((ROW(H26)-15),'List of tables'!$A$4:$H$621,8,FALSE))," ",VLOOKUP((ROW(H26)-15),'List of tables'!$A$4:$H$621,8,FALSE))</f>
        <v>All usual residents aged 16 and over in households</v>
      </c>
      <c r="D24" s="21" t="str">
        <f>IF(ISNA(VLOOKUP((ROW(D26)-15),'List of tables'!$A$4:$H$621,5,FALSE))," ",VLOOKUP((ROW(D26)-15),'List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24" s="83" t="str">
        <f>IF(LEN(G24)&lt;10,"",HYPERLINK(G24,"Download file (Excel 918 KB)"))</f>
        <v>Download file (Excel 918 KB)</v>
      </c>
      <c r="G24" s="18" t="str">
        <f>IF(ISNA(VLOOKUP((ROW(G26)-15),'List of tables'!$A$4:$H$621,6,FALSE))," ",VLOOKUP((ROW(G26)-15),'List of tables'!$A$4:$H$621,6,FALSE))</f>
        <v>https://www.nisra.gov.uk/system/files/statistics/census-2011-ks104ni.xlsx</v>
      </c>
    </row>
    <row r="25" spans="1:7" ht="70" customHeight="1" x14ac:dyDescent="0.3">
      <c r="A25" s="23" t="str">
        <f>IF(ISNA(VLOOKUP((ROW(A27)-15),'List of tables'!$A$4:$H$621,2,FALSE))," ",VLOOKUP((ROW(A27)-15),'List of tables'!$A$4:$H$621,2,FALSE))</f>
        <v>KS105NI</v>
      </c>
      <c r="B25" s="21" t="str">
        <f>IF(ISNA(VLOOKUP((ROW(B27)-15),'List of tables'!$A$4:$H$621,3,FALSE))," ",VLOOKUP((ROW(B27)-15),'List of tables'!$A$4:$H$621,3,FALSE))</f>
        <v>Household Composition</v>
      </c>
      <c r="C25" s="21" t="str">
        <f>IF(ISNA(VLOOKUP((ROW(H27)-15),'List of tables'!$A$4:$H$621,8,FALSE))," ",VLOOKUP((ROW(H27)-15),'List of tables'!$A$4:$H$621,8,FALSE))</f>
        <v>All households</v>
      </c>
      <c r="D25" s="21" t="str">
        <f>IF(ISNA(VLOOKUP((ROW(D27)-15),'List of tables'!$A$4:$H$621,5,FALSE))," ",VLOOKUP((ROW(D27)-15),'List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25" s="83" t="str">
        <f>IF(LEN(G25)&lt;10,"",HYPERLINK(G25,"Download file (Excel 1.4 MB)"))</f>
        <v>Download file (Excel 1.4 MB)</v>
      </c>
      <c r="G25" s="18" t="str">
        <f>IF(ISNA(VLOOKUP((ROW(G27)-15),'List of tables'!$A$4:$H$621,6,FALSE))," ",VLOOKUP((ROW(G27)-15),'List of tables'!$A$4:$H$621,6,FALSE))</f>
        <v>https://www.nisra.gov.uk/system/files/statistics/census-2011-ks105ni.xlsx</v>
      </c>
    </row>
    <row r="26" spans="1:7" ht="70" customHeight="1" x14ac:dyDescent="0.3">
      <c r="A26" s="23" t="str">
        <f>IF(ISNA(VLOOKUP((ROW(A28)-15),'List of tables'!$A$4:$H$621,2,FALSE))," ",VLOOKUP((ROW(A28)-15),'List of tables'!$A$4:$H$621,2,FALSE))</f>
        <v>KS106NI</v>
      </c>
      <c r="B26" s="21" t="str">
        <f>IF(ISNA(VLOOKUP((ROW(B28)-15),'List of tables'!$A$4:$H$621,3,FALSE))," ",VLOOKUP((ROW(B28)-15),'List of tables'!$A$4:$H$621,3,FALSE))</f>
        <v>All Households with: Adults not in Employment; Dependent Children; and Persons with Long-Term Health Problem or Disability</v>
      </c>
      <c r="C26" s="21" t="str">
        <f>IF(ISNA(VLOOKUP((ROW(H28)-15),'List of tables'!$A$4:$H$621,8,FALSE))," ",VLOOKUP((ROW(H28)-15),'List of tables'!$A$4:$H$621,8,FALSE))</f>
        <v>All households</v>
      </c>
      <c r="D26" s="21" t="str">
        <f>IF(ISNA(VLOOKUP((ROW(D28)-15),'List of tables'!$A$4:$H$621,5,FALSE))," ",VLOOKUP((ROW(D28)-15),'List of tables'!$A$4:$H$621,5,FALSE))</f>
        <v>Settlement2015, Small Area, Super Output Area, Electoral Ward, Local Government District, District Electoral Area (2014), Local Government District (2014), Assembly Area, NUTS3, Education and Library Board, Health and Social Care Trust, Northern Ireland</v>
      </c>
      <c r="E26" s="83" t="str">
        <f>IF(LEN(G26)&lt;10,"",HYPERLINK(G26,"Download file (Excel 841 KB)"))</f>
        <v>Download file (Excel 841 KB)</v>
      </c>
      <c r="G26" s="18" t="str">
        <f>IF(ISNA(VLOOKUP((ROW(G28)-15),'List of tables'!$A$4:$H$621,6,FALSE))," ",VLOOKUP((ROW(G28)-15),'List of tables'!$A$4:$H$621,6,FALSE))</f>
        <v>https://www.nisra.gov.uk/system/files/statistics/census-2011-ks106ni.xlsx</v>
      </c>
    </row>
    <row r="27" spans="1:7" ht="70" customHeight="1" x14ac:dyDescent="0.3">
      <c r="A27" s="23" t="str">
        <f>IF(ISNA(VLOOKUP((ROW(A29)-15),'List of tables'!$A$4:$H$621,2,FALSE))," ",VLOOKUP((ROW(A29)-15),'List of tables'!$A$4:$H$621,2,FALSE))</f>
        <v>KS107NI</v>
      </c>
      <c r="B27" s="21" t="str">
        <f>IF(ISNA(VLOOKUP((ROW(B29)-15),'List of tables'!$A$4:$H$621,3,FALSE))," ",VLOOKUP((ROW(B29)-15),'List of tables'!$A$4:$H$621,3,FALSE))</f>
        <v>Lone Parent Households with Dependent Children</v>
      </c>
      <c r="C27" s="21" t="str">
        <f>IF(ISNA(VLOOKUP((ROW(H29)-15),'List of tables'!$A$4:$H$621,8,FALSE))," ",VLOOKUP((ROW(H29)-15),'List of tables'!$A$4:$H$621,8,FALSE))</f>
        <v>All lone parent households with dependent children where the lone parent is aged 16 to 74</v>
      </c>
      <c r="D27" s="21" t="str">
        <f>IF(ISNA(VLOOKUP((ROW(D29)-15),'List of tables'!$A$4:$H$621,5,FALSE))," ",VLOOKUP((ROW(D29)-15),'List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27" s="83" t="str">
        <f>IF(LEN(G27)&lt;10,"",HYPERLINK(G27,"Download file (Excel 997 KB)"))</f>
        <v>Download file (Excel 997 KB)</v>
      </c>
      <c r="G27" s="18" t="str">
        <f>IF(ISNA(VLOOKUP((ROW(G29)-15),'List of tables'!$A$4:$H$621,6,FALSE))," ",VLOOKUP((ROW(G29)-15),'List of tables'!$A$4:$H$621,6,FALSE))</f>
        <v>https://www.nisra.gov.uk/system/files/statistics/census-2011-ks107ni.xlsx</v>
      </c>
    </row>
    <row r="28" spans="1:7" ht="70" customHeight="1" x14ac:dyDescent="0.3">
      <c r="A28" s="23" t="str">
        <f>IF(ISNA(VLOOKUP((ROW(A30)-15),'List of tables'!$A$4:$H$621,2,FALSE))," ",VLOOKUP((ROW(A30)-15),'List of tables'!$A$4:$H$621,2,FALSE))</f>
        <v>KS201NI</v>
      </c>
      <c r="B28" s="21" t="str">
        <f>IF(ISNA(VLOOKUP((ROW(B30)-15),'List of tables'!$A$4:$H$621,3,FALSE))," ",VLOOKUP((ROW(B30)-15),'List of tables'!$A$4:$H$621,3,FALSE))</f>
        <v>Ethnic Group</v>
      </c>
      <c r="C28" s="21" t="str">
        <f>IF(ISNA(VLOOKUP((ROW(H30)-15),'List of tables'!$A$4:$H$621,8,FALSE))," ",VLOOKUP((ROW(H30)-15),'List of tables'!$A$4:$H$621,8,FALSE))</f>
        <v>All usual residents</v>
      </c>
      <c r="D28" s="21" t="str">
        <f>IF(ISNA(VLOOKUP((ROW(D30)-15),'List of tables'!$A$4:$H$621,5,FALSE))," ",VLOOKUP((ROW(D30)-15),'List of tables'!$A$4:$H$621,5,FALSE))</f>
        <v>Settlement2015, Small Area, Super Output Area, Electoral Ward, Local Government District, District Electoral Area (2014), Local Government District (2014), Assembly Area, NUTS3, Education and Library Board, Health and Social Care Trust, Northern Ireland</v>
      </c>
      <c r="E28" s="83" t="str">
        <f>IF(LEN(G28)&lt;10,"",HYPERLINK(G28,"Download file (Excel 1 MB)"))</f>
        <v>Download file (Excel 1 MB)</v>
      </c>
      <c r="G28" s="18" t="str">
        <f>IF(ISNA(VLOOKUP((ROW(G30)-15),'List of tables'!$A$4:$H$621,6,FALSE))," ",VLOOKUP((ROW(G30)-15),'List of tables'!$A$4:$H$621,6,FALSE))</f>
        <v>https://www.nisra.gov.uk/system/files/statistics/census-2011-ks201ni.xlsx</v>
      </c>
    </row>
    <row r="29" spans="1:7" ht="70" customHeight="1" x14ac:dyDescent="0.3">
      <c r="A29" s="23" t="str">
        <f>IF(ISNA(VLOOKUP((ROW(A31)-15),'List of tables'!$A$4:$H$621,2,FALSE))," ",VLOOKUP((ROW(A31)-15),'List of tables'!$A$4:$H$621,2,FALSE))</f>
        <v>KS202NI</v>
      </c>
      <c r="B29" s="21" t="str">
        <f>IF(ISNA(VLOOKUP((ROW(B31)-15),'List of tables'!$A$4:$H$621,3,FALSE))," ",VLOOKUP((ROW(B31)-15),'List of tables'!$A$4:$H$621,3,FALSE))</f>
        <v>National Identity (Classification 1)</v>
      </c>
      <c r="C29" s="21" t="str">
        <f>IF(ISNA(VLOOKUP((ROW(H31)-15),'List of tables'!$A$4:$H$621,8,FALSE))," ",VLOOKUP((ROW(H31)-15),'List of tables'!$A$4:$H$621,8,FALSE))</f>
        <v xml:space="preserve">All usual residents </v>
      </c>
      <c r="D29" s="21" t="str">
        <f>IF(ISNA(VLOOKUP((ROW(D31)-15),'List of tables'!$A$4:$H$621,5,FALSE))," ",VLOOKUP((ROW(D31)-15),'List of tables'!$A$4:$H$621,5,FALSE))</f>
        <v>Settlement2015, Small Area, Super Output Area, Electoral Ward, Local Government District, District Electoral Area (2014), Local Government District (2014), Assembly Area, NUTS3, Education and Library Board, Health and Social Care Trust, Northern Ireland</v>
      </c>
      <c r="E29" s="83" t="str">
        <f>IF(LEN(G29)&lt;10,"",HYPERLINK(G29,"Download file (Excel 970 KB)"))</f>
        <v>Download file (Excel 970 KB)</v>
      </c>
      <c r="G29" s="18" t="str">
        <f>IF(ISNA(VLOOKUP((ROW(G31)-15),'List of tables'!$A$4:$H$621,6,FALSE))," ",VLOOKUP((ROW(G31)-15),'List of tables'!$A$4:$H$621,6,FALSE))</f>
        <v>https://www.nisra.gov.uk/system/files/statistics/census-2011-ks202ni.xlsx</v>
      </c>
    </row>
    <row r="30" spans="1:7" ht="70" customHeight="1" x14ac:dyDescent="0.3">
      <c r="A30" s="23" t="str">
        <f>IF(ISNA(VLOOKUP((ROW(A32)-15),'List of tables'!$A$4:$H$621,2,FALSE))," ",VLOOKUP((ROW(A32)-15),'List of tables'!$A$4:$H$621,2,FALSE))</f>
        <v>KS203NI</v>
      </c>
      <c r="B30" s="21" t="str">
        <f>IF(ISNA(VLOOKUP((ROW(B32)-15),'List of tables'!$A$4:$H$621,3,FALSE))," ",VLOOKUP((ROW(B32)-15),'List of tables'!$A$4:$H$621,3,FALSE))</f>
        <v>National Identity (Classification 2)</v>
      </c>
      <c r="C30" s="21" t="str">
        <f>IF(ISNA(VLOOKUP((ROW(H32)-15),'List of tables'!$A$4:$H$621,8,FALSE))," ",VLOOKUP((ROW(H32)-15),'List of tables'!$A$4:$H$621,8,FALSE))</f>
        <v>All usual residents</v>
      </c>
      <c r="D30" s="21" t="str">
        <f>IF(ISNA(VLOOKUP((ROW(D32)-15),'List of tables'!$A$4:$H$621,5,FALSE))," ",VLOOKUP((ROW(D32)-15),'List of tables'!$A$4:$H$621,5,FALSE))</f>
        <v>Settlement2015, Small Area, Super Output Area, Electoral Ward, Local Government District, District Electoral Area (2014), Local Government District (2014), Assembly Area, NUTS3, Education and Library Board, Health and Social Care Trust, Northern Ireland</v>
      </c>
      <c r="E30" s="83" t="str">
        <f>IF(LEN(G30)&lt;10,"",HYPERLINK(G30,"Download file (Excel 893 KB)"))</f>
        <v>Download file (Excel 893 KB)</v>
      </c>
      <c r="G30" s="18" t="str">
        <f>IF(ISNA(VLOOKUP((ROW(G32)-15),'List of tables'!$A$4:$H$621,6,FALSE))," ",VLOOKUP((ROW(G32)-15),'List of tables'!$A$4:$H$621,6,FALSE))</f>
        <v>https://www.nisra.gov.uk/system/files/statistics/census-2011-ks203ni.xlsx</v>
      </c>
    </row>
    <row r="31" spans="1:7" ht="70" customHeight="1" x14ac:dyDescent="0.3">
      <c r="A31" s="23" t="str">
        <f>IF(ISNA(VLOOKUP((ROW(A33)-15),'List of tables'!$A$4:$H$621,2,FALSE))," ",VLOOKUP((ROW(A33)-15),'List of tables'!$A$4:$H$621,2,FALSE))</f>
        <v>KS204NI</v>
      </c>
      <c r="B31" s="21" t="str">
        <f>IF(ISNA(VLOOKUP((ROW(B33)-15),'List of tables'!$A$4:$H$621,3,FALSE))," ",VLOOKUP((ROW(B33)-15),'List of tables'!$A$4:$H$621,3,FALSE))</f>
        <v>Country of Birth</v>
      </c>
      <c r="C31" s="21" t="str">
        <f>IF(ISNA(VLOOKUP((ROW(H33)-15),'List of tables'!$A$4:$H$621,8,FALSE))," ",VLOOKUP((ROW(H33)-15),'List of tables'!$A$4:$H$621,8,FALSE))</f>
        <v>All usual residents</v>
      </c>
      <c r="D31" s="21" t="str">
        <f>IF(ISNA(VLOOKUP((ROW(D33)-15),'List of tables'!$A$4:$H$621,5,FALSE))," ",VLOOKUP((ROW(D33)-15),'List of tables'!$A$4:$H$621,5,FALSE))</f>
        <v>Settlement2015, Small Area, Super Output Area, Electoral Ward, Local Government District, District Electoral Area (2014), Local Government District (2014), Assembly Area, NUTS3, Education and Library Board, Health and Social Care Trust, Northern Ireland</v>
      </c>
      <c r="E31" s="83" t="str">
        <f>IF(LEN(G31)&lt;10,"",HYPERLINK(G31,"Download file (Excel 933 KB)"))</f>
        <v>Download file (Excel 933 KB)</v>
      </c>
      <c r="G31" s="18" t="str">
        <f>IF(ISNA(VLOOKUP((ROW(G33)-15),'List of tables'!$A$4:$H$621,6,FALSE))," ",VLOOKUP((ROW(G33)-15),'List of tables'!$A$4:$H$621,6,FALSE))</f>
        <v>https://www.nisra.gov.uk/system/files/statistics/census-2011-ks204ni.xlsx</v>
      </c>
    </row>
    <row r="32" spans="1:7" ht="70" customHeight="1" x14ac:dyDescent="0.3">
      <c r="A32" s="23" t="str">
        <f>IF(ISNA(VLOOKUP((ROW(A34)-15),'List of tables'!$A$4:$H$621,2,FALSE))," ",VLOOKUP((ROW(A34)-15),'List of tables'!$A$4:$H$621,2,FALSE))</f>
        <v>KS205NI</v>
      </c>
      <c r="B32" s="21" t="str">
        <f>IF(ISNA(VLOOKUP((ROW(B34)-15),'List of tables'!$A$4:$H$621,3,FALSE))," ",VLOOKUP((ROW(B34)-15),'List of tables'!$A$4:$H$621,3,FALSE))</f>
        <v>Passports Held (Classification 1)</v>
      </c>
      <c r="C32" s="21" t="str">
        <f>IF(ISNA(VLOOKUP((ROW(H34)-15),'List of tables'!$A$4:$H$621,8,FALSE))," ",VLOOKUP((ROW(H34)-15),'List of tables'!$A$4:$H$621,8,FALSE))</f>
        <v>All usual residents</v>
      </c>
      <c r="D32" s="21" t="str">
        <f>IF(ISNA(VLOOKUP((ROW(D34)-15),'List of tables'!$A$4:$H$621,5,FALSE))," ",VLOOKUP((ROW(D34)-15),'List of tables'!$A$4:$H$621,5,FALSE))</f>
        <v>Settlement2015, Small Area, Super Output Area, Electoral Ward, Local Government District, District Electoral Area (2014), Local Government District (2014), Assembly Area, NUTS3, Education and Library Board, Health and Social Care Trust, Northern Ireland</v>
      </c>
      <c r="E32" s="83" t="str">
        <f>IF(LEN(G32)&lt;10,"",HYPERLINK(G32,"Download file (Excel 1.1 MB)"))</f>
        <v>Download file (Excel 1.1 MB)</v>
      </c>
      <c r="G32" s="18" t="str">
        <f>IF(ISNA(VLOOKUP((ROW(G34)-15),'List of tables'!$A$4:$H$621,6,FALSE))," ",VLOOKUP((ROW(G34)-15),'List of tables'!$A$4:$H$621,6,FALSE))</f>
        <v>https://www.nisra.gov.uk/system/files/statistics/census-2011-ks205ni.xlsx</v>
      </c>
    </row>
    <row r="33" spans="1:7" ht="70" customHeight="1" x14ac:dyDescent="0.3">
      <c r="A33" s="23" t="str">
        <f>IF(ISNA(VLOOKUP((ROW(A35)-15),'List of tables'!$A$4:$H$621,2,FALSE))," ",VLOOKUP((ROW(A35)-15),'List of tables'!$A$4:$H$621,2,FALSE))</f>
        <v>KS206NI</v>
      </c>
      <c r="B33" s="21" t="str">
        <f>IF(ISNA(VLOOKUP((ROW(B35)-15),'List of tables'!$A$4:$H$621,3,FALSE))," ",VLOOKUP((ROW(B35)-15),'List of tables'!$A$4:$H$621,3,FALSE))</f>
        <v>Passports Held (Classification 2)</v>
      </c>
      <c r="C33" s="21" t="str">
        <f>IF(ISNA(VLOOKUP((ROW(H35)-15),'List of tables'!$A$4:$H$621,8,FALSE))," ",VLOOKUP((ROW(H35)-15),'List of tables'!$A$4:$H$621,8,FALSE))</f>
        <v>All usual residents</v>
      </c>
      <c r="D33" s="21" t="str">
        <f>IF(ISNA(VLOOKUP((ROW(D35)-15),'List of tables'!$A$4:$H$621,5,FALSE))," ",VLOOKUP((ROW(D35)-15),'List of tables'!$A$4:$H$621,5,FALSE))</f>
        <v>Settlement2015, Small Area, Super Output Area, Electoral Ward, Local Government District, District Electoral Area (2014), Local Government District (2014), Assembly Area, NUTS3, Education and Library Board, Health and Social Care Trust, Northern Ireland</v>
      </c>
      <c r="E33" s="83" t="str">
        <f>IF(LEN(G33)&lt;10,"",HYPERLINK(G33,"Download file (Excel 951 KB)"))</f>
        <v>Download file (Excel 951 KB)</v>
      </c>
      <c r="G33" s="18" t="str">
        <f>IF(ISNA(VLOOKUP((ROW(G35)-15),'List of tables'!$A$4:$H$621,6,FALSE))," ",VLOOKUP((ROW(G35)-15),'List of tables'!$A$4:$H$621,6,FALSE))</f>
        <v>https://www.nisra.gov.uk/system/files/statistics/census-2011-ks206ni.xlsx</v>
      </c>
    </row>
    <row r="34" spans="1:7" ht="70" customHeight="1" x14ac:dyDescent="0.3">
      <c r="A34" s="23" t="str">
        <f>IF(ISNA(VLOOKUP((ROW(A36)-15),'List of tables'!$A$4:$H$621,2,FALSE))," ",VLOOKUP((ROW(A36)-15),'List of tables'!$A$4:$H$621,2,FALSE))</f>
        <v>KS207NI</v>
      </c>
      <c r="B34" s="21" t="str">
        <f>IF(ISNA(VLOOKUP((ROW(B36)-15),'List of tables'!$A$4:$H$621,3,FALSE))," ",VLOOKUP((ROW(B36)-15),'List of tables'!$A$4:$H$621,3,FALSE))</f>
        <v>Main Language</v>
      </c>
      <c r="C34" s="21" t="str">
        <f>IF(ISNA(VLOOKUP((ROW(H36)-15),'List of tables'!$A$4:$H$621,8,FALSE))," ",VLOOKUP((ROW(H36)-15),'List of tables'!$A$4:$H$621,8,FALSE))</f>
        <v>All usual residents aged 3 and over</v>
      </c>
      <c r="D34" s="21" t="str">
        <f>IF(ISNA(VLOOKUP((ROW(D36)-15),'List of tables'!$A$4:$H$621,5,FALSE))," ",VLOOKUP((ROW(D36)-15),'List of tables'!$A$4:$H$621,5,FALSE))</f>
        <v>Settlement2015, Small Area, Super Output Area, Electoral Ward, Local Government District, District Electoral Area (2014), Local Government District (2014), Assembly Area, NUTS3, Education and Library Board, Health and Social Care Trust, Northern Ireland</v>
      </c>
      <c r="E34" s="83" t="str">
        <f>IF(LEN(G34)&lt;10,"",HYPERLINK(G34,"Download file (Excel 1.1 MB)"))</f>
        <v>Download file (Excel 1.1 MB)</v>
      </c>
      <c r="G34" s="18" t="str">
        <f>IF(ISNA(VLOOKUP((ROW(G36)-15),'List of tables'!$A$4:$H$621,6,FALSE))," ",VLOOKUP((ROW(G36)-15),'List of tables'!$A$4:$H$621,6,FALSE))</f>
        <v>https://www.nisra.gov.uk/system/files/statistics/census-2011-ks207ni.xlsx</v>
      </c>
    </row>
    <row r="35" spans="1:7" ht="70" customHeight="1" x14ac:dyDescent="0.3">
      <c r="A35" s="23" t="str">
        <f>IF(ISNA(VLOOKUP((ROW(A37)-15),'List of tables'!$A$4:$H$621,2,FALSE))," ",VLOOKUP((ROW(A37)-15),'List of tables'!$A$4:$H$621,2,FALSE))</f>
        <v>KS208NI</v>
      </c>
      <c r="B35" s="21" t="str">
        <f>IF(ISNA(VLOOKUP((ROW(B37)-15),'List of tables'!$A$4:$H$621,3,FALSE))," ",VLOOKUP((ROW(B37)-15),'List of tables'!$A$4:$H$621,3,FALSE))</f>
        <v>Household Language</v>
      </c>
      <c r="C35" s="21" t="str">
        <f>IF(ISNA(VLOOKUP((ROW(H37)-15),'List of tables'!$A$4:$H$621,8,FALSE))," ",VLOOKUP((ROW(H37)-15),'List of tables'!$A$4:$H$621,8,FALSE))</f>
        <v>All households</v>
      </c>
      <c r="D35" s="21" t="str">
        <f>IF(ISNA(VLOOKUP((ROW(D37)-15),'List of tables'!$A$4:$H$621,5,FALSE))," ",VLOOKUP((ROW(D37)-15),'List of tables'!$A$4:$H$621,5,FALSE))</f>
        <v>Settlement2015, Small Area, Super Output Area, Electoral Ward, Local Government District, District Electoral Area (2014), Local Government District (2014), Assembly Area, NUTS3, Education and Library Board, Health and Social Care Trust, Northern Ireland</v>
      </c>
      <c r="E35" s="83" t="str">
        <f>IF(LEN(G35)&lt;10,"",HYPERLINK(G35,"Download file (Excel 641 KB)"))</f>
        <v>Download file (Excel 641 KB)</v>
      </c>
      <c r="G35" s="18" t="str">
        <f>IF(ISNA(VLOOKUP((ROW(G37)-15),'List of tables'!$A$4:$H$621,6,FALSE))," ",VLOOKUP((ROW(G37)-15),'List of tables'!$A$4:$H$621,6,FALSE))</f>
        <v>https://www.nisra.gov.uk/system/files/statistics/census-2011-ks208ni.xlsx</v>
      </c>
    </row>
    <row r="36" spans="1:7" ht="70" customHeight="1" x14ac:dyDescent="0.3">
      <c r="A36" s="23" t="str">
        <f>IF(ISNA(VLOOKUP((ROW(A38)-15),'List of tables'!$A$4:$H$621,2,FALSE))," ",VLOOKUP((ROW(A38)-15),'List of tables'!$A$4:$H$621,2,FALSE))</f>
        <v>KS209NI</v>
      </c>
      <c r="B36" s="21" t="str">
        <f>IF(ISNA(VLOOKUP((ROW(B38)-15),'List of tables'!$A$4:$H$621,3,FALSE))," ",VLOOKUP((ROW(B38)-15),'List of tables'!$A$4:$H$621,3,FALSE))</f>
        <v xml:space="preserve">Knowledge of Irish </v>
      </c>
      <c r="C36" s="21" t="str">
        <f>IF(ISNA(VLOOKUP((ROW(H38)-15),'List of tables'!$A$4:$H$621,8,FALSE))," ",VLOOKUP((ROW(H38)-15),'List of tables'!$A$4:$H$621,8,FALSE))</f>
        <v>All usual residents aged 3 and over</v>
      </c>
      <c r="D36" s="21" t="str">
        <f>IF(ISNA(VLOOKUP((ROW(D38)-15),'List of tables'!$A$4:$H$621,5,FALSE))," ",VLOOKUP((ROW(D38)-15),'List of tables'!$A$4:$H$621,5,FALSE))</f>
        <v>Settlement2015, Small Area, Super Output Area, Electoral Ward, Local Government District, District Electoral Area (2014), Local Government District (2014), Assembly Area, NUTS3, Education and Library Board, Health and Social Care Trust, Northern Ireland</v>
      </c>
      <c r="E36" s="83" t="str">
        <f>IF(LEN(G36)&lt;10,"",HYPERLINK(G36,"Download file (Excel 883 KB)"))</f>
        <v>Download file (Excel 883 KB)</v>
      </c>
      <c r="G36" s="18" t="str">
        <f>IF(ISNA(VLOOKUP((ROW(G38)-15),'List of tables'!$A$4:$H$621,6,FALSE))," ",VLOOKUP((ROW(G38)-15),'List of tables'!$A$4:$H$621,6,FALSE))</f>
        <v>https://www.nisra.gov.uk/system/files/statistics/census-2011-ks209ni.xlsx</v>
      </c>
    </row>
    <row r="37" spans="1:7" ht="70" customHeight="1" x14ac:dyDescent="0.3">
      <c r="A37" s="23" t="str">
        <f>IF(ISNA(VLOOKUP((ROW(A39)-15),'List of tables'!$A$4:$H$621,2,FALSE))," ",VLOOKUP((ROW(A39)-15),'List of tables'!$A$4:$H$621,2,FALSE))</f>
        <v>KS210NI</v>
      </c>
      <c r="B37" s="21" t="str">
        <f>IF(ISNA(VLOOKUP((ROW(B39)-15),'List of tables'!$A$4:$H$621,3,FALSE))," ",VLOOKUP((ROW(B39)-15),'List of tables'!$A$4:$H$621,3,FALSE))</f>
        <v xml:space="preserve">Knowledge of Ulster-Scots
</v>
      </c>
      <c r="C37" s="21" t="str">
        <f>IF(ISNA(VLOOKUP((ROW(H39)-15),'List of tables'!$A$4:$H$621,8,FALSE))," ",VLOOKUP((ROW(H39)-15),'List of tables'!$A$4:$H$621,8,FALSE))</f>
        <v>All usual residents aged 3 and over</v>
      </c>
      <c r="D37" s="21" t="str">
        <f>IF(ISNA(VLOOKUP((ROW(D39)-15),'List of tables'!$A$4:$H$621,5,FALSE))," ",VLOOKUP((ROW(D39)-15),'List of tables'!$A$4:$H$621,5,FALSE))</f>
        <v>Settlement2015, Small Area, Super Output Area, Electoral Ward, Local Government District, District Electoral Area (2014), Local Government District (2014), Assembly Area, NUTS3, Education and Library Board, Health and Social Care Trust, Northern Ireland</v>
      </c>
      <c r="E37" s="83" t="str">
        <f>IF(LEN(G37)&lt;10,"",HYPERLINK(G37,"Download file (Excel 871 KB)"))</f>
        <v>Download file (Excel 871 KB)</v>
      </c>
      <c r="G37" s="18" t="str">
        <f>IF(ISNA(VLOOKUP((ROW(G39)-15),'List of tables'!$A$4:$H$621,6,FALSE))," ",VLOOKUP((ROW(G39)-15),'List of tables'!$A$4:$H$621,6,FALSE))</f>
        <v>https://www.nisra.gov.uk/system/files/statistics/census-2011-ks210ni.xlsx</v>
      </c>
    </row>
    <row r="38" spans="1:7" ht="70" customHeight="1" x14ac:dyDescent="0.3">
      <c r="A38" s="23" t="str">
        <f>IF(ISNA(VLOOKUP((ROW(A40)-15),'List of tables'!$A$4:$H$621,2,FALSE))," ",VLOOKUP((ROW(A40)-15),'List of tables'!$A$4:$H$621,2,FALSE))</f>
        <v>KS211NI</v>
      </c>
      <c r="B38" s="21" t="str">
        <f>IF(ISNA(VLOOKUP((ROW(B40)-15),'List of tables'!$A$4:$H$621,3,FALSE))," ",VLOOKUP((ROW(B40)-15),'List of tables'!$A$4:$H$621,3,FALSE))</f>
        <v>Religion</v>
      </c>
      <c r="C38" s="21" t="str">
        <f>IF(ISNA(VLOOKUP((ROW(H40)-15),'List of tables'!$A$4:$H$621,8,FALSE))," ",VLOOKUP((ROW(H40)-15),'List of tables'!$A$4:$H$621,8,FALSE))</f>
        <v>All usual residents</v>
      </c>
      <c r="D38" s="21" t="str">
        <f>IF(ISNA(VLOOKUP((ROW(D40)-15),'List of tables'!$A$4:$H$621,5,FALSE))," ",VLOOKUP((ROW(D40)-15),'List of tables'!$A$4:$H$621,5,FALSE))</f>
        <v>Settlement2015, Small Area, Super Output Area, Electoral Ward, Local Government District, District Electoral Area (2014), Local Government District (2014), Assembly Area, NUTS3, Education and Library Board, Health and Social Care Trust, Northern Ireland</v>
      </c>
      <c r="E38" s="83" t="str">
        <f>IF(LEN(G38)&lt;10,"",HYPERLINK(G38,"Download file (Excel 987 KB)"))</f>
        <v>Download file (Excel 987 KB)</v>
      </c>
      <c r="G38" s="18" t="str">
        <f>IF(ISNA(VLOOKUP((ROW(G40)-15),'List of tables'!$A$4:$H$621,6,FALSE))," ",VLOOKUP((ROW(G40)-15),'List of tables'!$A$4:$H$621,6,FALSE))</f>
        <v>https://www.nisra.gov.uk/system/files/statistics/census-2011-ks211ni.xlsx</v>
      </c>
    </row>
    <row r="39" spans="1:7" ht="70" customHeight="1" x14ac:dyDescent="0.3">
      <c r="A39" s="23" t="str">
        <f>IF(ISNA(VLOOKUP((ROW(A41)-15),'List of tables'!$A$4:$H$621,2,FALSE))," ",VLOOKUP((ROW(A41)-15),'List of tables'!$A$4:$H$621,2,FALSE))</f>
        <v>KS212NI</v>
      </c>
      <c r="B39" s="21" t="str">
        <f>IF(ISNA(VLOOKUP((ROW(B41)-15),'List of tables'!$A$4:$H$621,3,FALSE))," ",VLOOKUP((ROW(B41)-15),'List of tables'!$A$4:$H$621,3,FALSE))</f>
        <v>Religion or Religion Brought Up In</v>
      </c>
      <c r="C39" s="21" t="str">
        <f>IF(ISNA(VLOOKUP((ROW(H41)-15),'List of tables'!$A$4:$H$621,8,FALSE))," ",VLOOKUP((ROW(H41)-15),'List of tables'!$A$4:$H$621,8,FALSE))</f>
        <v>All usual residents</v>
      </c>
      <c r="D39" s="21" t="str">
        <f>IF(ISNA(VLOOKUP((ROW(D41)-15),'List of tables'!$A$4:$H$621,5,FALSE))," ",VLOOKUP((ROW(D41)-15),'List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39" s="83" t="str">
        <f>IF(LEN(G39)&lt;10,"",HYPERLINK(G39,"Download file (Excel 701 KB)"))</f>
        <v>Download file (Excel 701 KB)</v>
      </c>
      <c r="G39" s="18" t="str">
        <f>IF(ISNA(VLOOKUP((ROW(G41)-15),'List of tables'!$A$4:$H$621,6,FALSE))," ",VLOOKUP((ROW(G41)-15),'List of tables'!$A$4:$H$621,6,FALSE))</f>
        <v>https://www.nisra.gov.uk/system/files/statistics/census-2011-ks212ni.xlsx</v>
      </c>
    </row>
    <row r="40" spans="1:7" ht="70" customHeight="1" x14ac:dyDescent="0.3">
      <c r="A40" s="23" t="str">
        <f>IF(ISNA(VLOOKUP((ROW(A42)-15),'List of tables'!$A$4:$H$621,2,FALSE))," ",VLOOKUP((ROW(A42)-15),'List of tables'!$A$4:$H$621,2,FALSE))</f>
        <v>KS301NI</v>
      </c>
      <c r="B40" s="21" t="str">
        <f>IF(ISNA(VLOOKUP((ROW(B42)-15),'List of tables'!$A$4:$H$621,3,FALSE))," ",VLOOKUP((ROW(B42)-15),'List of tables'!$A$4:$H$621,3,FALSE))</f>
        <v>Health and Provision of Unpaid Care</v>
      </c>
      <c r="C40" s="21" t="str">
        <f>IF(ISNA(VLOOKUP((ROW(H42)-15),'List of tables'!$A$4:$H$621,8,FALSE))," ",VLOOKUP((ROW(H42)-15),'List of tables'!$A$4:$H$621,8,FALSE))</f>
        <v>All usual residents</v>
      </c>
      <c r="D40" s="21" t="str">
        <f>IF(ISNA(VLOOKUP((ROW(D42)-15),'List of tables'!$A$4:$H$621,5,FALSE))," ",VLOOKUP((ROW(D42)-15),'List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40" s="83" t="str">
        <f>IF(LEN(G40)&lt;10,"",HYPERLINK(G40,"Download file (Excel 1.6 MB)"))</f>
        <v>Download file (Excel 1.6 MB)</v>
      </c>
      <c r="G40" s="18" t="str">
        <f>IF(ISNA(VLOOKUP((ROW(G42)-15),'List of tables'!$A$4:$H$621,6,FALSE))," ",VLOOKUP((ROW(G42)-15),'List of tables'!$A$4:$H$621,6,FALSE))</f>
        <v>https://www.nisra.gov.uk/system/files/statistics/census-2011-ks301ni.xlsx</v>
      </c>
    </row>
    <row r="41" spans="1:7" ht="70" customHeight="1" x14ac:dyDescent="0.3">
      <c r="A41" s="23" t="str">
        <f>IF(ISNA(VLOOKUP((ROW(A43)-15),'List of tables'!$A$4:$H$621,2,FALSE))," ",VLOOKUP((ROW(A43)-15),'List of tables'!$A$4:$H$621,2,FALSE))</f>
        <v>KS302NI</v>
      </c>
      <c r="B41" s="21" t="str">
        <f>IF(ISNA(VLOOKUP((ROW(B43)-15),'List of tables'!$A$4:$H$621,3,FALSE))," ",VLOOKUP((ROW(B43)-15),'List of tables'!$A$4:$H$621,3,FALSE))</f>
        <v>Type of Long-Term Condition</v>
      </c>
      <c r="C41" s="21" t="str">
        <f>IF(ISNA(VLOOKUP((ROW(H43)-15),'List of tables'!$A$4:$H$621,8,FALSE))," ",VLOOKUP((ROW(H43)-15),'List of tables'!$A$4:$H$621,8,FALSE))</f>
        <v>All usual residents</v>
      </c>
      <c r="D41" s="21" t="str">
        <f>IF(ISNA(VLOOKUP((ROW(D43)-15),'List of tables'!$A$4:$H$621,5,FALSE))," ",VLOOKUP((ROW(D43)-15),'List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41" s="83" t="str">
        <f>IF(LEN(G41)&lt;10,"",HYPERLINK(G41,"Download file (Excel 1.3 MB)"))</f>
        <v>Download file (Excel 1.3 MB)</v>
      </c>
      <c r="G41" s="18" t="str">
        <f>IF(ISNA(VLOOKUP((ROW(G43)-15),'List of tables'!$A$4:$H$621,6,FALSE))," ",VLOOKUP((ROW(G43)-15),'List of tables'!$A$4:$H$621,6,FALSE))</f>
        <v>https://www.nisra.gov.uk/system/files/statistics/census-2011-ks302ni.xlsx</v>
      </c>
    </row>
    <row r="42" spans="1:7" ht="70" customHeight="1" x14ac:dyDescent="0.3">
      <c r="A42" s="23" t="str">
        <f>IF(ISNA(VLOOKUP((ROW(A44)-15),'List of tables'!$A$4:$H$621,2,FALSE))," ",VLOOKUP((ROW(A44)-15),'List of tables'!$A$4:$H$621,2,FALSE))</f>
        <v>KS401NI</v>
      </c>
      <c r="B42" s="21" t="str">
        <f>IF(ISNA(VLOOKUP((ROW(B44)-15),'List of tables'!$A$4:$H$621,3,FALSE))," ",VLOOKUP((ROW(B44)-15),'List of tables'!$A$4:$H$621,3,FALSE))</f>
        <v>Dwellings, Household Spaces and Accommodation Type</v>
      </c>
      <c r="C42" s="21" t="str">
        <f>IF(ISNA(VLOOKUP((ROW(H44)-15),'List of tables'!$A$4:$H$621,8,FALSE))," ",VLOOKUP((ROW(H44)-15),'List of tables'!$A$4:$H$621,8,FALSE))</f>
        <v>All dwellings; All household spaces</v>
      </c>
      <c r="D42" s="21" t="str">
        <f>IF(ISNA(VLOOKUP((ROW(D44)-15),'List of tables'!$A$4:$H$621,5,FALSE))," ",VLOOKUP((ROW(D44)-15),'List of tables'!$A$4:$H$621,5,FALSE))</f>
        <v>Settlement2015, Small Area, Super Output Area, Electoral Ward, Local Government District, District Electoral Area (2014), Local Government District (2014), Assembly Area, NUTS3, Education and Library Board, Health and Social Care Trust, Northern Ireland</v>
      </c>
      <c r="E42" s="83" t="str">
        <f>IF(LEN(G42)&lt;10,"",HYPERLINK(G42,"Download file (Excel 1016 KB)"))</f>
        <v>Download file (Excel 1016 KB)</v>
      </c>
      <c r="G42" s="18" t="str">
        <f>IF(ISNA(VLOOKUP((ROW(G44)-15),'List of tables'!$A$4:$H$621,6,FALSE))," ",VLOOKUP((ROW(G44)-15),'List of tables'!$A$4:$H$621,6,FALSE))</f>
        <v>https://www.nisra.gov.uk/system/files/statistics/census-2011-ks401ni.xlsx</v>
      </c>
    </row>
    <row r="43" spans="1:7" ht="70" customHeight="1" x14ac:dyDescent="0.3">
      <c r="A43" s="23" t="str">
        <f>IF(ISNA(VLOOKUP((ROW(A45)-15),'List of tables'!$A$4:$H$621,2,FALSE))," ",VLOOKUP((ROW(A45)-15),'List of tables'!$A$4:$H$621,2,FALSE))</f>
        <v>KS402NI</v>
      </c>
      <c r="B43" s="21" t="str">
        <f>IF(ISNA(VLOOKUP((ROW(B45)-15),'List of tables'!$A$4:$H$621,3,FALSE))," ",VLOOKUP((ROW(B45)-15),'List of tables'!$A$4:$H$621,3,FALSE))</f>
        <v>Tenure and Landlord</v>
      </c>
      <c r="C43" s="21" t="str">
        <f>IF(ISNA(VLOOKUP((ROW(H45)-15),'List of tables'!$A$4:$H$621,8,FALSE))," ",VLOOKUP((ROW(H45)-15),'List of tables'!$A$4:$H$621,8,FALSE))</f>
        <v>All households</v>
      </c>
      <c r="D43" s="21" t="str">
        <f>IF(ISNA(VLOOKUP((ROW(D45)-15),'List of tables'!$A$4:$H$621,5,FALSE))," ",VLOOKUP((ROW(D45)-15),'List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43" s="83" t="str">
        <f>IF(LEN(G43)&lt;10,"",HYPERLINK(G43,"Download file (Excel 962 KB)"))</f>
        <v>Download file (Excel 962 KB)</v>
      </c>
      <c r="G43" s="18" t="str">
        <f>IF(ISNA(VLOOKUP((ROW(G45)-15),'List of tables'!$A$4:$H$621,6,FALSE))," ",VLOOKUP((ROW(G45)-15),'List of tables'!$A$4:$H$621,6,FALSE))</f>
        <v>https://www.nisra.gov.uk/system/files/statistics/census-2011-ks402ni.xlsx</v>
      </c>
    </row>
    <row r="44" spans="1:7" ht="70" customHeight="1" x14ac:dyDescent="0.3">
      <c r="A44" s="23" t="str">
        <f>IF(ISNA(VLOOKUP((ROW(A46)-15),'List of tables'!$A$4:$H$621,2,FALSE))," ",VLOOKUP((ROW(A46)-15),'List of tables'!$A$4:$H$621,2,FALSE))</f>
        <v>KS403NI</v>
      </c>
      <c r="B44" s="21" t="str">
        <f>IF(ISNA(VLOOKUP((ROW(B46)-15),'List of tables'!$A$4:$H$621,3,FALSE))," ",VLOOKUP((ROW(B46)-15),'List of tables'!$A$4:$H$621,3,FALSE))</f>
        <v>Household Size</v>
      </c>
      <c r="C44" s="21" t="str">
        <f>IF(ISNA(VLOOKUP((ROW(H46)-15),'List of tables'!$A$4:$H$621,8,FALSE))," ",VLOOKUP((ROW(H46)-15),'List of tables'!$A$4:$H$621,8,FALSE))</f>
        <v>All households</v>
      </c>
      <c r="D44" s="21" t="str">
        <f>IF(ISNA(VLOOKUP((ROW(D46)-15),'List of tables'!$A$4:$H$621,5,FALSE))," ",VLOOKUP((ROW(D46)-15),'List of tables'!$A$4:$H$621,5,FALSE))</f>
        <v>Settlement2015, Small Area, Super Output Area, Electoral Ward, Local Government District, District Electoral Area (2014), Local Government District (2014), Assembly Area, NUTS3, Education and Library Board, Health and Social Care Trust, Northern Ireland</v>
      </c>
      <c r="E44" s="83" t="str">
        <f>IF(LEN(G44)&lt;10,"",HYPERLINK(G44,"Download file (Excel 998 KB)"))</f>
        <v>Download file (Excel 998 KB)</v>
      </c>
      <c r="G44" s="18" t="str">
        <f>IF(ISNA(VLOOKUP((ROW(G46)-15),'List of tables'!$A$4:$H$621,6,FALSE))," ",VLOOKUP((ROW(G46)-15),'List of tables'!$A$4:$H$621,6,FALSE))</f>
        <v>https://www.nisra.gov.uk/system/files/statistics/census-2011-ks403ni.xlsx</v>
      </c>
    </row>
    <row r="45" spans="1:7" ht="70" customHeight="1" x14ac:dyDescent="0.3">
      <c r="A45" s="23" t="str">
        <f>IF(ISNA(VLOOKUP((ROW(A47)-15),'List of tables'!$A$4:$H$621,2,FALSE))," ",VLOOKUP((ROW(A47)-15),'List of tables'!$A$4:$H$621,2,FALSE))</f>
        <v>KS404NI</v>
      </c>
      <c r="B45" s="21" t="str">
        <f>IF(ISNA(VLOOKUP((ROW(B47)-15),'List of tables'!$A$4:$H$621,3,FALSE))," ",VLOOKUP((ROW(B47)-15),'List of tables'!$A$4:$H$621,3,FALSE))</f>
        <v>Central Heating</v>
      </c>
      <c r="C45" s="21" t="str">
        <f>IF(ISNA(VLOOKUP((ROW(H47)-15),'List of tables'!$A$4:$H$621,8,FALSE))," ",VLOOKUP((ROW(H47)-15),'List of tables'!$A$4:$H$621,8,FALSE))</f>
        <v>All households</v>
      </c>
      <c r="D45" s="21" t="str">
        <f>IF(ISNA(VLOOKUP((ROW(D47)-15),'List of tables'!$A$4:$H$621,5,FALSE))," ",VLOOKUP((ROW(D47)-15),'List of tables'!$A$4:$H$621,5,FALSE))</f>
        <v>Settlement2015, Small Area, Super Output Area, Electoral Ward, Local Government District, District Electoral Area (2014), Local Government District (2014), Assembly Area, NUTS3, Education and Library Board, Health and Social Care Trust, Northern Ireland</v>
      </c>
      <c r="E45" s="83" t="str">
        <f>IF(LEN(G45)&lt;10,"",HYPERLINK(G45,"Download file (Excel 862 KB)"))</f>
        <v>Download file (Excel 862 KB)</v>
      </c>
      <c r="G45" s="18" t="str">
        <f>IF(ISNA(VLOOKUP((ROW(G47)-15),'List of tables'!$A$4:$H$621,6,FALSE))," ",VLOOKUP((ROW(G47)-15),'List of tables'!$A$4:$H$621,6,FALSE))</f>
        <v>https://www.nisra.gov.uk/system/files/statistics/census-2011-ks404ni.xlsx</v>
      </c>
    </row>
    <row r="46" spans="1:7" ht="70" customHeight="1" x14ac:dyDescent="0.3">
      <c r="A46" s="23" t="str">
        <f>IF(ISNA(VLOOKUP((ROW(A48)-15),'List of tables'!$A$4:$H$621,2,FALSE))," ",VLOOKUP((ROW(A48)-15),'List of tables'!$A$4:$H$621,2,FALSE))</f>
        <v>KS405NI</v>
      </c>
      <c r="B46" s="21" t="str">
        <f>IF(ISNA(VLOOKUP((ROW(B48)-15),'List of tables'!$A$4:$H$621,3,FALSE))," ",VLOOKUP((ROW(B48)-15),'List of tables'!$A$4:$H$621,3,FALSE))</f>
        <v>Car or Van Availability</v>
      </c>
      <c r="C46" s="21" t="str">
        <f>IF(ISNA(VLOOKUP((ROW(H48)-15),'List of tables'!$A$4:$H$621,8,FALSE))," ",VLOOKUP((ROW(H48)-15),'List of tables'!$A$4:$H$621,8,FALSE))</f>
        <v>All households</v>
      </c>
      <c r="D46" s="21" t="str">
        <f>IF(ISNA(VLOOKUP((ROW(D48)-15),'List of tables'!$A$4:$H$621,5,FALSE))," ",VLOOKUP((ROW(D48)-15),'List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46" s="83" t="str">
        <f>IF(LEN(G46)&lt;10,"",HYPERLINK(G46,"Download file (Excel 798 KB)"))</f>
        <v>Download file (Excel 798 KB)</v>
      </c>
      <c r="G46" s="18" t="str">
        <f>IF(ISNA(VLOOKUP((ROW(G48)-15),'List of tables'!$A$4:$H$621,6,FALSE))," ",VLOOKUP((ROW(G48)-15),'List of tables'!$A$4:$H$621,6,FALSE))</f>
        <v>https://www.nisra.gov.uk/system/files/statistics/census-2011-ks405ni.xlsx</v>
      </c>
    </row>
    <row r="47" spans="1:7" ht="70" customHeight="1" x14ac:dyDescent="0.3">
      <c r="A47" s="23" t="str">
        <f>IF(ISNA(VLOOKUP((ROW(A49)-15),'List of tables'!$A$4:$H$621,2,FALSE))," ",VLOOKUP((ROW(A49)-15),'List of tables'!$A$4:$H$621,2,FALSE))</f>
        <v>KS406NI</v>
      </c>
      <c r="B47" s="21" t="str">
        <f>IF(ISNA(VLOOKUP((ROW(B49)-15),'List of tables'!$A$4:$H$621,3,FALSE))," ",VLOOKUP((ROW(B49)-15),'List of tables'!$A$4:$H$621,3,FALSE))</f>
        <v>Adaptation to Accommodation</v>
      </c>
      <c r="C47" s="21" t="str">
        <f>IF(ISNA(VLOOKUP((ROW(H49)-15),'List of tables'!$A$4:$H$621,8,FALSE))," ",VLOOKUP((ROW(H49)-15),'List of tables'!$A$4:$H$621,8,FALSE))</f>
        <v>All households</v>
      </c>
      <c r="D47" s="21" t="str">
        <f>IF(ISNA(VLOOKUP((ROW(D49)-15),'List of tables'!$A$4:$H$621,5,FALSE))," ",VLOOKUP((ROW(D49)-15),'List of tables'!$A$4:$H$621,5,FALSE))</f>
        <v>Settlement2015, Small Area, Super Output Area, Electoral Ward, Local Government District, District Electoral Area (2014), Local Government District (2014), Assembly Area, NUTS3, Education and Library Board, Health and Social Care Trust, Northern Ireland</v>
      </c>
      <c r="E47" s="83" t="str">
        <f>IF(LEN(G47)&lt;10,"",HYPERLINK(G47,"Download file (Excel 780 KB)"))</f>
        <v>Download file (Excel 780 KB)</v>
      </c>
      <c r="G47" s="18" t="str">
        <f>IF(ISNA(VLOOKUP((ROW(G49)-15),'List of tables'!$A$4:$H$621,6,FALSE))," ",VLOOKUP((ROW(G49)-15),'List of tables'!$A$4:$H$621,6,FALSE))</f>
        <v>https://www.nisra.gov.uk/system/files/statistics/census-2011-ks406ni.xlsx</v>
      </c>
    </row>
    <row r="48" spans="1:7" ht="70" customHeight="1" x14ac:dyDescent="0.3">
      <c r="A48" s="23" t="str">
        <f>IF(ISNA(VLOOKUP((ROW(A50)-15),'List of tables'!$A$4:$H$621,2,FALSE))," ",VLOOKUP((ROW(A50)-15),'List of tables'!$A$4:$H$621,2,FALSE))</f>
        <v>KS407NI</v>
      </c>
      <c r="B48" s="21" t="str">
        <f>IF(ISNA(VLOOKUP((ROW(B50)-15),'List of tables'!$A$4:$H$621,3,FALSE))," ",VLOOKUP((ROW(B50)-15),'List of tables'!$A$4:$H$621,3,FALSE))</f>
        <v>Communal Establishment Residents and Long-Term Health Problem or Disability</v>
      </c>
      <c r="C48" s="21" t="str">
        <f>IF(ISNA(VLOOKUP((ROW(H50)-15),'List of tables'!$A$4:$H$621,8,FALSE))," ",VLOOKUP((ROW(H50)-15),'List of tables'!$A$4:$H$621,8,FALSE))</f>
        <v>All communal establishments</v>
      </c>
      <c r="D48" s="21" t="str">
        <f>IF(ISNA(VLOOKUP((ROW(D50)-15),'List of tables'!$A$4:$H$621,5,FALSE))," ",VLOOKUP((ROW(D50)-15),'List of tables'!$A$4:$H$621,5,FALSE))</f>
        <v>Settlement2015, Small Area, Super Output Area, Electoral Ward, Local Government District, District Electoral Area (2014), Local Government District (2014), Assembly Area, NUTS3, Education and Library Board, Health and Social Care Trust, Northern Ireland</v>
      </c>
      <c r="E48" s="83" t="str">
        <f>IF(LEN(G48)&lt;10,"",HYPERLINK(G48,"Download file (Excel 972 KB)"))</f>
        <v>Download file (Excel 972 KB)</v>
      </c>
      <c r="G48" s="18" t="str">
        <f>IF(ISNA(VLOOKUP((ROW(G50)-15),'List of tables'!$A$4:$H$621,6,FALSE))," ",VLOOKUP((ROW(G50)-15),'List of tables'!$A$4:$H$621,6,FALSE))</f>
        <v>https://www.nisra.gov.uk/system/files/statistics/census-2011-ks407ni.xlsx</v>
      </c>
    </row>
    <row r="49" spans="1:7" ht="70" customHeight="1" x14ac:dyDescent="0.3">
      <c r="A49" s="23" t="str">
        <f>IF(ISNA(VLOOKUP((ROW(A51)-15),'List of tables'!$A$4:$H$621,2,FALSE))," ",VLOOKUP((ROW(A51)-15),'List of tables'!$A$4:$H$621,2,FALSE))</f>
        <v>KS501NI</v>
      </c>
      <c r="B49" s="21" t="str">
        <f>IF(ISNA(VLOOKUP((ROW(B51)-15),'List of tables'!$A$4:$H$621,3,FALSE))," ",VLOOKUP((ROW(B51)-15),'List of tables'!$A$4:$H$621,3,FALSE))</f>
        <v>Qualifications and Students</v>
      </c>
      <c r="C49" s="21" t="str">
        <f>IF(ISNA(VLOOKUP((ROW(H51)-15),'List of tables'!$A$4:$H$621,8,FALSE))," ",VLOOKUP((ROW(H51)-15),'List of tables'!$A$4:$H$621,8,FALSE))</f>
        <v xml:space="preserve">All usual residents aged 16 and over </v>
      </c>
      <c r="D49" s="21" t="str">
        <f>IF(ISNA(VLOOKUP((ROW(D51)-15),'List of tables'!$A$4:$H$621,5,FALSE))," ",VLOOKUP((ROW(D51)-15),'List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49" s="83" t="str">
        <f>IF(LEN(G49)&lt;10,"",HYPERLINK(G49,"Download file (Excel 1.2 MB)"))</f>
        <v>Download file (Excel 1.2 MB)</v>
      </c>
      <c r="G49" s="18" t="str">
        <f>IF(ISNA(VLOOKUP((ROW(G51)-15),'List of tables'!$A$4:$H$621,6,FALSE))," ",VLOOKUP((ROW(G51)-15),'List of tables'!$A$4:$H$621,6,FALSE))</f>
        <v>https://www.nisra.gov.uk/system/files/statistics/census-2011-ks501ni.xlsx</v>
      </c>
    </row>
    <row r="50" spans="1:7" ht="70" customHeight="1" x14ac:dyDescent="0.3">
      <c r="A50" s="23" t="str">
        <f>IF(ISNA(VLOOKUP((ROW(A52)-15),'List of tables'!$A$4:$H$621,2,FALSE))," ",VLOOKUP((ROW(A52)-15),'List of tables'!$A$4:$H$621,2,FALSE))</f>
        <v>KS601NI</v>
      </c>
      <c r="B50" s="21" t="str">
        <f>IF(ISNA(VLOOKUP((ROW(B52)-15),'List of tables'!$A$4:$H$621,3,FALSE))," ",VLOOKUP((ROW(B52)-15),'List of tables'!$A$4:$H$621,3,FALSE))</f>
        <v>Economic Activity</v>
      </c>
      <c r="C50" s="21" t="str">
        <f>IF(ISNA(VLOOKUP((ROW(H52)-15),'List of tables'!$A$4:$H$621,8,FALSE))," ",VLOOKUP((ROW(H52)-15),'List of tables'!$A$4:$H$621,8,FALSE))</f>
        <v>All usual residents aged 16 to 74</v>
      </c>
      <c r="D50" s="21" t="str">
        <f>IF(ISNA(VLOOKUP((ROW(D52)-15),'List of tables'!$A$4:$H$621,5,FALSE))," ",VLOOKUP((ROW(D52)-15),'List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50" s="83" t="str">
        <f>IF(LEN(G50)&lt;10,"",HYPERLINK(G50,"Download file (Excel 1.5 MB)"))</f>
        <v>Download file (Excel 1.5 MB)</v>
      </c>
      <c r="G50" s="18" t="str">
        <f>IF(ISNA(VLOOKUP((ROW(G52)-15),'List of tables'!$A$4:$H$621,6,FALSE))," ",VLOOKUP((ROW(G52)-15),'List of tables'!$A$4:$H$621,6,FALSE))</f>
        <v>https://www.nisra.gov.uk/system/files/statistics/census-2011-ks601ni.xlsx</v>
      </c>
    </row>
    <row r="51" spans="1:7" ht="70" customHeight="1" x14ac:dyDescent="0.3">
      <c r="A51" s="23" t="str">
        <f>IF(ISNA(VLOOKUP((ROW(A53)-15),'List of tables'!$A$4:$H$621,2,FALSE))," ",VLOOKUP((ROW(A53)-15),'List of tables'!$A$4:$H$621,2,FALSE))</f>
        <v>KS602NI</v>
      </c>
      <c r="B51" s="21" t="str">
        <f>IF(ISNA(VLOOKUP((ROW(B53)-15),'List of tables'!$A$4:$H$621,3,FALSE))," ",VLOOKUP((ROW(B53)-15),'List of tables'!$A$4:$H$621,3,FALSE))</f>
        <v>Economic Activity - Males</v>
      </c>
      <c r="C51" s="21" t="str">
        <f>IF(ISNA(VLOOKUP((ROW(H53)-15),'List of tables'!$A$4:$H$621,8,FALSE))," ",VLOOKUP((ROW(H53)-15),'List of tables'!$A$4:$H$621,8,FALSE))</f>
        <v>All male usual residents aged 16 to 74</v>
      </c>
      <c r="D51" s="21" t="str">
        <f>IF(ISNA(VLOOKUP((ROW(D53)-15),'List of tables'!$A$4:$H$621,5,FALSE))," ",VLOOKUP((ROW(D53)-15),'List of tables'!$A$4:$H$621,5,FALSE))</f>
        <v>Settlement2015, Small Area, Super Output Area, Electoral Ward, Local Government District, District Electoral Area (2014), Local Government District (2014), Assembly Area, NUTS3, Education and Library Board, Health and Social Care Trust, Northern Ireland</v>
      </c>
      <c r="E51" s="83" t="str">
        <f>IF(LEN(G51)&lt;10,"",HYPERLINK(G51,"Download file (Excel 1.5 MB)"))</f>
        <v>Download file (Excel 1.5 MB)</v>
      </c>
      <c r="G51" s="18" t="str">
        <f>IF(ISNA(VLOOKUP((ROW(G53)-15),'List of tables'!$A$4:$H$621,6,FALSE))," ",VLOOKUP((ROW(G53)-15),'List of tables'!$A$4:$H$621,6,FALSE))</f>
        <v>https://www.nisra.gov.uk/system/files/statistics/census-2011-ks602ni.xlsx</v>
      </c>
    </row>
    <row r="52" spans="1:7" ht="70" customHeight="1" x14ac:dyDescent="0.3">
      <c r="A52" s="23" t="str">
        <f>IF(ISNA(VLOOKUP((ROW(A54)-15),'List of tables'!$A$4:$H$621,2,FALSE))," ",VLOOKUP((ROW(A54)-15),'List of tables'!$A$4:$H$621,2,FALSE))</f>
        <v>KS603NI</v>
      </c>
      <c r="B52" s="21" t="str">
        <f>IF(ISNA(VLOOKUP((ROW(B54)-15),'List of tables'!$A$4:$H$621,3,FALSE))," ",VLOOKUP((ROW(B54)-15),'List of tables'!$A$4:$H$621,3,FALSE))</f>
        <v>Economic Activity - Females</v>
      </c>
      <c r="C52" s="21" t="str">
        <f>IF(ISNA(VLOOKUP((ROW(H54)-15),'List of tables'!$A$4:$H$621,8,FALSE))," ",VLOOKUP((ROW(H54)-15),'List of tables'!$A$4:$H$621,8,FALSE))</f>
        <v>All female usual residents aged 16 to 74</v>
      </c>
      <c r="D52" s="21" t="str">
        <f>IF(ISNA(VLOOKUP((ROW(D54)-15),'List of tables'!$A$4:$H$621,5,FALSE))," ",VLOOKUP((ROW(D54)-15),'List of tables'!$A$4:$H$621,5,FALSE))</f>
        <v>Settlement2015, Small Area, Super Output Area, Electoral Ward, Local Government District, District Electoral Area (2014), Local Government District (2014), Assembly Area, NUTS3, Education and Library Board, Health and Social Care Trust, Northern Ireland</v>
      </c>
      <c r="E52" s="83" t="str">
        <f>IF(LEN(G52)&lt;10,"",HYPERLINK(G52,"Download file (Excel 1.4 MB)"))</f>
        <v>Download file (Excel 1.4 MB)</v>
      </c>
      <c r="G52" s="18" t="str">
        <f>IF(ISNA(VLOOKUP((ROW(G54)-15),'List of tables'!$A$4:$H$621,6,FALSE))," ",VLOOKUP((ROW(G54)-15),'List of tables'!$A$4:$H$621,6,FALSE))</f>
        <v>https://www.nisra.gov.uk/system/files/statistics/census-2011-ks603ni.xlsx</v>
      </c>
    </row>
    <row r="53" spans="1:7" ht="70" customHeight="1" x14ac:dyDescent="0.3">
      <c r="A53" s="23" t="str">
        <f>IF(ISNA(VLOOKUP((ROW(A55)-15),'List of tables'!$A$4:$H$621,2,FALSE))," ",VLOOKUP((ROW(A55)-15),'List of tables'!$A$4:$H$621,2,FALSE))</f>
        <v>KS604NI</v>
      </c>
      <c r="B53" s="21" t="str">
        <f>IF(ISNA(VLOOKUP((ROW(B55)-15),'List of tables'!$A$4:$H$621,3,FALSE))," ",VLOOKUP((ROW(B55)-15),'List of tables'!$A$4:$H$621,3,FALSE))</f>
        <v>Hours Worked</v>
      </c>
      <c r="C53" s="21" t="str">
        <f>IF(ISNA(VLOOKUP((ROW(H55)-15),'List of tables'!$A$4:$H$621,8,FALSE))," ",VLOOKUP((ROW(H55)-15),'List of tables'!$A$4:$H$621,8,FALSE))</f>
        <v>All usual residents aged 16 to 74 in employment</v>
      </c>
      <c r="D53" s="21" t="str">
        <f>IF(ISNA(VLOOKUP((ROW(D55)-15),'List of tables'!$A$4:$H$621,5,FALSE))," ",VLOOKUP((ROW(D55)-15),'List of tables'!$A$4:$H$621,5,FALSE))</f>
        <v>Settlement2015, Small Area, Super Output Area, Electoral Ward, Local Government District, District Electoral Area (2014), Local Government District (2014), Assembly Area, NUTS3, Education and Library Board, Health and Social Care Trust, Northern Ireland</v>
      </c>
      <c r="E53" s="83" t="str">
        <f>IF(LEN(G53)&lt;10,"",HYPERLINK(G53,"Download file (Excel 1.4 MB)"))</f>
        <v>Download file (Excel 1.4 MB)</v>
      </c>
      <c r="G53" s="18" t="str">
        <f>IF(ISNA(VLOOKUP((ROW(G55)-15),'List of tables'!$A$4:$H$621,6,FALSE))," ",VLOOKUP((ROW(G55)-15),'List of tables'!$A$4:$H$621,6,FALSE))</f>
        <v>https://www.nisra.gov.uk/system/files/statistics/census-2011-ks604ni.xlsx</v>
      </c>
    </row>
    <row r="54" spans="1:7" ht="70" customHeight="1" x14ac:dyDescent="0.3">
      <c r="A54" s="23" t="str">
        <f>IF(ISNA(VLOOKUP((ROW(A56)-15),'List of tables'!$A$4:$H$621,2,FALSE))," ",VLOOKUP((ROW(A56)-15),'List of tables'!$A$4:$H$621,2,FALSE))</f>
        <v>KS605NI</v>
      </c>
      <c r="B54" s="21" t="str">
        <f>IF(ISNA(VLOOKUP((ROW(B56)-15),'List of tables'!$A$4:$H$621,3,FALSE))," ",VLOOKUP((ROW(B56)-15),'List of tables'!$A$4:$H$621,3,FALSE))</f>
        <v>Industry of Employment</v>
      </c>
      <c r="C54" s="21" t="str">
        <f>IF(ISNA(VLOOKUP((ROW(H56)-15),'List of tables'!$A$4:$H$621,8,FALSE))," ",VLOOKUP((ROW(H56)-15),'List of tables'!$A$4:$H$621,8,FALSE))</f>
        <v xml:space="preserve">All usual residents aged 16 to 74 in employment </v>
      </c>
      <c r="D54" s="21" t="str">
        <f>IF(ISNA(VLOOKUP((ROW(D56)-15),'List of tables'!$A$4:$H$621,5,FALSE))," ",VLOOKUP((ROW(D56)-15),'List of tables'!$A$4:$H$621,5,FALSE))</f>
        <v>Settlement2015, Small Area, Super Output Area, Electoral Ward, Local Government District, District Electoral Area (2014), Local Government District (2014), Assembly Area, NUTS3, Education and Library Board, Health and Social Care Trust, Northern Ireland</v>
      </c>
      <c r="E54" s="83" t="str">
        <f>IF(LEN(G54)&lt;10,"",HYPERLINK(G54,"Download file (Excel 1.7 MB)"))</f>
        <v>Download file (Excel 1.7 MB)</v>
      </c>
      <c r="G54" s="18" t="str">
        <f>IF(ISNA(VLOOKUP((ROW(G56)-15),'List of tables'!$A$4:$H$621,6,FALSE))," ",VLOOKUP((ROW(G56)-15),'List of tables'!$A$4:$H$621,6,FALSE))</f>
        <v>https://www.nisra.gov.uk/system/files/statistics/census-2011-ks605ni.xlsx</v>
      </c>
    </row>
    <row r="55" spans="1:7" ht="70" customHeight="1" x14ac:dyDescent="0.3">
      <c r="A55" s="23" t="str">
        <f>IF(ISNA(VLOOKUP((ROW(A57)-15),'List of tables'!$A$4:$H$621,2,FALSE))," ",VLOOKUP((ROW(A57)-15),'List of tables'!$A$4:$H$621,2,FALSE))</f>
        <v>KS606NI</v>
      </c>
      <c r="B55" s="21" t="str">
        <f>IF(ISNA(VLOOKUP((ROW(B57)-15),'List of tables'!$A$4:$H$621,3,FALSE))," ",VLOOKUP((ROW(B57)-15),'List of tables'!$A$4:$H$621,3,FALSE))</f>
        <v>Industry of Employment - Males</v>
      </c>
      <c r="C55" s="21" t="str">
        <f>IF(ISNA(VLOOKUP((ROW(H57)-15),'List of tables'!$A$4:$H$621,8,FALSE))," ",VLOOKUP((ROW(H57)-15),'List of tables'!$A$4:$H$621,8,FALSE))</f>
        <v xml:space="preserve">All male usual residents aged 16 to 74 in employment </v>
      </c>
      <c r="D55" s="21" t="str">
        <f>IF(ISNA(VLOOKUP((ROW(D57)-15),'List of tables'!$A$4:$H$621,5,FALSE))," ",VLOOKUP((ROW(D57)-15),'List of tables'!$A$4:$H$621,5,FALSE))</f>
        <v>Settlement2015, Small Area, Super Output Area, Electoral Ward, Local Government District, District Electoral Area (2014), Local Government District (2014), Assembly Area, NUTS3, Education and Library Board, Health and Social Care Trust, Northern Ireland</v>
      </c>
      <c r="E55" s="83" t="str">
        <f>IF(LEN(G55)&lt;10,"",HYPERLINK(G55,"Download file (Excel 1.6 MB)"))</f>
        <v>Download file (Excel 1.6 MB)</v>
      </c>
      <c r="G55" s="18" t="str">
        <f>IF(ISNA(VLOOKUP((ROW(G57)-15),'List of tables'!$A$4:$H$621,6,FALSE))," ",VLOOKUP((ROW(G57)-15),'List of tables'!$A$4:$H$621,6,FALSE))</f>
        <v>https://www.nisra.gov.uk/system/files/statistics/census-2011-ks606ni.xlsx</v>
      </c>
    </row>
    <row r="56" spans="1:7" ht="70" customHeight="1" x14ac:dyDescent="0.3">
      <c r="A56" s="23" t="str">
        <f>IF(ISNA(VLOOKUP((ROW(A58)-15),'List of tables'!$A$4:$H$621,2,FALSE))," ",VLOOKUP((ROW(A58)-15),'List of tables'!$A$4:$H$621,2,FALSE))</f>
        <v>KS607NI</v>
      </c>
      <c r="B56" s="21" t="str">
        <f>IF(ISNA(VLOOKUP((ROW(B58)-15),'List of tables'!$A$4:$H$621,3,FALSE))," ",VLOOKUP((ROW(B58)-15),'List of tables'!$A$4:$H$621,3,FALSE))</f>
        <v>Industry of Employment - Females</v>
      </c>
      <c r="C56" s="21" t="str">
        <f>IF(ISNA(VLOOKUP((ROW(H58)-15),'List of tables'!$A$4:$H$621,8,FALSE))," ",VLOOKUP((ROW(H58)-15),'List of tables'!$A$4:$H$621,8,FALSE))</f>
        <v xml:space="preserve">All female usual residents aged 16 to 74 in employment </v>
      </c>
      <c r="D56" s="21" t="str">
        <f>IF(ISNA(VLOOKUP((ROW(D58)-15),'List of tables'!$A$4:$H$621,5,FALSE))," ",VLOOKUP((ROW(D58)-15),'List of tables'!$A$4:$H$621,5,FALSE))</f>
        <v>Settlement2015, Small Area, Super Output Area, Electoral Ward, Local Government District, District Electoral Area (2014), Local Government District (2014), Assembly Area, NUTS3, Education and Library Board, Health and Social Care Trust, Northern Ireland</v>
      </c>
      <c r="E56" s="83" t="str">
        <f>IF(LEN(G56)&lt;10,"",HYPERLINK(G56,"Download file (Excel 1.6 MB)"))</f>
        <v>Download file (Excel 1.6 MB)</v>
      </c>
      <c r="G56" s="18" t="str">
        <f>IF(ISNA(VLOOKUP((ROW(G58)-15),'List of tables'!$A$4:$H$621,6,FALSE))," ",VLOOKUP((ROW(G58)-15),'List of tables'!$A$4:$H$621,6,FALSE))</f>
        <v>https://www.nisra.gov.uk/system/files/statistics/census-2011-ks607ni.xlsx</v>
      </c>
    </row>
    <row r="57" spans="1:7" ht="70" customHeight="1" x14ac:dyDescent="0.3">
      <c r="A57" s="23" t="str">
        <f>IF(ISNA(VLOOKUP((ROW(A59)-15),'List of tables'!$A$4:$H$621,2,FALSE))," ",VLOOKUP((ROW(A59)-15),'List of tables'!$A$4:$H$621,2,FALSE))</f>
        <v>KS608NI</v>
      </c>
      <c r="B57" s="21" t="str">
        <f>IF(ISNA(VLOOKUP((ROW(B59)-15),'List of tables'!$A$4:$H$621,3,FALSE))," ",VLOOKUP((ROW(B59)-15),'List of tables'!$A$4:$H$621,3,FALSE))</f>
        <v>Occupation</v>
      </c>
      <c r="C57" s="21" t="str">
        <f>IF(ISNA(VLOOKUP((ROW(H59)-15),'List of tables'!$A$4:$H$621,8,FALSE))," ",VLOOKUP((ROW(H59)-15),'List of tables'!$A$4:$H$621,8,FALSE))</f>
        <v xml:space="preserve">All usual residents aged 16 to 74 in employment </v>
      </c>
      <c r="D57" s="21" t="str">
        <f>IF(ISNA(VLOOKUP((ROW(D59)-15),'List of tables'!$A$4:$H$621,5,FALSE))," ",VLOOKUP((ROW(D59)-15),'List of tables'!$A$4:$H$621,5,FALSE))</f>
        <v>Settlement2015, Small Area, Super Output Area, Electoral Ward, Local Government District, District Electoral Area (2014), Local Government District (2014), Assembly Area, NUTS3, Education and Library Board, Health and Social Care Trust, Northern Ireland</v>
      </c>
      <c r="E57" s="83" t="str">
        <f>IF(LEN(G57)&lt;10,"",HYPERLINK(G57,"Download file (Excel 1 MB)"))</f>
        <v>Download file (Excel 1 MB)</v>
      </c>
      <c r="G57" s="18" t="str">
        <f>IF(ISNA(VLOOKUP((ROW(G59)-15),'List of tables'!$A$4:$H$621,6,FALSE))," ",VLOOKUP((ROW(G59)-15),'List of tables'!$A$4:$H$621,6,FALSE))</f>
        <v>https://www.nisra.gov.uk/system/files/statistics/census-2011-ks608ni.xlsx</v>
      </c>
    </row>
    <row r="58" spans="1:7" ht="70" customHeight="1" x14ac:dyDescent="0.3">
      <c r="A58" s="23" t="str">
        <f>IF(ISNA(VLOOKUP((ROW(A60)-15),'List of tables'!$A$4:$H$621,2,FALSE))," ",VLOOKUP((ROW(A60)-15),'List of tables'!$A$4:$H$621,2,FALSE))</f>
        <v>KS609NI</v>
      </c>
      <c r="B58" s="21" t="str">
        <f>IF(ISNA(VLOOKUP((ROW(B60)-15),'List of tables'!$A$4:$H$621,3,FALSE))," ",VLOOKUP((ROW(B60)-15),'List of tables'!$A$4:$H$621,3,FALSE))</f>
        <v>Occupation - Males</v>
      </c>
      <c r="C58" s="21" t="str">
        <f>IF(ISNA(VLOOKUP((ROW(H60)-15),'List of tables'!$A$4:$H$621,8,FALSE))," ",VLOOKUP((ROW(H60)-15),'List of tables'!$A$4:$H$621,8,FALSE))</f>
        <v xml:space="preserve">All male usual residents aged 16 to 74 in employment </v>
      </c>
      <c r="D58" s="21" t="str">
        <f>IF(ISNA(VLOOKUP((ROW(D60)-15),'List of tables'!$A$4:$H$621,5,FALSE))," ",VLOOKUP((ROW(D60)-15),'List of tables'!$A$4:$H$621,5,FALSE))</f>
        <v>Settlement2015, Small Area, Super Output Area, Electoral Ward, Local Government District, District Electoral Area (2014), Local Government District (2014), Assembly Area, NUTS3, Education and Library Board, Health and Social Care Trust, Northern Ireland</v>
      </c>
      <c r="E58" s="83" t="str">
        <f>IF(LEN(G58)&lt;10,"",HYPERLINK(G58,"Download file (Excel 1 MB)"))</f>
        <v>Download file (Excel 1 MB)</v>
      </c>
      <c r="G58" s="18" t="str">
        <f>IF(ISNA(VLOOKUP((ROW(G60)-15),'List of tables'!$A$4:$H$621,6,FALSE))," ",VLOOKUP((ROW(G60)-15),'List of tables'!$A$4:$H$621,6,FALSE))</f>
        <v>https://www.nisra.gov.uk/system/files/statistics/census-2011-ks609ni.xlsx</v>
      </c>
    </row>
    <row r="59" spans="1:7" ht="70" customHeight="1" x14ac:dyDescent="0.3">
      <c r="A59" s="23" t="str">
        <f>IF(ISNA(VLOOKUP((ROW(A61)-15),'List of tables'!$A$4:$H$621,2,FALSE))," ",VLOOKUP((ROW(A61)-15),'List of tables'!$A$4:$H$621,2,FALSE))</f>
        <v>KS610NI</v>
      </c>
      <c r="B59" s="21" t="str">
        <f>IF(ISNA(VLOOKUP((ROW(B61)-15),'List of tables'!$A$4:$H$621,3,FALSE))," ",VLOOKUP((ROW(B61)-15),'List of tables'!$A$4:$H$621,3,FALSE))</f>
        <v>Occupation - Females</v>
      </c>
      <c r="C59" s="21" t="str">
        <f>IF(ISNA(VLOOKUP((ROW(H61)-15),'List of tables'!$A$4:$H$621,8,FALSE))," ",VLOOKUP((ROW(H61)-15),'List of tables'!$A$4:$H$621,8,FALSE))</f>
        <v>All female usual residents aged 16 to 74 in employment</v>
      </c>
      <c r="D59" s="21" t="str">
        <f>IF(ISNA(VLOOKUP((ROW(D61)-15),'List of tables'!$A$4:$H$621,5,FALSE))," ",VLOOKUP((ROW(D61)-15),'List of tables'!$A$4:$H$621,5,FALSE))</f>
        <v>Settlement2015, Small Area, Super Output Area, Electoral Ward, Local Government District, District Electoral Area (2014), Local Government District (2014), Assembly Area, NUTS3, Education and Library Board, Health and Social Care Trust, Northern Ireland</v>
      </c>
      <c r="E59" s="83" t="str">
        <f>IF(LEN(G59)&lt;10,"",HYPERLINK(G59,"Download file (Excel 1 MB)"))</f>
        <v>Download file (Excel 1 MB)</v>
      </c>
      <c r="G59" s="18" t="str">
        <f>IF(ISNA(VLOOKUP((ROW(G61)-15),'List of tables'!$A$4:$H$621,6,FALSE))," ",VLOOKUP((ROW(G61)-15),'List of tables'!$A$4:$H$621,6,FALSE))</f>
        <v>https://www.nisra.gov.uk/system/files/statistics/census-2011-ks610ni.xlsx</v>
      </c>
    </row>
    <row r="60" spans="1:7" ht="70" customHeight="1" x14ac:dyDescent="0.3">
      <c r="A60" s="23" t="str">
        <f>IF(ISNA(VLOOKUP((ROW(A62)-15),'List of tables'!$A$4:$H$621,2,FALSE))," ",VLOOKUP((ROW(A62)-15),'List of tables'!$A$4:$H$621,2,FALSE))</f>
        <v>KS611NI</v>
      </c>
      <c r="B60" s="21" t="str">
        <f>IF(ISNA(VLOOKUP((ROW(B62)-15),'List of tables'!$A$4:$H$621,3,FALSE))," ",VLOOKUP((ROW(B62)-15),'List of tables'!$A$4:$H$621,3,FALSE))</f>
        <v>National Statistics Socio-economic Classification (NS-SeC)</v>
      </c>
      <c r="C60" s="21" t="str">
        <f>IF(ISNA(VLOOKUP((ROW(H62)-15),'List of tables'!$A$4:$H$621,8,FALSE))," ",VLOOKUP((ROW(H62)-15),'List of tables'!$A$4:$H$621,8,FALSE))</f>
        <v>All usual residents aged 16 to 74</v>
      </c>
      <c r="D60" s="21" t="str">
        <f>IF(ISNA(VLOOKUP((ROW(D62)-15),'List of tables'!$A$4:$H$621,5,FALSE))," ",VLOOKUP((ROW(D62)-15),'List of tables'!$A$4:$H$621,5,FALSE))</f>
        <v>Neighbourhood Renewal Area, Delivery Office, Settlement2015, Small Area, Super Output Area, Electoral Ward, Local Government District, District Electoral Area (2014), Local Government District (2014), Assembly Area, NUTS3, Education and Library Board, Health and Social Care Trust, Northern Ireland</v>
      </c>
      <c r="E60" s="83" t="str">
        <f>IF(LEN(G60)&lt;10,"",HYPERLINK(G60,"Download file (Excel 1.2 MB)"))</f>
        <v>Download file (Excel 1.2 MB)</v>
      </c>
      <c r="G60" s="18" t="str">
        <f>IF(ISNA(VLOOKUP((ROW(G62)-15),'List of tables'!$A$4:$H$621,6,FALSE))," ",VLOOKUP((ROW(G62)-15),'List of tables'!$A$4:$H$621,6,FALSE))</f>
        <v>https://www.nisra.gov.uk/system/files/statistics/census-2011-ks611ni.xlsx</v>
      </c>
    </row>
    <row r="61" spans="1:7" ht="70" customHeight="1" x14ac:dyDescent="0.3">
      <c r="A61" s="23" t="str">
        <f>IF(ISNA(VLOOKUP((ROW(A63)-15),'List of tables'!$A$4:$H$621,2,FALSE))," ",VLOOKUP((ROW(A63)-15),'List of tables'!$A$4:$H$621,2,FALSE))</f>
        <v>KS612NI</v>
      </c>
      <c r="B61" s="21" t="str">
        <f>IF(ISNA(VLOOKUP((ROW(B63)-15),'List of tables'!$A$4:$H$621,3,FALSE))," ",VLOOKUP((ROW(B63)-15),'List of tables'!$A$4:$H$621,3,FALSE))</f>
        <v>National Statistics Socio-economic Classification (NS-SeC) - Males</v>
      </c>
      <c r="C61" s="21" t="str">
        <f>IF(ISNA(VLOOKUP((ROW(H63)-15),'List of tables'!$A$4:$H$621,8,FALSE))," ",VLOOKUP((ROW(H63)-15),'List of tables'!$A$4:$H$621,8,FALSE))</f>
        <v>All male usual residents aged 16 to 74</v>
      </c>
      <c r="D61" s="21" t="str">
        <f>IF(ISNA(VLOOKUP((ROW(D63)-15),'List of tables'!$A$4:$H$621,5,FALSE))," ",VLOOKUP((ROW(D63)-15),'List of tables'!$A$4:$H$621,5,FALSE))</f>
        <v>Settlement2015, Small Area, Super Output Area, Electoral Ward, Local Government District, District Electoral Area (2014), Local Government District (2014), Assembly Area, NUTS3, Education and Library Board, Health and Social Care Trust, Northern Ireland</v>
      </c>
      <c r="E61" s="83" t="str">
        <f>IF(LEN(G61)&lt;10,"",HYPERLINK(G61,"Download file (Excel 1.2 MB)"))</f>
        <v>Download file (Excel 1.2 MB)</v>
      </c>
      <c r="G61" s="18" t="str">
        <f>IF(ISNA(VLOOKUP((ROW(G63)-15),'List of tables'!$A$4:$H$621,6,FALSE))," ",VLOOKUP((ROW(G63)-15),'List of tables'!$A$4:$H$621,6,FALSE))</f>
        <v>https://www.nisra.gov.uk/system/files/statistics/census-2011-ks612ni.xlsx</v>
      </c>
    </row>
    <row r="62" spans="1:7" ht="70" customHeight="1" x14ac:dyDescent="0.3">
      <c r="A62" s="23" t="str">
        <f>IF(ISNA(VLOOKUP((ROW(A64)-15),'List of tables'!$A$4:$H$621,2,FALSE))," ",VLOOKUP((ROW(A64)-15),'List of tables'!$A$4:$H$621,2,FALSE))</f>
        <v>KS613NI</v>
      </c>
      <c r="B62" s="21" t="str">
        <f>IF(ISNA(VLOOKUP((ROW(B64)-15),'List of tables'!$A$4:$H$621,3,FALSE))," ",VLOOKUP((ROW(B64)-15),'List of tables'!$A$4:$H$621,3,FALSE))</f>
        <v>National Statistics Socio-economic Classification (NS-SeC) - Females</v>
      </c>
      <c r="C62" s="21" t="str">
        <f>IF(ISNA(VLOOKUP((ROW(H64)-15),'List of tables'!$A$4:$H$621,8,FALSE))," ",VLOOKUP((ROW(H64)-15),'List of tables'!$A$4:$H$621,8,FALSE))</f>
        <v>All female usual residents aged 16 to 74</v>
      </c>
      <c r="D62" s="21" t="str">
        <f>IF(ISNA(VLOOKUP((ROW(D64)-15),'List of tables'!$A$4:$H$621,5,FALSE))," ",VLOOKUP((ROW(D64)-15),'List of tables'!$A$4:$H$621,5,FALSE))</f>
        <v>Settlement2015, Small Area, Super Output Area, Electoral Ward, Local Government District, District Electoral Area (2014), Local Government District (2014), Assembly Area, NUTS3, Education and Library Board, Health and Social Care Trust, Northern Ireland</v>
      </c>
      <c r="E62" s="83" t="str">
        <f>IF(LEN(G62)&lt;10,"",HYPERLINK(G62,"Download file (Excel 1.2 MB)"))</f>
        <v>Download file (Excel 1.2 MB)</v>
      </c>
      <c r="G62" s="18" t="str">
        <f>IF(ISNA(VLOOKUP((ROW(G64)-15),'List of tables'!$A$4:$H$621,6,FALSE))," ",VLOOKUP((ROW(G64)-15),'List of tables'!$A$4:$H$621,6,FALSE))</f>
        <v>https://www.nisra.gov.uk/system/files/statistics/census-2011-ks613ni.xlsx</v>
      </c>
    </row>
    <row r="63" spans="1:7" ht="70" customHeight="1" x14ac:dyDescent="0.3">
      <c r="A63" s="23" t="str">
        <f>IF(ISNA(VLOOKUP((ROW(A65)-15),'List of tables'!$A$4:$H$621,2,FALSE))," ",VLOOKUP((ROW(A65)-15),'List of tables'!$A$4:$H$621,2,FALSE))</f>
        <v>KS701NI</v>
      </c>
      <c r="B63" s="21" t="str">
        <f>IF(ISNA(VLOOKUP((ROW(B65)-15),'List of tables'!$A$4:$H$621,3,FALSE))," ",VLOOKUP((ROW(B65)-15),'List of tables'!$A$4:$H$621,3,FALSE))</f>
        <v>Method of Travel to Work (Resident Population)</v>
      </c>
      <c r="C63" s="21" t="str">
        <f>IF(ISNA(VLOOKUP((ROW(H65)-15),'List of tables'!$A$4:$H$621,8,FALSE))," ",VLOOKUP((ROW(H65)-15),'List of tables'!$A$4:$H$621,8,FALSE))</f>
        <v>All usual residents aged 16 to 74 (excluding students) in employment and currently working</v>
      </c>
      <c r="D63" s="21" t="str">
        <f>IF(ISNA(VLOOKUP((ROW(D65)-15),'List of tables'!$A$4:$H$621,5,FALSE))," ",VLOOKUP((ROW(D65)-15),'List of tables'!$A$4:$H$621,5,FALSE))</f>
        <v>Settlement2015, Small Area, Super Output Area, Electoral Ward, Local Government District, District Electoral Area (2014), Local Government District (2014), Assembly Area, NUTS3, Education and Library Board, Health and Social Care Trust, Northern Ireland</v>
      </c>
      <c r="E63" s="83" t="str">
        <f>IF(LEN(G63)&lt;10,"",HYPERLINK(G63,"Download file (Excel 1.4 MB)"))</f>
        <v>Download file (Excel 1.4 MB)</v>
      </c>
      <c r="G63" s="18" t="str">
        <f>IF(ISNA(VLOOKUP((ROW(G65)-15),'List of tables'!$A$4:$H$621,6,FALSE))," ",VLOOKUP((ROW(G65)-15),'List of tables'!$A$4:$H$621,6,FALSE))</f>
        <v>https://www.nisra.gov.uk/system/files/statistics/census-2011-ks701ni.xlsx</v>
      </c>
    </row>
    <row r="64" spans="1:7" ht="70" customHeight="1" x14ac:dyDescent="0.3">
      <c r="A64" s="23" t="str">
        <f>IF(ISNA(VLOOKUP((ROW(A66)-15),'List of tables'!$A$4:$H$621,2,FALSE))," ",VLOOKUP((ROW(A66)-15),'List of tables'!$A$4:$H$621,2,FALSE))</f>
        <v>KS702NI</v>
      </c>
      <c r="B64" s="21" t="str">
        <f>IF(ISNA(VLOOKUP((ROW(B66)-15),'List of tables'!$A$4:$H$621,3,FALSE))," ",VLOOKUP((ROW(B66)-15),'List of tables'!$A$4:$H$621,3,FALSE))</f>
        <v>Method of Travel to Work or Place of Study (Resident Population)</v>
      </c>
      <c r="C64" s="21" t="str">
        <f>IF(ISNA(VLOOKUP((ROW(H66)-15),'List of tables'!$A$4:$H$621,8,FALSE))," ",VLOOKUP((ROW(H66)-15),'List of tables'!$A$4:$H$621,8,FALSE))</f>
        <v xml:space="preserve">All usual residents of primary school age and over in full-time education or aged 16 to 74 in employment and currently working </v>
      </c>
      <c r="D64" s="21" t="str">
        <f>IF(ISNA(VLOOKUP((ROW(D66)-15),'List of tables'!$A$4:$H$621,5,FALSE))," ",VLOOKUP((ROW(D66)-15),'List of tables'!$A$4:$H$621,5,FALSE))</f>
        <v>Settlement2015, Small Area, Super Output Area, Electoral Ward, Local Government District, District Electoral Area (2014), Local Government District (2014), Assembly Area, NUTS3, Education and Library Board, Health and Social Care Trust, Northern Ireland</v>
      </c>
      <c r="E64" s="83" t="str">
        <f>IF(LEN(G64)&lt;10,"",HYPERLINK(G64,"Download file (Excel 1.4 MB)"))</f>
        <v>Download file (Excel 1.4 MB)</v>
      </c>
      <c r="G64" s="18" t="str">
        <f>IF(ISNA(VLOOKUP((ROW(G66)-15),'List of tables'!$A$4:$H$621,6,FALSE))," ",VLOOKUP((ROW(G66)-15),'List of tables'!$A$4:$H$621,6,FALSE))</f>
        <v>https://www.nisra.gov.uk/system/files/statistics/census-2011-ks702ni.xlsx</v>
      </c>
    </row>
    <row r="65" spans="1:7" ht="70" customHeight="1" x14ac:dyDescent="0.3">
      <c r="A65" s="23" t="str">
        <f>IF(ISNA(VLOOKUP((ROW(A67)-15),'List of tables'!$A$4:$H$621,2,FALSE))," ",VLOOKUP((ROW(A67)-15),'List of tables'!$A$4:$H$621,2,FALSE))</f>
        <v>KS801NI</v>
      </c>
      <c r="B65" s="21" t="str">
        <f>IF(ISNA(VLOOKUP((ROW(B67)-15),'List of tables'!$A$4:$H$621,3,FALSE))," ",VLOOKUP((ROW(B67)-15),'List of tables'!$A$4:$H$621,3,FALSE))</f>
        <v>Usual Residents Born in Northern Ireland Who Have Resided Elsewhere, and Short-Term Residents</v>
      </c>
      <c r="C65" s="21" t="str">
        <f>IF(ISNA(VLOOKUP((ROW(H67)-15),'List of tables'!$A$4:$H$621,8,FALSE))," ",VLOOKUP((ROW(H67)-15),'List of tables'!$A$4:$H$621,8,FALSE))</f>
        <v>All usual residents born in Northern Ireland and short-term residents</v>
      </c>
      <c r="D65" s="21" t="str">
        <f>IF(ISNA(VLOOKUP((ROW(D67)-15),'List of tables'!$A$4:$H$621,5,FALSE))," ",VLOOKUP((ROW(D67)-15),'List of tables'!$A$4:$H$621,5,FALSE))</f>
        <v>Settlement2015, Small Area, Super Output Area, Electoral Ward, Local Government District, District Electoral Area (2014), Local Government District (2014), Assembly Area, NUTS3, Education and Library Board, Health and Social Care Trust, Northern Ireland</v>
      </c>
      <c r="E65" s="83" t="str">
        <f>IF(LEN(G65)&lt;10,"",HYPERLINK(G65,"Download file (Excel 700 KB)"))</f>
        <v>Download file (Excel 700 KB)</v>
      </c>
      <c r="G65" s="18" t="str">
        <f>IF(ISNA(VLOOKUP((ROW(G67)-15),'List of tables'!$A$4:$H$621,6,FALSE))," ",VLOOKUP((ROW(G67)-15),'List of tables'!$A$4:$H$621,6,FALSE))</f>
        <v>https://www.nisra.gov.uk/system/files/statistics/census-2011-ks801ni.xlsx</v>
      </c>
    </row>
    <row r="66" spans="1:7" ht="70" customHeight="1" x14ac:dyDescent="0.3">
      <c r="A66" s="23" t="str">
        <f>IF(ISNA(VLOOKUP((ROW(A68)-15),'List of tables'!$A$4:$H$621,2,FALSE))," ",VLOOKUP((ROW(A68)-15),'List of tables'!$A$4:$H$621,2,FALSE))</f>
        <v>QS101NI</v>
      </c>
      <c r="B66" s="21" t="str">
        <f>IF(ISNA(VLOOKUP((ROW(B68)-15),'List of tables'!$A$4:$H$621,3,FALSE))," ",VLOOKUP((ROW(B68)-15),'List of tables'!$A$4:$H$621,3,FALSE))</f>
        <v>Residence Type</v>
      </c>
      <c r="C66" s="21" t="str">
        <f>IF(ISNA(VLOOKUP((ROW(H68)-15),'List of tables'!$A$4:$H$621,8,FALSE))," ",VLOOKUP((ROW(H68)-15),'List of tables'!$A$4:$H$621,8,FALSE))</f>
        <v>All usual residents</v>
      </c>
      <c r="D66" s="21" t="str">
        <f>IF(ISNA(VLOOKUP((ROW(D68)-15),'List of tables'!$A$4:$H$621,5,FALSE))," ",VLOOKUP((ROW(D68)-15),'List of tables'!$A$4:$H$621,5,FALSE))</f>
        <v>Small Area, Super Output Area, Electoral Ward, Local Government District, Assembly Area, NUTS3, Education and Library Board, Health and Social Care Trust, Northern Ireland</v>
      </c>
      <c r="E66" s="83" t="str">
        <f>IF(LEN(G66)&lt;10,"",HYPERLINK(G66,"Download file (Excel 418 KB)"))</f>
        <v>Download file (Excel 418 KB)</v>
      </c>
      <c r="G66" s="18" t="str">
        <f>IF(ISNA(VLOOKUP((ROW(G68)-15),'List of tables'!$A$4:$H$621,6,FALSE))," ",VLOOKUP((ROW(G68)-15),'List of tables'!$A$4:$H$621,6,FALSE))</f>
        <v>https://www.nisra.gov.uk/system/files/statistics/census-2011-qs101ni.xlsx</v>
      </c>
    </row>
    <row r="67" spans="1:7" ht="70" customHeight="1" x14ac:dyDescent="0.3">
      <c r="A67" s="23" t="str">
        <f>IF(ISNA(VLOOKUP((ROW(A69)-15),'List of tables'!$A$4:$H$621,2,FALSE))," ",VLOOKUP((ROW(A69)-15),'List of tables'!$A$4:$H$621,2,FALSE))</f>
        <v>QS102NI</v>
      </c>
      <c r="B67" s="21" t="str">
        <f>IF(ISNA(VLOOKUP((ROW(B69)-15),'List of tables'!$A$4:$H$621,3,FALSE))," ",VLOOKUP((ROW(B69)-15),'List of tables'!$A$4:$H$621,3,FALSE))</f>
        <v>Population Density</v>
      </c>
      <c r="C67" s="21" t="str">
        <f>IF(ISNA(VLOOKUP((ROW(H69)-15),'List of tables'!$A$4:$H$621,8,FALSE))," ",VLOOKUP((ROW(H69)-15),'List of tables'!$A$4:$H$621,8,FALSE))</f>
        <v>All usual residents</v>
      </c>
      <c r="D67" s="21" t="str">
        <f>IF(ISNA(VLOOKUP((ROW(D69)-15),'List of tables'!$A$4:$H$621,5,FALSE))," ",VLOOKUP((ROW(D69)-15),'List of tables'!$A$4:$H$621,5,FALSE))</f>
        <v>Small Area, Super Output Area, Electoral Ward, Local Government District, Local Government District (2014), Assembly Area, NUTS3, Education and Library Board, Health and Social Care Trust, Northern Ireland</v>
      </c>
      <c r="E67" s="83" t="str">
        <f>IF(LEN(G67)&lt;10,"",HYPERLINK(G67,"Download file (Excel 441 KB)"))</f>
        <v>Download file (Excel 441 KB)</v>
      </c>
      <c r="G67" s="18" t="str">
        <f>IF(ISNA(VLOOKUP((ROW(G69)-15),'List of tables'!$A$4:$H$621,6,FALSE))," ",VLOOKUP((ROW(G69)-15),'List of tables'!$A$4:$H$621,6,FALSE))</f>
        <v>https://www.nisra.gov.uk/system/files/statistics/census-2011-qs102ni.xlsx</v>
      </c>
    </row>
    <row r="68" spans="1:7" ht="70" customHeight="1" x14ac:dyDescent="0.3">
      <c r="A68" s="23" t="str">
        <f>IF(ISNA(VLOOKUP((ROW(A70)-15),'List of tables'!$A$4:$H$621,2,FALSE))," ",VLOOKUP((ROW(A70)-15),'List of tables'!$A$4:$H$621,2,FALSE))</f>
        <v>QS103NI</v>
      </c>
      <c r="B68" s="21" t="str">
        <f>IF(ISNA(VLOOKUP((ROW(B70)-15),'List of tables'!$A$4:$H$621,3,FALSE))," ",VLOOKUP((ROW(B70)-15),'List of tables'!$A$4:$H$621,3,FALSE))</f>
        <v>Age - Single Year</v>
      </c>
      <c r="C68" s="21" t="str">
        <f>IF(ISNA(VLOOKUP((ROW(H70)-15),'List of tables'!$A$4:$H$621,8,FALSE))," ",VLOOKUP((ROW(H70)-15),'List of tables'!$A$4:$H$621,8,FALSE))</f>
        <v>All usual residents</v>
      </c>
      <c r="D68" s="21" t="str">
        <f>IF(ISNA(VLOOKUP((ROW(D70)-15),'List of tables'!$A$4:$H$621,5,FALSE))," ",VLOOKUP((ROW(D70)-15),'List of tables'!$A$4:$H$621,5,FALSE))</f>
        <v>Small Area, Super Output Area, Electoral Ward, Local Government District, Assembly Area, NUTS3, Education and Library Board, Health and Social Care Trust, Northern Ireland</v>
      </c>
      <c r="E68" s="83" t="str">
        <f>IF(LEN(G68)&lt;10,"",HYPERLINK(G68,"Download file (Excel 2.7 MB)"))</f>
        <v>Download file (Excel 2.7 MB)</v>
      </c>
      <c r="G68" s="18" t="str">
        <f>IF(ISNA(VLOOKUP((ROW(G70)-15),'List of tables'!$A$4:$H$621,6,FALSE))," ",VLOOKUP((ROW(G70)-15),'List of tables'!$A$4:$H$621,6,FALSE))</f>
        <v>https://www.nisra.gov.uk/system/files/statistics/census-2011-qs103ni.xlsx</v>
      </c>
    </row>
    <row r="69" spans="1:7" ht="70" customHeight="1" x14ac:dyDescent="0.3">
      <c r="A69" s="23" t="str">
        <f>IF(ISNA(VLOOKUP((ROW(A71)-15),'List of tables'!$A$4:$H$621,2,FALSE))," ",VLOOKUP((ROW(A71)-15),'List of tables'!$A$4:$H$621,2,FALSE))</f>
        <v>QS104NI</v>
      </c>
      <c r="B69" s="21" t="str">
        <f>IF(ISNA(VLOOKUP((ROW(B71)-15),'List of tables'!$A$4:$H$621,3,FALSE))," ",VLOOKUP((ROW(B71)-15),'List of tables'!$A$4:$H$621,3,FALSE))</f>
        <v>Age - 5 Year</v>
      </c>
      <c r="C69" s="21" t="str">
        <f>IF(ISNA(VLOOKUP((ROW(H71)-15),'List of tables'!$A$4:$H$621,8,FALSE))," ",VLOOKUP((ROW(H71)-15),'List of tables'!$A$4:$H$621,8,FALSE))</f>
        <v>All usual residents</v>
      </c>
      <c r="D69" s="21" t="str">
        <f>IF(ISNA(VLOOKUP((ROW(D71)-15),'List of tables'!$A$4:$H$621,5,FALSE))," ",VLOOKUP((ROW(D71)-15),'List of tables'!$A$4:$H$621,5,FALSE))</f>
        <v>Small Area, Super Output Area, Electoral Ward, Local Government District, Assembly Area, NUTS3, Education and Library Board, Health and Social Care Trust, Northern Ireland</v>
      </c>
      <c r="E69" s="83" t="str">
        <f>IF(LEN(G69)&lt;10,"",HYPERLINK(G69,"Download file (Excel 907 KB)"))</f>
        <v>Download file (Excel 907 KB)</v>
      </c>
      <c r="G69" s="18" t="str">
        <f>IF(ISNA(VLOOKUP((ROW(G71)-15),'List of tables'!$A$4:$H$621,6,FALSE))," ",VLOOKUP((ROW(G71)-15),'List of tables'!$A$4:$H$621,6,FALSE))</f>
        <v>https://www.nisra.gov.uk/system/files/statistics/census-2011-qs104ni.xlsx</v>
      </c>
    </row>
    <row r="70" spans="1:7" ht="70" customHeight="1" x14ac:dyDescent="0.3">
      <c r="A70" s="23" t="str">
        <f>IF(ISNA(VLOOKUP((ROW(A72)-15),'List of tables'!$A$4:$H$621,2,FALSE))," ",VLOOKUP((ROW(A72)-15),'List of tables'!$A$4:$H$621,2,FALSE))</f>
        <v>QS105NI</v>
      </c>
      <c r="B70" s="21" t="str">
        <f>IF(ISNA(VLOOKUP((ROW(B72)-15),'List of tables'!$A$4:$H$621,3,FALSE))," ",VLOOKUP((ROW(B72)-15),'List of tables'!$A$4:$H$621,3,FALSE))</f>
        <v>Sex</v>
      </c>
      <c r="C70" s="21" t="str">
        <f>IF(ISNA(VLOOKUP((ROW(H72)-15),'List of tables'!$A$4:$H$621,8,FALSE))," ",VLOOKUP((ROW(H72)-15),'List of tables'!$A$4:$H$621,8,FALSE))</f>
        <v>All usual residents</v>
      </c>
      <c r="D70" s="21" t="str">
        <f>IF(ISNA(VLOOKUP((ROW(D72)-15),'List of tables'!$A$4:$H$621,5,FALSE))," ",VLOOKUP((ROW(D72)-15),'List of tables'!$A$4:$H$621,5,FALSE))</f>
        <v>Small Area, Super Output Area, Electoral Ward, Local Government District, Assembly Area, NUTS3, Education and Library Board, Health and Social Care Trust, Northern Ireland</v>
      </c>
      <c r="E70" s="83" t="str">
        <f>IF(LEN(G70)&lt;10,"",HYPERLINK(G70,"Download file (Excel 426 KB)"))</f>
        <v>Download file (Excel 426 KB)</v>
      </c>
      <c r="G70" s="18" t="str">
        <f>IF(ISNA(VLOOKUP((ROW(G72)-15),'List of tables'!$A$4:$H$621,6,FALSE))," ",VLOOKUP((ROW(G72)-15),'List of tables'!$A$4:$H$621,6,FALSE))</f>
        <v>https://www.nisra.gov.uk/system/files/statistics/census-2011-qs105ni.xlsx</v>
      </c>
    </row>
    <row r="71" spans="1:7" ht="70" customHeight="1" x14ac:dyDescent="0.3">
      <c r="A71" s="23" t="str">
        <f>IF(ISNA(VLOOKUP((ROW(A73)-15),'List of tables'!$A$4:$H$621,2,FALSE))," ",VLOOKUP((ROW(A73)-15),'List of tables'!$A$4:$H$621,2,FALSE))</f>
        <v>QS106NI</v>
      </c>
      <c r="B71" s="21" t="str">
        <f>IF(ISNA(VLOOKUP((ROW(B73)-15),'List of tables'!$A$4:$H$621,3,FALSE))," ",VLOOKUP((ROW(B73)-15),'List of tables'!$A$4:$H$621,3,FALSE))</f>
        <v>Schoolchildren and Students in Full-Time Education Living Away from Home During Term Time</v>
      </c>
      <c r="C71" s="21" t="str">
        <f>IF(ISNA(VLOOKUP((ROW(H73)-15),'List of tables'!$A$4:$H$621,8,FALSE))," ",VLOOKUP((ROW(H73)-15),'List of tables'!$A$4:$H$621,8,FALSE))</f>
        <v>All full-time students and schoolchildren aged 4 and over living away from home during term time</v>
      </c>
      <c r="D71" s="21" t="str">
        <f>IF(ISNA(VLOOKUP((ROW(D73)-15),'List of tables'!$A$4:$H$621,5,FALSE))," ",VLOOKUP((ROW(D73)-15),'List of tables'!$A$4:$H$621,5,FALSE))</f>
        <v>Small Area, Super Output Area, Electoral Ward, Local Government District, Assembly Area, NUTS3, Education and Library Board, Health and Social Care Trust, Northern Ireland</v>
      </c>
      <c r="E71" s="83" t="str">
        <f>IF(LEN(G71)&lt;10,"",HYPERLINK(G71,"Download file (Excel 397 KB)"))</f>
        <v>Download file (Excel 397 KB)</v>
      </c>
      <c r="G71" s="18" t="str">
        <f>IF(ISNA(VLOOKUP((ROW(G73)-15),'List of tables'!$A$4:$H$621,6,FALSE))," ",VLOOKUP((ROW(G73)-15),'List of tables'!$A$4:$H$621,6,FALSE))</f>
        <v>https://www.nisra.gov.uk/system/files/statistics/census-2011-qs106ni.xlsx</v>
      </c>
    </row>
    <row r="72" spans="1:7" ht="70" customHeight="1" x14ac:dyDescent="0.3">
      <c r="A72" s="23" t="str">
        <f>IF(ISNA(VLOOKUP((ROW(A74)-15),'List of tables'!$A$4:$H$621,2,FALSE))," ",VLOOKUP((ROW(A74)-15),'List of tables'!$A$4:$H$621,2,FALSE))</f>
        <v>QS107NI</v>
      </c>
      <c r="B72" s="21" t="str">
        <f>IF(ISNA(VLOOKUP((ROW(B74)-15),'List of tables'!$A$4:$H$621,3,FALSE))," ",VLOOKUP((ROW(B74)-15),'List of tables'!$A$4:$H$621,3,FALSE))</f>
        <v>Living Arrangements</v>
      </c>
      <c r="C72" s="21" t="str">
        <f>IF(ISNA(VLOOKUP((ROW(H74)-15),'List of tables'!$A$4:$H$621,8,FALSE))," ",VLOOKUP((ROW(H74)-15),'List of tables'!$A$4:$H$621,8,FALSE))</f>
        <v>All usual residents aged 16 and over in households</v>
      </c>
      <c r="D72" s="21" t="str">
        <f>IF(ISNA(VLOOKUP((ROW(D74)-15),'List of tables'!$A$4:$H$621,5,FALSE))," ",VLOOKUP((ROW(D74)-15),'List of tables'!$A$4:$H$621,5,FALSE))</f>
        <v>Small Area, Super Output Area, Electoral Ward, Local Government District, Assembly Area, NUTS3, Education and Library Board, Health and Social Care Trust, Northern Ireland</v>
      </c>
      <c r="E72" s="83" t="str">
        <f>IF(LEN(G72)&lt;10,"",HYPERLINK(G72,"Download file (Excel 679 KB)"))</f>
        <v>Download file (Excel 679 KB)</v>
      </c>
      <c r="G72" s="18" t="str">
        <f>IF(ISNA(VLOOKUP((ROW(G74)-15),'List of tables'!$A$4:$H$621,6,FALSE))," ",VLOOKUP((ROW(G74)-15),'List of tables'!$A$4:$H$621,6,FALSE))</f>
        <v>https://www.nisra.gov.uk/system/files/statistics/census-2011-qs107ni.xlsx</v>
      </c>
    </row>
    <row r="73" spans="1:7" ht="70" customHeight="1" x14ac:dyDescent="0.3">
      <c r="A73" s="23" t="str">
        <f>IF(ISNA(VLOOKUP((ROW(A75)-15),'List of tables'!$A$4:$H$621,2,FALSE))," ",VLOOKUP((ROW(A75)-15),'List of tables'!$A$4:$H$621,2,FALSE))</f>
        <v>QS108NI</v>
      </c>
      <c r="B73" s="21" t="str">
        <f>IF(ISNA(VLOOKUP((ROW(B75)-15),'List of tables'!$A$4:$H$621,3,FALSE))," ",VLOOKUP((ROW(B75)-15),'List of tables'!$A$4:$H$621,3,FALSE))</f>
        <v>Adult Lifestage (Alternative Adult Definition)</v>
      </c>
      <c r="C73" s="21" t="str">
        <f>IF(ISNA(VLOOKUP((ROW(H75)-15),'List of tables'!$A$4:$H$621,8,FALSE))," ",VLOOKUP((ROW(H75)-15),'List of tables'!$A$4:$H$621,8,FALSE))</f>
        <v>All usual residents aged 16 and over in households</v>
      </c>
      <c r="D73" s="21" t="str">
        <f>IF(ISNA(VLOOKUP((ROW(D75)-15),'List of tables'!$A$4:$H$621,5,FALSE))," ",VLOOKUP((ROW(D75)-15),'List of tables'!$A$4:$H$621,5,FALSE))</f>
        <v>Small Area, Super Output Area, Electoral Ward, Local Government District, Assembly Area, NUTS3, Education and Library Board, Health and Social Care Trust, Northern Ireland</v>
      </c>
      <c r="E73" s="83" t="str">
        <f>IF(LEN(G73)&lt;10,"",HYPERLINK(G73,"Download file (Excel 1.1 MB)"))</f>
        <v>Download file (Excel 1.1 MB)</v>
      </c>
      <c r="G73" s="18" t="str">
        <f>IF(ISNA(VLOOKUP((ROW(G75)-15),'List of tables'!$A$4:$H$621,6,FALSE))," ",VLOOKUP((ROW(G75)-15),'List of tables'!$A$4:$H$621,6,FALSE))</f>
        <v>https://www.nisra.gov.uk/system/files/statistics/census-2011-qs108ni.xlsx</v>
      </c>
    </row>
    <row r="74" spans="1:7" ht="70" customHeight="1" x14ac:dyDescent="0.3">
      <c r="A74" s="23" t="str">
        <f>IF(ISNA(VLOOKUP((ROW(A76)-15),'List of tables'!$A$4:$H$621,2,FALSE))," ",VLOOKUP((ROW(A76)-15),'List of tables'!$A$4:$H$621,2,FALSE))</f>
        <v>QS109NI</v>
      </c>
      <c r="B74" s="21" t="str">
        <f>IF(ISNA(VLOOKUP((ROW(B76)-15),'List of tables'!$A$4:$H$621,3,FALSE))," ",VLOOKUP((ROW(B76)-15),'List of tables'!$A$4:$H$621,3,FALSE))</f>
        <v>Household Lifestage</v>
      </c>
      <c r="C74" s="21" t="str">
        <f>IF(ISNA(VLOOKUP((ROW(H76)-15),'List of tables'!$A$4:$H$621,8,FALSE))," ",VLOOKUP((ROW(H76)-15),'List of tables'!$A$4:$H$621,8,FALSE))</f>
        <v>All households</v>
      </c>
      <c r="D74" s="21" t="str">
        <f>IF(ISNA(VLOOKUP((ROW(D76)-15),'List of tables'!$A$4:$H$621,5,FALSE))," ",VLOOKUP((ROW(D76)-15),'List of tables'!$A$4:$H$621,5,FALSE))</f>
        <v>Small Area, Super Output Area, Electoral Ward, Local Government District, Assembly Area, NUTS3, Education and Library Board, Health and Social Care Trust, Northern Ireland</v>
      </c>
      <c r="E74" s="83" t="str">
        <f>IF(LEN(G74)&lt;10,"",HYPERLINK(G74,"Download file (Excel 822 KB)"))</f>
        <v>Download file (Excel 822 KB)</v>
      </c>
      <c r="G74" s="18" t="str">
        <f>IF(ISNA(VLOOKUP((ROW(G76)-15),'List of tables'!$A$4:$H$621,6,FALSE))," ",VLOOKUP((ROW(G76)-15),'List of tables'!$A$4:$H$621,6,FALSE))</f>
        <v>https://www.nisra.gov.uk/system/files/statistics/census-2011-qs109ni.xlsx</v>
      </c>
    </row>
    <row r="75" spans="1:7" ht="70" customHeight="1" x14ac:dyDescent="0.3">
      <c r="A75" s="23" t="str">
        <f>IF(ISNA(VLOOKUP((ROW(A77)-15),'List of tables'!$A$4:$H$621,2,FALSE))," ",VLOOKUP((ROW(A77)-15),'List of tables'!$A$4:$H$621,2,FALSE))</f>
        <v>QS110NI</v>
      </c>
      <c r="B75" s="21" t="str">
        <f>IF(ISNA(VLOOKUP((ROW(B77)-15),'List of tables'!$A$4:$H$621,3,FALSE))," ",VLOOKUP((ROW(B77)-15),'List of tables'!$A$4:$H$621,3,FALSE))</f>
        <v>Household Composition - Usual Residents</v>
      </c>
      <c r="C75" s="21" t="str">
        <f>IF(ISNA(VLOOKUP((ROW(H77)-15),'List of tables'!$A$4:$H$621,8,FALSE))," ",VLOOKUP((ROW(H77)-15),'List of tables'!$A$4:$H$621,8,FALSE))</f>
        <v>All usual residents in households</v>
      </c>
      <c r="D75" s="21" t="str">
        <f>IF(ISNA(VLOOKUP((ROW(D77)-15),'List of tables'!$A$4:$H$621,5,FALSE))," ",VLOOKUP((ROW(D77)-15),'List of tables'!$A$4:$H$621,5,FALSE))</f>
        <v>Small Area, Super Output Area, Electoral Ward, Local Government District, Assembly Area, NUTS3, Education and Library Board, Health and Social Care Trust, Northern Ireland</v>
      </c>
      <c r="E75" s="83" t="str">
        <f>IF(LEN(G75)&lt;10,"",HYPERLINK(G75,"Download file (Excel 1.1 MB)"))</f>
        <v>Download file (Excel 1.1 MB)</v>
      </c>
      <c r="G75" s="18" t="str">
        <f>IF(ISNA(VLOOKUP((ROW(G77)-15),'List of tables'!$A$4:$H$621,6,FALSE))," ",VLOOKUP((ROW(G77)-15),'List of tables'!$A$4:$H$621,6,FALSE))</f>
        <v>https://www.nisra.gov.uk/system/files/statistics/census-2011-qs110ni.xlsx</v>
      </c>
    </row>
    <row r="76" spans="1:7" ht="70" customHeight="1" x14ac:dyDescent="0.3">
      <c r="A76" s="23" t="str">
        <f>IF(ISNA(VLOOKUP((ROW(A78)-15),'List of tables'!$A$4:$H$621,2,FALSE))," ",VLOOKUP((ROW(A78)-15),'List of tables'!$A$4:$H$621,2,FALSE))</f>
        <v>QS111NI</v>
      </c>
      <c r="B76" s="21" t="str">
        <f>IF(ISNA(VLOOKUP((ROW(B78)-15),'List of tables'!$A$4:$H$621,3,FALSE))," ",VLOOKUP((ROW(B78)-15),'List of tables'!$A$4:$H$621,3,FALSE))</f>
        <v>Household Composition - Households</v>
      </c>
      <c r="C76" s="21" t="str">
        <f>IF(ISNA(VLOOKUP((ROW(H78)-15),'List of tables'!$A$4:$H$621,8,FALSE))," ",VLOOKUP((ROW(H78)-15),'List of tables'!$A$4:$H$621,8,FALSE))</f>
        <v>All households</v>
      </c>
      <c r="D76" s="21" t="str">
        <f>IF(ISNA(VLOOKUP((ROW(D78)-15),'List of tables'!$A$4:$H$621,5,FALSE))," ",VLOOKUP((ROW(D78)-15),'List of tables'!$A$4:$H$621,5,FALSE))</f>
        <v>Small Area, Super Output Area, Electoral Ward, Local Government District, Assembly Area, NUTS3, Education and Library Board, Health and Social Care Trust, Northern Ireland</v>
      </c>
      <c r="E76" s="83" t="str">
        <f>IF(LEN(G76)&lt;10,"",HYPERLINK(G76,"Download file (Excel 1.1 MB)"))</f>
        <v>Download file (Excel 1.1 MB)</v>
      </c>
      <c r="G76" s="18" t="str">
        <f>IF(ISNA(VLOOKUP((ROW(G78)-15),'List of tables'!$A$4:$H$621,6,FALSE))," ",VLOOKUP((ROW(G78)-15),'List of tables'!$A$4:$H$621,6,FALSE))</f>
        <v>https://www.nisra.gov.uk/system/files/statistics/census-2011-qs111ni.xlsx</v>
      </c>
    </row>
    <row r="77" spans="1:7" ht="70" customHeight="1" x14ac:dyDescent="0.3">
      <c r="A77" s="23" t="str">
        <f>IF(ISNA(VLOOKUP((ROW(A79)-15),'List of tables'!$A$4:$H$621,2,FALSE))," ",VLOOKUP((ROW(A79)-15),'List of tables'!$A$4:$H$621,2,FALSE))</f>
        <v>QS112NI</v>
      </c>
      <c r="B77" s="21" t="str">
        <f>IF(ISNA(VLOOKUP((ROW(B79)-15),'List of tables'!$A$4:$H$621,3,FALSE))," ",VLOOKUP((ROW(B79)-15),'List of tables'!$A$4:$H$621,3,FALSE))</f>
        <v>Household Composition (Alternative Child and Adult Definitions) - Usual Residents</v>
      </c>
      <c r="C77" s="21" t="str">
        <f>IF(ISNA(VLOOKUP((ROW(H79)-15),'List of tables'!$A$4:$H$621,8,FALSE))," ",VLOOKUP((ROW(H79)-15),'List of tables'!$A$4:$H$621,8,FALSE))</f>
        <v>All usual residents in households</v>
      </c>
      <c r="D77" s="21" t="str">
        <f>IF(ISNA(VLOOKUP((ROW(D79)-15),'List of tables'!$A$4:$H$621,5,FALSE))," ",VLOOKUP((ROW(D79)-15),'List of tables'!$A$4:$H$621,5,FALSE))</f>
        <v>Small Area, Super Output Area, Electoral Ward, Local Government District, Assembly Area, NUTS3, Education and Library Board, Health and Social Care Trust, Northern Ireland</v>
      </c>
      <c r="E77" s="83" t="str">
        <f>IF(LEN(G77)&lt;10,"",HYPERLINK(G77,"Download file (Excel 698 KB)"))</f>
        <v>Download file (Excel 698 KB)</v>
      </c>
      <c r="G77" s="18" t="str">
        <f>IF(ISNA(VLOOKUP((ROW(G79)-15),'List of tables'!$A$4:$H$621,6,FALSE))," ",VLOOKUP((ROW(G79)-15),'List of tables'!$A$4:$H$621,6,FALSE))</f>
        <v>https://www.nisra.gov.uk/system/files/statistics/census-2011-qs112ni.xlsx</v>
      </c>
    </row>
    <row r="78" spans="1:7" ht="70" customHeight="1" x14ac:dyDescent="0.3">
      <c r="A78" s="23" t="str">
        <f>IF(ISNA(VLOOKUP((ROW(A80)-15),'List of tables'!$A$4:$H$621,2,FALSE))," ",VLOOKUP((ROW(A80)-15),'List of tables'!$A$4:$H$621,2,FALSE))</f>
        <v>QS113NI</v>
      </c>
      <c r="B78" s="21" t="str">
        <f>IF(ISNA(VLOOKUP((ROW(B80)-15),'List of tables'!$A$4:$H$621,3,FALSE))," ",VLOOKUP((ROW(B80)-15),'List of tables'!$A$4:$H$621,3,FALSE))</f>
        <v>Household Composition (Alternative Child and Adult Definitions) - Households</v>
      </c>
      <c r="C78" s="21" t="str">
        <f>IF(ISNA(VLOOKUP((ROW(H80)-15),'List of tables'!$A$4:$H$621,8,FALSE))," ",VLOOKUP((ROW(H80)-15),'List of tables'!$A$4:$H$621,8,FALSE))</f>
        <v>All households</v>
      </c>
      <c r="D78" s="21" t="str">
        <f>IF(ISNA(VLOOKUP((ROW(D80)-15),'List of tables'!$A$4:$H$621,5,FALSE))," ",VLOOKUP((ROW(D80)-15),'List of tables'!$A$4:$H$621,5,FALSE))</f>
        <v>Small Area, Super Output Area, Electoral Ward, Local Government District, Assembly Area, NUTS3, Education and Library Board, Health and Social Care Trust, Northern Ireland</v>
      </c>
      <c r="E78" s="83" t="str">
        <f>IF(LEN(G78)&lt;10,"",HYPERLINK(G78,"Download file (Excel 682 KB)"))</f>
        <v>Download file (Excel 682 KB)</v>
      </c>
      <c r="G78" s="18" t="str">
        <f>IF(ISNA(VLOOKUP((ROW(G80)-15),'List of tables'!$A$4:$H$621,6,FALSE))," ",VLOOKUP((ROW(G80)-15),'List of tables'!$A$4:$H$621,6,FALSE))</f>
        <v>https://www.nisra.gov.uk/system/files/statistics/census-2011-qs113ni.xlsx</v>
      </c>
    </row>
    <row r="79" spans="1:7" ht="70" customHeight="1" x14ac:dyDescent="0.3">
      <c r="A79" s="23" t="str">
        <f>IF(ISNA(VLOOKUP((ROW(A81)-15),'List of tables'!$A$4:$H$621,2,FALSE))," ",VLOOKUP((ROW(A81)-15),'List of tables'!$A$4:$H$621,2,FALSE))</f>
        <v>QS114NI</v>
      </c>
      <c r="B79" s="21" t="str">
        <f>IF(ISNA(VLOOKUP((ROW(B81)-15),'List of tables'!$A$4:$H$621,3,FALSE))," ",VLOOKUP((ROW(B81)-15),'List of tables'!$A$4:$H$621,3,FALSE))</f>
        <v>All Usual Residents Aged 18  to 64 in Single Adult Households</v>
      </c>
      <c r="C79" s="21" t="str">
        <f>IF(ISNA(VLOOKUP((ROW(H81)-15),'List of tables'!$A$4:$H$621,8,FALSE))," ",VLOOKUP((ROW(H81)-15),'List of tables'!$A$4:$H$621,8,FALSE))</f>
        <v>All usual residents aged 18 to 64 in households</v>
      </c>
      <c r="D79" s="21" t="str">
        <f>IF(ISNA(VLOOKUP((ROW(D81)-15),'List of tables'!$A$4:$H$621,5,FALSE))," ",VLOOKUP((ROW(D81)-15),'List of tables'!$A$4:$H$621,5,FALSE))</f>
        <v>Small Area, Super Output Area, Electoral Ward, Local Government District, Assembly Area, NUTS3, Education and Library Board, Health and Social Care Trust, Northern Ireland</v>
      </c>
      <c r="E79" s="83" t="str">
        <f>IF(LEN(G79)&lt;10,"",HYPERLINK(G79,"Download file (Excel 426 KB)"))</f>
        <v>Download file (Excel 426 KB)</v>
      </c>
      <c r="G79" s="18" t="str">
        <f>IF(ISNA(VLOOKUP((ROW(G81)-15),'List of tables'!$A$4:$H$621,6,FALSE))," ",VLOOKUP((ROW(G81)-15),'List of tables'!$A$4:$H$621,6,FALSE))</f>
        <v>https://www.nisra.gov.uk/system/files/statistics/census-2011-qs114ni.xlsx</v>
      </c>
    </row>
    <row r="80" spans="1:7" ht="70" customHeight="1" x14ac:dyDescent="0.3">
      <c r="A80" s="23" t="str">
        <f>IF(ISNA(VLOOKUP((ROW(A82)-15),'List of tables'!$A$4:$H$621,2,FALSE))," ",VLOOKUP((ROW(A82)-15),'List of tables'!$A$4:$H$621,2,FALSE))</f>
        <v>QS115NI</v>
      </c>
      <c r="B80" s="21" t="str">
        <f>IF(ISNA(VLOOKUP((ROW(B82)-15),'List of tables'!$A$4:$H$621,3,FALSE))," ",VLOOKUP((ROW(B82)-15),'List of tables'!$A$4:$H$621,3,FALSE))</f>
        <v>Families with Dependent Children</v>
      </c>
      <c r="C80" s="21" t="str">
        <f>IF(ISNA(VLOOKUP((ROW(H82)-15),'List of tables'!$A$4:$H$621,8,FALSE))," ",VLOOKUP((ROW(H82)-15),'List of tables'!$A$4:$H$621,8,FALSE))</f>
        <v>All families in households; All dependent children in families</v>
      </c>
      <c r="D80" s="21" t="str">
        <f>IF(ISNA(VLOOKUP((ROW(D82)-15),'List of tables'!$A$4:$H$621,5,FALSE))," ",VLOOKUP((ROW(D82)-15),'List of tables'!$A$4:$H$621,5,FALSE))</f>
        <v>Small Area, Super Output Area, Electoral Ward, Local Government District, Assembly Area, NUTS3, Education and Library Board, Health and Social Care Trust, Northern Ireland</v>
      </c>
      <c r="E80" s="83" t="str">
        <f>IF(LEN(G80)&lt;10,"",HYPERLINK(G80,"Download file (Excel 665 KB)"))</f>
        <v>Download file (Excel 665 KB)</v>
      </c>
      <c r="G80" s="18" t="str">
        <f>IF(ISNA(VLOOKUP((ROW(G82)-15),'List of tables'!$A$4:$H$621,6,FALSE))," ",VLOOKUP((ROW(G82)-15),'List of tables'!$A$4:$H$621,6,FALSE))</f>
        <v>https://www.nisra.gov.uk/system/files/statistics/census-2011-qs115ni.xlsx</v>
      </c>
    </row>
    <row r="81" spans="1:7" ht="70" customHeight="1" x14ac:dyDescent="0.3">
      <c r="A81" s="23" t="str">
        <f>IF(ISNA(VLOOKUP((ROW(A83)-15),'List of tables'!$A$4:$H$621,2,FALSE))," ",VLOOKUP((ROW(A83)-15),'List of tables'!$A$4:$H$621,2,FALSE))</f>
        <v>QS116NI</v>
      </c>
      <c r="B81" s="21" t="str">
        <f>IF(ISNA(VLOOKUP((ROW(B83)-15),'List of tables'!$A$4:$H$621,3,FALSE))," ",VLOOKUP((ROW(B83)-15),'List of tables'!$A$4:$H$621,3,FALSE))</f>
        <v>Number of Dependent Children - Households</v>
      </c>
      <c r="C81" s="21" t="str">
        <f>IF(ISNA(VLOOKUP((ROW(H83)-15),'List of tables'!$A$4:$H$621,8,FALSE))," ",VLOOKUP((ROW(H83)-15),'List of tables'!$A$4:$H$621,8,FALSE))</f>
        <v>All households</v>
      </c>
      <c r="D81" s="21" t="str">
        <f>IF(ISNA(VLOOKUP((ROW(D83)-15),'List of tables'!$A$4:$H$621,5,FALSE))," ",VLOOKUP((ROW(D83)-15),'List of tables'!$A$4:$H$621,5,FALSE))</f>
        <v>Small Area, Super Output Area, Electoral Ward, Local Government District, Assembly Area, NUTS3, Education and Library Board, Health and Social Care Trust, Northern Ireland</v>
      </c>
      <c r="E81" s="83" t="str">
        <f>IF(LEN(G81)&lt;10,"",HYPERLINK(G81,"Download file (Excel 498 KB)"))</f>
        <v>Download file (Excel 498 KB)</v>
      </c>
      <c r="G81" s="18" t="str">
        <f>IF(ISNA(VLOOKUP((ROW(G83)-15),'List of tables'!$A$4:$H$621,6,FALSE))," ",VLOOKUP((ROW(G83)-15),'List of tables'!$A$4:$H$621,6,FALSE))</f>
        <v>https://www.nisra.gov.uk/system/files/statistics/census-2011-qs116ni.xlsx</v>
      </c>
    </row>
    <row r="82" spans="1:7" ht="70" customHeight="1" x14ac:dyDescent="0.3">
      <c r="A82" s="23" t="str">
        <f>IF(ISNA(VLOOKUP((ROW(A84)-15),'List of tables'!$A$4:$H$621,2,FALSE))," ",VLOOKUP((ROW(A84)-15),'List of tables'!$A$4:$H$621,2,FALSE))</f>
        <v>QS117NI</v>
      </c>
      <c r="B82" s="21" t="str">
        <f>IF(ISNA(VLOOKUP((ROW(B84)-15),'List of tables'!$A$4:$H$621,3,FALSE))," ",VLOOKUP((ROW(B84)-15),'List of tables'!$A$4:$H$621,3,FALSE))</f>
        <v>Number of Dependent Children - Families</v>
      </c>
      <c r="C82" s="21" t="str">
        <f>IF(ISNA(VLOOKUP((ROW(H84)-15),'List of tables'!$A$4:$H$621,8,FALSE))," ",VLOOKUP((ROW(H84)-15),'List of tables'!$A$4:$H$621,8,FALSE))</f>
        <v>All families in households</v>
      </c>
      <c r="D82" s="21" t="str">
        <f>IF(ISNA(VLOOKUP((ROW(D84)-15),'List of tables'!$A$4:$H$621,5,FALSE))," ",VLOOKUP((ROW(D84)-15),'List of tables'!$A$4:$H$621,5,FALSE))</f>
        <v>Small Area, Super Output Area, Electoral Ward, Local Government District, Assembly Area, NUTS3, Education and Library Board, Health and Social Care Trust, Northern Ireland</v>
      </c>
      <c r="E82" s="83" t="str">
        <f>IF(LEN(G82)&lt;10,"",HYPERLINK(G82,"Download file (Excel 494 KB)"))</f>
        <v>Download file (Excel 494 KB)</v>
      </c>
      <c r="G82" s="18" t="str">
        <f>IF(ISNA(VLOOKUP((ROW(G84)-15),'List of tables'!$A$4:$H$621,6,FALSE))," ",VLOOKUP((ROW(G84)-15),'List of tables'!$A$4:$H$621,6,FALSE))</f>
        <v>https://www.nisra.gov.uk/system/files/statistics/census-2011-qs117ni.xlsx</v>
      </c>
    </row>
    <row r="83" spans="1:7" ht="70" customHeight="1" x14ac:dyDescent="0.3">
      <c r="A83" s="23" t="str">
        <f>IF(ISNA(VLOOKUP((ROW(A85)-15),'List of tables'!$A$4:$H$621,2,FALSE))," ",VLOOKUP((ROW(A85)-15),'List of tables'!$A$4:$H$621,2,FALSE))</f>
        <v>QS201NI</v>
      </c>
      <c r="B83" s="21" t="str">
        <f>IF(ISNA(VLOOKUP((ROW(B85)-15),'List of tables'!$A$4:$H$621,3,FALSE))," ",VLOOKUP((ROW(B85)-15),'List of tables'!$A$4:$H$621,3,FALSE))</f>
        <v>Ethnic Group - Full Detail</v>
      </c>
      <c r="C83" s="21" t="str">
        <f>IF(ISNA(VLOOKUP((ROW(H85)-15),'List of tables'!$A$4:$H$621,8,FALSE))," ",VLOOKUP((ROW(H85)-15),'List of tables'!$A$4:$H$621,8,FALSE))</f>
        <v>All usual residents</v>
      </c>
      <c r="D83" s="21" t="str">
        <f>IF(ISNA(VLOOKUP((ROW(D85)-15),'List of tables'!$A$4:$H$621,5,FALSE))," ",VLOOKUP((ROW(D85)-15),'List of tables'!$A$4:$H$621,5,FALSE))</f>
        <v>Northern Ireland</v>
      </c>
      <c r="E83" s="83" t="str">
        <f>IF(LEN(G83)&lt;10,"",HYPERLINK(G83,"Download file (Excel 156 KB)"))</f>
        <v>Download file (Excel 156 KB)</v>
      </c>
      <c r="G83" s="18" t="str">
        <f>IF(ISNA(VLOOKUP((ROW(G85)-15),'List of tables'!$A$4:$H$621,6,FALSE))," ",VLOOKUP((ROW(G85)-15),'List of tables'!$A$4:$H$621,6,FALSE))</f>
        <v>https://www.nisra.gov.uk/system/files/statistics/census-2011-qs201ni.xlsx</v>
      </c>
    </row>
    <row r="84" spans="1:7" ht="70" customHeight="1" x14ac:dyDescent="0.3">
      <c r="A84" s="23" t="str">
        <f>IF(ISNA(VLOOKUP((ROW(A86)-15),'List of tables'!$A$4:$H$621,2,FALSE))," ",VLOOKUP((ROW(A86)-15),'List of tables'!$A$4:$H$621,2,FALSE))</f>
        <v>QS202NI</v>
      </c>
      <c r="B84" s="21" t="str">
        <f>IF(ISNA(VLOOKUP((ROW(B86)-15),'List of tables'!$A$4:$H$621,3,FALSE))," ",VLOOKUP((ROW(B86)-15),'List of tables'!$A$4:$H$621,3,FALSE))</f>
        <v>Ethnic Group of Household Reference Person (HRP) - 6 Way Classification</v>
      </c>
      <c r="C84" s="21" t="str">
        <f>IF(ISNA(VLOOKUP((ROW(H86)-15),'List of tables'!$A$4:$H$621,8,FALSE))," ",VLOOKUP((ROW(H86)-15),'List of tables'!$A$4:$H$621,8,FALSE))</f>
        <v>All Household Reference Persons (HRPs)</v>
      </c>
      <c r="D84" s="21" t="str">
        <f>IF(ISNA(VLOOKUP((ROW(D86)-15),'List of tables'!$A$4:$H$621,5,FALSE))," ",VLOOKUP((ROW(D86)-15),'List of tables'!$A$4:$H$621,5,FALSE))</f>
        <v>Small Area, Super Output Area, Electoral Ward, Local Government District, Assembly Area, NUTS3, Education and Library Board, Health and Social Care Trust, Northern Ireland</v>
      </c>
      <c r="E84" s="83" t="str">
        <f>IF(LEN(G84)&lt;10,"",HYPERLINK(G84,"Download file (Excel 498 KB)"))</f>
        <v>Download file (Excel 498 KB)</v>
      </c>
      <c r="G84" s="18" t="str">
        <f>IF(ISNA(VLOOKUP((ROW(G86)-15),'List of tables'!$A$4:$H$621,6,FALSE))," ",VLOOKUP((ROW(G86)-15),'List of tables'!$A$4:$H$621,6,FALSE))</f>
        <v>https://www.nisra.gov.uk/system/files/statistics/census-2011-qs202ni.xlsx</v>
      </c>
    </row>
    <row r="85" spans="1:7" ht="70" customHeight="1" x14ac:dyDescent="0.3">
      <c r="A85" s="23" t="str">
        <f>IF(ISNA(VLOOKUP((ROW(A87)-15),'List of tables'!$A$4:$H$621,2,FALSE))," ",VLOOKUP((ROW(A87)-15),'List of tables'!$A$4:$H$621,2,FALSE))</f>
        <v>QS203NI</v>
      </c>
      <c r="B85" s="21" t="str">
        <f>IF(ISNA(VLOOKUP((ROW(B87)-15),'List of tables'!$A$4:$H$621,3,FALSE))," ",VLOOKUP((ROW(B87)-15),'List of tables'!$A$4:$H$621,3,FALSE))</f>
        <v>Ethnic Group of Household Reference Person (HRP) - 12 Way Classification</v>
      </c>
      <c r="C85" s="21" t="str">
        <f>IF(ISNA(VLOOKUP((ROW(H87)-15),'List of tables'!$A$4:$H$621,8,FALSE))," ",VLOOKUP((ROW(H87)-15),'List of tables'!$A$4:$H$621,8,FALSE))</f>
        <v>All Household Reference Persons (HRPs)</v>
      </c>
      <c r="D85" s="21" t="str">
        <f>IF(ISNA(VLOOKUP((ROW(D87)-15),'List of tables'!$A$4:$H$621,5,FALSE))," ",VLOOKUP((ROW(D87)-15),'List of tables'!$A$4:$H$621,5,FALSE))</f>
        <v>Small Area, Super Output Area, Electoral Ward, Local Government District, Assembly Area, NUTS3, Education and Library Board, Health and Social Care Trust, Northern Ireland</v>
      </c>
      <c r="E85" s="83" t="str">
        <f>IF(LEN(G85)&lt;10,"",HYPERLINK(G85,"Download file (Excel 620 KB)"))</f>
        <v>Download file (Excel 620 KB)</v>
      </c>
      <c r="G85" s="18" t="str">
        <f>IF(ISNA(VLOOKUP((ROW(G87)-15),'List of tables'!$A$4:$H$621,6,FALSE))," ",VLOOKUP((ROW(G87)-15),'List of tables'!$A$4:$H$621,6,FALSE))</f>
        <v>https://www.nisra.gov.uk/system/files/statistics/census-2011-qs203ni.xlsx</v>
      </c>
    </row>
    <row r="86" spans="1:7" ht="70" customHeight="1" x14ac:dyDescent="0.3">
      <c r="A86" s="23" t="str">
        <f>IF(ISNA(VLOOKUP((ROW(A88)-15),'List of tables'!$A$4:$H$621,2,FALSE))," ",VLOOKUP((ROW(A88)-15),'List of tables'!$A$4:$H$621,2,FALSE))</f>
        <v>QS204NI</v>
      </c>
      <c r="B86" s="21" t="str">
        <f>IF(ISNA(VLOOKUP((ROW(B88)-15),'List of tables'!$A$4:$H$621,3,FALSE))," ",VLOOKUP((ROW(B88)-15),'List of tables'!$A$4:$H$621,3,FALSE))</f>
        <v>Multiple Ethnic Groups</v>
      </c>
      <c r="C86" s="21" t="str">
        <f>IF(ISNA(VLOOKUP((ROW(H88)-15),'List of tables'!$A$4:$H$621,8,FALSE))," ",VLOOKUP((ROW(H88)-15),'List of tables'!$A$4:$H$621,8,FALSE))</f>
        <v>All Households</v>
      </c>
      <c r="D86" s="21" t="str">
        <f>IF(ISNA(VLOOKUP((ROW(D88)-15),'List of tables'!$A$4:$H$621,5,FALSE))," ",VLOOKUP((ROW(D88)-15),'List of tables'!$A$4:$H$621,5,FALSE))</f>
        <v>Small Area, Super Output Area, Electoral Ward, Local Government District, Assembly Area, NUTS3, Education and Library Board, Health and Social Care Trust, Northern Ireland</v>
      </c>
      <c r="E86" s="83" t="str">
        <f>IF(LEN(G86)&lt;10,"",HYPERLINK(G86,"Download file (Excel 492 KB)"))</f>
        <v>Download file (Excel 492 KB)</v>
      </c>
      <c r="G86" s="18" t="str">
        <f>IF(ISNA(VLOOKUP((ROW(G88)-15),'List of tables'!$A$4:$H$621,6,FALSE))," ",VLOOKUP((ROW(G88)-15),'List of tables'!$A$4:$H$621,6,FALSE))</f>
        <v>https://www.nisra.gov.uk/system/files/statistics/census-2011-qs204ni.xlsx</v>
      </c>
    </row>
    <row r="87" spans="1:7" ht="70" customHeight="1" x14ac:dyDescent="0.3">
      <c r="A87" s="23" t="str">
        <f>IF(ISNA(VLOOKUP((ROW(A89)-15),'List of tables'!$A$4:$H$621,2,FALSE))," ",VLOOKUP((ROW(A89)-15),'List of tables'!$A$4:$H$621,2,FALSE))</f>
        <v>QS205NI</v>
      </c>
      <c r="B87" s="21" t="str">
        <f>IF(ISNA(VLOOKUP((ROW(B89)-15),'List of tables'!$A$4:$H$621,3,FALSE))," ",VLOOKUP((ROW(B89)-15),'List of tables'!$A$4:$H$621,3,FALSE))</f>
        <v>National Identity - Full Detail</v>
      </c>
      <c r="C87" s="21" t="str">
        <f>IF(ISNA(VLOOKUP((ROW(H89)-15),'List of tables'!$A$4:$H$621,8,FALSE))," ",VLOOKUP((ROW(H89)-15),'List of tables'!$A$4:$H$621,8,FALSE))</f>
        <v>All usual residents</v>
      </c>
      <c r="D87" s="21" t="str">
        <f>IF(ISNA(VLOOKUP((ROW(D89)-15),'List of tables'!$A$4:$H$621,5,FALSE))," ",VLOOKUP((ROW(D89)-15),'List of tables'!$A$4:$H$621,5,FALSE))</f>
        <v>Northern Ireland</v>
      </c>
      <c r="E87" s="83" t="str">
        <f>IF(LEN(G87)&lt;10,"",HYPERLINK(G87,"Download file (Excel 161 KB)"))</f>
        <v>Download file (Excel 161 KB)</v>
      </c>
      <c r="G87" s="18" t="str">
        <f>IF(ISNA(VLOOKUP((ROW(G89)-15),'List of tables'!$A$4:$H$621,6,FALSE))," ",VLOOKUP((ROW(G89)-15),'List of tables'!$A$4:$H$621,6,FALSE))</f>
        <v>https://www.nisra.gov.uk/system/files/statistics/census-2011-qs205ni.xlsx</v>
      </c>
    </row>
    <row r="88" spans="1:7" ht="70" customHeight="1" x14ac:dyDescent="0.3">
      <c r="A88" s="23" t="str">
        <f>IF(ISNA(VLOOKUP((ROW(A90)-15),'List of tables'!$A$4:$H$621,2,FALSE))," ",VLOOKUP((ROW(A90)-15),'List of tables'!$A$4:$H$621,2,FALSE))</f>
        <v>QS206NI</v>
      </c>
      <c r="B88" s="21" t="str">
        <f>IF(ISNA(VLOOKUP((ROW(B90)-15),'List of tables'!$A$4:$H$621,3,FALSE))," ",VLOOKUP((ROW(B90)-15),'List of tables'!$A$4:$H$621,3,FALSE))</f>
        <v>Country of Birth - Full Detail</v>
      </c>
      <c r="C88" s="21" t="str">
        <f>IF(ISNA(VLOOKUP((ROW(H90)-15),'List of tables'!$A$4:$H$621,8,FALSE))," ",VLOOKUP((ROW(H90)-15),'List of tables'!$A$4:$H$621,8,FALSE))</f>
        <v>All usual residents</v>
      </c>
      <c r="D88" s="21" t="str">
        <f>IF(ISNA(VLOOKUP((ROW(D90)-15),'List of tables'!$A$4:$H$621,5,FALSE))," ",VLOOKUP((ROW(D90)-15),'List of tables'!$A$4:$H$621,5,FALSE))</f>
        <v>Northern Ireland</v>
      </c>
      <c r="E88" s="83" t="str">
        <f>IF(LEN(G88)&lt;10,"",HYPERLINK(G88,"Download file (Excel 160 KB)"))</f>
        <v>Download file (Excel 160 KB)</v>
      </c>
      <c r="G88" s="18" t="str">
        <f>IF(ISNA(VLOOKUP((ROW(G90)-15),'List of tables'!$A$4:$H$621,6,FALSE))," ",VLOOKUP((ROW(G90)-15),'List of tables'!$A$4:$H$621,6,FALSE))</f>
        <v>https://www.nisra.gov.uk/system/files/statistics/census-2011-qs206ni.xlsx</v>
      </c>
    </row>
    <row r="89" spans="1:7" ht="70" customHeight="1" x14ac:dyDescent="0.3">
      <c r="A89" s="23" t="str">
        <f>IF(ISNA(VLOOKUP((ROW(A91)-15),'List of tables'!$A$4:$H$621,2,FALSE))," ",VLOOKUP((ROW(A91)-15),'List of tables'!$A$4:$H$621,2,FALSE))</f>
        <v>QS207NI</v>
      </c>
      <c r="B89" s="21" t="str">
        <f>IF(ISNA(VLOOKUP((ROW(B91)-15),'List of tables'!$A$4:$H$621,3,FALSE))," ",VLOOKUP((ROW(B91)-15),'List of tables'!$A$4:$H$621,3,FALSE))</f>
        <v>Country of Birth - Basic Detail</v>
      </c>
      <c r="C89" s="21" t="str">
        <f>IF(ISNA(VLOOKUP((ROW(H91)-15),'List of tables'!$A$4:$H$621,8,FALSE))," ",VLOOKUP((ROW(H91)-15),'List of tables'!$A$4:$H$621,8,FALSE))</f>
        <v>All usual residents</v>
      </c>
      <c r="D89" s="21" t="str">
        <f>IF(ISNA(VLOOKUP((ROW(D91)-15),'List of tables'!$A$4:$H$621,5,FALSE))," ",VLOOKUP((ROW(D91)-15),'List of tables'!$A$4:$H$621,5,FALSE))</f>
        <v>Small Area, Super Output Area, Electoral Ward, Local Government District, Assembly Area, NUTS3, Education and Library Board, Health and Social Care Trust, Northern Ireland</v>
      </c>
      <c r="E89" s="83" t="str">
        <f>IF(LEN(G89)&lt;10,"",HYPERLINK(G89,"Download file (Excel 920 KB)"))</f>
        <v>Download file (Excel 920 KB)</v>
      </c>
      <c r="G89" s="18" t="str">
        <f>IF(ISNA(VLOOKUP((ROW(G91)-15),'List of tables'!$A$4:$H$621,6,FALSE))," ",VLOOKUP((ROW(G91)-15),'List of tables'!$A$4:$H$621,6,FALSE))</f>
        <v>https://www.nisra.gov.uk/system/files/statistics/census-2011-qs207ni.xlsx</v>
      </c>
    </row>
    <row r="90" spans="1:7" ht="70" customHeight="1" x14ac:dyDescent="0.3">
      <c r="A90" s="23" t="str">
        <f>IF(ISNA(VLOOKUP((ROW(A92)-15),'List of tables'!$A$4:$H$621,2,FALSE))," ",VLOOKUP((ROW(A92)-15),'List of tables'!$A$4:$H$621,2,FALSE))</f>
        <v>QS208NI</v>
      </c>
      <c r="B90" s="21" t="str">
        <f>IF(ISNA(VLOOKUP((ROW(B92)-15),'List of tables'!$A$4:$H$621,3,FALSE))," ",VLOOKUP((ROW(B92)-15),'List of tables'!$A$4:$H$621,3,FALSE))</f>
        <v>Country of Birth - Intermediate Detail</v>
      </c>
      <c r="C90" s="21" t="str">
        <f>IF(ISNA(VLOOKUP((ROW(H92)-15),'List of tables'!$A$4:$H$621,8,FALSE))," ",VLOOKUP((ROW(H92)-15),'List of tables'!$A$4:$H$621,8,FALSE))</f>
        <v>All usual residents</v>
      </c>
      <c r="D90" s="21" t="str">
        <f>IF(ISNA(VLOOKUP((ROW(D92)-15),'List of tables'!$A$4:$H$621,5,FALSE))," ",VLOOKUP((ROW(D92)-15),'List of tables'!$A$4:$H$621,5,FALSE))</f>
        <v>Small Area, Super Output Area, Electoral Ward, Local Government District, Assembly Area, NUTS3, Education and Library Board, Health and Social Care Trust, Northern Ireland</v>
      </c>
      <c r="E90" s="83" t="str">
        <f>IF(LEN(G90)&lt;10,"",HYPERLINK(G90,"Download file (Excel 2.1 MB)"))</f>
        <v>Download file (Excel 2.1 MB)</v>
      </c>
      <c r="G90" s="18" t="str">
        <f>IF(ISNA(VLOOKUP((ROW(G92)-15),'List of tables'!$A$4:$H$621,6,FALSE))," ",VLOOKUP((ROW(G92)-15),'List of tables'!$A$4:$H$621,6,FALSE))</f>
        <v>https://www.nisra.gov.uk/system/files/statistics/census-2011-qs208ni.xlsx</v>
      </c>
    </row>
    <row r="91" spans="1:7" ht="70" customHeight="1" x14ac:dyDescent="0.3">
      <c r="A91" s="23" t="str">
        <f>IF(ISNA(VLOOKUP((ROW(A93)-15),'List of tables'!$A$4:$H$621,2,FALSE))," ",VLOOKUP((ROW(A93)-15),'List of tables'!$A$4:$H$621,2,FALSE))</f>
        <v>QS209NI</v>
      </c>
      <c r="B91" s="21" t="str">
        <f>IF(ISNA(VLOOKUP((ROW(B93)-15),'List of tables'!$A$4:$H$621,3,FALSE))," ",VLOOKUP((ROW(B93)-15),'List of tables'!$A$4:$H$621,3,FALSE))</f>
        <v>Passports Held - Full Detail</v>
      </c>
      <c r="C91" s="21" t="str">
        <f>IF(ISNA(VLOOKUP((ROW(H93)-15),'List of tables'!$A$4:$H$621,8,FALSE))," ",VLOOKUP((ROW(H93)-15),'List of tables'!$A$4:$H$621,8,FALSE))</f>
        <v>All usual residents</v>
      </c>
      <c r="D91" s="21" t="str">
        <f>IF(ISNA(VLOOKUP((ROW(D93)-15),'List of tables'!$A$4:$H$621,5,FALSE))," ",VLOOKUP((ROW(D93)-15),'List of tables'!$A$4:$H$621,5,FALSE))</f>
        <v>Northern Ireland</v>
      </c>
      <c r="E91" s="83" t="str">
        <f>IF(LEN(G91)&lt;10,"",HYPERLINK(G91,"Download file (Excel 161 KB)"))</f>
        <v>Download file (Excel 161 KB)</v>
      </c>
      <c r="G91" s="18" t="str">
        <f>IF(ISNA(VLOOKUP((ROW(G93)-15),'List of tables'!$A$4:$H$621,6,FALSE))," ",VLOOKUP((ROW(G93)-15),'List of tables'!$A$4:$H$621,6,FALSE))</f>
        <v>https://www.nisra.gov.uk/system/files/statistics/census-2011-qs209ni.xlsx</v>
      </c>
    </row>
    <row r="92" spans="1:7" ht="70" customHeight="1" x14ac:dyDescent="0.3">
      <c r="A92" s="23" t="str">
        <f>IF(ISNA(VLOOKUP((ROW(A94)-15),'List of tables'!$A$4:$H$621,2,FALSE))," ",VLOOKUP((ROW(A94)-15),'List of tables'!$A$4:$H$621,2,FALSE))</f>
        <v>QS210NI</v>
      </c>
      <c r="B92" s="21" t="str">
        <f>IF(ISNA(VLOOKUP((ROW(B94)-15),'List of tables'!$A$4:$H$621,3,FALSE))," ",VLOOKUP((ROW(B94)-15),'List of tables'!$A$4:$H$621,3,FALSE))</f>
        <v>Main Language - Full Detail</v>
      </c>
      <c r="C92" s="21" t="str">
        <f>IF(ISNA(VLOOKUP((ROW(H94)-15),'List of tables'!$A$4:$H$621,8,FALSE))," ",VLOOKUP((ROW(H94)-15),'List of tables'!$A$4:$H$621,8,FALSE))</f>
        <v>All usual residents aged 3 and over</v>
      </c>
      <c r="D92" s="21" t="str">
        <f>IF(ISNA(VLOOKUP((ROW(D94)-15),'List of tables'!$A$4:$H$621,5,FALSE))," ",VLOOKUP((ROW(D94)-15),'List of tables'!$A$4:$H$621,5,FALSE))</f>
        <v>Northern Ireland</v>
      </c>
      <c r="E92" s="83" t="str">
        <f>IF(LEN(G92)&lt;10,"",HYPERLINK(G92,"Download file (Excel 157 KB)"))</f>
        <v>Download file (Excel 157 KB)</v>
      </c>
      <c r="G92" s="18" t="str">
        <f>IF(ISNA(VLOOKUP((ROW(G94)-15),'List of tables'!$A$4:$H$621,6,FALSE))," ",VLOOKUP((ROW(G94)-15),'List of tables'!$A$4:$H$621,6,FALSE))</f>
        <v>https://www.nisra.gov.uk/system/files/statistics/census-2011-qs210ni.xlsx</v>
      </c>
    </row>
    <row r="93" spans="1:7" ht="70" customHeight="1" x14ac:dyDescent="0.3">
      <c r="A93" s="23" t="str">
        <f>IF(ISNA(VLOOKUP((ROW(A95)-15),'List of tables'!$A$4:$H$621,2,FALSE))," ",VLOOKUP((ROW(A95)-15),'List of tables'!$A$4:$H$621,2,FALSE))</f>
        <v>QS211NI</v>
      </c>
      <c r="B93" s="21" t="str">
        <f>IF(ISNA(VLOOKUP((ROW(B95)-15),'List of tables'!$A$4:$H$621,3,FALSE))," ",VLOOKUP((ROW(B95)-15),'List of tables'!$A$4:$H$621,3,FALSE))</f>
        <v>Proficiency in English</v>
      </c>
      <c r="C93" s="21" t="str">
        <f>IF(ISNA(VLOOKUP((ROW(H95)-15),'List of tables'!$A$4:$H$621,8,FALSE))," ",VLOOKUP((ROW(H95)-15),'List of tables'!$A$4:$H$621,8,FALSE))</f>
        <v>All usual residents aged 3 and over</v>
      </c>
      <c r="D93" s="21" t="str">
        <f>IF(ISNA(VLOOKUP((ROW(D95)-15),'List of tables'!$A$4:$H$621,5,FALSE))," ",VLOOKUP((ROW(D95)-15),'List of tables'!$A$4:$H$621,5,FALSE))</f>
        <v>Small Area, Super Output Area, Electoral Ward, Local Government District, Assembly Area, NUTS3, Education and Library Board, Health and Social Care Trust, Northern Ireland</v>
      </c>
      <c r="E93" s="83" t="str">
        <f>IF(LEN(G93)&lt;10,"",HYPERLINK(G93,"Download file (Excel 494 KB)"))</f>
        <v>Download file (Excel 494 KB)</v>
      </c>
      <c r="G93" s="18" t="str">
        <f>IF(ISNA(VLOOKUP((ROW(G95)-15),'List of tables'!$A$4:$H$621,6,FALSE))," ",VLOOKUP((ROW(G95)-15),'List of tables'!$A$4:$H$621,6,FALSE))</f>
        <v>https://www.nisra.gov.uk/system/files/statistics/census-2011-qs211ni.xlsx</v>
      </c>
    </row>
    <row r="94" spans="1:7" ht="70" customHeight="1" x14ac:dyDescent="0.3">
      <c r="A94" s="23" t="str">
        <f>IF(ISNA(VLOOKUP((ROW(A96)-15),'List of tables'!$A$4:$H$621,2,FALSE))," ",VLOOKUP((ROW(A96)-15),'List of tables'!$A$4:$H$621,2,FALSE))</f>
        <v>QS212NI</v>
      </c>
      <c r="B94" s="21" t="str">
        <f>IF(ISNA(VLOOKUP((ROW(B96)-15),'List of tables'!$A$4:$H$621,3,FALSE))," ",VLOOKUP((ROW(B96)-15),'List of tables'!$A$4:$H$621,3,FALSE))</f>
        <v>Irish Language Skills</v>
      </c>
      <c r="C94" s="21" t="str">
        <f>IF(ISNA(VLOOKUP((ROW(H96)-15),'List of tables'!$A$4:$H$621,8,FALSE))," ",VLOOKUP((ROW(H96)-15),'List of tables'!$A$4:$H$621,8,FALSE))</f>
        <v>All usual residents aged 3 and over</v>
      </c>
      <c r="D94" s="21" t="str">
        <f>IF(ISNA(VLOOKUP((ROW(D96)-15),'List of tables'!$A$4:$H$621,5,FALSE))," ",VLOOKUP((ROW(D96)-15),'List of tables'!$A$4:$H$621,5,FALSE))</f>
        <v>Small Area, Super Output Area, Electoral Ward, Local Government District, Assembly Area, NUTS3, Education and Library Board, Health and Social Care Trust, Northern Ireland</v>
      </c>
      <c r="E94" s="83" t="str">
        <f>IF(LEN(G94)&lt;10,"",HYPERLINK(G94,"Download file (Excel 505 KB)"))</f>
        <v>Download file (Excel 505 KB)</v>
      </c>
      <c r="G94" s="18" t="str">
        <f>IF(ISNA(VLOOKUP((ROW(G96)-15),'List of tables'!$A$4:$H$621,6,FALSE))," ",VLOOKUP((ROW(G96)-15),'List of tables'!$A$4:$H$621,6,FALSE))</f>
        <v>https://www.nisra.gov.uk/system/files/statistics/census-2011-qs212ni.xlsx</v>
      </c>
    </row>
    <row r="95" spans="1:7" ht="70" customHeight="1" x14ac:dyDescent="0.3">
      <c r="A95" s="23" t="str">
        <f>IF(ISNA(VLOOKUP((ROW(A97)-15),'List of tables'!$A$4:$H$621,2,FALSE))," ",VLOOKUP((ROW(A97)-15),'List of tables'!$A$4:$H$621,2,FALSE))</f>
        <v>QS213NI</v>
      </c>
      <c r="B95" s="21" t="str">
        <f>IF(ISNA(VLOOKUP((ROW(B97)-15),'List of tables'!$A$4:$H$621,3,FALSE))," ",VLOOKUP((ROW(B97)-15),'List of tables'!$A$4:$H$621,3,FALSE))</f>
        <v>Ulster-Scots Language Skills</v>
      </c>
      <c r="C95" s="21" t="str">
        <f>IF(ISNA(VLOOKUP((ROW(H97)-15),'List of tables'!$A$4:$H$621,8,FALSE))," ",VLOOKUP((ROW(H97)-15),'List of tables'!$A$4:$H$621,8,FALSE))</f>
        <v>All usual residents aged 3 and over</v>
      </c>
      <c r="D95" s="21" t="str">
        <f>IF(ISNA(VLOOKUP((ROW(D97)-15),'List of tables'!$A$4:$H$621,5,FALSE))," ",VLOOKUP((ROW(D97)-15),'List of tables'!$A$4:$H$621,5,FALSE))</f>
        <v>Small Area, Super Output Area, Electoral Ward, Local Government District, Assembly Area, NUTS3, Education and Library Board, Health and Social Care Trust, Northern Ireland</v>
      </c>
      <c r="E95" s="83" t="str">
        <f>IF(LEN(G95)&lt;10,"",HYPERLINK(G95,"Download file (Excel 498 KB)"))</f>
        <v>Download file (Excel 498 KB)</v>
      </c>
      <c r="G95" s="18" t="str">
        <f>IF(ISNA(VLOOKUP((ROW(G97)-15),'List of tables'!$A$4:$H$621,6,FALSE))," ",VLOOKUP((ROW(G97)-15),'List of tables'!$A$4:$H$621,6,FALSE))</f>
        <v>https://www.nisra.gov.uk/system/files/statistics/census-2011-qs213ni.xlsx</v>
      </c>
    </row>
    <row r="96" spans="1:7" ht="70" customHeight="1" x14ac:dyDescent="0.3">
      <c r="A96" s="23" t="str">
        <f>IF(ISNA(VLOOKUP((ROW(A98)-15),'List of tables'!$A$4:$H$621,2,FALSE))," ",VLOOKUP((ROW(A98)-15),'List of tables'!$A$4:$H$621,2,FALSE))</f>
        <v>QS214NI</v>
      </c>
      <c r="B96" s="21" t="str">
        <f>IF(ISNA(VLOOKUP((ROW(B98)-15),'List of tables'!$A$4:$H$621,3,FALSE))," ",VLOOKUP((ROW(B98)-15),'List of tables'!$A$4:$H$621,3,FALSE))</f>
        <v>Knowledge of Irish - Intermediate Detail</v>
      </c>
      <c r="C96" s="21" t="str">
        <f>IF(ISNA(VLOOKUP((ROW(H98)-15),'List of tables'!$A$4:$H$621,8,FALSE))," ",VLOOKUP((ROW(H98)-15),'List of tables'!$A$4:$H$621,8,FALSE))</f>
        <v>All usual residents aged 3 and over</v>
      </c>
      <c r="D96" s="21" t="str">
        <f>IF(ISNA(VLOOKUP((ROW(D98)-15),'List of tables'!$A$4:$H$621,5,FALSE))," ",VLOOKUP((ROW(D98)-15),'List of tables'!$A$4:$H$621,5,FALSE))</f>
        <v>Small Area, Super Output Area, Electoral Ward, Local Government District, Assembly Area, NUTS3, Education and Library Board, Health and Social Care Trust, Northern Ireland</v>
      </c>
      <c r="E96" s="83" t="str">
        <f>IF(LEN(G96)&lt;10,"",HYPERLINK(G96,"Download file (Excel 601 KB)"))</f>
        <v>Download file (Excel 601 KB)</v>
      </c>
      <c r="G96" s="18" t="str">
        <f>IF(ISNA(VLOOKUP((ROW(G98)-15),'List of tables'!$A$4:$H$621,6,FALSE))," ",VLOOKUP((ROW(G98)-15),'List of tables'!$A$4:$H$621,6,FALSE))</f>
        <v>https://www.nisra.gov.uk/system/files/statistics/census-2011-qs214ni.xlsx</v>
      </c>
    </row>
    <row r="97" spans="1:7" ht="70" customHeight="1" x14ac:dyDescent="0.3">
      <c r="A97" s="23" t="str">
        <f>IF(ISNA(VLOOKUP((ROW(A99)-15),'List of tables'!$A$4:$H$621,2,FALSE))," ",VLOOKUP((ROW(A99)-15),'List of tables'!$A$4:$H$621,2,FALSE))</f>
        <v>QS215NI</v>
      </c>
      <c r="B97" s="21" t="str">
        <f>IF(ISNA(VLOOKUP((ROW(B99)-15),'List of tables'!$A$4:$H$621,3,FALSE))," ",VLOOKUP((ROW(B99)-15),'List of tables'!$A$4:$H$621,3,FALSE))</f>
        <v>Knowledge of Ulster-Scots - Intermediate Detail</v>
      </c>
      <c r="C97" s="21" t="str">
        <f>IF(ISNA(VLOOKUP((ROW(H99)-15),'List of tables'!$A$4:$H$621,8,FALSE))," ",VLOOKUP((ROW(H99)-15),'List of tables'!$A$4:$H$621,8,FALSE))</f>
        <v>All usual residents aged 3 and over</v>
      </c>
      <c r="D97" s="21" t="str">
        <f>IF(ISNA(VLOOKUP((ROW(D99)-15),'List of tables'!$A$4:$H$621,5,FALSE))," ",VLOOKUP((ROW(D99)-15),'List of tables'!$A$4:$H$621,5,FALSE))</f>
        <v>Small Area, Super Output Area, Electoral Ward, Local Government District, Assembly Area, NUTS3, Education and Library Board, Health and Social Care Trust, Northern Ireland</v>
      </c>
      <c r="E97" s="83" t="str">
        <f>IF(LEN(G97)&lt;10,"",HYPERLINK(G97,"Download file (Excel 594 KB)"))</f>
        <v>Download file (Excel 594 KB)</v>
      </c>
      <c r="G97" s="18" t="str">
        <f>IF(ISNA(VLOOKUP((ROW(G99)-15),'List of tables'!$A$4:$H$621,6,FALSE))," ",VLOOKUP((ROW(G99)-15),'List of tables'!$A$4:$H$621,6,FALSE))</f>
        <v>https://www.nisra.gov.uk/system/files/statistics/census-2011-qs215ni.xlsx</v>
      </c>
    </row>
    <row r="98" spans="1:7" ht="70" customHeight="1" x14ac:dyDescent="0.3">
      <c r="A98" s="23" t="str">
        <f>IF(ISNA(VLOOKUP((ROW(A100)-15),'List of tables'!$A$4:$H$621,2,FALSE))," ",VLOOKUP((ROW(A100)-15),'List of tables'!$A$4:$H$621,2,FALSE))</f>
        <v>QS216NI</v>
      </c>
      <c r="B98" s="21" t="str">
        <f>IF(ISNA(VLOOKUP((ROW(B100)-15),'List of tables'!$A$4:$H$621,3,FALSE))," ",VLOOKUP((ROW(B100)-15),'List of tables'!$A$4:$H$621,3,FALSE))</f>
        <v>Knowledge of Irish - Full Detail</v>
      </c>
      <c r="C98" s="21" t="str">
        <f>IF(ISNA(VLOOKUP((ROW(H100)-15),'List of tables'!$A$4:$H$621,8,FALSE))," ",VLOOKUP((ROW(H100)-15),'List of tables'!$A$4:$H$621,8,FALSE))</f>
        <v>All usual residents aged 3 and over</v>
      </c>
      <c r="D98" s="21" t="str">
        <f>IF(ISNA(VLOOKUP((ROW(D100)-15),'List of tables'!$A$4:$H$621,5,FALSE))," ",VLOOKUP((ROW(D100)-15),'List of tables'!$A$4:$H$621,5,FALSE))</f>
        <v>Northern Ireland</v>
      </c>
      <c r="E98" s="83" t="str">
        <f>IF(LEN(G98)&lt;10,"",HYPERLINK(G98,"Download file (Excel 155 KB)"))</f>
        <v>Download file (Excel 155 KB)</v>
      </c>
      <c r="G98" s="18" t="str">
        <f>IF(ISNA(VLOOKUP((ROW(G100)-15),'List of tables'!$A$4:$H$621,6,FALSE))," ",VLOOKUP((ROW(G100)-15),'List of tables'!$A$4:$H$621,6,FALSE))</f>
        <v>https://www.nisra.gov.uk/system/files/statistics/census-2011-qs216ni.xlsx</v>
      </c>
    </row>
    <row r="99" spans="1:7" ht="70" customHeight="1" x14ac:dyDescent="0.3">
      <c r="A99" s="23" t="str">
        <f>IF(ISNA(VLOOKUP((ROW(A101)-15),'List of tables'!$A$4:$H$621,2,FALSE))," ",VLOOKUP((ROW(A101)-15),'List of tables'!$A$4:$H$621,2,FALSE))</f>
        <v>QS217NI</v>
      </c>
      <c r="B99" s="21" t="str">
        <f>IF(ISNA(VLOOKUP((ROW(B101)-15),'List of tables'!$A$4:$H$621,3,FALSE))," ",VLOOKUP((ROW(B101)-15),'List of tables'!$A$4:$H$621,3,FALSE))</f>
        <v>Knowledge of Ulster-Scots - Full Detail</v>
      </c>
      <c r="C99" s="21" t="str">
        <f>IF(ISNA(VLOOKUP((ROW(H101)-15),'List of tables'!$A$4:$H$621,8,FALSE))," ",VLOOKUP((ROW(H101)-15),'List of tables'!$A$4:$H$621,8,FALSE))</f>
        <v>All usual residents aged 3 and over</v>
      </c>
      <c r="D99" s="21" t="str">
        <f>IF(ISNA(VLOOKUP((ROW(D101)-15),'List of tables'!$A$4:$H$621,5,FALSE))," ",VLOOKUP((ROW(D101)-15),'List of tables'!$A$4:$H$621,5,FALSE))</f>
        <v>Northern Ireland</v>
      </c>
      <c r="E99" s="83" t="str">
        <f>IF(LEN(G99)&lt;10,"",HYPERLINK(G99,"Download file (Excel 155 KB)"))</f>
        <v>Download file (Excel 155 KB)</v>
      </c>
      <c r="G99" s="18" t="str">
        <f>IF(ISNA(VLOOKUP((ROW(G101)-15),'List of tables'!$A$4:$H$621,6,FALSE))," ",VLOOKUP((ROW(G101)-15),'List of tables'!$A$4:$H$621,6,FALSE))</f>
        <v>https://www.nisra.gov.uk/system/files/statistics/census-2011-qs217ni.xlsx</v>
      </c>
    </row>
    <row r="100" spans="1:7" ht="70" customHeight="1" x14ac:dyDescent="0.3">
      <c r="A100" s="23" t="str">
        <f>IF(ISNA(VLOOKUP((ROW(A102)-15),'List of tables'!$A$4:$H$621,2,FALSE))," ",VLOOKUP((ROW(A102)-15),'List of tables'!$A$4:$H$621,2,FALSE))</f>
        <v>QS218NI</v>
      </c>
      <c r="B100" s="21" t="str">
        <f>IF(ISNA(VLOOKUP((ROW(B102)-15),'List of tables'!$A$4:$H$621,3,FALSE))," ",VLOOKUP((ROW(B102)-15),'List of tables'!$A$4:$H$621,3,FALSE))</f>
        <v>Religion - Full Detail</v>
      </c>
      <c r="C100" s="21" t="str">
        <f>IF(ISNA(VLOOKUP((ROW(H102)-15),'List of tables'!$A$4:$H$621,8,FALSE))," ",VLOOKUP((ROW(H102)-15),'List of tables'!$A$4:$H$621,8,FALSE))</f>
        <v>All usual residents</v>
      </c>
      <c r="D100" s="21" t="str">
        <f>IF(ISNA(VLOOKUP((ROW(D102)-15),'List of tables'!$A$4:$H$621,5,FALSE))," ",VLOOKUP((ROW(D102)-15),'List of tables'!$A$4:$H$621,5,FALSE))</f>
        <v>Northern Ireland</v>
      </c>
      <c r="E100" s="83" t="str">
        <f>IF(LEN(G100)&lt;10,"",HYPERLINK(G100,"Download file (Excel 157 KB)"))</f>
        <v>Download file (Excel 157 KB)</v>
      </c>
      <c r="G100" s="18" t="str">
        <f>IF(ISNA(VLOOKUP((ROW(G102)-15),'List of tables'!$A$4:$H$621,6,FALSE))," ",VLOOKUP((ROW(G102)-15),'List of tables'!$A$4:$H$621,6,FALSE))</f>
        <v>https://www.nisra.gov.uk/system/files/statistics/census-2011-qs218ni.xlsx</v>
      </c>
    </row>
    <row r="101" spans="1:7" ht="70" customHeight="1" x14ac:dyDescent="0.3">
      <c r="A101" s="23" t="str">
        <f>IF(ISNA(VLOOKUP((ROW(A103)-15),'List of tables'!$A$4:$H$621,2,FALSE))," ",VLOOKUP((ROW(A103)-15),'List of tables'!$A$4:$H$621,2,FALSE))</f>
        <v>QS219NI</v>
      </c>
      <c r="B101" s="21" t="str">
        <f>IF(ISNA(VLOOKUP((ROW(B103)-15),'List of tables'!$A$4:$H$621,3,FALSE))," ",VLOOKUP((ROW(B103)-15),'List of tables'!$A$4:$H$621,3,FALSE))</f>
        <v>Religion of Household Reference Person (HRP)</v>
      </c>
      <c r="C101" s="21" t="str">
        <f>IF(ISNA(VLOOKUP((ROW(H103)-15),'List of tables'!$A$4:$H$621,8,FALSE))," ",VLOOKUP((ROW(H103)-15),'List of tables'!$A$4:$H$621,8,FALSE))</f>
        <v>All Household Reference Persons (HRPs)</v>
      </c>
      <c r="D101" s="21" t="str">
        <f>IF(ISNA(VLOOKUP((ROW(D103)-15),'List of tables'!$A$4:$H$621,5,FALSE))," ",VLOOKUP((ROW(D103)-15),'List of tables'!$A$4:$H$621,5,FALSE))</f>
        <v>Small Area, Super Output Area, Electoral Ward, Local Government District, Assembly Area, NUTS3, Education and Library Board, Health and Social Care Trust, Northern Ireland</v>
      </c>
      <c r="E101" s="83" t="str">
        <f>IF(LEN(G101)&lt;10,"",HYPERLINK(G101,"Download file (Excel 581 KB)"))</f>
        <v>Download file (Excel 581 KB)</v>
      </c>
      <c r="G101" s="18" t="str">
        <f>IF(ISNA(VLOOKUP((ROW(G103)-15),'List of tables'!$A$4:$H$621,6,FALSE))," ",VLOOKUP((ROW(G103)-15),'List of tables'!$A$4:$H$621,6,FALSE))</f>
        <v>https://www.nisra.gov.uk/system/files/statistics/census-2011-qs219ni.xlsx</v>
      </c>
    </row>
    <row r="102" spans="1:7" ht="70" customHeight="1" x14ac:dyDescent="0.3">
      <c r="A102" s="23" t="str">
        <f>IF(ISNA(VLOOKUP((ROW(A104)-15),'List of tables'!$A$4:$H$621,2,FALSE))," ",VLOOKUP((ROW(A104)-15),'List of tables'!$A$4:$H$621,2,FALSE))</f>
        <v>QS220NI</v>
      </c>
      <c r="B102" s="21" t="str">
        <f>IF(ISNA(VLOOKUP((ROW(B104)-15),'List of tables'!$A$4:$H$621,3,FALSE))," ",VLOOKUP((ROW(B104)-15),'List of tables'!$A$4:$H$621,3,FALSE))</f>
        <v>Religion or Religion Brought Up In of Household Reference Person (HRP)</v>
      </c>
      <c r="C102" s="21" t="str">
        <f>IF(ISNA(VLOOKUP((ROW(H104)-15),'List of tables'!$A$4:$H$621,8,FALSE))," ",VLOOKUP((ROW(H104)-15),'List of tables'!$A$4:$H$621,8,FALSE))</f>
        <v>All Household Reference Persons (HRPs)</v>
      </c>
      <c r="D102" s="21" t="str">
        <f>IF(ISNA(VLOOKUP((ROW(D104)-15),'List of tables'!$A$4:$H$621,5,FALSE))," ",VLOOKUP((ROW(D104)-15),'List of tables'!$A$4:$H$621,5,FALSE))</f>
        <v>Small Area, Super Output Area, Electoral Ward, Local Government District, Assembly Area, NUTS3, Education and Library Board, Health and Social Care Trust, Northern Ireland</v>
      </c>
      <c r="E102" s="83" t="str">
        <f>IF(LEN(G102)&lt;10,"",HYPERLINK(G102,"Download file (Excel 472 KB)"))</f>
        <v>Download file (Excel 472 KB)</v>
      </c>
      <c r="G102" s="18" t="str">
        <f>IF(ISNA(VLOOKUP((ROW(G104)-15),'List of tables'!$A$4:$H$621,6,FALSE))," ",VLOOKUP((ROW(G104)-15),'List of tables'!$A$4:$H$621,6,FALSE))</f>
        <v>https://www.nisra.gov.uk/system/files/statistics/census-2011-qs220ni.xlsx</v>
      </c>
    </row>
    <row r="103" spans="1:7" ht="70" customHeight="1" x14ac:dyDescent="0.3">
      <c r="A103" s="23" t="str">
        <f>IF(ISNA(VLOOKUP((ROW(A105)-15),'List of tables'!$A$4:$H$621,2,FALSE))," ",VLOOKUP((ROW(A105)-15),'List of tables'!$A$4:$H$621,2,FALSE))</f>
        <v>QS221NI</v>
      </c>
      <c r="B103" s="21" t="str">
        <f>IF(ISNA(VLOOKUP((ROW(B105)-15),'List of tables'!$A$4:$H$621,3,FALSE))," ",VLOOKUP((ROW(B105)-15),'List of tables'!$A$4:$H$621,3,FALSE))</f>
        <v>Religion or Religion Brought Up In Structure of Household</v>
      </c>
      <c r="C103" s="21" t="str">
        <f>IF(ISNA(VLOOKUP((ROW(H105)-15),'List of tables'!$A$4:$H$621,8,FALSE))," ",VLOOKUP((ROW(H105)-15),'List of tables'!$A$4:$H$621,8,FALSE))</f>
        <v>All Households</v>
      </c>
      <c r="D103" s="21" t="str">
        <f>IF(ISNA(VLOOKUP((ROW(D105)-15),'List of tables'!$A$4:$H$621,5,FALSE))," ",VLOOKUP((ROW(D105)-15),'List of tables'!$A$4:$H$621,5,FALSE))</f>
        <v>Small Area, Super Output Area, Electoral Ward, Local Government District, Assembly Area, NUTS3, Education and Library Board, Health and Social Care Trust, Northern Ireland</v>
      </c>
      <c r="E103" s="83" t="str">
        <f>IF(LEN(G103)&lt;10,"",HYPERLINK(G103,"Download file (Excel 813 KB)"))</f>
        <v>Download file (Excel 813 KB)</v>
      </c>
      <c r="G103" s="18" t="str">
        <f>IF(ISNA(VLOOKUP((ROW(G105)-15),'List of tables'!$A$4:$H$621,6,FALSE))," ",VLOOKUP((ROW(G105)-15),'List of tables'!$A$4:$H$621,6,FALSE))</f>
        <v>https://www.nisra.gov.uk/system/files/statistics/census-2011-qs221ni.xlsx</v>
      </c>
    </row>
    <row r="104" spans="1:7" ht="70" customHeight="1" x14ac:dyDescent="0.3">
      <c r="A104" s="23" t="str">
        <f>IF(ISNA(VLOOKUP((ROW(A106)-15),'List of tables'!$A$4:$H$621,2,FALSE))," ",VLOOKUP((ROW(A106)-15),'List of tables'!$A$4:$H$621,2,FALSE))</f>
        <v>QS301NI</v>
      </c>
      <c r="B104" s="21" t="str">
        <f>IF(ISNA(VLOOKUP((ROW(B106)-15),'List of tables'!$A$4:$H$621,3,FALSE))," ",VLOOKUP((ROW(B106)-15),'List of tables'!$A$4:$H$621,3,FALSE))</f>
        <v>Provision of Unpaid Care</v>
      </c>
      <c r="C104" s="21" t="str">
        <f>IF(ISNA(VLOOKUP((ROW(H106)-15),'List of tables'!$A$4:$H$621,8,FALSE))," ",VLOOKUP((ROW(H106)-15),'List of tables'!$A$4:$H$621,8,FALSE))</f>
        <v>All usual residents</v>
      </c>
      <c r="D104" s="21" t="str">
        <f>IF(ISNA(VLOOKUP((ROW(D106)-15),'List of tables'!$A$4:$H$621,5,FALSE))," ",VLOOKUP((ROW(D106)-15),'List of tables'!$A$4:$H$621,5,FALSE))</f>
        <v>Small Area, Super Output Area, Electoral Ward, Local Government District, Assembly Area, NUTS3, Education and Library Board, Health and Social Care Trust, Northern Ireland</v>
      </c>
      <c r="E104" s="83" t="str">
        <f>IF(LEN(G104)&lt;10,"",HYPERLINK(G104,"Download file (Excel 479 KB)"))</f>
        <v>Download file (Excel 479 KB)</v>
      </c>
      <c r="G104" s="18" t="str">
        <f>IF(ISNA(VLOOKUP((ROW(G106)-15),'List of tables'!$A$4:$H$621,6,FALSE))," ",VLOOKUP((ROW(G106)-15),'List of tables'!$A$4:$H$621,6,FALSE))</f>
        <v xml:space="preserve">https://www.nisra.gov.uk/system/files/statistics/census-2011-qs301ni.xlsx </v>
      </c>
    </row>
    <row r="105" spans="1:7" ht="70" customHeight="1" x14ac:dyDescent="0.3">
      <c r="A105" s="23" t="str">
        <f>IF(ISNA(VLOOKUP((ROW(A107)-15),'List of tables'!$A$4:$H$621,2,FALSE))," ",VLOOKUP((ROW(A107)-15),'List of tables'!$A$4:$H$621,2,FALSE))</f>
        <v>QS302NI</v>
      </c>
      <c r="B105" s="21" t="str">
        <f>IF(ISNA(VLOOKUP((ROW(B107)-15),'List of tables'!$A$4:$H$621,3,FALSE))," ",VLOOKUP((ROW(B107)-15),'List of tables'!$A$4:$H$621,3,FALSE))</f>
        <v>General Health</v>
      </c>
      <c r="C105" s="21" t="str">
        <f>IF(ISNA(VLOOKUP((ROW(H107)-15),'List of tables'!$A$4:$H$621,8,FALSE))," ",VLOOKUP((ROW(H107)-15),'List of tables'!$A$4:$H$621,8,FALSE))</f>
        <v>All usual residents</v>
      </c>
      <c r="D105" s="21" t="str">
        <f>IF(ISNA(VLOOKUP((ROW(D107)-15),'List of tables'!$A$4:$H$621,5,FALSE))," ",VLOOKUP((ROW(D107)-15),'List of tables'!$A$4:$H$621,5,FALSE))</f>
        <v>Small Area, Super Output Area, Electoral Ward, Local Government District, Assembly Area, NUTS3, Education and Library Board, Health and Social Care Trust, Northern Ireland</v>
      </c>
      <c r="E105" s="83" t="str">
        <f>IF(LEN(G105)&lt;10,"",HYPERLINK(G105,"Download file (Excel 508 KB)"))</f>
        <v>Download file (Excel 508 KB)</v>
      </c>
      <c r="G105" s="18" t="str">
        <f>IF(ISNA(VLOOKUP((ROW(G107)-15),'List of tables'!$A$4:$H$621,6,FALSE))," ",VLOOKUP((ROW(G107)-15),'List of tables'!$A$4:$H$621,6,FALSE))</f>
        <v>https://www.nisra.gov.uk/system/files/statistics/census-2011-qs302ni.xlsx</v>
      </c>
    </row>
    <row r="106" spans="1:7" ht="70" customHeight="1" x14ac:dyDescent="0.3">
      <c r="A106" s="23" t="str">
        <f>IF(ISNA(VLOOKUP((ROW(A108)-15),'List of tables'!$A$4:$H$621,2,FALSE))," ",VLOOKUP((ROW(A108)-15),'List of tables'!$A$4:$H$621,2,FALSE))</f>
        <v>QS303NI</v>
      </c>
      <c r="B106" s="21" t="str">
        <f>IF(ISNA(VLOOKUP((ROW(B108)-15),'List of tables'!$A$4:$H$621,3,FALSE))," ",VLOOKUP((ROW(B108)-15),'List of tables'!$A$4:$H$621,3,FALSE))</f>
        <v>Long-Term Health Problem or Disability</v>
      </c>
      <c r="C106" s="21" t="str">
        <f>IF(ISNA(VLOOKUP((ROW(H108)-15),'List of tables'!$A$4:$H$621,8,FALSE))," ",VLOOKUP((ROW(H108)-15),'List of tables'!$A$4:$H$621,8,FALSE))</f>
        <v>All usual residents</v>
      </c>
      <c r="D106" s="21" t="str">
        <f>IF(ISNA(VLOOKUP((ROW(D108)-15),'List of tables'!$A$4:$H$621,5,FALSE))," ",VLOOKUP((ROW(D108)-15),'List of tables'!$A$4:$H$621,5,FALSE))</f>
        <v>Neighbourhood Renewal Area, Delivery Office, Small Area, Super Output Area, Electoral Ward, Local Government District, Assembly Area, NUTS3, Education and Library Board, Health and Social Care Trust, Northern Ireland</v>
      </c>
      <c r="E106" s="83" t="str">
        <f>IF(LEN(G106)&lt;10,"",HYPERLINK(G106,"Download file (Excel 462 KB)"))</f>
        <v>Download file (Excel 462 KB)</v>
      </c>
      <c r="G106" s="18" t="str">
        <f>IF(ISNA(VLOOKUP((ROW(G108)-15),'List of tables'!$A$4:$H$621,6,FALSE))," ",VLOOKUP((ROW(G108)-15),'List of tables'!$A$4:$H$621,6,FALSE))</f>
        <v>https://www.nisra.gov.uk/system/files/statistics/census-2011-qs303ni.xlsx</v>
      </c>
    </row>
    <row r="107" spans="1:7" ht="70" customHeight="1" x14ac:dyDescent="0.3">
      <c r="A107" s="23" t="str">
        <f>IF(ISNA(VLOOKUP((ROW(A109)-15),'List of tables'!$A$4:$H$621,2,FALSE))," ",VLOOKUP((ROW(A109)-15),'List of tables'!$A$4:$H$621,2,FALSE))</f>
        <v>QS401NI</v>
      </c>
      <c r="B107" s="21" t="str">
        <f>IF(ISNA(VLOOKUP((ROW(B109)-15),'List of tables'!$A$4:$H$621,3,FALSE))," ",VLOOKUP((ROW(B109)-15),'List of tables'!$A$4:$H$621,3,FALSE))</f>
        <v>Accommodation Type - Usual Residents</v>
      </c>
      <c r="C107" s="21" t="str">
        <f>IF(ISNA(VLOOKUP((ROW(H109)-15),'List of tables'!$A$4:$H$621,8,FALSE))," ",VLOOKUP((ROW(H109)-15),'List of tables'!$A$4:$H$621,8,FALSE))</f>
        <v>All usual residents in households</v>
      </c>
      <c r="D107" s="21" t="str">
        <f>IF(ISNA(VLOOKUP((ROW(D109)-15),'List of tables'!$A$4:$H$621,5,FALSE))," ",VLOOKUP((ROW(D109)-15),'List of tables'!$A$4:$H$621,5,FALSE))</f>
        <v>Small Area, Super Output Area, Electoral Ward, Local Government District, Assembly Area, NUTS3, Education and Library Board, Health and Social Care Trust, Northern Ireland</v>
      </c>
      <c r="E107" s="83" t="str">
        <f>IF(LEN(G107)&lt;10,"",HYPERLINK(G107,"Download file (Excel 670 KB)"))</f>
        <v>Download file (Excel 670 KB)</v>
      </c>
      <c r="G107" s="18" t="str">
        <f>IF(ISNA(VLOOKUP((ROW(G109)-15),'List of tables'!$A$4:$H$621,6,FALSE))," ",VLOOKUP((ROW(G109)-15),'List of tables'!$A$4:$H$621,6,FALSE))</f>
        <v>https://www.nisra.gov.uk/system/files/statistics/census-2011-qs401ni.xlsx</v>
      </c>
    </row>
    <row r="108" spans="1:7" ht="70" customHeight="1" x14ac:dyDescent="0.3">
      <c r="A108" s="23" t="str">
        <f>IF(ISNA(VLOOKUP((ROW(A110)-15),'List of tables'!$A$4:$H$621,2,FALSE))," ",VLOOKUP((ROW(A110)-15),'List of tables'!$A$4:$H$621,2,FALSE))</f>
        <v>QS402NI</v>
      </c>
      <c r="B108" s="21" t="str">
        <f>IF(ISNA(VLOOKUP((ROW(B110)-15),'List of tables'!$A$4:$H$621,3,FALSE))," ",VLOOKUP((ROW(B110)-15),'List of tables'!$A$4:$H$621,3,FALSE))</f>
        <v>Accommodation Type - Households</v>
      </c>
      <c r="C108" s="21" t="str">
        <f>IF(ISNA(VLOOKUP((ROW(H110)-15),'List of tables'!$A$4:$H$621,8,FALSE))," ",VLOOKUP((ROW(H110)-15),'List of tables'!$A$4:$H$621,8,FALSE))</f>
        <v>All households</v>
      </c>
      <c r="D108" s="21" t="str">
        <f>IF(ISNA(VLOOKUP((ROW(D110)-15),'List of tables'!$A$4:$H$621,5,FALSE))," ",VLOOKUP((ROW(D110)-15),'List of tables'!$A$4:$H$621,5,FALSE))</f>
        <v>Small Area, Super Output Area, Electoral Ward, Local Government District, Assembly Area, NUTS3, Education and Library Board, Health and Social Care Trust, Northern Ireland</v>
      </c>
      <c r="E108" s="83" t="str">
        <f>IF(LEN(G108)&lt;10,"",HYPERLINK(G108,"Download file (Excel 654 KB)"))</f>
        <v>Download file (Excel 654 KB)</v>
      </c>
      <c r="G108" s="18" t="str">
        <f>IF(ISNA(VLOOKUP((ROW(G110)-15),'List of tables'!$A$4:$H$621,6,FALSE))," ",VLOOKUP((ROW(G110)-15),'List of tables'!$A$4:$H$621,6,FALSE))</f>
        <v>https://www.nisra.gov.uk/system/files/statistics/census-2011-qs402ni.xlsx</v>
      </c>
    </row>
    <row r="109" spans="1:7" ht="70" customHeight="1" x14ac:dyDescent="0.3">
      <c r="A109" s="23" t="str">
        <f>IF(ISNA(VLOOKUP((ROW(A111)-15),'List of tables'!$A$4:$H$621,2,FALSE))," ",VLOOKUP((ROW(A111)-15),'List of tables'!$A$4:$H$621,2,FALSE))</f>
        <v>QS403NI</v>
      </c>
      <c r="B109" s="21" t="str">
        <f>IF(ISNA(VLOOKUP((ROW(B111)-15),'List of tables'!$A$4:$H$621,3,FALSE))," ",VLOOKUP((ROW(B111)-15),'List of tables'!$A$4:$H$621,3,FALSE))</f>
        <v>Tenure - Usual Residents</v>
      </c>
      <c r="C109" s="21" t="str">
        <f>IF(ISNA(VLOOKUP((ROW(H111)-15),'List of tables'!$A$4:$H$621,8,FALSE))," ",VLOOKUP((ROW(H111)-15),'List of tables'!$A$4:$H$621,8,FALSE))</f>
        <v>All usual residents in households</v>
      </c>
      <c r="D109" s="21" t="str">
        <f>IF(ISNA(VLOOKUP((ROW(D111)-15),'List of tables'!$A$4:$H$621,5,FALSE))," ",VLOOKUP((ROW(D111)-15),'List of tables'!$A$4:$H$621,5,FALSE))</f>
        <v>Small Area, Super Output Area, Electoral Ward, Local Government District, Assembly Area, NUTS3, Education and Library Board, Health and Social Care Trust, Northern Ireland</v>
      </c>
      <c r="E109" s="83" t="str">
        <f>IF(LEN(G109)&lt;10,"",HYPERLINK(G109,"Download file (Excel 752 KB)"))</f>
        <v>Download file (Excel 752 KB)</v>
      </c>
      <c r="G109" s="18" t="str">
        <f>IF(ISNA(VLOOKUP((ROW(G111)-15),'List of tables'!$A$4:$H$621,6,FALSE))," ",VLOOKUP((ROW(G111)-15),'List of tables'!$A$4:$H$621,6,FALSE))</f>
        <v>https://www.nisra.gov.uk/system/files/statistics/census-2011-qs403ni.xlsx</v>
      </c>
    </row>
    <row r="110" spans="1:7" ht="70" customHeight="1" x14ac:dyDescent="0.3">
      <c r="A110" s="23" t="str">
        <f>IF(ISNA(VLOOKUP((ROW(A112)-15),'List of tables'!$A$4:$H$621,2,FALSE))," ",VLOOKUP((ROW(A112)-15),'List of tables'!$A$4:$H$621,2,FALSE))</f>
        <v>QS404NI</v>
      </c>
      <c r="B110" s="21" t="str">
        <f>IF(ISNA(VLOOKUP((ROW(B112)-15),'List of tables'!$A$4:$H$621,3,FALSE))," ",VLOOKUP((ROW(B112)-15),'List of tables'!$A$4:$H$621,3,FALSE))</f>
        <v>Tenure where Household Reference Person (HRP) Aged 65 and Over</v>
      </c>
      <c r="C110" s="21" t="str">
        <f>IF(ISNA(VLOOKUP((ROW(H112)-15),'List of tables'!$A$4:$H$621,8,FALSE))," ",VLOOKUP((ROW(H112)-15),'List of tables'!$A$4:$H$621,8,FALSE))</f>
        <v>All households where the Household Reference Person is aged 65 and over</v>
      </c>
      <c r="D110" s="21" t="str">
        <f>IF(ISNA(VLOOKUP((ROW(D112)-15),'List of tables'!$A$4:$H$621,5,FALSE))," ",VLOOKUP((ROW(D112)-15),'List of tables'!$A$4:$H$621,5,FALSE))</f>
        <v>Small Area, Super Output Area, Electoral Ward, Local Government District, Assembly Area, NUTS3, Education and Library Board, Health and Social Care Trust, Northern Ireland</v>
      </c>
      <c r="E110" s="83" t="str">
        <f>IF(LEN(G110)&lt;10,"",HYPERLINK(G110,"Download file (Excel 503 KB)"))</f>
        <v>Download file (Excel 503 KB)</v>
      </c>
      <c r="G110" s="18" t="str">
        <f>IF(ISNA(VLOOKUP((ROW(G112)-15),'List of tables'!$A$4:$H$621,6,FALSE))," ",VLOOKUP((ROW(G112)-15),'List of tables'!$A$4:$H$621,6,FALSE))</f>
        <v>https://www.nisra.gov.uk/system/files/statistics/census-2011-qs404ni.xlsx</v>
      </c>
    </row>
    <row r="111" spans="1:7" ht="70" customHeight="1" x14ac:dyDescent="0.3">
      <c r="A111" s="23" t="str">
        <f>IF(ISNA(VLOOKUP((ROW(A113)-15),'List of tables'!$A$4:$H$621,2,FALSE))," ",VLOOKUP((ROW(A113)-15),'List of tables'!$A$4:$H$621,2,FALSE))</f>
        <v>QS405NI</v>
      </c>
      <c r="B111" s="21" t="str">
        <f>IF(ISNA(VLOOKUP((ROW(B113)-15),'List of tables'!$A$4:$H$621,3,FALSE))," ",VLOOKUP((ROW(B113)-15),'List of tables'!$A$4:$H$621,3,FALSE))</f>
        <v>Tenure - Households</v>
      </c>
      <c r="C111" s="21" t="str">
        <f>IF(ISNA(VLOOKUP((ROW(H113)-15),'List of tables'!$A$4:$H$621,8,FALSE))," ",VLOOKUP((ROW(H113)-15),'List of tables'!$A$4:$H$621,8,FALSE))</f>
        <v>All Households</v>
      </c>
      <c r="D111" s="21" t="str">
        <f>IF(ISNA(VLOOKUP((ROW(D113)-15),'List of tables'!$A$4:$H$621,5,FALSE))," ",VLOOKUP((ROW(D113)-15),'List of tables'!$A$4:$H$621,5,FALSE))</f>
        <v>Small Area, Super Output Area, Electoral Ward, Local Government District, Assembly Area, NUTS3, Education and Library Board, Health and Social Care Trust, Northern Ireland</v>
      </c>
      <c r="E111" s="83" t="str">
        <f>IF(LEN(G111)&lt;10,"",HYPERLINK(G111,"Download file (Excel 731 KB)"))</f>
        <v>Download file (Excel 731 KB)</v>
      </c>
      <c r="G111" s="18" t="str">
        <f>IF(ISNA(VLOOKUP((ROW(G113)-15),'List of tables'!$A$4:$H$621,6,FALSE))," ",VLOOKUP((ROW(G113)-15),'List of tables'!$A$4:$H$621,6,FALSE))</f>
        <v>https://www.nisra.gov.uk/system/files/statistics/census-2011-qs405ni.xlsx</v>
      </c>
    </row>
    <row r="112" spans="1:7" ht="70" customHeight="1" x14ac:dyDescent="0.3">
      <c r="A112" s="23" t="str">
        <f>IF(ISNA(VLOOKUP((ROW(A114)-15),'List of tables'!$A$4:$H$621,2,FALSE))," ",VLOOKUP((ROW(A114)-15),'List of tables'!$A$4:$H$621,2,FALSE))</f>
        <v>QS406NI</v>
      </c>
      <c r="B112" s="21" t="str">
        <f>IF(ISNA(VLOOKUP((ROW(B114)-15),'List of tables'!$A$4:$H$621,3,FALSE))," ",VLOOKUP((ROW(B114)-15),'List of tables'!$A$4:$H$621,3,FALSE))</f>
        <v>Number of Rooms</v>
      </c>
      <c r="C112" s="21" t="str">
        <f>IF(ISNA(VLOOKUP((ROW(H114)-15),'List of tables'!$A$4:$H$621,8,FALSE))," ",VLOOKUP((ROW(H114)-15),'List of tables'!$A$4:$H$621,8,FALSE))</f>
        <v>All households</v>
      </c>
      <c r="D112" s="21" t="str">
        <f>IF(ISNA(VLOOKUP((ROW(D114)-15),'List of tables'!$A$4:$H$621,5,FALSE))," ",VLOOKUP((ROW(D114)-15),'List of tables'!$A$4:$H$621,5,FALSE))</f>
        <v>Small Area, Super Output Area, Electoral Ward, Local Government District, Assembly Area, NUTS3, Education and Library Board, Health and Social Care Trust, Northern Ireland</v>
      </c>
      <c r="E112" s="83" t="str">
        <f>IF(LEN(G112)&lt;10,"",HYPERLINK(G112,"Download file (Excel 605 KB)"))</f>
        <v>Download file (Excel 605 KB)</v>
      </c>
      <c r="G112" s="18" t="str">
        <f>IF(ISNA(VLOOKUP((ROW(G114)-15),'List of tables'!$A$4:$H$621,6,FALSE))," ",VLOOKUP((ROW(G114)-15),'List of tables'!$A$4:$H$621,6,FALSE))</f>
        <v>https://www.nisra.gov.uk/system/files/statistics/census-2011-qs406ni.xlsx</v>
      </c>
    </row>
    <row r="113" spans="1:7" ht="70" customHeight="1" x14ac:dyDescent="0.3">
      <c r="A113" s="23" t="str">
        <f>IF(ISNA(VLOOKUP((ROW(A115)-15),'List of tables'!$A$4:$H$621,2,FALSE))," ",VLOOKUP((ROW(A115)-15),'List of tables'!$A$4:$H$621,2,FALSE))</f>
        <v>QS407NI</v>
      </c>
      <c r="B113" s="21" t="str">
        <f>IF(ISNA(VLOOKUP((ROW(B115)-15),'List of tables'!$A$4:$H$621,3,FALSE))," ",VLOOKUP((ROW(B115)-15),'List of tables'!$A$4:$H$621,3,FALSE))</f>
        <v>Occupancy Rating - Rooms</v>
      </c>
      <c r="C113" s="21" t="str">
        <f>IF(ISNA(VLOOKUP((ROW(H115)-15),'List of tables'!$A$4:$H$621,8,FALSE))," ",VLOOKUP((ROW(H115)-15),'List of tables'!$A$4:$H$621,8,FALSE))</f>
        <v>All households</v>
      </c>
      <c r="D113" s="21" t="str">
        <f>IF(ISNA(VLOOKUP((ROW(D115)-15),'List of tables'!$A$4:$H$621,5,FALSE))," ",VLOOKUP((ROW(D115)-15),'List of tables'!$A$4:$H$621,5,FALSE))</f>
        <v>Small Area, Super Output Area, Electoral Ward, Local Government District, Assembly Area, NUTS3, Education and Library Board, Health and Social Care Trust, Northern Ireland</v>
      </c>
      <c r="E113" s="83" t="str">
        <f>IF(LEN(G113)&lt;10,"",HYPERLINK(G113,"Download file (Excel 498 KB)"))</f>
        <v>Download file (Excel 498 KB)</v>
      </c>
      <c r="G113" s="18" t="str">
        <f>IF(ISNA(VLOOKUP((ROW(G115)-15),'List of tables'!$A$4:$H$621,6,FALSE))," ",VLOOKUP((ROW(G115)-15),'List of tables'!$A$4:$H$621,6,FALSE))</f>
        <v>https://www.nisra.gov.uk/system/files/statistics/census-2011-qs407ni.xlsx</v>
      </c>
    </row>
    <row r="114" spans="1:7" ht="70" customHeight="1" x14ac:dyDescent="0.3">
      <c r="A114" s="23" t="str">
        <f>IF(ISNA(VLOOKUP((ROW(A116)-15),'List of tables'!$A$4:$H$621,2,FALSE))," ",VLOOKUP((ROW(A116)-15),'List of tables'!$A$4:$H$621,2,FALSE))</f>
        <v>QS408NI</v>
      </c>
      <c r="B114" s="21" t="str">
        <f>IF(ISNA(VLOOKUP((ROW(B116)-15),'List of tables'!$A$4:$H$621,3,FALSE))," ",VLOOKUP((ROW(B116)-15),'List of tables'!$A$4:$H$621,3,FALSE))</f>
        <v>Persons per Room - Households</v>
      </c>
      <c r="C114" s="21" t="str">
        <f>IF(ISNA(VLOOKUP((ROW(H116)-15),'List of tables'!$A$4:$H$621,8,FALSE))," ",VLOOKUP((ROW(H116)-15),'List of tables'!$A$4:$H$621,8,FALSE))</f>
        <v>All households</v>
      </c>
      <c r="D114" s="21" t="str">
        <f>IF(ISNA(VLOOKUP((ROW(D116)-15),'List of tables'!$A$4:$H$621,5,FALSE))," ",VLOOKUP((ROW(D116)-15),'List of tables'!$A$4:$H$621,5,FALSE))</f>
        <v>Small Area, Super Output Area, Electoral Ward, Local Government District, Assembly Area, NUTS3, Education and Library Board, Health and Social Care Trust, Northern Ireland</v>
      </c>
      <c r="E114" s="83" t="str">
        <f>IF(LEN(G114)&lt;10,"",HYPERLINK(G114,"Download file (Excel 470 KB)"))</f>
        <v>Download file (Excel 470 KB)</v>
      </c>
      <c r="G114" s="18" t="str">
        <f>IF(ISNA(VLOOKUP((ROW(G116)-15),'List of tables'!$A$4:$H$621,6,FALSE))," ",VLOOKUP((ROW(G116)-15),'List of tables'!$A$4:$H$621,6,FALSE))</f>
        <v>https://www.nisra.gov.uk/system/files/statistics/census-2011-qs408ni.xlsx</v>
      </c>
    </row>
    <row r="115" spans="1:7" ht="70" customHeight="1" x14ac:dyDescent="0.3">
      <c r="A115" s="23" t="str">
        <f>IF(ISNA(VLOOKUP((ROW(A117)-15),'List of tables'!$A$4:$H$621,2,FALSE))," ",VLOOKUP((ROW(A117)-15),'List of tables'!$A$4:$H$621,2,FALSE))</f>
        <v>QS409NI</v>
      </c>
      <c r="B115" s="21" t="str">
        <f>IF(ISNA(VLOOKUP((ROW(B117)-15),'List of tables'!$A$4:$H$621,3,FALSE))," ",VLOOKUP((ROW(B117)-15),'List of tables'!$A$4:$H$621,3,FALSE))</f>
        <v>Persons per Room - Usual Residents</v>
      </c>
      <c r="C115" s="21" t="str">
        <f>IF(ISNA(VLOOKUP((ROW(H117)-15),'List of tables'!$A$4:$H$621,8,FALSE))," ",VLOOKUP((ROW(H117)-15),'List of tables'!$A$4:$H$621,8,FALSE))</f>
        <v>All usual residents in households</v>
      </c>
      <c r="D115" s="21" t="str">
        <f>IF(ISNA(VLOOKUP((ROW(D117)-15),'List of tables'!$A$4:$H$621,5,FALSE))," ",VLOOKUP((ROW(D117)-15),'List of tables'!$A$4:$H$621,5,FALSE))</f>
        <v>Small Area, Super Output Area, Electoral Ward, Local Government District, Assembly Area, NUTS3, Education and Library Board, Health and Social Care Trust, Northern Ireland</v>
      </c>
      <c r="E115" s="83" t="str">
        <f>IF(LEN(G115)&lt;10,"",HYPERLINK(G115,"Download file (Excel 481 KB)"))</f>
        <v>Download file (Excel 481 KB)</v>
      </c>
      <c r="G115" s="18" t="str">
        <f>IF(ISNA(VLOOKUP((ROW(G117)-15),'List of tables'!$A$4:$H$621,6,FALSE))," ",VLOOKUP((ROW(G117)-15),'List of tables'!$A$4:$H$621,6,FALSE))</f>
        <v>https://www.nisra.gov.uk/system/files/statistics/census-2011-qs409ni.xlsx</v>
      </c>
    </row>
    <row r="116" spans="1:7" ht="70" customHeight="1" x14ac:dyDescent="0.3">
      <c r="A116" s="23" t="str">
        <f>IF(ISNA(VLOOKUP((ROW(A118)-15),'List of tables'!$A$4:$H$621,2,FALSE))," ",VLOOKUP((ROW(A118)-15),'List of tables'!$A$4:$H$621,2,FALSE))</f>
        <v>QS410NI</v>
      </c>
      <c r="B116" s="21" t="str">
        <f>IF(ISNA(VLOOKUP((ROW(B118)-15),'List of tables'!$A$4:$H$621,3,FALSE))," ",VLOOKUP((ROW(B118)-15),'List of tables'!$A$4:$H$621,3,FALSE))</f>
        <v>Household Spaces</v>
      </c>
      <c r="C116" s="21" t="str">
        <f>IF(ISNA(VLOOKUP((ROW(H118)-15),'List of tables'!$A$4:$H$621,8,FALSE))," ",VLOOKUP((ROW(H118)-15),'List of tables'!$A$4:$H$621,8,FALSE))</f>
        <v>All household spaces</v>
      </c>
      <c r="D116" s="21" t="str">
        <f>IF(ISNA(VLOOKUP((ROW(D118)-15),'List of tables'!$A$4:$H$621,5,FALSE))," ",VLOOKUP((ROW(D118)-15),'List of tables'!$A$4:$H$621,5,FALSE))</f>
        <v>Small Area, Super Output Area, Electoral Ward, Local Government District, Assembly Area, NUTS3, Education and Library Board, Health and Social Care Trust, Northern Ireland</v>
      </c>
      <c r="E116" s="83" t="str">
        <f>IF(LEN(G116)&lt;10,"",HYPERLINK(G116,"Download file (Excel 416 KB)"))</f>
        <v>Download file (Excel 416 KB)</v>
      </c>
      <c r="G116" s="18" t="str">
        <f>IF(ISNA(VLOOKUP((ROW(G118)-15),'List of tables'!$A$4:$H$621,6,FALSE))," ",VLOOKUP((ROW(G118)-15),'List of tables'!$A$4:$H$621,6,FALSE))</f>
        <v>https://www.nisra.gov.uk/system/files/statistics/census-2011-qs410ni.xlsx</v>
      </c>
    </row>
    <row r="117" spans="1:7" ht="70" customHeight="1" x14ac:dyDescent="0.3">
      <c r="A117" s="23" t="str">
        <f>IF(ISNA(VLOOKUP((ROW(A119)-15),'List of tables'!$A$4:$H$621,2,FALSE))," ",VLOOKUP((ROW(A119)-15),'List of tables'!$A$4:$H$621,2,FALSE))</f>
        <v>QS411NI</v>
      </c>
      <c r="B117" s="21" t="str">
        <f>IF(ISNA(VLOOKUP((ROW(B119)-15),'List of tables'!$A$4:$H$621,3,FALSE))," ",VLOOKUP((ROW(B119)-15),'List of tables'!$A$4:$H$621,3,FALSE))</f>
        <v>Dwellings</v>
      </c>
      <c r="C117" s="21" t="str">
        <f>IF(ISNA(VLOOKUP((ROW(H119)-15),'List of tables'!$A$4:$H$621,8,FALSE))," ",VLOOKUP((ROW(H119)-15),'List of tables'!$A$4:$H$621,8,FALSE))</f>
        <v>All dwellings</v>
      </c>
      <c r="D117" s="21" t="str">
        <f>IF(ISNA(VLOOKUP((ROW(D119)-15),'List of tables'!$A$4:$H$621,5,FALSE))," ",VLOOKUP((ROW(D119)-15),'List of tables'!$A$4:$H$621,5,FALSE))</f>
        <v>Small Area, Super Output Area, Electoral Ward, Local Government District, Assembly Area, NUTS3, Education and Library Board, Health and Social Care Trust, Northern Ireland</v>
      </c>
      <c r="E117" s="83" t="str">
        <f>IF(LEN(G117)&lt;10,"",HYPERLINK(G117,"Download file (Excel 407 KB)"))</f>
        <v>Download file (Excel 407 KB)</v>
      </c>
      <c r="G117" s="18" t="str">
        <f>IF(ISNA(VLOOKUP((ROW(G119)-15),'List of tables'!$A$4:$H$621,6,FALSE))," ",VLOOKUP((ROW(G119)-15),'List of tables'!$A$4:$H$621,6,FALSE))</f>
        <v>https://www.nisra.gov.uk/system/files/statistics/census-2011-qs411ni.xlsx</v>
      </c>
    </row>
    <row r="118" spans="1:7" ht="70" customHeight="1" x14ac:dyDescent="0.3">
      <c r="A118" s="23" t="str">
        <f>IF(ISNA(VLOOKUP((ROW(A120)-15),'List of tables'!$A$4:$H$621,2,FALSE))," ",VLOOKUP((ROW(A120)-15),'List of tables'!$A$4:$H$621,2,FALSE))</f>
        <v>QS412NI</v>
      </c>
      <c r="B118" s="21" t="str">
        <f>IF(ISNA(VLOOKUP((ROW(B120)-15),'List of tables'!$A$4:$H$621,3,FALSE))," ",VLOOKUP((ROW(B120)-15),'List of tables'!$A$4:$H$621,3,FALSE))</f>
        <v>Position in Communal Establishment</v>
      </c>
      <c r="C118" s="21" t="str">
        <f>IF(ISNA(VLOOKUP((ROW(H120)-15),'List of tables'!$A$4:$H$621,8,FALSE))," ",VLOOKUP((ROW(H120)-15),'List of tables'!$A$4:$H$621,8,FALSE))</f>
        <v>All usual residents in communal establishments</v>
      </c>
      <c r="D118" s="21" t="str">
        <f>IF(ISNA(VLOOKUP((ROW(D120)-15),'List of tables'!$A$4:$H$621,5,FALSE))," ",VLOOKUP((ROW(D120)-15),'List of tables'!$A$4:$H$621,5,FALSE))</f>
        <v>Small Area, Super Output Area, Electoral Ward, Local Government District, Assembly Area, NUTS3, Education and Library Board, Health and Social Care Trust, Northern Ireland</v>
      </c>
      <c r="E118" s="83" t="str">
        <f>IF(LEN(G118)&lt;10,"",HYPERLINK(G118,"Download file (Excel 410 KB)"))</f>
        <v>Download file (Excel 410 KB)</v>
      </c>
      <c r="G118" s="18" t="str">
        <f>IF(ISNA(VLOOKUP((ROW(G120)-15),'List of tables'!$A$4:$H$621,6,FALSE))," ",VLOOKUP((ROW(G120)-15),'List of tables'!$A$4:$H$621,6,FALSE))</f>
        <v>https://www.nisra.gov.uk/system/files/statistics/census-2011-qs412ni.xlsx</v>
      </c>
    </row>
    <row r="119" spans="1:7" ht="70" customHeight="1" x14ac:dyDescent="0.3">
      <c r="A119" s="23" t="str">
        <f>IF(ISNA(VLOOKUP((ROW(A121)-15),'List of tables'!$A$4:$H$621,2,FALSE))," ",VLOOKUP((ROW(A121)-15),'List of tables'!$A$4:$H$621,2,FALSE))</f>
        <v>QS413NI</v>
      </c>
      <c r="B119" s="21" t="str">
        <f>IF(ISNA(VLOOKUP((ROW(B121)-15),'List of tables'!$A$4:$H$621,3,FALSE))," ",VLOOKUP((ROW(B121)-15),'List of tables'!$A$4:$H$621,3,FALSE))</f>
        <v>Communal Establishment Management and Type - Communal Establishments</v>
      </c>
      <c r="C119" s="21" t="str">
        <f>IF(ISNA(VLOOKUP((ROW(H121)-15),'List of tables'!$A$4:$H$621,8,FALSE))," ",VLOOKUP((ROW(H121)-15),'List of tables'!$A$4:$H$621,8,FALSE))</f>
        <v>All communal establishments</v>
      </c>
      <c r="D119" s="21" t="str">
        <f>IF(ISNA(VLOOKUP((ROW(D121)-15),'List of tables'!$A$4:$H$621,5,FALSE))," ",VLOOKUP((ROW(D121)-15),'List of tables'!$A$4:$H$621,5,FALSE))</f>
        <v>Small Area, Super Output Area, Electoral Ward, Local Government District, Assembly Area, NUTS3, Education and Library Board, Health and Social Care Trust, Northern Ireland</v>
      </c>
      <c r="E119" s="83" t="str">
        <f>IF(LEN(G119)&lt;10,"",HYPERLINK(G119,"Download file (Excel 838 KB)"))</f>
        <v>Download file (Excel 838 KB)</v>
      </c>
      <c r="G119" s="18" t="str">
        <f>IF(ISNA(VLOOKUP((ROW(G121)-15),'List of tables'!$A$4:$H$621,6,FALSE))," ",VLOOKUP((ROW(G121)-15),'List of tables'!$A$4:$H$621,6,FALSE))</f>
        <v>https://www.nisra.gov.uk/system/files/statistics/census-2011-qs413ni.xlsx</v>
      </c>
    </row>
    <row r="120" spans="1:7" ht="70" customHeight="1" x14ac:dyDescent="0.3">
      <c r="A120" s="23" t="str">
        <f>IF(ISNA(VLOOKUP((ROW(A122)-15),'List of tables'!$A$4:$H$621,2,FALSE))," ",VLOOKUP((ROW(A122)-15),'List of tables'!$A$4:$H$621,2,FALSE))</f>
        <v>QS414NI</v>
      </c>
      <c r="B120" s="21" t="str">
        <f>IF(ISNA(VLOOKUP((ROW(B122)-15),'List of tables'!$A$4:$H$621,3,FALSE))," ",VLOOKUP((ROW(B122)-15),'List of tables'!$A$4:$H$621,3,FALSE))</f>
        <v>Communal Establishment Management and Type - Usual Residents</v>
      </c>
      <c r="C120" s="21" t="str">
        <f>IF(ISNA(VLOOKUP((ROW(H122)-15),'List of tables'!$A$4:$H$621,8,FALSE))," ",VLOOKUP((ROW(H122)-15),'List of tables'!$A$4:$H$621,8,FALSE))</f>
        <v>All usual residents in communal establishments</v>
      </c>
      <c r="D120" s="21" t="str">
        <f>IF(ISNA(VLOOKUP((ROW(D122)-15),'List of tables'!$A$4:$H$621,5,FALSE))," ",VLOOKUP((ROW(D122)-15),'List of tables'!$A$4:$H$621,5,FALSE))</f>
        <v>Small Area, Super Output Area, Electoral Ward, Local Government District, Assembly Area, NUTS3, Education and Library Board, Health and Social Care Trust, Northern Ireland</v>
      </c>
      <c r="E120" s="83" t="str">
        <f>IF(LEN(G120)&lt;10,"",HYPERLINK(G120,"Download file (Excel 845 KB)"))</f>
        <v>Download file (Excel 845 KB)</v>
      </c>
      <c r="G120" s="18" t="str">
        <f>IF(ISNA(VLOOKUP((ROW(G122)-15),'List of tables'!$A$4:$H$621,6,FALSE))," ",VLOOKUP((ROW(G122)-15),'List of tables'!$A$4:$H$621,6,FALSE))</f>
        <v>https://www.nisra.gov.uk/system/files/statistics/census-2011-qs414ni.xlsx</v>
      </c>
    </row>
    <row r="121" spans="1:7" ht="70" customHeight="1" x14ac:dyDescent="0.3">
      <c r="A121" s="23" t="str">
        <f>IF(ISNA(VLOOKUP((ROW(A123)-15),'List of tables'!$A$4:$H$621,2,FALSE))," ",VLOOKUP((ROW(A123)-15),'List of tables'!$A$4:$H$621,2,FALSE))</f>
        <v>QS601NI</v>
      </c>
      <c r="B121" s="21" t="str">
        <f>IF(ISNA(VLOOKUP((ROW(B123)-15),'List of tables'!$A$4:$H$621,3,FALSE))," ",VLOOKUP((ROW(B123)-15),'List of tables'!$A$4:$H$621,3,FALSE))</f>
        <v>Economic Activity</v>
      </c>
      <c r="C121" s="21" t="str">
        <f>IF(ISNA(VLOOKUP((ROW(H123)-15),'List of tables'!$A$4:$H$621,8,FALSE))," ",VLOOKUP((ROW(H123)-15),'List of tables'!$A$4:$H$621,8,FALSE))</f>
        <v>All usual residents aged 16 to 74</v>
      </c>
      <c r="D121" s="21" t="str">
        <f>IF(ISNA(VLOOKUP((ROW(D123)-15),'List of tables'!$A$4:$H$621,5,FALSE))," ",VLOOKUP((ROW(D123)-15),'List of tables'!$A$4:$H$621,5,FALSE))</f>
        <v>Small Area, Super Output Area, Electoral Ward, Local Government District, Assembly Area, NUTS3, Education and Library Board, Health and Social Care Trust, Northern Ireland</v>
      </c>
      <c r="E121" s="83" t="str">
        <f>IF(LEN(G121)&lt;10,"",HYPERLINK(G121,"Download file (Excel 807 KB)"))</f>
        <v>Download file (Excel 807 KB)</v>
      </c>
      <c r="G121" s="18" t="str">
        <f>IF(ISNA(VLOOKUP((ROW(G123)-15),'List of tables'!$A$4:$H$621,6,FALSE))," ",VLOOKUP((ROW(G123)-15),'List of tables'!$A$4:$H$621,6,FALSE))</f>
        <v>https://www.nisra.gov.uk/system/files/statistics/census-2011-qs601ni.xlsx</v>
      </c>
    </row>
    <row r="122" spans="1:7" ht="70" customHeight="1" x14ac:dyDescent="0.3">
      <c r="A122" s="23" t="str">
        <f>IF(ISNA(VLOOKUP((ROW(A124)-15),'List of tables'!$A$4:$H$621,2,FALSE))," ",VLOOKUP((ROW(A124)-15),'List of tables'!$A$4:$H$621,2,FALSE))</f>
        <v>QS602NI</v>
      </c>
      <c r="B122" s="21" t="str">
        <f>IF(ISNA(VLOOKUP((ROW(B124)-15),'List of tables'!$A$4:$H$621,3,FALSE))," ",VLOOKUP((ROW(B124)-15),'List of tables'!$A$4:$H$621,3,FALSE))</f>
        <v>Economic Activity of Household Reference Person (HRP)</v>
      </c>
      <c r="C122" s="21" t="str">
        <f>IF(ISNA(VLOOKUP((ROW(H124)-15),'List of tables'!$A$4:$H$621,8,FALSE))," ",VLOOKUP((ROW(H124)-15),'List of tables'!$A$4:$H$621,8,FALSE))</f>
        <v>All Household Reference Persons (HRPs) aged 16 to 74</v>
      </c>
      <c r="D122" s="21" t="str">
        <f>IF(ISNA(VLOOKUP((ROW(D124)-15),'List of tables'!$A$4:$H$621,5,FALSE))," ",VLOOKUP((ROW(D124)-15),'List of tables'!$A$4:$H$621,5,FALSE))</f>
        <v>Small Area, Super Output Area, Electoral Ward, Local Government District, Assembly Area, NUTS3, Education and Library Board, Health and Social Care Trust, Northern Ireland</v>
      </c>
      <c r="E122" s="83" t="str">
        <f>IF(LEN(G122)&lt;10,"",HYPERLINK(G122,"Download file (Excel 779 KB)"))</f>
        <v>Download file (Excel 779 KB)</v>
      </c>
      <c r="G122" s="18" t="str">
        <f>IF(ISNA(VLOOKUP((ROW(G124)-15),'List of tables'!$A$4:$H$621,6,FALSE))," ",VLOOKUP((ROW(G124)-15),'List of tables'!$A$4:$H$621,6,FALSE))</f>
        <v>https://www.nisra.gov.uk/system/files/statistics/census-2011-qs602ni.xlsx</v>
      </c>
    </row>
    <row r="123" spans="1:7" ht="70" customHeight="1" x14ac:dyDescent="0.3">
      <c r="A123" s="23" t="str">
        <f>IF(ISNA(VLOOKUP((ROW(A125)-15),'List of tables'!$A$4:$H$621,2,FALSE))," ",VLOOKUP((ROW(A125)-15),'List of tables'!$A$4:$H$621,2,FALSE))</f>
        <v>QS603NI</v>
      </c>
      <c r="B123" s="21" t="str">
        <f>IF(ISNA(VLOOKUP((ROW(B125)-15),'List of tables'!$A$4:$H$621,3,FALSE))," ",VLOOKUP((ROW(B125)-15),'List of tables'!$A$4:$H$621,3,FALSE))</f>
        <v>Economic Activity - Full-Time students</v>
      </c>
      <c r="C123" s="21" t="str">
        <f>IF(ISNA(VLOOKUP((ROW(H125)-15),'List of tables'!$A$4:$H$621,8,FALSE))," ",VLOOKUP((ROW(H125)-15),'List of tables'!$A$4:$H$621,8,FALSE))</f>
        <v xml:space="preserve">All full-time students aged 16 to 74 </v>
      </c>
      <c r="D123" s="21" t="str">
        <f>IF(ISNA(VLOOKUP((ROW(D125)-15),'List of tables'!$A$4:$H$621,5,FALSE))," ",VLOOKUP((ROW(D125)-15),'List of tables'!$A$4:$H$621,5,FALSE))</f>
        <v>Small Area, Super Output Area, Electoral Ward, Local Government District, Assembly Area, NUTS3, Education and Library Board, Health and Social Care Trust, Northern Ireland</v>
      </c>
      <c r="E123" s="83" t="str">
        <f>IF(LEN(G123)&lt;10,"",HYPERLINK(G123,"Download file (Excel 435 KB)"))</f>
        <v>Download file (Excel 435 KB)</v>
      </c>
      <c r="G123" s="18" t="str">
        <f>IF(ISNA(VLOOKUP((ROW(G125)-15),'List of tables'!$A$4:$H$621,6,FALSE))," ",VLOOKUP((ROW(G125)-15),'List of tables'!$A$4:$H$621,6,FALSE))</f>
        <v>https://www.nisra.gov.uk/system/files/statistics/census-2011-qs603ni.xlsx</v>
      </c>
    </row>
    <row r="124" spans="1:7" ht="70" customHeight="1" x14ac:dyDescent="0.3">
      <c r="A124" s="23" t="str">
        <f>IF(ISNA(VLOOKUP((ROW(A126)-15),'List of tables'!$A$4:$H$621,2,FALSE))," ",VLOOKUP((ROW(A126)-15),'List of tables'!$A$4:$H$621,2,FALSE))</f>
        <v>QS604NI</v>
      </c>
      <c r="B124" s="21" t="str">
        <f>IF(ISNA(VLOOKUP((ROW(B126)-15),'List of tables'!$A$4:$H$621,3,FALSE))," ",VLOOKUP((ROW(B126)-15),'List of tables'!$A$4:$H$621,3,FALSE))</f>
        <v>Industry - Manufacturing Detail</v>
      </c>
      <c r="C124" s="21" t="str">
        <f>IF(ISNA(VLOOKUP((ROW(H126)-15),'List of tables'!$A$4:$H$621,8,FALSE))," ",VLOOKUP((ROW(H126)-15),'List of tables'!$A$4:$H$621,8,FALSE))</f>
        <v xml:space="preserve">All usual residents aged 16 to 74 in employment </v>
      </c>
      <c r="D124" s="21" t="str">
        <f>IF(ISNA(VLOOKUP((ROW(D126)-15),'List of tables'!$A$4:$H$621,5,FALSE))," ",VLOOKUP((ROW(D126)-15),'List of tables'!$A$4:$H$621,5,FALSE))</f>
        <v>Small Area, Super Output Area, Electoral Ward, Local Government District, Assembly Area, NUTS3, Education and Library Board, Health and Social Care Trust, Northern Ireland</v>
      </c>
      <c r="E124" s="83" t="str">
        <f>IF(LEN(G124)&lt;10,"",HYPERLINK(G124,"Download file (Excel 1.1 MB)"))</f>
        <v>Download file (Excel 1.1 MB)</v>
      </c>
      <c r="G124" s="18" t="str">
        <f>IF(ISNA(VLOOKUP((ROW(G126)-15),'List of tables'!$A$4:$H$621,6,FALSE))," ",VLOOKUP((ROW(G126)-15),'List of tables'!$A$4:$H$621,6,FALSE))</f>
        <v>https://www.nisra.gov.uk/system/files/statistics/census-2011-qs604ni.xlsx</v>
      </c>
    </row>
    <row r="125" spans="1:7" ht="70" customHeight="1" x14ac:dyDescent="0.3">
      <c r="A125" s="23" t="str">
        <f>IF(ISNA(VLOOKUP((ROW(A127)-15),'List of tables'!$A$4:$H$621,2,FALSE))," ",VLOOKUP((ROW(A127)-15),'List of tables'!$A$4:$H$621,2,FALSE))</f>
        <v>QS605NI</v>
      </c>
      <c r="B125" s="21" t="str">
        <f>IF(ISNA(VLOOKUP((ROW(B127)-15),'List of tables'!$A$4:$H$621,3,FALSE))," ",VLOOKUP((ROW(B127)-15),'List of tables'!$A$4:$H$621,3,FALSE))</f>
        <v>Occupation - Minor Groups</v>
      </c>
      <c r="C125" s="21" t="str">
        <f>IF(ISNA(VLOOKUP((ROW(H127)-15),'List of tables'!$A$4:$H$621,8,FALSE))," ",VLOOKUP((ROW(H127)-15),'List of tables'!$A$4:$H$621,8,FALSE))</f>
        <v xml:space="preserve">All usual residents aged 16 to 74 in employment </v>
      </c>
      <c r="D125" s="21" t="str">
        <f>IF(ISNA(VLOOKUP((ROW(D127)-15),'List of tables'!$A$4:$H$621,5,FALSE))," ",VLOOKUP((ROW(D127)-15),'List of tables'!$A$4:$H$621,5,FALSE))</f>
        <v>Small Area, Super Output Area, Electoral Ward, Local Government District, Assembly Area, NUTS3, Education and Library Board, Health and Social Care Trust, Northern Ireland</v>
      </c>
      <c r="E125" s="83" t="str">
        <f>IF(LEN(G125)&lt;10,"",HYPERLINK(G125,"Download file (Excel 1.3 MB)"))</f>
        <v>Download file (Excel 1.3 MB)</v>
      </c>
      <c r="G125" s="18" t="str">
        <f>IF(ISNA(VLOOKUP((ROW(G127)-15),'List of tables'!$A$4:$H$621,6,FALSE))," ",VLOOKUP((ROW(G127)-15),'List of tables'!$A$4:$H$621,6,FALSE))</f>
        <v>https://www.nisra.gov.uk/system/files/statistics/census-2011-qs605ni.xlsx</v>
      </c>
    </row>
    <row r="126" spans="1:7" ht="70" customHeight="1" x14ac:dyDescent="0.3">
      <c r="A126" s="23" t="str">
        <f>IF(ISNA(VLOOKUP((ROW(A128)-15),'List of tables'!$A$4:$H$621,2,FALSE))," ",VLOOKUP((ROW(A128)-15),'List of tables'!$A$4:$H$621,2,FALSE))</f>
        <v>QS606NI</v>
      </c>
      <c r="B126" s="21" t="str">
        <f>IF(ISNA(VLOOKUP((ROW(B128)-15),'List of tables'!$A$4:$H$621,3,FALSE))," ",VLOOKUP((ROW(B128)-15),'List of tables'!$A$4:$H$621,3,FALSE))</f>
        <v>National Statistics Socio-economic Classification (NS-SeC)</v>
      </c>
      <c r="C126" s="21" t="str">
        <f>IF(ISNA(VLOOKUP((ROW(H128)-15),'List of tables'!$A$4:$H$621,8,FALSE))," ",VLOOKUP((ROW(H128)-15),'List of tables'!$A$4:$H$621,8,FALSE))</f>
        <v xml:space="preserve">All usual residents aged 16 to 74 </v>
      </c>
      <c r="D126" s="21" t="str">
        <f>IF(ISNA(VLOOKUP((ROW(D128)-15),'List of tables'!$A$4:$H$621,5,FALSE))," ",VLOOKUP((ROW(D128)-15),'List of tables'!$A$4:$H$621,5,FALSE))</f>
        <v>Small Area, Super Output Area, Electoral Ward, Local Government District, Assembly Area, NUTS3, Education and Library Board, Health and Social Care Trust, Northern Ireland</v>
      </c>
      <c r="E126" s="83" t="str">
        <f>IF(LEN(G126)&lt;10,"",HYPERLINK(G126,"Download file (Excel 1.7 MB)"))</f>
        <v>Download file (Excel 1.7 MB)</v>
      </c>
      <c r="G126" s="18" t="str">
        <f>IF(ISNA(VLOOKUP((ROW(G128)-15),'List of tables'!$A$4:$H$621,6,FALSE))," ",VLOOKUP((ROW(G128)-15),'List of tables'!$A$4:$H$621,6,FALSE))</f>
        <v>https://www.nisra.gov.uk/system/files/statistics/census-2011-qs606ni.xlsx</v>
      </c>
    </row>
    <row r="127" spans="1:7" ht="70" customHeight="1" x14ac:dyDescent="0.3">
      <c r="A127" s="23" t="str">
        <f>IF(ISNA(VLOOKUP((ROW(A129)-15),'List of tables'!$A$4:$H$621,2,FALSE))," ",VLOOKUP((ROW(A129)-15),'List of tables'!$A$4:$H$621,2,FALSE))</f>
        <v>QS607NI</v>
      </c>
      <c r="B127" s="21" t="str">
        <f>IF(ISNA(VLOOKUP((ROW(B129)-15),'List of tables'!$A$4:$H$621,3,FALSE))," ",VLOOKUP((ROW(B129)-15),'List of tables'!$A$4:$H$621,3,FALSE))</f>
        <v>NS-SeC of Household Reference Person (HRP) - Usual Residents Aged Under 65</v>
      </c>
      <c r="C127" s="21" t="str">
        <f>IF(ISNA(VLOOKUP((ROW(H129)-15),'List of tables'!$A$4:$H$621,8,FALSE))," ",VLOOKUP((ROW(H129)-15),'List of tables'!$A$4:$H$621,8,FALSE))</f>
        <v>All usual residents aged under 65 in households</v>
      </c>
      <c r="D127" s="21" t="str">
        <f>IF(ISNA(VLOOKUP((ROW(D129)-15),'List of tables'!$A$4:$H$621,5,FALSE))," ",VLOOKUP((ROW(D129)-15),'List of tables'!$A$4:$H$621,5,FALSE))</f>
        <v>Small Area, Super Output Area, Electoral Ward, Local Government District, Assembly Area, NUTS3, Education and Library Board, Health and Social Care Trust, Northern Ireland</v>
      </c>
      <c r="E127" s="83" t="str">
        <f>IF(LEN(G127)&lt;10,"",HYPERLINK(G127,"Download file (Excel 745 KB"))</f>
        <v>Download file (Excel 745 KB</v>
      </c>
      <c r="G127" s="18" t="str">
        <f>IF(ISNA(VLOOKUP((ROW(G129)-15),'List of tables'!$A$4:$H$621,6,FALSE))," ",VLOOKUP((ROW(G129)-15),'List of tables'!$A$4:$H$621,6,FALSE))</f>
        <v>https://www.nisra.gov.uk/system/files/statistics/census-2011-qs607ni.xlsx</v>
      </c>
    </row>
    <row r="128" spans="1:7" ht="70" customHeight="1" x14ac:dyDescent="0.3">
      <c r="A128" s="23" t="str">
        <f>IF(ISNA(VLOOKUP((ROW(A130)-15),'List of tables'!$A$4:$H$621,2,FALSE))," ",VLOOKUP((ROW(A130)-15),'List of tables'!$A$4:$H$621,2,FALSE))</f>
        <v>QS608NI</v>
      </c>
      <c r="B128" s="21" t="str">
        <f>IF(ISNA(VLOOKUP((ROW(B130)-15),'List of tables'!$A$4:$H$621,3,FALSE))," ",VLOOKUP((ROW(B130)-15),'List of tables'!$A$4:$H$621,3,FALSE))</f>
        <v>NS-SeC of Household Reference Person (HRP) - Usual Residents</v>
      </c>
      <c r="C128" s="21" t="str">
        <f>IF(ISNA(VLOOKUP((ROW(H130)-15),'List of tables'!$A$4:$H$621,8,FALSE))," ",VLOOKUP((ROW(H130)-15),'List of tables'!$A$4:$H$621,8,FALSE))</f>
        <v>All usual residents in households</v>
      </c>
      <c r="D128" s="21" t="str">
        <f>IF(ISNA(VLOOKUP((ROW(D130)-15),'List of tables'!$A$4:$H$621,5,FALSE))," ",VLOOKUP((ROW(D130)-15),'List of tables'!$A$4:$H$621,5,FALSE))</f>
        <v>Small Area, Super Output Area, Electoral Ward, Local Government District, Assembly Area, NUTS3, Education and Library Board, Health and Social Care Trust, Northern Ireland</v>
      </c>
      <c r="E128" s="83" t="str">
        <f>IF(LEN(G128)&lt;10,"",HYPERLINK(G128,"Download file (Excel 747 KB)"))</f>
        <v>Download file (Excel 747 KB)</v>
      </c>
      <c r="G128" s="18" t="str">
        <f>IF(ISNA(VLOOKUP((ROW(G130)-15),'List of tables'!$A$4:$H$621,6,FALSE))," ",VLOOKUP((ROW(G130)-15),'List of tables'!$A$4:$H$621,6,FALSE))</f>
        <v>https://www.nisra.gov.uk/system/files/statistics/census-2011-qs608ni.xlsx</v>
      </c>
    </row>
    <row r="129" spans="1:7" ht="70" customHeight="1" x14ac:dyDescent="0.3">
      <c r="A129" s="23" t="str">
        <f>IF(ISNA(VLOOKUP((ROW(A131)-15),'List of tables'!$A$4:$H$621,2,FALSE))," ",VLOOKUP((ROW(A131)-15),'List of tables'!$A$4:$H$621,2,FALSE))</f>
        <v>QS609NI</v>
      </c>
      <c r="B129" s="21" t="str">
        <f>IF(ISNA(VLOOKUP((ROW(B131)-15),'List of tables'!$A$4:$H$621,3,FALSE))," ",VLOOKUP((ROW(B131)-15),'List of tables'!$A$4:$H$621,3,FALSE))</f>
        <v>NS-SeC of Household Reference Person (HRP) Aged Under 65 - Usual Residents</v>
      </c>
      <c r="C129" s="21" t="str">
        <f>IF(ISNA(VLOOKUP((ROW(H131)-15),'List of tables'!$A$4:$H$621,8,FALSE))," ",VLOOKUP((ROW(H131)-15),'List of tables'!$A$4:$H$621,8,FALSE))</f>
        <v>All usual residents in households where Household Reference Person is aged under 65</v>
      </c>
      <c r="D129" s="21" t="str">
        <f>IF(ISNA(VLOOKUP((ROW(D131)-15),'List of tables'!$A$4:$H$621,5,FALSE))," ",VLOOKUP((ROW(D131)-15),'List of tables'!$A$4:$H$621,5,FALSE))</f>
        <v>Small Area, Super Output Area, Electoral Ward, Local Government District, Assembly Area, NUTS3, Education and Library Board, Health and Social Care Trust, Northern Ireland</v>
      </c>
      <c r="E129" s="83" t="str">
        <f>IF(LEN(G129)&lt;10,"",HYPERLINK(G129,"Download file (Excel 743 KB)"))</f>
        <v>Download file (Excel 743 KB)</v>
      </c>
      <c r="G129" s="18" t="str">
        <f>IF(ISNA(VLOOKUP((ROW(G131)-15),'List of tables'!$A$4:$H$621,6,FALSE))," ",VLOOKUP((ROW(G131)-15),'List of tables'!$A$4:$H$621,6,FALSE))</f>
        <v>https://www.nisra.gov.uk/system/files/statistics/census-2011-qs609ni.xlsx</v>
      </c>
    </row>
    <row r="130" spans="1:7" ht="70" customHeight="1" x14ac:dyDescent="0.3">
      <c r="A130" s="23" t="str">
        <f>IF(ISNA(VLOOKUP((ROW(A132)-15),'List of tables'!$A$4:$H$621,2,FALSE))," ",VLOOKUP((ROW(A132)-15),'List of tables'!$A$4:$H$621,2,FALSE))</f>
        <v>QS610NI</v>
      </c>
      <c r="B130" s="21" t="str">
        <f>IF(ISNA(VLOOKUP((ROW(B132)-15),'List of tables'!$A$4:$H$621,3,FALSE))," ",VLOOKUP((ROW(B132)-15),'List of tables'!$A$4:$H$621,3,FALSE))</f>
        <v>Year Last Worked</v>
      </c>
      <c r="C130" s="21" t="str">
        <f>IF(ISNA(VLOOKUP((ROW(H132)-15),'List of tables'!$A$4:$H$621,8,FALSE))," ",VLOOKUP((ROW(H132)-15),'List of tables'!$A$4:$H$621,8,FALSE))</f>
        <v>All usual residents aged 16 to 74</v>
      </c>
      <c r="D130" s="21" t="str">
        <f>IF(ISNA(VLOOKUP((ROW(D132)-15),'List of tables'!$A$4:$H$621,5,FALSE))," ",VLOOKUP((ROW(D132)-15),'List of tables'!$A$4:$H$621,5,FALSE))</f>
        <v>Neighbourhood Renewal Area, Delivery Office, Small Area, Super Output Area, Electoral Ward, Local Government District, Assembly Area, NUTS3, Education and Library Board, Health and Social Care Trust, Northern Ireland</v>
      </c>
      <c r="E130" s="83" t="str">
        <f>IF(LEN(G130)&lt;10,"",HYPERLINK(G130,"Download file (Excel 678 KB)"))</f>
        <v>Download file (Excel 678 KB)</v>
      </c>
      <c r="G130" s="18" t="str">
        <f>IF(ISNA(VLOOKUP((ROW(G132)-15),'List of tables'!$A$4:$H$621,6,FALSE))," ",VLOOKUP((ROW(G132)-15),'List of tables'!$A$4:$H$621,6,FALSE))</f>
        <v>https://www.nisra.gov.uk/system/files/statistics/census-2011-qs610ni.xlsx</v>
      </c>
    </row>
    <row r="131" spans="1:7" ht="70" customHeight="1" x14ac:dyDescent="0.3">
      <c r="A131" s="23" t="str">
        <f>IF(ISNA(VLOOKUP((ROW(A133)-15),'List of tables'!$A$4:$H$621,2,FALSE))," ",VLOOKUP((ROW(A133)-15),'List of tables'!$A$4:$H$621,2,FALSE))</f>
        <v>QS611NI</v>
      </c>
      <c r="B131" s="21" t="str">
        <f>IF(ISNA(VLOOKUP((ROW(B133)-15),'List of tables'!$A$4:$H$621,3,FALSE))," ",VLOOKUP((ROW(B133)-15),'List of tables'!$A$4:$H$621,3,FALSE))</f>
        <v>Approximated Social Grade - Household Reference Person (HRP) Aged 16 to 64</v>
      </c>
      <c r="C131" s="21" t="str">
        <f>IF(ISNA(VLOOKUP((ROW(H133)-15),'List of tables'!$A$4:$H$621,8,FALSE))," ",VLOOKUP((ROW(H133)-15),'List of tables'!$A$4:$H$621,8,FALSE))</f>
        <v>All Household Reference Persons (HRPs) aged 16 to 64</v>
      </c>
      <c r="D131" s="21" t="str">
        <f>IF(ISNA(VLOOKUP((ROW(D133)-15),'List of tables'!$A$4:$H$621,5,FALSE))," ",VLOOKUP((ROW(D133)-15),'List of tables'!$A$4:$H$621,5,FALSE))</f>
        <v>Neighbourhood Renewal Area, Delivery Office, Small Area, Super Output Area, Electoral Ward, Local Government District, Assembly Area, NUTS3, Education and Library Board, Health and Social Care Trust, Northern Ireland</v>
      </c>
      <c r="E131" s="83" t="str">
        <f>IF(LEN(G131)&lt;10,"",HYPERLINK(G131,"Download file (Excel 481 KB)"))</f>
        <v>Download file (Excel 481 KB)</v>
      </c>
      <c r="G131" s="18" t="str">
        <f>IF(ISNA(VLOOKUP((ROW(G133)-15),'List of tables'!$A$4:$H$621,6,FALSE))," ",VLOOKUP((ROW(G133)-15),'List of tables'!$A$4:$H$621,6,FALSE))</f>
        <v>https://www.nisra.gov.uk/system/files/statistics/census-2011-qs611ni.xlsx</v>
      </c>
    </row>
    <row r="132" spans="1:7" ht="70" customHeight="1" x14ac:dyDescent="0.3">
      <c r="A132" s="23" t="str">
        <f>IF(ISNA(VLOOKUP((ROW(A134)-15),'List of tables'!$A$4:$H$621,2,FALSE))," ",VLOOKUP((ROW(A134)-15),'List of tables'!$A$4:$H$621,2,FALSE))</f>
        <v>QS801NI</v>
      </c>
      <c r="B132" s="21" t="str">
        <f>IF(ISNA(VLOOKUP((ROW(B134)-15),'List of tables'!$A$4:$H$621,3,FALSE))," ",VLOOKUP((ROW(B134)-15),'List of tables'!$A$4:$H$621,3,FALSE))</f>
        <v>Year of Most Recent Arrival in Northern Ireland (Born outside Northern Ireland)</v>
      </c>
      <c r="C132" s="21" t="str">
        <f>IF(ISNA(VLOOKUP((ROW(H134)-15),'List of tables'!$A$4:$H$621,8,FALSE))," ",VLOOKUP((ROW(H134)-15),'List of tables'!$A$4:$H$621,8,FALSE))</f>
        <v>All usual residents who were born and have lived outside Northern Ireland</v>
      </c>
      <c r="D132" s="21" t="str">
        <f>IF(ISNA(VLOOKUP((ROW(D134)-15),'List of tables'!$A$4:$H$621,5,FALSE))," ",VLOOKUP((ROW(D134)-15),'List of tables'!$A$4:$H$621,5,FALSE))</f>
        <v>Local Government District, NUTS3, Education and Library Board, Health and Social Care Trust, Northern Ireland</v>
      </c>
      <c r="E132" s="83" t="str">
        <f>IF(LEN(G132)&lt;10,"",HYPERLINK(G132,"Download file (Excel 170 KB)"))</f>
        <v>Download file (Excel 170 KB)</v>
      </c>
      <c r="G132" s="18" t="str">
        <f>IF(ISNA(VLOOKUP((ROW(G134)-15),'List of tables'!$A$4:$H$621,6,FALSE))," ",VLOOKUP((ROW(G134)-15),'List of tables'!$A$4:$H$621,6,FALSE))</f>
        <v>https://www.nisra.gov.uk/system/files/statistics/census-2011-qs801ni.xlsx</v>
      </c>
    </row>
    <row r="133" spans="1:7" ht="70" customHeight="1" x14ac:dyDescent="0.3">
      <c r="A133" s="23" t="str">
        <f>IF(ISNA(VLOOKUP((ROW(A135)-15),'List of tables'!$A$4:$H$621,2,FALSE))," ",VLOOKUP((ROW(A135)-15),'List of tables'!$A$4:$H$621,2,FALSE))</f>
        <v>QS802NI</v>
      </c>
      <c r="B133" s="21" t="str">
        <f>IF(ISNA(VLOOKUP((ROW(B135)-15),'List of tables'!$A$4:$H$621,3,FALSE))," ",VLOOKUP((ROW(B135)-15),'List of tables'!$A$4:$H$621,3,FALSE))</f>
        <v>Age of Most Recent Arrival in Northern Ireland (Born outside Northern Ireland)</v>
      </c>
      <c r="C133" s="21" t="str">
        <f>IF(ISNA(VLOOKUP((ROW(H135)-15),'List of tables'!$A$4:$H$621,8,FALSE))," ",VLOOKUP((ROW(H135)-15),'List of tables'!$A$4:$H$621,8,FALSE))</f>
        <v>All usual residents who were born and have lived outside Northern Ireland</v>
      </c>
      <c r="D133" s="21" t="str">
        <f>IF(ISNA(VLOOKUP((ROW(D135)-15),'List of tables'!$A$4:$H$621,5,FALSE))," ",VLOOKUP((ROW(D135)-15),'List of tables'!$A$4:$H$621,5,FALSE))</f>
        <v>Local Government District, NUTS3, Education and Library Board, Health and Social Care Trust, Northern Ireland</v>
      </c>
      <c r="E133" s="83" t="str">
        <f>IF(LEN(G133)&lt;10,"",HYPERLINK(G133,"Download file (Excel 168 KB)"))</f>
        <v>Download file (Excel 168 KB)</v>
      </c>
      <c r="G133" s="18" t="str">
        <f>IF(ISNA(VLOOKUP((ROW(G135)-15),'List of tables'!$A$4:$H$621,6,FALSE))," ",VLOOKUP((ROW(G135)-15),'List of tables'!$A$4:$H$621,6,FALSE))</f>
        <v>https://www.nisra.gov.uk/system/files/statistics/census-2011-qs802ni.xlsx</v>
      </c>
    </row>
    <row r="134" spans="1:7" ht="70" customHeight="1" x14ac:dyDescent="0.3">
      <c r="A134" s="23" t="str">
        <f>IF(ISNA(VLOOKUP((ROW(A136)-15),'List of tables'!$A$4:$H$621,2,FALSE))," ",VLOOKUP((ROW(A136)-15),'List of tables'!$A$4:$H$621,2,FALSE))</f>
        <v>QS803NI</v>
      </c>
      <c r="B134" s="21" t="str">
        <f>IF(ISNA(VLOOKUP((ROW(B136)-15),'List of tables'!$A$4:$H$621,3,FALSE))," ",VLOOKUP((ROW(B136)-15),'List of tables'!$A$4:$H$621,3,FALSE))</f>
        <v>Country of Previous Residence (Born outside Northern Ireland)</v>
      </c>
      <c r="C134" s="21" t="str">
        <f>IF(ISNA(VLOOKUP((ROW(H136)-15),'List of tables'!$A$4:$H$621,8,FALSE))," ",VLOOKUP((ROW(H136)-15),'List of tables'!$A$4:$H$621,8,FALSE))</f>
        <v>All usual residents who were born and have lived outside Northern Ireland</v>
      </c>
      <c r="D134" s="21" t="str">
        <f>IF(ISNA(VLOOKUP((ROW(D136)-15),'List of tables'!$A$4:$H$621,5,FALSE))," ",VLOOKUP((ROW(D136)-15),'List of tables'!$A$4:$H$621,5,FALSE))</f>
        <v>Local Government District, NUTS3, Education and Library Board, Health and Social Care Trust, Northern Ireland</v>
      </c>
      <c r="E134" s="83" t="str">
        <f>IF(LEN(G134)&lt;10,"",HYPERLINK(G134,"Download file (Excel 191 KB)"))</f>
        <v>Download file (Excel 191 KB)</v>
      </c>
      <c r="G134" s="18" t="str">
        <f>IF(ISNA(VLOOKUP((ROW(G136)-15),'List of tables'!$A$4:$H$621,6,FALSE))," ",VLOOKUP((ROW(G136)-15),'List of tables'!$A$4:$H$621,6,FALSE))</f>
        <v>https://www.nisra.gov.uk/system/files/statistics/census-2011-qs803ni.xlsx</v>
      </c>
    </row>
    <row r="135" spans="1:7" ht="70" customHeight="1" x14ac:dyDescent="0.3">
      <c r="A135" s="23" t="str">
        <f>IF(ISNA(VLOOKUP((ROW(A137)-15),'List of tables'!$A$4:$H$621,2,FALSE))," ",VLOOKUP((ROW(A137)-15),'List of tables'!$A$4:$H$621,2,FALSE))</f>
        <v>QS804NI</v>
      </c>
      <c r="B135" s="21" t="str">
        <f>IF(ISNA(VLOOKUP((ROW(B137)-15),'List of tables'!$A$4:$H$621,3,FALSE))," ",VLOOKUP((ROW(B137)-15),'List of tables'!$A$4:$H$621,3,FALSE))</f>
        <v>Ethnic Group (Born in Northern Ireland)</v>
      </c>
      <c r="C135" s="21" t="str">
        <f>IF(ISNA(VLOOKUP((ROW(H137)-15),'List of tables'!$A$4:$H$621,8,FALSE))," ",VLOOKUP((ROW(H137)-15),'List of tables'!$A$4:$H$621,8,FALSE))</f>
        <v>All usual residents born in Northern Ireland and who have lived outside Northern Ireland.</v>
      </c>
      <c r="D135" s="21" t="str">
        <f>IF(ISNA(VLOOKUP((ROW(D137)-15),'List of tables'!$A$4:$H$621,5,FALSE))," ",VLOOKUP((ROW(D137)-15),'List of tables'!$A$4:$H$621,5,FALSE))</f>
        <v>Local Government District, NUTS3, Education and Library Board, Health and Social Care Trust, Northern Ireland</v>
      </c>
      <c r="E135" s="83" t="str">
        <f>IF(LEN(G135)&lt;10,"",HYPERLINK(G135,"Download file (Excel 166 KB)"))</f>
        <v>Download file (Excel 166 KB)</v>
      </c>
      <c r="G135" s="18" t="str">
        <f>IF(ISNA(VLOOKUP((ROW(G137)-15),'List of tables'!$A$4:$H$621,6,FALSE))," ",VLOOKUP((ROW(G137)-15),'List of tables'!$A$4:$H$621,6,FALSE))</f>
        <v>https://www.nisra.gov.uk/system/files/statistics/census-2011-qs804ni.xlsx</v>
      </c>
    </row>
    <row r="136" spans="1:7" ht="70" customHeight="1" x14ac:dyDescent="0.3">
      <c r="A136" s="23" t="str">
        <f>IF(ISNA(VLOOKUP((ROW(A138)-15),'List of tables'!$A$4:$H$621,2,FALSE))," ",VLOOKUP((ROW(A138)-15),'List of tables'!$A$4:$H$621,2,FALSE))</f>
        <v>QS805NI</v>
      </c>
      <c r="B136" s="21" t="str">
        <f>IF(ISNA(VLOOKUP((ROW(B138)-15),'List of tables'!$A$4:$H$621,3,FALSE))," ",VLOOKUP((ROW(B138)-15),'List of tables'!$A$4:$H$621,3,FALSE))</f>
        <v>Religion (Born in Northern Ireland)</v>
      </c>
      <c r="C136" s="21" t="str">
        <f>IF(ISNA(VLOOKUP((ROW(H138)-15),'List of tables'!$A$4:$H$621,8,FALSE))," ",VLOOKUP((ROW(H138)-15),'List of tables'!$A$4:$H$621,8,FALSE))</f>
        <v>All usual residents born in Northern Ireland and who have lived outside Northern Ireland.</v>
      </c>
      <c r="D136" s="21" t="str">
        <f>IF(ISNA(VLOOKUP((ROW(D138)-15),'List of tables'!$A$4:$H$621,5,FALSE))," ",VLOOKUP((ROW(D138)-15),'List of tables'!$A$4:$H$621,5,FALSE))</f>
        <v>Local Government District, NUTS3, Education and Library Board, Health and Social Care Trust, Northern Ireland</v>
      </c>
      <c r="E136" s="83" t="str">
        <f>IF(LEN(G136)&lt;10,"",HYPERLINK(G136,"Download file (Excel 168 KB)"))</f>
        <v>Download file (Excel 168 KB)</v>
      </c>
      <c r="G136" s="18" t="str">
        <f>IF(ISNA(VLOOKUP((ROW(G138)-15),'List of tables'!$A$4:$H$621,6,FALSE))," ",VLOOKUP((ROW(G138)-15),'List of tables'!$A$4:$H$621,6,FALSE))</f>
        <v>https://www.nisra.gov.uk/system/files/statistics/census-2011-qs805ni.xlsx</v>
      </c>
    </row>
    <row r="137" spans="1:7" ht="70" customHeight="1" x14ac:dyDescent="0.3">
      <c r="A137" s="23" t="str">
        <f>IF(ISNA(VLOOKUP((ROW(A139)-15),'List of tables'!$A$4:$H$621,2,FALSE))," ",VLOOKUP((ROW(A139)-15),'List of tables'!$A$4:$H$621,2,FALSE))</f>
        <v>QS806NI</v>
      </c>
      <c r="B137" s="21" t="str">
        <f>IF(ISNA(VLOOKUP((ROW(B139)-15),'List of tables'!$A$4:$H$621,3,FALSE))," ",VLOOKUP((ROW(B139)-15),'List of tables'!$A$4:$H$621,3,FALSE))</f>
        <v>Religion or Religion Brought Up In (Born in Northern Ireland)</v>
      </c>
      <c r="C137" s="21" t="str">
        <f>IF(ISNA(VLOOKUP((ROW(H139)-15),'List of tables'!$A$4:$H$621,8,FALSE))," ",VLOOKUP((ROW(H139)-15),'List of tables'!$A$4:$H$621,8,FALSE))</f>
        <v>All usual residents born in Northern Ireland and who have lived outside Northern Ireland.</v>
      </c>
      <c r="D137" s="21" t="str">
        <f>IF(ISNA(VLOOKUP((ROW(D139)-15),'List of tables'!$A$4:$H$621,5,FALSE))," ",VLOOKUP((ROW(D139)-15),'List of tables'!$A$4:$H$621,5,FALSE))</f>
        <v>Local Government District, NUTS3, Education and Library Board, Health and Social Care Trust, Northern Ireland</v>
      </c>
      <c r="E137" s="83" t="str">
        <f>IF(LEN(G137)&lt;10,"",HYPERLINK(G137,"Download file (Excel 166 KB)"))</f>
        <v>Download file (Excel 166 KB)</v>
      </c>
      <c r="G137" s="18" t="str">
        <f>IF(ISNA(VLOOKUP((ROW(G139)-15),'List of tables'!$A$4:$H$621,6,FALSE))," ",VLOOKUP((ROW(G139)-15),'List of tables'!$A$4:$H$621,6,FALSE))</f>
        <v>https://www.nisra.gov.uk/system/files/statistics/census-2011-qs806ni.xlsx</v>
      </c>
    </row>
    <row r="138" spans="1:7" ht="70" customHeight="1" x14ac:dyDescent="0.3">
      <c r="A138" s="23" t="str">
        <f>IF(ISNA(VLOOKUP((ROW(A140)-15),'List of tables'!$A$4:$H$621,2,FALSE))," ",VLOOKUP((ROW(A140)-15),'List of tables'!$A$4:$H$621,2,FALSE))</f>
        <v>DC1101NI</v>
      </c>
      <c r="B138" s="21" t="str">
        <f>IF(ISNA(VLOOKUP((ROW(B140)-15),'List of tables'!$A$4:$H$621,3,FALSE))," ",VLOOKUP((ROW(B140)-15),'List of tables'!$A$4:$H$621,3,FALSE))</f>
        <v>Residence Type by Age by Sex</v>
      </c>
      <c r="C138" s="21" t="str">
        <f>IF(ISNA(VLOOKUP((ROW(H140)-15),'List of tables'!$A$4:$H$621,8,FALSE))," ",VLOOKUP((ROW(H140)-15),'List of tables'!$A$4:$H$621,8,FALSE))</f>
        <v>All usual residents</v>
      </c>
      <c r="D138" s="21" t="str">
        <f>IF(ISNA(VLOOKUP((ROW(D140)-15),'List of tables'!$A$4:$H$621,5,FALSE))," ",VLOOKUP((ROW(D140)-15),'List of tables'!$A$4:$H$621,5,FALSE))</f>
        <v>Super Output Area, Electoral Ward, Local Government District, Assembly Area, NUTS3, Education and Library Board, Health and Social Care Trust, Northern Ireland</v>
      </c>
      <c r="E138" s="22" t="str">
        <f t="shared" ref="E121:E142" si="0">IF(LEN(G138)&lt;10,"",HYPERLINK(G138,"Link to files"))</f>
        <v>Link to files</v>
      </c>
      <c r="G138" s="18" t="str">
        <f>IF(ISNA(VLOOKUP((ROW(G140)-15),'List of tables'!$A$4:$H$621,6,FALSE))," ",VLOOKUP((ROW(G140)-15),'List of tables'!$A$4:$H$621,6,FALSE))</f>
        <v>http://www.ninis2.nisra.gov.uk/public/SearchResults.aspx?sk=DC1101NI;</v>
      </c>
    </row>
    <row r="139" spans="1:7" ht="70" customHeight="1" x14ac:dyDescent="0.3">
      <c r="A139" s="23" t="str">
        <f>IF(ISNA(VLOOKUP((ROW(A141)-15),'List of tables'!$A$4:$H$621,2,FALSE))," ",VLOOKUP((ROW(A141)-15),'List of tables'!$A$4:$H$621,2,FALSE))</f>
        <v>DC1102NI</v>
      </c>
      <c r="B139" s="21" t="str">
        <f>IF(ISNA(VLOOKUP((ROW(B141)-15),'List of tables'!$A$4:$H$621,3,FALSE))," ",VLOOKUP((ROW(B141)-15),'List of tables'!$A$4:$H$621,3,FALSE))</f>
        <v>Schoolchildren and Students in Full-Time Education Living Away from Home during Term Time by Age by Sex</v>
      </c>
      <c r="C139" s="21" t="str">
        <f>IF(ISNA(VLOOKUP((ROW(H141)-15),'List of tables'!$A$4:$H$621,8,FALSE))," ",VLOOKUP((ROW(H141)-15),'List of tables'!$A$4:$H$621,8,FALSE))</f>
        <v>All full-time students and schoolchildren aged 4 and over living away from home during term time</v>
      </c>
      <c r="D139" s="21" t="str">
        <f>IF(ISNA(VLOOKUP((ROW(D141)-15),'List of tables'!$A$4:$H$621,5,FALSE))," ",VLOOKUP((ROW(D141)-15),'List of tables'!$A$4:$H$621,5,FALSE))</f>
        <v>Super Output Area, Electoral Ward, Local Government District, Assembly Area, NUTS3, Education and Library Board, Health and Social Care Trust, Northern Ireland</v>
      </c>
      <c r="E139" s="22" t="str">
        <f t="shared" si="0"/>
        <v>Link to files</v>
      </c>
      <c r="G139" s="18" t="str">
        <f>IF(ISNA(VLOOKUP((ROW(G141)-15),'List of tables'!$A$4:$H$621,6,FALSE))," ",VLOOKUP((ROW(G141)-15),'List of tables'!$A$4:$H$621,6,FALSE))</f>
        <v>http://www.ninis2.nisra.gov.uk/public/SearchResults.aspx?sk=DC1102NI;</v>
      </c>
    </row>
    <row r="140" spans="1:7" ht="70" customHeight="1" x14ac:dyDescent="0.3">
      <c r="A140" s="23" t="str">
        <f>IF(ISNA(VLOOKUP((ROW(A142)-15),'List of tables'!$A$4:$H$621,2,FALSE))," ",VLOOKUP((ROW(A142)-15),'List of tables'!$A$4:$H$621,2,FALSE))</f>
        <v>DC1103NI</v>
      </c>
      <c r="B140" s="21" t="str">
        <f>IF(ISNA(VLOOKUP((ROW(B142)-15),'List of tables'!$A$4:$H$621,3,FALSE))," ",VLOOKUP((ROW(B142)-15),'List of tables'!$A$4:$H$621,3,FALSE))</f>
        <v>Marital and Civil Partnership Status by Age by Sex</v>
      </c>
      <c r="C140" s="21" t="str">
        <f>IF(ISNA(VLOOKUP((ROW(H142)-15),'List of tables'!$A$4:$H$621,8,FALSE))," ",VLOOKUP((ROW(H142)-15),'List of tables'!$A$4:$H$621,8,FALSE))</f>
        <v>All usual residents aged 16 and over</v>
      </c>
      <c r="D140" s="21" t="str">
        <f>IF(ISNA(VLOOKUP((ROW(D142)-15),'List of tables'!$A$4:$H$621,5,FALSE))," ",VLOOKUP((ROW(D142)-15),'List of tables'!$A$4:$H$621,5,FALSE))</f>
        <v>Local Government District, NUTS3, Education and Library Board, Health and Social Care Trust, Northern Ireland</v>
      </c>
      <c r="E140" s="22" t="str">
        <f t="shared" si="0"/>
        <v>Link to files</v>
      </c>
      <c r="G140" s="18" t="str">
        <f>IF(ISNA(VLOOKUP((ROW(G142)-15),'List of tables'!$A$4:$H$621,6,FALSE))," ",VLOOKUP((ROW(G142)-15),'List of tables'!$A$4:$H$621,6,FALSE))</f>
        <v>http://www.ninis2.nisra.gov.uk/public/SearchResults.aspx?sk=DC1103NI;</v>
      </c>
    </row>
    <row r="141" spans="1:7" ht="70" customHeight="1" x14ac:dyDescent="0.3">
      <c r="A141" s="23" t="str">
        <f>IF(ISNA(VLOOKUP((ROW(A143)-15),'List of tables'!$A$4:$H$621,2,FALSE))," ",VLOOKUP((ROW(A143)-15),'List of tables'!$A$4:$H$621,2,FALSE))</f>
        <v>DC1104NI</v>
      </c>
      <c r="B141" s="21" t="str">
        <f>IF(ISNA(VLOOKUP((ROW(B143)-15),'List of tables'!$A$4:$H$621,3,FALSE))," ",VLOOKUP((ROW(B143)-15),'List of tables'!$A$4:$H$621,3,FALSE))</f>
        <v>Marital and Civil Partnership Status by Age by Sex of HRP</v>
      </c>
      <c r="C141" s="21" t="str">
        <f>IF(ISNA(VLOOKUP((ROW(H143)-15),'List of tables'!$A$4:$H$621,8,FALSE))," ",VLOOKUP((ROW(H143)-15),'List of tables'!$A$4:$H$621,8,FALSE))</f>
        <v>All Household Reference Persons (HRPs)</v>
      </c>
      <c r="D141" s="21" t="str">
        <f>IF(ISNA(VLOOKUP((ROW(D143)-15),'List of tables'!$A$4:$H$621,5,FALSE))," ",VLOOKUP((ROW(D143)-15),'List of tables'!$A$4:$H$621,5,FALSE))</f>
        <v>Local Government District, NUTS3, Education and Library Board, Health and Social Care Trust, Northern Ireland</v>
      </c>
      <c r="E141" s="22" t="str">
        <f t="shared" si="0"/>
        <v>Link to files</v>
      </c>
      <c r="G141" s="18" t="str">
        <f>IF(ISNA(VLOOKUP((ROW(G143)-15),'List of tables'!$A$4:$H$621,6,FALSE))," ",VLOOKUP((ROW(G143)-15),'List of tables'!$A$4:$H$621,6,FALSE))</f>
        <v>http://www.ninis2.nisra.gov.uk/public/SearchResults.aspx?sk=DC1104NI;</v>
      </c>
    </row>
    <row r="142" spans="1:7" ht="70" customHeight="1" x14ac:dyDescent="0.3">
      <c r="A142" s="23" t="str">
        <f>IF(ISNA(VLOOKUP((ROW(A144)-15),'List of tables'!$A$4:$H$621,2,FALSE))," ",VLOOKUP((ROW(A144)-15),'List of tables'!$A$4:$H$621,2,FALSE))</f>
        <v>DC1105NI</v>
      </c>
      <c r="B142" s="21" t="str">
        <f>IF(ISNA(VLOOKUP((ROW(B144)-15),'List of tables'!$A$4:$H$621,3,FALSE))," ",VLOOKUP((ROW(B144)-15),'List of tables'!$A$4:$H$621,3,FALSE))</f>
        <v>Living Arrangements by Age by Sex</v>
      </c>
      <c r="C142" s="21" t="str">
        <f>IF(ISNA(VLOOKUP((ROW(H144)-15),'List of tables'!$A$4:$H$621,8,FALSE))," ",VLOOKUP((ROW(H144)-15),'List of tables'!$A$4:$H$621,8,FALSE))</f>
        <v>All usual residents aged 16 and over in households</v>
      </c>
      <c r="D142" s="21" t="str">
        <f>IF(ISNA(VLOOKUP((ROW(D144)-15),'List of tables'!$A$4:$H$621,5,FALSE))," ",VLOOKUP((ROW(D144)-15),'List of tables'!$A$4:$H$621,5,FALSE))</f>
        <v>Local Government District, NUTS3, Education and Library Board, Health and Social Care Trust, Northern Ireland</v>
      </c>
      <c r="E142" s="22" t="str">
        <f t="shared" si="0"/>
        <v>Link to files</v>
      </c>
      <c r="G142" s="18" t="str">
        <f>IF(ISNA(VLOOKUP((ROW(G144)-15),'List of tables'!$A$4:$H$621,6,FALSE))," ",VLOOKUP((ROW(G144)-15),'List of tables'!$A$4:$H$621,6,FALSE))</f>
        <v>http://www.ninis2.nisra.gov.uk/public/SearchResults.aspx?sk=DC1105NI;</v>
      </c>
    </row>
    <row r="143" spans="1:7" ht="70" customHeight="1" x14ac:dyDescent="0.3">
      <c r="A143" s="23" t="str">
        <f>IF(ISNA(VLOOKUP((ROW(A145)-15),'List of tables'!$A$4:$H$621,2,FALSE))," ",VLOOKUP((ROW(A145)-15),'List of tables'!$A$4:$H$621,2,FALSE))</f>
        <v>DC1106NI</v>
      </c>
      <c r="B143" s="21" t="str">
        <f>IF(ISNA(VLOOKUP((ROW(B145)-15),'List of tables'!$A$4:$H$621,3,FALSE))," ",VLOOKUP((ROW(B145)-15),'List of tables'!$A$4:$H$621,3,FALSE))</f>
        <v xml:space="preserve">Living Arrangements by Age by Sex of HRP </v>
      </c>
      <c r="C143" s="21" t="str">
        <f>IF(ISNA(VLOOKUP((ROW(H145)-15),'List of tables'!$A$4:$H$621,8,FALSE))," ",VLOOKUP((ROW(H145)-15),'List of tables'!$A$4:$H$621,8,FALSE))</f>
        <v>All Household Reference Persons (HRPs)</v>
      </c>
      <c r="D143" s="21" t="str">
        <f>IF(ISNA(VLOOKUP((ROW(D145)-15),'List of tables'!$A$4:$H$621,5,FALSE))," ",VLOOKUP((ROW(D145)-15),'List of tables'!$A$4:$H$621,5,FALSE))</f>
        <v>Local Government District, NUTS3, Education and Library Board, Health and Social Care Trust, Northern Ireland</v>
      </c>
      <c r="E143" s="22" t="str">
        <f t="shared" ref="E143:E206" si="1">IF(LEN(G143)&lt;10,"",HYPERLINK(G143,"Link to files"))</f>
        <v>Link to files</v>
      </c>
      <c r="G143" s="18" t="str">
        <f>IF(ISNA(VLOOKUP((ROW(G145)-15),'List of tables'!$A$4:$H$621,6,FALSE))," ",VLOOKUP((ROW(G145)-15),'List of tables'!$A$4:$H$621,6,FALSE))</f>
        <v>http://www.ninis2.nisra.gov.uk/public/SearchResults.aspx?sk=DC1106NI;</v>
      </c>
    </row>
    <row r="144" spans="1:7" ht="70" customHeight="1" x14ac:dyDescent="0.3">
      <c r="A144" s="23" t="str">
        <f>IF(ISNA(VLOOKUP((ROW(A146)-15),'List of tables'!$A$4:$H$621,2,FALSE))," ",VLOOKUP((ROW(A146)-15),'List of tables'!$A$4:$H$621,2,FALSE))</f>
        <v>DC1107NI</v>
      </c>
      <c r="B144" s="21" t="str">
        <f>IF(ISNA(VLOOKUP((ROW(B146)-15),'List of tables'!$A$4:$H$621,3,FALSE))," ",VLOOKUP((ROW(B146)-15),'List of tables'!$A$4:$H$621,3,FALSE))</f>
        <v>Marital and Civil Partnership Status by Age by Sex - Communal Establishments</v>
      </c>
      <c r="C144" s="21" t="str">
        <f>IF(ISNA(VLOOKUP((ROW(H146)-15),'List of tables'!$A$4:$H$621,8,FALSE))," ",VLOOKUP((ROW(H146)-15),'List of tables'!$A$4:$H$621,8,FALSE))</f>
        <v>All usual residents in communal establishments</v>
      </c>
      <c r="D144" s="21" t="str">
        <f>IF(ISNA(VLOOKUP((ROW(D146)-15),'List of tables'!$A$4:$H$621,5,FALSE))," ",VLOOKUP((ROW(D146)-15),'List of tables'!$A$4:$H$621,5,FALSE))</f>
        <v>Local Government District, NUTS3, Education and Library Board, Health and Social Care Trust, Northern Ireland</v>
      </c>
      <c r="E144" s="22" t="str">
        <f t="shared" si="1"/>
        <v>Link to files</v>
      </c>
      <c r="G144" s="18" t="str">
        <f>IF(ISNA(VLOOKUP((ROW(G146)-15),'List of tables'!$A$4:$H$621,6,FALSE))," ",VLOOKUP((ROW(G146)-15),'List of tables'!$A$4:$H$621,6,FALSE))</f>
        <v>http://www.ninis2.nisra.gov.uk/public/SearchResults.aspx?sk=DC1107NI;</v>
      </c>
    </row>
    <row r="145" spans="1:7" ht="70" customHeight="1" x14ac:dyDescent="0.3">
      <c r="A145" s="23" t="str">
        <f>IF(ISNA(VLOOKUP((ROW(A147)-15),'List of tables'!$A$4:$H$621,2,FALSE))," ",VLOOKUP((ROW(A147)-15),'List of tables'!$A$4:$H$621,2,FALSE))</f>
        <v>DC1108NI</v>
      </c>
      <c r="B145" s="21" t="str">
        <f>IF(ISNA(VLOOKUP((ROW(B147)-15),'List of tables'!$A$4:$H$621,3,FALSE))," ",VLOOKUP((ROW(B147)-15),'List of tables'!$A$4:$H$621,3,FALSE))</f>
        <v>Dependent Children by Household Composition by Age of HRP - Usual Residents</v>
      </c>
      <c r="C145" s="21" t="str">
        <f>IF(ISNA(VLOOKUP((ROW(H147)-15),'List of tables'!$A$4:$H$621,8,FALSE))," ",VLOOKUP((ROW(H147)-15),'List of tables'!$A$4:$H$621,8,FALSE))</f>
        <v>All usual residents in households</v>
      </c>
      <c r="D145" s="21" t="str">
        <f>IF(ISNA(VLOOKUP((ROW(D147)-15),'List of tables'!$A$4:$H$621,5,FALSE))," ",VLOOKUP((ROW(D147)-15),'List of tables'!$A$4:$H$621,5,FALSE))</f>
        <v>Local Government District, NUTS3, Education and Library Board, Health and Social Care Trust, Northern Ireland</v>
      </c>
      <c r="E145" s="22" t="str">
        <f t="shared" si="1"/>
        <v>Link to files</v>
      </c>
      <c r="G145" s="18" t="str">
        <f>IF(ISNA(VLOOKUP((ROW(G147)-15),'List of tables'!$A$4:$H$621,6,FALSE))," ",VLOOKUP((ROW(G147)-15),'List of tables'!$A$4:$H$621,6,FALSE))</f>
        <v>http://www.ninis2.nisra.gov.uk/public/SearchResults.aspx?sk=DC1108NI;</v>
      </c>
    </row>
    <row r="146" spans="1:7" ht="70" customHeight="1" x14ac:dyDescent="0.3">
      <c r="A146" s="23" t="str">
        <f>IF(ISNA(VLOOKUP((ROW(A148)-15),'List of tables'!$A$4:$H$621,2,FALSE))," ",VLOOKUP((ROW(A148)-15),'List of tables'!$A$4:$H$621,2,FALSE))</f>
        <v>DC1111NI</v>
      </c>
      <c r="B146" s="21" t="str">
        <f>IF(ISNA(VLOOKUP((ROW(B148)-15),'List of tables'!$A$4:$H$621,3,FALSE))," ",VLOOKUP((ROW(B148)-15),'List of tables'!$A$4:$H$621,3,FALSE))</f>
        <v>Number and Age of Dependent Children by Family Type by Age of FRP</v>
      </c>
      <c r="C146" s="21" t="str">
        <f>IF(ISNA(VLOOKUP((ROW(H148)-15),'List of tables'!$A$4:$H$621,8,FALSE))," ",VLOOKUP((ROW(H148)-15),'List of tables'!$A$4:$H$621,8,FALSE))</f>
        <v>All families</v>
      </c>
      <c r="D146" s="21" t="str">
        <f>IF(ISNA(VLOOKUP((ROW(D148)-15),'List of tables'!$A$4:$H$621,5,FALSE))," ",VLOOKUP((ROW(D148)-15),'List of tables'!$A$4:$H$621,5,FALSE))</f>
        <v>Local Government District, NUTS3, Education and Library Board, Health and Social Care Trust, Northern Ireland</v>
      </c>
      <c r="E146" s="22" t="str">
        <f t="shared" si="1"/>
        <v>Link to files</v>
      </c>
      <c r="G146" s="18" t="str">
        <f>IF(ISNA(VLOOKUP((ROW(G148)-15),'List of tables'!$A$4:$H$621,6,FALSE))," ",VLOOKUP((ROW(G148)-15),'List of tables'!$A$4:$H$621,6,FALSE))</f>
        <v>http://www.ninis2.nisra.gov.uk/public/SearchResults.aspx?sk=DC1111NI;</v>
      </c>
    </row>
    <row r="147" spans="1:7" ht="70" customHeight="1" x14ac:dyDescent="0.3">
      <c r="A147" s="23" t="str">
        <f>IF(ISNA(VLOOKUP((ROW(A149)-15),'List of tables'!$A$4:$H$621,2,FALSE))," ",VLOOKUP((ROW(A149)-15),'List of tables'!$A$4:$H$621,2,FALSE))</f>
        <v>DC1112NI</v>
      </c>
      <c r="B147" s="21" t="str">
        <f>IF(ISNA(VLOOKUP((ROW(B149)-15),'List of tables'!$A$4:$H$621,3,FALSE))," ",VLOOKUP((ROW(B149)-15),'List of tables'!$A$4:$H$621,3,FALSE))</f>
        <v>Dependent Children by Household Composition by Age of HRP - Households</v>
      </c>
      <c r="C147" s="21" t="str">
        <f>IF(ISNA(VLOOKUP((ROW(H149)-15),'List of tables'!$A$4:$H$621,8,FALSE))," ",VLOOKUP((ROW(H149)-15),'List of tables'!$A$4:$H$621,8,FALSE))</f>
        <v>All households</v>
      </c>
      <c r="D147" s="21" t="str">
        <f>IF(ISNA(VLOOKUP((ROW(D149)-15),'List of tables'!$A$4:$H$621,5,FALSE))," ",VLOOKUP((ROW(D149)-15),'List of tables'!$A$4:$H$621,5,FALSE))</f>
        <v>Local Government District, NUTS3, Education and Library Board, Health and Social Care Trust, Northern Ireland</v>
      </c>
      <c r="E147" s="22" t="str">
        <f t="shared" si="1"/>
        <v>Link to files</v>
      </c>
      <c r="G147" s="18" t="str">
        <f>IF(ISNA(VLOOKUP((ROW(G149)-15),'List of tables'!$A$4:$H$621,6,FALSE))," ",VLOOKUP((ROW(G149)-15),'List of tables'!$A$4:$H$621,6,FALSE))</f>
        <v>http://www.ninis2.nisra.gov.uk/public/SearchResults.aspx?sk=DC1112NI;</v>
      </c>
    </row>
    <row r="148" spans="1:7" ht="70" customHeight="1" x14ac:dyDescent="0.3">
      <c r="A148" s="23" t="str">
        <f>IF(ISNA(VLOOKUP((ROW(A150)-15),'List of tables'!$A$4:$H$621,2,FALSE))," ",VLOOKUP((ROW(A150)-15),'List of tables'!$A$4:$H$621,2,FALSE))</f>
        <v>DC2101NI</v>
      </c>
      <c r="B148" s="21" t="str">
        <f>IF(ISNA(VLOOKUP((ROW(B150)-15),'List of tables'!$A$4:$H$621,3,FALSE))," ",VLOOKUP((ROW(B150)-15),'List of tables'!$A$4:$H$621,3,FALSE))</f>
        <v>Ethnic Group by Age by Sex</v>
      </c>
      <c r="C148" s="21" t="str">
        <f>IF(ISNA(VLOOKUP((ROW(H150)-15),'List of tables'!$A$4:$H$621,8,FALSE))," ",VLOOKUP((ROW(H150)-15),'List of tables'!$A$4:$H$621,8,FALSE))</f>
        <v>All usual residents</v>
      </c>
      <c r="D148" s="21" t="str">
        <f>IF(ISNA(VLOOKUP((ROW(D150)-15),'List of tables'!$A$4:$H$621,5,FALSE))," ",VLOOKUP((ROW(D150)-15),'List of tables'!$A$4:$H$621,5,FALSE))</f>
        <v>Local Government District, NUTS3, Education and Library Board, Health and Social Care Trust, Northern Ireland</v>
      </c>
      <c r="E148" s="22" t="str">
        <f t="shared" si="1"/>
        <v>Link to files</v>
      </c>
      <c r="G148" s="18" t="str">
        <f>IF(ISNA(VLOOKUP((ROW(G150)-15),'List of tables'!$A$4:$H$621,6,FALSE))," ",VLOOKUP((ROW(G150)-15),'List of tables'!$A$4:$H$621,6,FALSE))</f>
        <v>http://www.ninis2.nisra.gov.uk/public/SearchResults.aspx?sk=DC2101NI;</v>
      </c>
    </row>
    <row r="149" spans="1:7" ht="70" customHeight="1" x14ac:dyDescent="0.3">
      <c r="A149" s="23" t="str">
        <f>IF(ISNA(VLOOKUP((ROW(A151)-15),'List of tables'!$A$4:$H$621,2,FALSE))," ",VLOOKUP((ROW(A151)-15),'List of tables'!$A$4:$H$621,2,FALSE))</f>
        <v>DC2102NI</v>
      </c>
      <c r="B149" s="21" t="str">
        <f>IF(ISNA(VLOOKUP((ROW(B151)-15),'List of tables'!$A$4:$H$621,3,FALSE))," ",VLOOKUP((ROW(B151)-15),'List of tables'!$A$4:$H$621,3,FALSE))</f>
        <v>Household Composition by Ethnic Group of HRP</v>
      </c>
      <c r="C149" s="21" t="str">
        <f>IF(ISNA(VLOOKUP((ROW(H151)-15),'List of tables'!$A$4:$H$621,8,FALSE))," ",VLOOKUP((ROW(H151)-15),'List of tables'!$A$4:$H$621,8,FALSE))</f>
        <v>All Household Reference Persons (HRPs)</v>
      </c>
      <c r="D149" s="21" t="str">
        <f>IF(ISNA(VLOOKUP((ROW(D151)-15),'List of tables'!$A$4:$H$621,5,FALSE))," ",VLOOKUP((ROW(D151)-15),'List of tables'!$A$4:$H$621,5,FALSE))</f>
        <v>Local Government District, NUTS3, Education and Library Board, Health and Social Care Trust, Northern Ireland</v>
      </c>
      <c r="E149" s="22" t="str">
        <f t="shared" si="1"/>
        <v>Link to files</v>
      </c>
      <c r="G149" s="18" t="str">
        <f>IF(ISNA(VLOOKUP((ROW(G151)-15),'List of tables'!$A$4:$H$621,6,FALSE))," ",VLOOKUP((ROW(G151)-15),'List of tables'!$A$4:$H$621,6,FALSE))</f>
        <v>http://www.ninis2.nisra.gov.uk/public/SearchResults.aspx?sk=DC2102NI;</v>
      </c>
    </row>
    <row r="150" spans="1:7" ht="70" customHeight="1" x14ac:dyDescent="0.3">
      <c r="A150" s="23" t="str">
        <f>IF(ISNA(VLOOKUP((ROW(A152)-15),'List of tables'!$A$4:$H$621,2,FALSE))," ",VLOOKUP((ROW(A152)-15),'List of tables'!$A$4:$H$621,2,FALSE))</f>
        <v>DC2104NI</v>
      </c>
      <c r="B150" s="21" t="str">
        <f>IF(ISNA(VLOOKUP((ROW(B152)-15),'List of tables'!$A$4:$H$621,3,FALSE))," ",VLOOKUP((ROW(B152)-15),'List of tables'!$A$4:$H$621,3,FALSE))</f>
        <v>Living Arrangements by Ethnic Group</v>
      </c>
      <c r="C150" s="21" t="str">
        <f>IF(ISNA(VLOOKUP((ROW(H152)-15),'List of tables'!$A$4:$H$621,8,FALSE))," ",VLOOKUP((ROW(H152)-15),'List of tables'!$A$4:$H$621,8,FALSE))</f>
        <v>All usual residents aged 16 and over in households</v>
      </c>
      <c r="D150" s="21" t="str">
        <f>IF(ISNA(VLOOKUP((ROW(D152)-15),'List of tables'!$A$4:$H$621,5,FALSE))," ",VLOOKUP((ROW(D152)-15),'List of tables'!$A$4:$H$621,5,FALSE))</f>
        <v>Local Government District, NUTS3, Education and Library Board, Health and Social Care Trust, Northern Ireland</v>
      </c>
      <c r="E150" s="22" t="str">
        <f t="shared" si="1"/>
        <v>Link to files</v>
      </c>
      <c r="G150" s="18" t="str">
        <f>IF(ISNA(VLOOKUP((ROW(G152)-15),'List of tables'!$A$4:$H$621,6,FALSE))," ",VLOOKUP((ROW(G152)-15),'List of tables'!$A$4:$H$621,6,FALSE))</f>
        <v>http://www.ninis2.nisra.gov.uk/public/SearchResults.aspx?sk=DC2104NI;</v>
      </c>
    </row>
    <row r="151" spans="1:7" ht="70" customHeight="1" x14ac:dyDescent="0.3">
      <c r="A151" s="23" t="str">
        <f>IF(ISNA(VLOOKUP((ROW(A153)-15),'List of tables'!$A$4:$H$621,2,FALSE))," ",VLOOKUP((ROW(A153)-15),'List of tables'!$A$4:$H$621,2,FALSE))</f>
        <v>DC2105NI</v>
      </c>
      <c r="B151" s="21" t="str">
        <f>IF(ISNA(VLOOKUP((ROW(B153)-15),'List of tables'!$A$4:$H$621,3,FALSE))," ",VLOOKUP((ROW(B153)-15),'List of tables'!$A$4:$H$621,3,FALSE))</f>
        <v>National Identity (Classification 1) by Age by Sex</v>
      </c>
      <c r="C151" s="21" t="str">
        <f>IF(ISNA(VLOOKUP((ROW(H153)-15),'List of tables'!$A$4:$H$621,8,FALSE))," ",VLOOKUP((ROW(H153)-15),'List of tables'!$A$4:$H$621,8,FALSE))</f>
        <v>All usual residents</v>
      </c>
      <c r="D151" s="21" t="str">
        <f>IF(ISNA(VLOOKUP((ROW(D153)-15),'List of tables'!$A$4:$H$621,5,FALSE))," ",VLOOKUP((ROW(D153)-15),'List of tables'!$A$4:$H$621,5,FALSE))</f>
        <v>Super Output Area, Electoral Ward, Local Government District, Assembly Area, NUTS3, Education and Library Board, Health and Social Care Trust, Northern Ireland</v>
      </c>
      <c r="E151" s="22" t="str">
        <f t="shared" si="1"/>
        <v>Link to files</v>
      </c>
      <c r="G151" s="18" t="str">
        <f>IF(ISNA(VLOOKUP((ROW(G153)-15),'List of tables'!$A$4:$H$621,6,FALSE))," ",VLOOKUP((ROW(G153)-15),'List of tables'!$A$4:$H$621,6,FALSE))</f>
        <v>http://www.ninis2.nisra.gov.uk/public/SearchResults.aspx?sk=DC2105NI;</v>
      </c>
    </row>
    <row r="152" spans="1:7" ht="70" customHeight="1" x14ac:dyDescent="0.3">
      <c r="A152" s="23" t="str">
        <f>IF(ISNA(VLOOKUP((ROW(A154)-15),'List of tables'!$A$4:$H$621,2,FALSE))," ",VLOOKUP((ROW(A154)-15),'List of tables'!$A$4:$H$621,2,FALSE))</f>
        <v>DC2106NI</v>
      </c>
      <c r="B152" s="21" t="str">
        <f>IF(ISNA(VLOOKUP((ROW(B154)-15),'List of tables'!$A$4:$H$621,3,FALSE))," ",VLOOKUP((ROW(B154)-15),'List of tables'!$A$4:$H$621,3,FALSE))</f>
        <v>National Identity (Classification 2) by Age by Sex</v>
      </c>
      <c r="C152" s="21" t="str">
        <f>IF(ISNA(VLOOKUP((ROW(H154)-15),'List of tables'!$A$4:$H$621,8,FALSE))," ",VLOOKUP((ROW(H154)-15),'List of tables'!$A$4:$H$621,8,FALSE))</f>
        <v>All usual residents</v>
      </c>
      <c r="D152" s="21" t="str">
        <f>IF(ISNA(VLOOKUP((ROW(D154)-15),'List of tables'!$A$4:$H$621,5,FALSE))," ",VLOOKUP((ROW(D154)-15),'List of tables'!$A$4:$H$621,5,FALSE))</f>
        <v>Super Output Area, Electoral Ward, Local Government District, Assembly Area, NUTS3, Education and Library Board, Health and Social Care Trust, Northern Ireland</v>
      </c>
      <c r="E152" s="22" t="str">
        <f t="shared" si="1"/>
        <v>Link to files</v>
      </c>
      <c r="G152" s="18" t="str">
        <f>IF(ISNA(VLOOKUP((ROW(G154)-15),'List of tables'!$A$4:$H$621,6,FALSE))," ",VLOOKUP((ROW(G154)-15),'List of tables'!$A$4:$H$621,6,FALSE))</f>
        <v>http://www.ninis2.nisra.gov.uk/public/SearchResults.aspx?sk=DC2106NI;</v>
      </c>
    </row>
    <row r="153" spans="1:7" ht="70" customHeight="1" x14ac:dyDescent="0.3">
      <c r="A153" s="23" t="str">
        <f>IF(ISNA(VLOOKUP((ROW(A155)-15),'List of tables'!$A$4:$H$621,2,FALSE))," ",VLOOKUP((ROW(A155)-15),'List of tables'!$A$4:$H$621,2,FALSE))</f>
        <v>DC2107NI</v>
      </c>
      <c r="B153" s="21" t="str">
        <f>IF(ISNA(VLOOKUP((ROW(B155)-15),'List of tables'!$A$4:$H$621,3,FALSE))," ",VLOOKUP((ROW(B155)-15),'List of tables'!$A$4:$H$621,3,FALSE))</f>
        <v>Country of Birth by Age by Sex</v>
      </c>
      <c r="C153" s="21" t="str">
        <f>IF(ISNA(VLOOKUP((ROW(H155)-15),'List of tables'!$A$4:$H$621,8,FALSE))," ",VLOOKUP((ROW(H155)-15),'List of tables'!$A$4:$H$621,8,FALSE))</f>
        <v>All usual residents</v>
      </c>
      <c r="D153" s="21" t="str">
        <f>IF(ISNA(VLOOKUP((ROW(D155)-15),'List of tables'!$A$4:$H$621,5,FALSE))," ",VLOOKUP((ROW(D155)-15),'List of tables'!$A$4:$H$621,5,FALSE))</f>
        <v>Local Government District, NUTS3, Education and Library Board, Health and Social Care Trust, Northern Ireland</v>
      </c>
      <c r="E153" s="22" t="str">
        <f t="shared" si="1"/>
        <v>Link to files</v>
      </c>
      <c r="G153" s="18" t="str">
        <f>IF(ISNA(VLOOKUP((ROW(G155)-15),'List of tables'!$A$4:$H$621,6,FALSE))," ",VLOOKUP((ROW(G155)-15),'List of tables'!$A$4:$H$621,6,FALSE))</f>
        <v>http://www.ninis2.nisra.gov.uk/public/SearchResults.aspx?sk=DC2107NI;</v>
      </c>
    </row>
    <row r="154" spans="1:7" ht="70" customHeight="1" x14ac:dyDescent="0.3">
      <c r="A154" s="23" t="str">
        <f>IF(ISNA(VLOOKUP((ROW(A156)-15),'List of tables'!$A$4:$H$621,2,FALSE))," ",VLOOKUP((ROW(A156)-15),'List of tables'!$A$4:$H$621,2,FALSE))</f>
        <v>DC2108NI</v>
      </c>
      <c r="B154" s="21" t="str">
        <f>IF(ISNA(VLOOKUP((ROW(B156)-15),'List of tables'!$A$4:$H$621,3,FALSE))," ",VLOOKUP((ROW(B156)-15),'List of tables'!$A$4:$H$621,3,FALSE))</f>
        <v>Living Arrangements by Country of Birth</v>
      </c>
      <c r="C154" s="21" t="str">
        <f>IF(ISNA(VLOOKUP((ROW(H156)-15),'List of tables'!$A$4:$H$621,8,FALSE))," ",VLOOKUP((ROW(H156)-15),'List of tables'!$A$4:$H$621,8,FALSE))</f>
        <v>All usual residents aged 16 and over in households</v>
      </c>
      <c r="D154" s="21" t="str">
        <f>IF(ISNA(VLOOKUP((ROW(D156)-15),'List of tables'!$A$4:$H$621,5,FALSE))," ",VLOOKUP((ROW(D156)-15),'List of tables'!$A$4:$H$621,5,FALSE))</f>
        <v>Super Output Area, Electoral Ward, Local Government District, Assembly Area, NUTS3, Education and Library Board, Health and Social Care Trust, Northern Ireland</v>
      </c>
      <c r="E154" s="22" t="str">
        <f t="shared" si="1"/>
        <v>Link to files</v>
      </c>
      <c r="G154" s="18" t="str">
        <f>IF(ISNA(VLOOKUP((ROW(G156)-15),'List of tables'!$A$4:$H$621,6,FALSE))," ",VLOOKUP((ROW(G156)-15),'List of tables'!$A$4:$H$621,6,FALSE))</f>
        <v>http://www.ninis2.nisra.gov.uk/public/SearchResults.aspx?sk=DC2108NI;</v>
      </c>
    </row>
    <row r="155" spans="1:7" ht="70" customHeight="1" x14ac:dyDescent="0.3">
      <c r="A155" s="23" t="str">
        <f>IF(ISNA(VLOOKUP((ROW(A157)-15),'List of tables'!$A$4:$H$621,2,FALSE))," ",VLOOKUP((ROW(A157)-15),'List of tables'!$A$4:$H$621,2,FALSE))</f>
        <v>DC2109NI</v>
      </c>
      <c r="B155" s="21" t="str">
        <f>IF(ISNA(VLOOKUP((ROW(B157)-15),'List of tables'!$A$4:$H$621,3,FALSE))," ",VLOOKUP((ROW(B157)-15),'List of tables'!$A$4:$H$621,3,FALSE))</f>
        <v>Passports Held (Classification 1) by Age by Sex</v>
      </c>
      <c r="C155" s="21" t="str">
        <f>IF(ISNA(VLOOKUP((ROW(H157)-15),'List of tables'!$A$4:$H$621,8,FALSE))," ",VLOOKUP((ROW(H157)-15),'List of tables'!$A$4:$H$621,8,FALSE))</f>
        <v>All usual residents</v>
      </c>
      <c r="D155" s="21" t="str">
        <f>IF(ISNA(VLOOKUP((ROW(D157)-15),'List of tables'!$A$4:$H$621,5,FALSE))," ",VLOOKUP((ROW(D157)-15),'List of tables'!$A$4:$H$621,5,FALSE))</f>
        <v>Super Output Area, Electoral Ward, Local Government District, Assembly Area, NUTS3, Education and Library Board, Health and Social Care Trust, Northern Ireland</v>
      </c>
      <c r="E155" s="22" t="str">
        <f t="shared" si="1"/>
        <v>Link to files</v>
      </c>
      <c r="G155" s="18" t="str">
        <f>IF(ISNA(VLOOKUP((ROW(G157)-15),'List of tables'!$A$4:$H$621,6,FALSE))," ",VLOOKUP((ROW(G157)-15),'List of tables'!$A$4:$H$621,6,FALSE))</f>
        <v>http://www.ninis2.nisra.gov.uk/public/SearchResults.aspx?sk=DC2109NI;</v>
      </c>
    </row>
    <row r="156" spans="1:7" ht="70" customHeight="1" x14ac:dyDescent="0.3">
      <c r="A156" s="23" t="str">
        <f>IF(ISNA(VLOOKUP((ROW(A158)-15),'List of tables'!$A$4:$H$621,2,FALSE))," ",VLOOKUP((ROW(A158)-15),'List of tables'!$A$4:$H$621,2,FALSE))</f>
        <v>DC2110NI</v>
      </c>
      <c r="B156" s="21" t="str">
        <f>IF(ISNA(VLOOKUP((ROW(B158)-15),'List of tables'!$A$4:$H$621,3,FALSE))," ",VLOOKUP((ROW(B158)-15),'List of tables'!$A$4:$H$621,3,FALSE))</f>
        <v>Passports Held (Classification 2) by Age by Sex</v>
      </c>
      <c r="C156" s="21" t="str">
        <f>IF(ISNA(VLOOKUP((ROW(H158)-15),'List of tables'!$A$4:$H$621,8,FALSE))," ",VLOOKUP((ROW(H158)-15),'List of tables'!$A$4:$H$621,8,FALSE))</f>
        <v>All usual residents</v>
      </c>
      <c r="D156" s="21" t="str">
        <f>IF(ISNA(VLOOKUP((ROW(D158)-15),'List of tables'!$A$4:$H$621,5,FALSE))," ",VLOOKUP((ROW(D158)-15),'List of tables'!$A$4:$H$621,5,FALSE))</f>
        <v>Super Output Area, Electoral Ward, Local Government District, Assembly Area, NUTS3, Education and Library Board, Health and Social Care Trust, Northern Ireland</v>
      </c>
      <c r="E156" s="22" t="str">
        <f t="shared" si="1"/>
        <v>Link to files</v>
      </c>
      <c r="G156" s="18" t="str">
        <f>IF(ISNA(VLOOKUP((ROW(G158)-15),'List of tables'!$A$4:$H$621,6,FALSE))," ",VLOOKUP((ROW(G158)-15),'List of tables'!$A$4:$H$621,6,FALSE))</f>
        <v>http://www.ninis2.nisra.gov.uk/public/SearchResults.aspx?sk=DC2110NI;</v>
      </c>
    </row>
    <row r="157" spans="1:7" ht="70" customHeight="1" x14ac:dyDescent="0.3">
      <c r="A157" s="23" t="str">
        <f>IF(ISNA(VLOOKUP((ROW(A159)-15),'List of tables'!$A$4:$H$621,2,FALSE))," ",VLOOKUP((ROW(A159)-15),'List of tables'!$A$4:$H$621,2,FALSE))</f>
        <v>DC2111NI</v>
      </c>
      <c r="B157" s="21" t="str">
        <f>IF(ISNA(VLOOKUP((ROW(B159)-15),'List of tables'!$A$4:$H$621,3,FALSE))," ",VLOOKUP((ROW(B159)-15),'List of tables'!$A$4:$H$621,3,FALSE))</f>
        <v>Main Language by Age by Sex</v>
      </c>
      <c r="C157" s="21" t="str">
        <f>IF(ISNA(VLOOKUP((ROW(H159)-15),'List of tables'!$A$4:$H$621,8,FALSE))," ",VLOOKUP((ROW(H159)-15),'List of tables'!$A$4:$H$621,8,FALSE))</f>
        <v>All usual residents aged 3 and over</v>
      </c>
      <c r="D157" s="21" t="str">
        <f>IF(ISNA(VLOOKUP((ROW(D159)-15),'List of tables'!$A$4:$H$621,5,FALSE))," ",VLOOKUP((ROW(D159)-15),'List of tables'!$A$4:$H$621,5,FALSE))</f>
        <v>Super Output Area, Electoral Ward, Local Government District, Assembly Area, NUTS3, Education and Library Board, Health and Social Care Trust, Northern Ireland</v>
      </c>
      <c r="E157" s="22" t="str">
        <f t="shared" si="1"/>
        <v>Link to files</v>
      </c>
      <c r="G157" s="18" t="str">
        <f>IF(ISNA(VLOOKUP((ROW(G159)-15),'List of tables'!$A$4:$H$621,6,FALSE))," ",VLOOKUP((ROW(G159)-15),'List of tables'!$A$4:$H$621,6,FALSE))</f>
        <v>http://www.ninis2.nisra.gov.uk/public/SearchResults.aspx?sk=DC2111NI;</v>
      </c>
    </row>
    <row r="158" spans="1:7" ht="70" customHeight="1" x14ac:dyDescent="0.3">
      <c r="A158" s="23" t="str">
        <f>IF(ISNA(VLOOKUP((ROW(A160)-15),'List of tables'!$A$4:$H$621,2,FALSE))," ",VLOOKUP((ROW(A160)-15),'List of tables'!$A$4:$H$621,2,FALSE))</f>
        <v>DC2112NI</v>
      </c>
      <c r="B158" s="21" t="str">
        <f>IF(ISNA(VLOOKUP((ROW(B160)-15),'List of tables'!$A$4:$H$621,3,FALSE))," ",VLOOKUP((ROW(B160)-15),'List of tables'!$A$4:$H$621,3,FALSE))</f>
        <v>Proficiency in English by Age by Sex</v>
      </c>
      <c r="C158" s="21" t="str">
        <f>IF(ISNA(VLOOKUP((ROW(H160)-15),'List of tables'!$A$4:$H$621,8,FALSE))," ",VLOOKUP((ROW(H160)-15),'List of tables'!$A$4:$H$621,8,FALSE))</f>
        <v>All usual residents aged 3 and over</v>
      </c>
      <c r="D158" s="21" t="str">
        <f>IF(ISNA(VLOOKUP((ROW(D160)-15),'List of tables'!$A$4:$H$621,5,FALSE))," ",VLOOKUP((ROW(D160)-15),'List of tables'!$A$4:$H$621,5,FALSE))</f>
        <v>Local Government District, NUTS3, Education and Library Board, Health and Social Care Trust, Northern Ireland</v>
      </c>
      <c r="E158" s="22" t="str">
        <f t="shared" si="1"/>
        <v>Link to files</v>
      </c>
      <c r="G158" s="18" t="str">
        <f>IF(ISNA(VLOOKUP((ROW(G160)-15),'List of tables'!$A$4:$H$621,6,FALSE))," ",VLOOKUP((ROW(G160)-15),'List of tables'!$A$4:$H$621,6,FALSE))</f>
        <v>http://www.ninis2.nisra.gov.uk/public/SearchResults.aspx?sk=DC2112NI;</v>
      </c>
    </row>
    <row r="159" spans="1:7" ht="70" customHeight="1" x14ac:dyDescent="0.3">
      <c r="A159" s="23" t="str">
        <f>IF(ISNA(VLOOKUP((ROW(A161)-15),'List of tables'!$A$4:$H$621,2,FALSE))," ",VLOOKUP((ROW(A161)-15),'List of tables'!$A$4:$H$621,2,FALSE))</f>
        <v>DC2113NI</v>
      </c>
      <c r="B159" s="21" t="str">
        <f>IF(ISNA(VLOOKUP((ROW(B161)-15),'List of tables'!$A$4:$H$621,3,FALSE))," ",VLOOKUP((ROW(B161)-15),'List of tables'!$A$4:$H$621,3,FALSE))</f>
        <v>Type of Communal Establishment by Proficiency in English by Sex</v>
      </c>
      <c r="C159" s="21" t="str">
        <f>IF(ISNA(VLOOKUP((ROW(H161)-15),'List of tables'!$A$4:$H$621,8,FALSE))," ",VLOOKUP((ROW(H161)-15),'List of tables'!$A$4:$H$621,8,FALSE))</f>
        <v>All usual residents in communal establishments aged 3 and over</v>
      </c>
      <c r="D159" s="21" t="str">
        <f>IF(ISNA(VLOOKUP((ROW(D161)-15),'List of tables'!$A$4:$H$621,5,FALSE))," ",VLOOKUP((ROW(D161)-15),'List of tables'!$A$4:$H$621,5,FALSE))</f>
        <v>Local Government District, NUTS3, Education and Library Board, Health and Social Care Trust, Northern Ireland</v>
      </c>
      <c r="E159" s="22" t="str">
        <f t="shared" si="1"/>
        <v>Link to files</v>
      </c>
      <c r="G159" s="18" t="str">
        <f>IF(ISNA(VLOOKUP((ROW(G161)-15),'List of tables'!$A$4:$H$621,6,FALSE))," ",VLOOKUP((ROW(G161)-15),'List of tables'!$A$4:$H$621,6,FALSE))</f>
        <v>http://www.ninis2.nisra.gov.uk/public/SearchResults.aspx?sk=DC2113NI;</v>
      </c>
    </row>
    <row r="160" spans="1:7" ht="70" customHeight="1" x14ac:dyDescent="0.3">
      <c r="A160" s="23" t="str">
        <f>IF(ISNA(VLOOKUP((ROW(A162)-15),'List of tables'!$A$4:$H$621,2,FALSE))," ",VLOOKUP((ROW(A162)-15),'List of tables'!$A$4:$H$621,2,FALSE))</f>
        <v>DC2114NI</v>
      </c>
      <c r="B160" s="21" t="str">
        <f>IF(ISNA(VLOOKUP((ROW(B162)-15),'List of tables'!$A$4:$H$621,3,FALSE))," ",VLOOKUP((ROW(B162)-15),'List of tables'!$A$4:$H$621,3,FALSE))</f>
        <v>Religion by Age by Sex</v>
      </c>
      <c r="C160" s="21" t="str">
        <f>IF(ISNA(VLOOKUP((ROW(H162)-15),'List of tables'!$A$4:$H$621,8,FALSE))," ",VLOOKUP((ROW(H162)-15),'List of tables'!$A$4:$H$621,8,FALSE))</f>
        <v>All usual residents</v>
      </c>
      <c r="D160" s="21" t="str">
        <f>IF(ISNA(VLOOKUP((ROW(D162)-15),'List of tables'!$A$4:$H$621,5,FALSE))," ",VLOOKUP((ROW(D162)-15),'List of tables'!$A$4:$H$621,5,FALSE))</f>
        <v>Super Output Area, Electoral Ward, Local Government District, Assembly Area, NUTS3, Education and Library Board, Health and Social Care Trust, Northern Ireland</v>
      </c>
      <c r="E160" s="22" t="str">
        <f t="shared" si="1"/>
        <v>Link to files</v>
      </c>
      <c r="G160" s="18" t="str">
        <f>IF(ISNA(VLOOKUP((ROW(G162)-15),'List of tables'!$A$4:$H$621,6,FALSE))," ",VLOOKUP((ROW(G162)-15),'List of tables'!$A$4:$H$621,6,FALSE))</f>
        <v>http://www.ninis2.nisra.gov.uk/public/SearchResults.aspx?sk=DC2114NI;</v>
      </c>
    </row>
    <row r="161" spans="1:7" ht="70" customHeight="1" x14ac:dyDescent="0.3">
      <c r="A161" s="23" t="str">
        <f>IF(ISNA(VLOOKUP((ROW(A163)-15),'List of tables'!$A$4:$H$621,2,FALSE))," ",VLOOKUP((ROW(A163)-15),'List of tables'!$A$4:$H$621,2,FALSE))</f>
        <v>DC2115NI</v>
      </c>
      <c r="B161" s="21" t="str">
        <f>IF(ISNA(VLOOKUP((ROW(B163)-15),'List of tables'!$A$4:$H$621,3,FALSE))," ",VLOOKUP((ROW(B163)-15),'List of tables'!$A$4:$H$621,3,FALSE))</f>
        <v>Religion or Religion Brought Up In by Age by Sex</v>
      </c>
      <c r="C161" s="21" t="str">
        <f>IF(ISNA(VLOOKUP((ROW(H163)-15),'List of tables'!$A$4:$H$621,8,FALSE))," ",VLOOKUP((ROW(H163)-15),'List of tables'!$A$4:$H$621,8,FALSE))</f>
        <v>All usual residents</v>
      </c>
      <c r="D161" s="21" t="str">
        <f>IF(ISNA(VLOOKUP((ROW(D163)-15),'List of tables'!$A$4:$H$621,5,FALSE))," ",VLOOKUP((ROW(D163)-15),'List of tables'!$A$4:$H$621,5,FALSE))</f>
        <v>Super Output Area, Electoral Ward, Local Government District, Assembly Area, NUTS3, Education and Library Board, Health and Social Care Trust, Northern Ireland</v>
      </c>
      <c r="E161" s="22" t="str">
        <f t="shared" si="1"/>
        <v>Link to files</v>
      </c>
      <c r="G161" s="18" t="str">
        <f>IF(ISNA(VLOOKUP((ROW(G163)-15),'List of tables'!$A$4:$H$621,6,FALSE))," ",VLOOKUP((ROW(G163)-15),'List of tables'!$A$4:$H$621,6,FALSE))</f>
        <v>http://www.ninis2.nisra.gov.uk/public/SearchResults.aspx?sk=DC2115NI;</v>
      </c>
    </row>
    <row r="162" spans="1:7" ht="70" customHeight="1" x14ac:dyDescent="0.3">
      <c r="A162" s="23" t="str">
        <f>IF(ISNA(VLOOKUP((ROW(A164)-15),'List of tables'!$A$4:$H$621,2,FALSE))," ",VLOOKUP((ROW(A164)-15),'List of tables'!$A$4:$H$621,2,FALSE))</f>
        <v>DC2116NI</v>
      </c>
      <c r="B162" s="21" t="str">
        <f>IF(ISNA(VLOOKUP((ROW(B164)-15),'List of tables'!$A$4:$H$621,3,FALSE))," ",VLOOKUP((ROW(B164)-15),'List of tables'!$A$4:$H$621,3,FALSE))</f>
        <v>Religion by Age</v>
      </c>
      <c r="C162" s="21" t="str">
        <f>IF(ISNA(VLOOKUP((ROW(H164)-15),'List of tables'!$A$4:$H$621,8,FALSE))," ",VLOOKUP((ROW(H164)-15),'List of tables'!$A$4:$H$621,8,FALSE))</f>
        <v>All usual residents</v>
      </c>
      <c r="D162" s="21" t="str">
        <f>IF(ISNA(VLOOKUP((ROW(D164)-15),'List of tables'!$A$4:$H$621,5,FALSE))," ",VLOOKUP((ROW(D164)-15),'List of tables'!$A$4:$H$621,5,FALSE))</f>
        <v>Super Output Area, Electoral Ward, Local Government District, Assembly Area, NUTS3, Education and Library Board, Health and Social Care Trust, Northern Ireland</v>
      </c>
      <c r="E162" s="22" t="str">
        <f t="shared" si="1"/>
        <v>Link to files</v>
      </c>
      <c r="G162" s="18" t="str">
        <f>IF(ISNA(VLOOKUP((ROW(G164)-15),'List of tables'!$A$4:$H$621,6,FALSE))," ",VLOOKUP((ROW(G164)-15),'List of tables'!$A$4:$H$621,6,FALSE))</f>
        <v>http://www.ninis2.nisra.gov.uk/public/SearchResults.aspx?sk=DC2116NI;</v>
      </c>
    </row>
    <row r="163" spans="1:7" ht="70" customHeight="1" x14ac:dyDescent="0.3">
      <c r="A163" s="23" t="str">
        <f>IF(ISNA(VLOOKUP((ROW(A165)-15),'List of tables'!$A$4:$H$621,2,FALSE))," ",VLOOKUP((ROW(A165)-15),'List of tables'!$A$4:$H$621,2,FALSE))</f>
        <v>DC2117NI</v>
      </c>
      <c r="B163" s="21" t="str">
        <f>IF(ISNA(VLOOKUP((ROW(B165)-15),'List of tables'!$A$4:$H$621,3,FALSE))," ",VLOOKUP((ROW(B165)-15),'List of tables'!$A$4:$H$621,3,FALSE))</f>
        <v>Religion or Religion Brought Up In by Age</v>
      </c>
      <c r="C163" s="21" t="str">
        <f>IF(ISNA(VLOOKUP((ROW(H165)-15),'List of tables'!$A$4:$H$621,8,FALSE))," ",VLOOKUP((ROW(H165)-15),'List of tables'!$A$4:$H$621,8,FALSE))</f>
        <v>All usual residents</v>
      </c>
      <c r="D163" s="21" t="str">
        <f>IF(ISNA(VLOOKUP((ROW(D165)-15),'List of tables'!$A$4:$H$621,5,FALSE))," ",VLOOKUP((ROW(D165)-15),'List of tables'!$A$4:$H$621,5,FALSE))</f>
        <v>Super Output Area, Electoral Ward, Local Government District, Assembly Area, NUTS3, Education and Library Board, Health and Social Care Trust, Northern Ireland</v>
      </c>
      <c r="E163" s="22" t="str">
        <f t="shared" si="1"/>
        <v>Link to files</v>
      </c>
      <c r="G163" s="18" t="str">
        <f>IF(ISNA(VLOOKUP((ROW(G165)-15),'List of tables'!$A$4:$H$621,6,FALSE))," ",VLOOKUP((ROW(G165)-15),'List of tables'!$A$4:$H$621,6,FALSE))</f>
        <v>http://www.ninis2.nisra.gov.uk/public/SearchResults.aspx?sk=DC2117NI;</v>
      </c>
    </row>
    <row r="164" spans="1:7" ht="70" customHeight="1" x14ac:dyDescent="0.3">
      <c r="A164" s="23" t="str">
        <f>IF(ISNA(VLOOKUP((ROW(A166)-15),'List of tables'!$A$4:$H$621,2,FALSE))," ",VLOOKUP((ROW(A166)-15),'List of tables'!$A$4:$H$621,2,FALSE))</f>
        <v>DC2118NI</v>
      </c>
      <c r="B164" s="21" t="str">
        <f>IF(ISNA(VLOOKUP((ROW(B166)-15),'List of tables'!$A$4:$H$621,3,FALSE))," ",VLOOKUP((ROW(B166)-15),'List of tables'!$A$4:$H$621,3,FALSE))</f>
        <v>Religion (Full Detail) by Sex</v>
      </c>
      <c r="C164" s="21" t="str">
        <f>IF(ISNA(VLOOKUP((ROW(H166)-15),'List of tables'!$A$4:$H$621,8,FALSE))," ",VLOOKUP((ROW(H166)-15),'List of tables'!$A$4:$H$621,8,FALSE))</f>
        <v>All usual residents</v>
      </c>
      <c r="D164" s="21" t="str">
        <f>IF(ISNA(VLOOKUP((ROW(D166)-15),'List of tables'!$A$4:$H$621,5,FALSE))," ",VLOOKUP((ROW(D166)-15),'List of tables'!$A$4:$H$621,5,FALSE))</f>
        <v>Northern Ireland</v>
      </c>
      <c r="E164" s="22" t="str">
        <f t="shared" si="1"/>
        <v>Link to files</v>
      </c>
      <c r="G164" s="18" t="str">
        <f>IF(ISNA(VLOOKUP((ROW(G166)-15),'List of tables'!$A$4:$H$621,6,FALSE))," ",VLOOKUP((ROW(G166)-15),'List of tables'!$A$4:$H$621,6,FALSE))</f>
        <v>http://www.ninis2.nisra.gov.uk/public/SearchResults.aspx?sk=DC2118NI;</v>
      </c>
    </row>
    <row r="165" spans="1:7" ht="70" customHeight="1" x14ac:dyDescent="0.3">
      <c r="A165" s="23" t="str">
        <f>IF(ISNA(VLOOKUP((ROW(A167)-15),'List of tables'!$A$4:$H$621,2,FALSE))," ",VLOOKUP((ROW(A167)-15),'List of tables'!$A$4:$H$621,2,FALSE))</f>
        <v>DC2119NI</v>
      </c>
      <c r="B165" s="21" t="str">
        <f>IF(ISNA(VLOOKUP((ROW(B167)-15),'List of tables'!$A$4:$H$621,3,FALSE))," ",VLOOKUP((ROW(B167)-15),'List of tables'!$A$4:$H$621,3,FALSE))</f>
        <v>Household Composition by Religion of HRP</v>
      </c>
      <c r="C165" s="21" t="str">
        <f>IF(ISNA(VLOOKUP((ROW(H167)-15),'List of tables'!$A$4:$H$621,8,FALSE))," ",VLOOKUP((ROW(H167)-15),'List of tables'!$A$4:$H$621,8,FALSE))</f>
        <v>All Household Reference Persons (HRPs)</v>
      </c>
      <c r="D165" s="21" t="str">
        <f>IF(ISNA(VLOOKUP((ROW(D167)-15),'List of tables'!$A$4:$H$621,5,FALSE))," ",VLOOKUP((ROW(D167)-15),'List of tables'!$A$4:$H$621,5,FALSE))</f>
        <v>Super Output Area, Electoral Ward, Local Government District, Assembly Area, NUTS3, Education and Library Board, Health and Social Care Trust, Northern Ireland</v>
      </c>
      <c r="E165" s="22" t="str">
        <f t="shared" si="1"/>
        <v>Link to files</v>
      </c>
      <c r="G165" s="18" t="str">
        <f>IF(ISNA(VLOOKUP((ROW(G167)-15),'List of tables'!$A$4:$H$621,6,FALSE))," ",VLOOKUP((ROW(G167)-15),'List of tables'!$A$4:$H$621,6,FALSE))</f>
        <v>http://www.ninis2.nisra.gov.uk/public/SearchResults.aspx?sk=DC2119NI;</v>
      </c>
    </row>
    <row r="166" spans="1:7" ht="70" customHeight="1" x14ac:dyDescent="0.3">
      <c r="A166" s="23" t="str">
        <f>IF(ISNA(VLOOKUP((ROW(A168)-15),'List of tables'!$A$4:$H$621,2,FALSE))," ",VLOOKUP((ROW(A168)-15),'List of tables'!$A$4:$H$621,2,FALSE))</f>
        <v>DC2120NI</v>
      </c>
      <c r="B166" s="21" t="str">
        <f>IF(ISNA(VLOOKUP((ROW(B168)-15),'List of tables'!$A$4:$H$621,3,FALSE))," ",VLOOKUP((ROW(B168)-15),'List of tables'!$A$4:$H$621,3,FALSE))</f>
        <v>Household Composition by Religion or Religion Brought Up In of HRP</v>
      </c>
      <c r="C166" s="21" t="str">
        <f>IF(ISNA(VLOOKUP((ROW(H168)-15),'List of tables'!$A$4:$H$621,8,FALSE))," ",VLOOKUP((ROW(H168)-15),'List of tables'!$A$4:$H$621,8,FALSE))</f>
        <v>All Household Reference Persons (HRPs)</v>
      </c>
      <c r="D166" s="21" t="str">
        <f>IF(ISNA(VLOOKUP((ROW(D168)-15),'List of tables'!$A$4:$H$621,5,FALSE))," ",VLOOKUP((ROW(D168)-15),'List of tables'!$A$4:$H$621,5,FALSE))</f>
        <v>Super Output Area, Electoral Ward, Local Government District, Assembly Area, NUTS3, Education and Library Board, Health and Social Care Trust, Northern Ireland</v>
      </c>
      <c r="E166" s="22" t="str">
        <f t="shared" si="1"/>
        <v>Link to files</v>
      </c>
      <c r="G166" s="18" t="str">
        <f>IF(ISNA(VLOOKUP((ROW(G168)-15),'List of tables'!$A$4:$H$621,6,FALSE))," ",VLOOKUP((ROW(G168)-15),'List of tables'!$A$4:$H$621,6,FALSE))</f>
        <v>http://www.ninis2.nisra.gov.uk/public/SearchResults.aspx?sk=DC2120NI;</v>
      </c>
    </row>
    <row r="167" spans="1:7" ht="70" customHeight="1" x14ac:dyDescent="0.3">
      <c r="A167" s="23" t="str">
        <f>IF(ISNA(VLOOKUP((ROW(A169)-15),'List of tables'!$A$4:$H$621,2,FALSE))," ",VLOOKUP((ROW(A169)-15),'List of tables'!$A$4:$H$621,2,FALSE))</f>
        <v>DC2121NI</v>
      </c>
      <c r="B167" s="21" t="str">
        <f>IF(ISNA(VLOOKUP((ROW(B169)-15),'List of tables'!$A$4:$H$621,3,FALSE))," ",VLOOKUP((ROW(B169)-15),'List of tables'!$A$4:$H$621,3,FALSE))</f>
        <v>Living Arrangements by Religion by Sex</v>
      </c>
      <c r="C167" s="21" t="str">
        <f>IF(ISNA(VLOOKUP((ROW(H169)-15),'List of tables'!$A$4:$H$621,8,FALSE))," ",VLOOKUP((ROW(H169)-15),'List of tables'!$A$4:$H$621,8,FALSE))</f>
        <v>All usual residents aged 16 and over in households</v>
      </c>
      <c r="D167" s="21" t="str">
        <f>IF(ISNA(VLOOKUP((ROW(D169)-15),'List of tables'!$A$4:$H$621,5,FALSE))," ",VLOOKUP((ROW(D169)-15),'List of tables'!$A$4:$H$621,5,FALSE))</f>
        <v>Super Output Area, Electoral Ward, Local Government District, Assembly Area, NUTS3, Education and Library Board, Health and Social Care Trust, Northern Ireland</v>
      </c>
      <c r="E167" s="22" t="str">
        <f t="shared" si="1"/>
        <v>Link to files</v>
      </c>
      <c r="G167" s="18" t="str">
        <f>IF(ISNA(VLOOKUP((ROW(G169)-15),'List of tables'!$A$4:$H$621,6,FALSE))," ",VLOOKUP((ROW(G169)-15),'List of tables'!$A$4:$H$621,6,FALSE))</f>
        <v>http://www.ninis2.nisra.gov.uk/public/SearchResults.aspx?sk=DC2121NI;</v>
      </c>
    </row>
    <row r="168" spans="1:7" ht="70" customHeight="1" x14ac:dyDescent="0.3">
      <c r="A168" s="23" t="str">
        <f>IF(ISNA(VLOOKUP((ROW(A170)-15),'List of tables'!$A$4:$H$621,2,FALSE))," ",VLOOKUP((ROW(A170)-15),'List of tables'!$A$4:$H$621,2,FALSE))</f>
        <v>DC2122NI</v>
      </c>
      <c r="B168" s="21" t="str">
        <f>IF(ISNA(VLOOKUP((ROW(B170)-15),'List of tables'!$A$4:$H$621,3,FALSE))," ",VLOOKUP((ROW(B170)-15),'List of tables'!$A$4:$H$621,3,FALSE))</f>
        <v>Living Arrangements by Religion or Religion Brought Up In by Sex</v>
      </c>
      <c r="C168" s="21" t="str">
        <f>IF(ISNA(VLOOKUP((ROW(H170)-15),'List of tables'!$A$4:$H$621,8,FALSE))," ",VLOOKUP((ROW(H170)-15),'List of tables'!$A$4:$H$621,8,FALSE))</f>
        <v>All usual residents aged 16 and over in households</v>
      </c>
      <c r="D168" s="21" t="str">
        <f>IF(ISNA(VLOOKUP((ROW(D170)-15),'List of tables'!$A$4:$H$621,5,FALSE))," ",VLOOKUP((ROW(D170)-15),'List of tables'!$A$4:$H$621,5,FALSE))</f>
        <v>Super Output Area, Electoral Ward, Local Government District, Assembly Area, NUTS3, Education and Library Board, Health and Social Care Trust, Northern Ireland</v>
      </c>
      <c r="E168" s="22" t="str">
        <f t="shared" si="1"/>
        <v>Link to files</v>
      </c>
      <c r="G168" s="18" t="str">
        <f>IF(ISNA(VLOOKUP((ROW(G170)-15),'List of tables'!$A$4:$H$621,6,FALSE))," ",VLOOKUP((ROW(G170)-15),'List of tables'!$A$4:$H$621,6,FALSE))</f>
        <v>http://www.ninis2.nisra.gov.uk/public/SearchResults.aspx?sk=DC2122NI;</v>
      </c>
    </row>
    <row r="169" spans="1:7" ht="70" customHeight="1" x14ac:dyDescent="0.3">
      <c r="A169" s="23" t="str">
        <f>IF(ISNA(VLOOKUP((ROW(A171)-15),'List of tables'!$A$4:$H$621,2,FALSE))," ",VLOOKUP((ROW(A171)-15),'List of tables'!$A$4:$H$621,2,FALSE))</f>
        <v>DC2123NI</v>
      </c>
      <c r="B169" s="21" t="str">
        <f>IF(ISNA(VLOOKUP((ROW(B171)-15),'List of tables'!$A$4:$H$621,3,FALSE))," ",VLOOKUP((ROW(B171)-15),'List of tables'!$A$4:$H$621,3,FALSE))</f>
        <v>Knowledge of Irish by Age by Sex</v>
      </c>
      <c r="C169" s="21" t="str">
        <f>IF(ISNA(VLOOKUP((ROW(H171)-15),'List of tables'!$A$4:$H$621,8,FALSE))," ",VLOOKUP((ROW(H171)-15),'List of tables'!$A$4:$H$621,8,FALSE))</f>
        <v>All usual residents aged 3 and over</v>
      </c>
      <c r="D169" s="21" t="str">
        <f>IF(ISNA(VLOOKUP((ROW(D171)-15),'List of tables'!$A$4:$H$621,5,FALSE))," ",VLOOKUP((ROW(D171)-15),'List of tables'!$A$4:$H$621,5,FALSE))</f>
        <v>Local Government District, NUTS3, Education and Library Board, Health and Social Care Trust, Northern Ireland</v>
      </c>
      <c r="E169" s="22" t="str">
        <f t="shared" si="1"/>
        <v>Link to files</v>
      </c>
      <c r="G169" s="18" t="str">
        <f>IF(ISNA(VLOOKUP((ROW(G171)-15),'List of tables'!$A$4:$H$621,6,FALSE))," ",VLOOKUP((ROW(G171)-15),'List of tables'!$A$4:$H$621,6,FALSE))</f>
        <v>http://www.ninis2.nisra.gov.uk/public/SearchResults.aspx?sk=DC2123NI;</v>
      </c>
    </row>
    <row r="170" spans="1:7" ht="70" customHeight="1" x14ac:dyDescent="0.3">
      <c r="A170" s="23" t="str">
        <f>IF(ISNA(VLOOKUP((ROW(A172)-15),'List of tables'!$A$4:$H$621,2,FALSE))," ",VLOOKUP((ROW(A172)-15),'List of tables'!$A$4:$H$621,2,FALSE))</f>
        <v>DC2124NI</v>
      </c>
      <c r="B170" s="21" t="str">
        <f>IF(ISNA(VLOOKUP((ROW(B172)-15),'List of tables'!$A$4:$H$621,3,FALSE))," ",VLOOKUP((ROW(B172)-15),'List of tables'!$A$4:$H$621,3,FALSE))</f>
        <v>Knowledge of Ulster-Scots by Age by Sex</v>
      </c>
      <c r="C170" s="21" t="str">
        <f>IF(ISNA(VLOOKUP((ROW(H172)-15),'List of tables'!$A$4:$H$621,8,FALSE))," ",VLOOKUP((ROW(H172)-15),'List of tables'!$A$4:$H$621,8,FALSE))</f>
        <v>All usual residents aged 3 and over</v>
      </c>
      <c r="D170" s="21" t="str">
        <f>IF(ISNA(VLOOKUP((ROW(D172)-15),'List of tables'!$A$4:$H$621,5,FALSE))," ",VLOOKUP((ROW(D172)-15),'List of tables'!$A$4:$H$621,5,FALSE))</f>
        <v>Local Government District, NUTS3, Education and Library Board, Health and Social Care Trust, Northern Ireland</v>
      </c>
      <c r="E170" s="22" t="str">
        <f t="shared" si="1"/>
        <v>Link to files</v>
      </c>
      <c r="G170" s="18" t="str">
        <f>IF(ISNA(VLOOKUP((ROW(G172)-15),'List of tables'!$A$4:$H$621,6,FALSE))," ",VLOOKUP((ROW(G172)-15),'List of tables'!$A$4:$H$621,6,FALSE))</f>
        <v>http://www.ninis2.nisra.gov.uk/public/SearchResults.aspx?sk=DC2124NI;</v>
      </c>
    </row>
    <row r="171" spans="1:7" ht="70" customHeight="1" x14ac:dyDescent="0.3">
      <c r="A171" s="23" t="str">
        <f>IF(ISNA(VLOOKUP((ROW(A173)-15),'List of tables'!$A$4:$H$621,2,FALSE))," ",VLOOKUP((ROW(A173)-15),'List of tables'!$A$4:$H$621,2,FALSE))</f>
        <v>DC2125NI</v>
      </c>
      <c r="B171" s="21" t="str">
        <f>IF(ISNA(VLOOKUP((ROW(B173)-15),'List of tables'!$A$4:$H$621,3,FALSE))," ",VLOOKUP((ROW(B173)-15),'List of tables'!$A$4:$H$621,3,FALSE))</f>
        <v>Religion by Broad Age Bands by Sex</v>
      </c>
      <c r="C171" s="21" t="str">
        <f>IF(ISNA(VLOOKUP((ROW(H173)-15),'List of tables'!$A$4:$H$621,8,FALSE))," ",VLOOKUP((ROW(H173)-15),'List of tables'!$A$4:$H$621,8,FALSE))</f>
        <v>All usual residents</v>
      </c>
      <c r="D171" s="21" t="str">
        <f>IF(ISNA(VLOOKUP((ROW(D173)-15),'List of tables'!$A$4:$H$621,5,FALSE))," ",VLOOKUP((ROW(D173)-15),'List of tables'!$A$4:$H$621,5,FALSE))</f>
        <v>Super Output Area, Electoral Ward, Local Government District, Assembly Area, NUTS3, Education and Library Board, Health and Social Care Trust, Northern Ireland</v>
      </c>
      <c r="E171" s="22" t="str">
        <f t="shared" si="1"/>
        <v>Link to files</v>
      </c>
      <c r="G171" s="18" t="str">
        <f>IF(ISNA(VLOOKUP((ROW(G173)-15),'List of tables'!$A$4:$H$621,6,FALSE))," ",VLOOKUP((ROW(G173)-15),'List of tables'!$A$4:$H$621,6,FALSE))</f>
        <v>http://www.ninis2.nisra.gov.uk/public/SearchResults.aspx?sk=DC2125NI;</v>
      </c>
    </row>
    <row r="172" spans="1:7" ht="70" customHeight="1" x14ac:dyDescent="0.3">
      <c r="A172" s="23" t="str">
        <f>IF(ISNA(VLOOKUP((ROW(A174)-15),'List of tables'!$A$4:$H$621,2,FALSE))," ",VLOOKUP((ROW(A174)-15),'List of tables'!$A$4:$H$621,2,FALSE))</f>
        <v>DC2126NI</v>
      </c>
      <c r="B172" s="21" t="str">
        <f>IF(ISNA(VLOOKUP((ROW(B174)-15),'List of tables'!$A$4:$H$621,3,FALSE))," ",VLOOKUP((ROW(B174)-15),'List of tables'!$A$4:$H$621,3,FALSE))</f>
        <v>Religion or Religion Brought Up In by Broad Age Bands by Sex</v>
      </c>
      <c r="C172" s="21" t="str">
        <f>IF(ISNA(VLOOKUP((ROW(H174)-15),'List of tables'!$A$4:$H$621,8,FALSE))," ",VLOOKUP((ROW(H174)-15),'List of tables'!$A$4:$H$621,8,FALSE))</f>
        <v>All usual residents</v>
      </c>
      <c r="D172" s="21" t="str">
        <f>IF(ISNA(VLOOKUP((ROW(D174)-15),'List of tables'!$A$4:$H$621,5,FALSE))," ",VLOOKUP((ROW(D174)-15),'List of tables'!$A$4:$H$621,5,FALSE))</f>
        <v>Super Output Area, Electoral Ward, Local Government District, Assembly Area, NUTS3, Education and Library Board, Health and Social Care Trust, Northern Ireland</v>
      </c>
      <c r="E172" s="22" t="str">
        <f t="shared" si="1"/>
        <v>Link to files</v>
      </c>
      <c r="G172" s="18" t="str">
        <f>IF(ISNA(VLOOKUP((ROW(G174)-15),'List of tables'!$A$4:$H$621,6,FALSE))," ",VLOOKUP((ROW(G174)-15),'List of tables'!$A$4:$H$621,6,FALSE))</f>
        <v>http://www.ninis2.nisra.gov.uk/public/SearchResults.aspx?sk=DC2126NI;</v>
      </c>
    </row>
    <row r="173" spans="1:7" ht="70" customHeight="1" x14ac:dyDescent="0.3">
      <c r="A173" s="23" t="str">
        <f>IF(ISNA(VLOOKUP((ROW(A175)-15),'List of tables'!$A$4:$H$621,2,FALSE))," ",VLOOKUP((ROW(A175)-15),'List of tables'!$A$4:$H$621,2,FALSE))</f>
        <v>DC2201NI</v>
      </c>
      <c r="B173" s="21" t="str">
        <f>IF(ISNA(VLOOKUP((ROW(B175)-15),'List of tables'!$A$4:$H$621,3,FALSE))," ",VLOOKUP((ROW(B175)-15),'List of tables'!$A$4:$H$621,3,FALSE))</f>
        <v>Country of Birth by Ethnic Group</v>
      </c>
      <c r="C173" s="21" t="str">
        <f>IF(ISNA(VLOOKUP((ROW(H175)-15),'List of tables'!$A$4:$H$621,8,FALSE))," ",VLOOKUP((ROW(H175)-15),'List of tables'!$A$4:$H$621,8,FALSE))</f>
        <v>All usual residents</v>
      </c>
      <c r="D173" s="21" t="str">
        <f>IF(ISNA(VLOOKUP((ROW(D175)-15),'List of tables'!$A$4:$H$621,5,FALSE))," ",VLOOKUP((ROW(D175)-15),'List of tables'!$A$4:$H$621,5,FALSE))</f>
        <v>Local Government District, NUTS3, Education and Library Board, Health and Social Care Trust, Northern Ireland</v>
      </c>
      <c r="E173" s="22" t="str">
        <f t="shared" si="1"/>
        <v>Link to files</v>
      </c>
      <c r="G173" s="18" t="str">
        <f>IF(ISNA(VLOOKUP((ROW(G175)-15),'List of tables'!$A$4:$H$621,6,FALSE))," ",VLOOKUP((ROW(G175)-15),'List of tables'!$A$4:$H$621,6,FALSE))</f>
        <v>http://www.ninis2.nisra.gov.uk/public/SearchResults.aspx?sk=DC2201NI;</v>
      </c>
    </row>
    <row r="174" spans="1:7" ht="70" customHeight="1" x14ac:dyDescent="0.3">
      <c r="A174" s="23" t="str">
        <f>IF(ISNA(VLOOKUP((ROW(A176)-15),'List of tables'!$A$4:$H$621,2,FALSE))," ",VLOOKUP((ROW(A176)-15),'List of tables'!$A$4:$H$621,2,FALSE))</f>
        <v>DC2202NI</v>
      </c>
      <c r="B174" s="21" t="str">
        <f>IF(ISNA(VLOOKUP((ROW(B176)-15),'List of tables'!$A$4:$H$621,3,FALSE))," ",VLOOKUP((ROW(B176)-15),'List of tables'!$A$4:$H$621,3,FALSE))</f>
        <v>Main Language by Ethnic Group</v>
      </c>
      <c r="C174" s="21" t="str">
        <f>IF(ISNA(VLOOKUP((ROW(H176)-15),'List of tables'!$A$4:$H$621,8,FALSE))," ",VLOOKUP((ROW(H176)-15),'List of tables'!$A$4:$H$621,8,FALSE))</f>
        <v>All usual residents aged 3 and over</v>
      </c>
      <c r="D174" s="21" t="str">
        <f>IF(ISNA(VLOOKUP((ROW(D176)-15),'List of tables'!$A$4:$H$621,5,FALSE))," ",VLOOKUP((ROW(D176)-15),'List of tables'!$A$4:$H$621,5,FALSE))</f>
        <v>Local Government District, NUTS3, Education and Library Board, Health and Social Care Trust, Northern Ireland</v>
      </c>
      <c r="E174" s="22" t="str">
        <f t="shared" si="1"/>
        <v>Link to files</v>
      </c>
      <c r="G174" s="18" t="str">
        <f>IF(ISNA(VLOOKUP((ROW(G176)-15),'List of tables'!$A$4:$H$621,6,FALSE))," ",VLOOKUP((ROW(G176)-15),'List of tables'!$A$4:$H$621,6,FALSE))</f>
        <v>http://www.ninis2.nisra.gov.uk/public/SearchResults.aspx?sk=DC2202NI;</v>
      </c>
    </row>
    <row r="175" spans="1:7" ht="70" customHeight="1" x14ac:dyDescent="0.3">
      <c r="A175" s="23" t="str">
        <f>IF(ISNA(VLOOKUP((ROW(A177)-15),'List of tables'!$A$4:$H$621,2,FALSE))," ",VLOOKUP((ROW(A177)-15),'List of tables'!$A$4:$H$621,2,FALSE))</f>
        <v>DC2203NI</v>
      </c>
      <c r="B175" s="21" t="str">
        <f>IF(ISNA(VLOOKUP((ROW(B177)-15),'List of tables'!$A$4:$H$621,3,FALSE))," ",VLOOKUP((ROW(B177)-15),'List of tables'!$A$4:$H$621,3,FALSE))</f>
        <v>Proficiency in English by Ethnic Group</v>
      </c>
      <c r="C175" s="21" t="str">
        <f>IF(ISNA(VLOOKUP((ROW(H177)-15),'List of tables'!$A$4:$H$621,8,FALSE))," ",VLOOKUP((ROW(H177)-15),'List of tables'!$A$4:$H$621,8,FALSE))</f>
        <v>All usual residents aged 3 and over</v>
      </c>
      <c r="D175" s="21" t="str">
        <f>IF(ISNA(VLOOKUP((ROW(D177)-15),'List of tables'!$A$4:$H$621,5,FALSE))," ",VLOOKUP((ROW(D177)-15),'List of tables'!$A$4:$H$621,5,FALSE))</f>
        <v>Local Government District, NUTS3, Education and Library Board, Health and Social Care Trust, Northern Ireland</v>
      </c>
      <c r="E175" s="22" t="str">
        <f t="shared" si="1"/>
        <v>Link to files</v>
      </c>
      <c r="G175" s="18" t="str">
        <f>IF(ISNA(VLOOKUP((ROW(G177)-15),'List of tables'!$A$4:$H$621,6,FALSE))," ",VLOOKUP((ROW(G177)-15),'List of tables'!$A$4:$H$621,6,FALSE))</f>
        <v>http://www.ninis2.nisra.gov.uk/public/SearchResults.aspx?sk=DC2203NI;</v>
      </c>
    </row>
    <row r="176" spans="1:7" ht="70" customHeight="1" x14ac:dyDescent="0.3">
      <c r="A176" s="23" t="str">
        <f>IF(ISNA(VLOOKUP((ROW(A178)-15),'List of tables'!$A$4:$H$621,2,FALSE))," ",VLOOKUP((ROW(A178)-15),'List of tables'!$A$4:$H$621,2,FALSE))</f>
        <v>DC2204NI</v>
      </c>
      <c r="B176" s="21" t="str">
        <f>IF(ISNA(VLOOKUP((ROW(B178)-15),'List of tables'!$A$4:$H$621,3,FALSE))," ",VLOOKUP((ROW(B178)-15),'List of tables'!$A$4:$H$621,3,FALSE))</f>
        <v>Passports Held (Classification 1) by Ethnic Group</v>
      </c>
      <c r="C176" s="21" t="str">
        <f>IF(ISNA(VLOOKUP((ROW(H178)-15),'List of tables'!$A$4:$H$621,8,FALSE))," ",VLOOKUP((ROW(H178)-15),'List of tables'!$A$4:$H$621,8,FALSE))</f>
        <v>All usual residents</v>
      </c>
      <c r="D176" s="21" t="str">
        <f>IF(ISNA(VLOOKUP((ROW(D178)-15),'List of tables'!$A$4:$H$621,5,FALSE))," ",VLOOKUP((ROW(D178)-15),'List of tables'!$A$4:$H$621,5,FALSE))</f>
        <v>Local Government District, NUTS3, Education and Library Board, Health and Social Care Trust, Northern Ireland</v>
      </c>
      <c r="E176" s="22" t="str">
        <f t="shared" si="1"/>
        <v>Link to files</v>
      </c>
      <c r="G176" s="18" t="str">
        <f>IF(ISNA(VLOOKUP((ROW(G178)-15),'List of tables'!$A$4:$H$621,6,FALSE))," ",VLOOKUP((ROW(G178)-15),'List of tables'!$A$4:$H$621,6,FALSE))</f>
        <v>http://www.ninis2.nisra.gov.uk/public/SearchResults.aspx?sk=DC2204NI;</v>
      </c>
    </row>
    <row r="177" spans="1:7" ht="70" customHeight="1" x14ac:dyDescent="0.3">
      <c r="A177" s="23" t="str">
        <f>IF(ISNA(VLOOKUP((ROW(A179)-15),'List of tables'!$A$4:$H$621,2,FALSE))," ",VLOOKUP((ROW(A179)-15),'List of tables'!$A$4:$H$621,2,FALSE))</f>
        <v>DC2205NI</v>
      </c>
      <c r="B177" s="21" t="str">
        <f>IF(ISNA(VLOOKUP((ROW(B179)-15),'List of tables'!$A$4:$H$621,3,FALSE))," ",VLOOKUP((ROW(B179)-15),'List of tables'!$A$4:$H$621,3,FALSE))</f>
        <v>Passports Held (Classification 2) by Ethnic Group</v>
      </c>
      <c r="C177" s="21" t="str">
        <f>IF(ISNA(VLOOKUP((ROW(H179)-15),'List of tables'!$A$4:$H$621,8,FALSE))," ",VLOOKUP((ROW(H179)-15),'List of tables'!$A$4:$H$621,8,FALSE))</f>
        <v>All usual residents</v>
      </c>
      <c r="D177" s="21" t="str">
        <f>IF(ISNA(VLOOKUP((ROW(D179)-15),'List of tables'!$A$4:$H$621,5,FALSE))," ",VLOOKUP((ROW(D179)-15),'List of tables'!$A$4:$H$621,5,FALSE))</f>
        <v>Local Government District, NUTS3, Education and Library Board, Health and Social Care Trust, Northern Ireland</v>
      </c>
      <c r="E177" s="22" t="str">
        <f t="shared" si="1"/>
        <v>Link to files</v>
      </c>
      <c r="G177" s="18" t="str">
        <f>IF(ISNA(VLOOKUP((ROW(G179)-15),'List of tables'!$A$4:$H$621,6,FALSE))," ",VLOOKUP((ROW(G179)-15),'List of tables'!$A$4:$H$621,6,FALSE))</f>
        <v>http://www.ninis2.nisra.gov.uk/public/SearchResults.aspx?sk=DC2205NI;</v>
      </c>
    </row>
    <row r="178" spans="1:7" ht="70" customHeight="1" x14ac:dyDescent="0.3">
      <c r="A178" s="23" t="str">
        <f>IF(ISNA(VLOOKUP((ROW(A180)-15),'List of tables'!$A$4:$H$621,2,FALSE))," ",VLOOKUP((ROW(A180)-15),'List of tables'!$A$4:$H$621,2,FALSE))</f>
        <v>DC2206NI</v>
      </c>
      <c r="B178" s="21" t="str">
        <f>IF(ISNA(VLOOKUP((ROW(B180)-15),'List of tables'!$A$4:$H$621,3,FALSE))," ",VLOOKUP((ROW(B180)-15),'List of tables'!$A$4:$H$621,3,FALSE))</f>
        <v>National Identity (Classification 1) by Ethnic Group</v>
      </c>
      <c r="C178" s="21" t="str">
        <f>IF(ISNA(VLOOKUP((ROW(H180)-15),'List of tables'!$A$4:$H$621,8,FALSE))," ",VLOOKUP((ROW(H180)-15),'List of tables'!$A$4:$H$621,8,FALSE))</f>
        <v>All usual residents</v>
      </c>
      <c r="D178" s="21" t="str">
        <f>IF(ISNA(VLOOKUP((ROW(D180)-15),'List of tables'!$A$4:$H$621,5,FALSE))," ",VLOOKUP((ROW(D180)-15),'List of tables'!$A$4:$H$621,5,FALSE))</f>
        <v>Local Government District, NUTS3, Education and Library Board, Health and Social Care Trust, Northern Ireland</v>
      </c>
      <c r="E178" s="22" t="str">
        <f t="shared" si="1"/>
        <v>Link to files</v>
      </c>
      <c r="G178" s="18" t="str">
        <f>IF(ISNA(VLOOKUP((ROW(G180)-15),'List of tables'!$A$4:$H$621,6,FALSE))," ",VLOOKUP((ROW(G180)-15),'List of tables'!$A$4:$H$621,6,FALSE))</f>
        <v>http://www.ninis2.nisra.gov.uk/public/SearchResults.aspx?sk=DC2206NI;</v>
      </c>
    </row>
    <row r="179" spans="1:7" ht="70" customHeight="1" x14ac:dyDescent="0.3">
      <c r="A179" s="23" t="str">
        <f>IF(ISNA(VLOOKUP((ROW(A181)-15),'List of tables'!$A$4:$H$621,2,FALSE))," ",VLOOKUP((ROW(A181)-15),'List of tables'!$A$4:$H$621,2,FALSE))</f>
        <v>DC2207NI</v>
      </c>
      <c r="B179" s="21" t="str">
        <f>IF(ISNA(VLOOKUP((ROW(B181)-15),'List of tables'!$A$4:$H$621,3,FALSE))," ",VLOOKUP((ROW(B181)-15),'List of tables'!$A$4:$H$621,3,FALSE))</f>
        <v>National Identity (Classification 2) by Ethnic Group</v>
      </c>
      <c r="C179" s="21" t="str">
        <f>IF(ISNA(VLOOKUP((ROW(H181)-15),'List of tables'!$A$4:$H$621,8,FALSE))," ",VLOOKUP((ROW(H181)-15),'List of tables'!$A$4:$H$621,8,FALSE))</f>
        <v>All usual residents</v>
      </c>
      <c r="D179" s="21" t="str">
        <f>IF(ISNA(VLOOKUP((ROW(D181)-15),'List of tables'!$A$4:$H$621,5,FALSE))," ",VLOOKUP((ROW(D181)-15),'List of tables'!$A$4:$H$621,5,FALSE))</f>
        <v>Local Government District, NUTS3, Education and Library Board, Health and Social Care Trust, Northern Ireland</v>
      </c>
      <c r="E179" s="22" t="str">
        <f t="shared" si="1"/>
        <v>Link to files</v>
      </c>
      <c r="G179" s="18" t="str">
        <f>IF(ISNA(VLOOKUP((ROW(G181)-15),'List of tables'!$A$4:$H$621,6,FALSE))," ",VLOOKUP((ROW(G181)-15),'List of tables'!$A$4:$H$621,6,FALSE))</f>
        <v>http://www.ninis2.nisra.gov.uk/public/SearchResults.aspx?sk=DC2207NI;</v>
      </c>
    </row>
    <row r="180" spans="1:7" ht="70" customHeight="1" x14ac:dyDescent="0.3">
      <c r="A180" s="23" t="str">
        <f>IF(ISNA(VLOOKUP((ROW(A182)-15),'List of tables'!$A$4:$H$621,2,FALSE))," ",VLOOKUP((ROW(A182)-15),'List of tables'!$A$4:$H$621,2,FALSE))</f>
        <v>DC2208NI</v>
      </c>
      <c r="B180" s="21" t="str">
        <f>IF(ISNA(VLOOKUP((ROW(B182)-15),'List of tables'!$A$4:$H$621,3,FALSE))," ",VLOOKUP((ROW(B182)-15),'List of tables'!$A$4:$H$621,3,FALSE))</f>
        <v>National Identity (Classification 1) by Knowledge of Irish</v>
      </c>
      <c r="C180" s="21" t="str">
        <f>IF(ISNA(VLOOKUP((ROW(H182)-15),'List of tables'!$A$4:$H$621,8,FALSE))," ",VLOOKUP((ROW(H182)-15),'List of tables'!$A$4:$H$621,8,FALSE))</f>
        <v>All usual residents aged 3 and over</v>
      </c>
      <c r="D180" s="21" t="str">
        <f>IF(ISNA(VLOOKUP((ROW(D182)-15),'List of tables'!$A$4:$H$621,5,FALSE))," ",VLOOKUP((ROW(D182)-15),'List of tables'!$A$4:$H$621,5,FALSE))</f>
        <v>Local Government District, NUTS3, Education and Library Board, Health and Social Care Trust, Northern Ireland</v>
      </c>
      <c r="E180" s="22" t="str">
        <f t="shared" si="1"/>
        <v>Link to files</v>
      </c>
      <c r="G180" s="18" t="str">
        <f>IF(ISNA(VLOOKUP((ROW(G182)-15),'List of tables'!$A$4:$H$621,6,FALSE))," ",VLOOKUP((ROW(G182)-15),'List of tables'!$A$4:$H$621,6,FALSE))</f>
        <v>http://www.ninis2.nisra.gov.uk/public/SearchResults.aspx?sk=DC2208NI;</v>
      </c>
    </row>
    <row r="181" spans="1:7" ht="70" customHeight="1" x14ac:dyDescent="0.3">
      <c r="A181" s="23" t="str">
        <f>IF(ISNA(VLOOKUP((ROW(A183)-15),'List of tables'!$A$4:$H$621,2,FALSE))," ",VLOOKUP((ROW(A183)-15),'List of tables'!$A$4:$H$621,2,FALSE))</f>
        <v>DC2209NI</v>
      </c>
      <c r="B181" s="21" t="str">
        <f>IF(ISNA(VLOOKUP((ROW(B183)-15),'List of tables'!$A$4:$H$621,3,FALSE))," ",VLOOKUP((ROW(B183)-15),'List of tables'!$A$4:$H$621,3,FALSE))</f>
        <v>National Identity (Classification 2) by Knowledge of Irish</v>
      </c>
      <c r="C181" s="21" t="str">
        <f>IF(ISNA(VLOOKUP((ROW(H183)-15),'List of tables'!$A$4:$H$621,8,FALSE))," ",VLOOKUP((ROW(H183)-15),'List of tables'!$A$4:$H$621,8,FALSE))</f>
        <v>All usual residents aged 3 and over</v>
      </c>
      <c r="D181" s="21" t="str">
        <f>IF(ISNA(VLOOKUP((ROW(D183)-15),'List of tables'!$A$4:$H$621,5,FALSE))," ",VLOOKUP((ROW(D183)-15),'List of tables'!$A$4:$H$621,5,FALSE))</f>
        <v>Local Government District, NUTS3, Education and Library Board, Health and Social Care Trust, Northern Ireland</v>
      </c>
      <c r="E181" s="22" t="str">
        <f t="shared" si="1"/>
        <v>Link to files</v>
      </c>
      <c r="G181" s="18" t="str">
        <f>IF(ISNA(VLOOKUP((ROW(G183)-15),'List of tables'!$A$4:$H$621,6,FALSE))," ",VLOOKUP((ROW(G183)-15),'List of tables'!$A$4:$H$621,6,FALSE))</f>
        <v>http://www.ninis2.nisra.gov.uk/public/SearchResults.aspx?sk=DC2209NI;</v>
      </c>
    </row>
    <row r="182" spans="1:7" ht="70" customHeight="1" x14ac:dyDescent="0.3">
      <c r="A182" s="23" t="str">
        <f>IF(ISNA(VLOOKUP((ROW(A184)-15),'List of tables'!$A$4:$H$621,2,FALSE))," ",VLOOKUP((ROW(A184)-15),'List of tables'!$A$4:$H$621,2,FALSE))</f>
        <v>DC2210NI</v>
      </c>
      <c r="B182" s="21" t="str">
        <f>IF(ISNA(VLOOKUP((ROW(B184)-15),'List of tables'!$A$4:$H$621,3,FALSE))," ",VLOOKUP((ROW(B184)-15),'List of tables'!$A$4:$H$621,3,FALSE))</f>
        <v>National Identity (Classification 1) by Knowledge of Ulster-Scots</v>
      </c>
      <c r="C182" s="21" t="str">
        <f>IF(ISNA(VLOOKUP((ROW(H184)-15),'List of tables'!$A$4:$H$621,8,FALSE))," ",VLOOKUP((ROW(H184)-15),'List of tables'!$A$4:$H$621,8,FALSE))</f>
        <v>All usual residents aged 3 and over</v>
      </c>
      <c r="D182" s="21" t="str">
        <f>IF(ISNA(VLOOKUP((ROW(D184)-15),'List of tables'!$A$4:$H$621,5,FALSE))," ",VLOOKUP((ROW(D184)-15),'List of tables'!$A$4:$H$621,5,FALSE))</f>
        <v>Local Government District, NUTS3, Education and Library Board, Health and Social Care Trust, Northern Ireland</v>
      </c>
      <c r="E182" s="22" t="str">
        <f t="shared" si="1"/>
        <v>Link to files</v>
      </c>
      <c r="G182" s="18" t="str">
        <f>IF(ISNA(VLOOKUP((ROW(G184)-15),'List of tables'!$A$4:$H$621,6,FALSE))," ",VLOOKUP((ROW(G184)-15),'List of tables'!$A$4:$H$621,6,FALSE))</f>
        <v>http://www.ninis2.nisra.gov.uk/public/SearchResults.aspx?sk=DC2210NI;</v>
      </c>
    </row>
    <row r="183" spans="1:7" ht="70" customHeight="1" x14ac:dyDescent="0.3">
      <c r="A183" s="23" t="str">
        <f>IF(ISNA(VLOOKUP((ROW(A185)-15),'List of tables'!$A$4:$H$621,2,FALSE))," ",VLOOKUP((ROW(A185)-15),'List of tables'!$A$4:$H$621,2,FALSE))</f>
        <v>DC2211NI</v>
      </c>
      <c r="B183" s="21" t="str">
        <f>IF(ISNA(VLOOKUP((ROW(B185)-15),'List of tables'!$A$4:$H$621,3,FALSE))," ",VLOOKUP((ROW(B185)-15),'List of tables'!$A$4:$H$621,3,FALSE))</f>
        <v>National Identity (Classification 2) by Knowledge of Ulster-Scots</v>
      </c>
      <c r="C183" s="21" t="str">
        <f>IF(ISNA(VLOOKUP((ROW(H185)-15),'List of tables'!$A$4:$H$621,8,FALSE))," ",VLOOKUP((ROW(H185)-15),'List of tables'!$A$4:$H$621,8,FALSE))</f>
        <v>All usual residents aged 3 and over</v>
      </c>
      <c r="D183" s="21" t="str">
        <f>IF(ISNA(VLOOKUP((ROW(D185)-15),'List of tables'!$A$4:$H$621,5,FALSE))," ",VLOOKUP((ROW(D185)-15),'List of tables'!$A$4:$H$621,5,FALSE))</f>
        <v>Local Government District, NUTS3, Education and Library Board, Health and Social Care Trust, Northern Ireland</v>
      </c>
      <c r="E183" s="22" t="str">
        <f t="shared" si="1"/>
        <v>Link to files</v>
      </c>
      <c r="G183" s="18" t="str">
        <f>IF(ISNA(VLOOKUP((ROW(G185)-15),'List of tables'!$A$4:$H$621,6,FALSE))," ",VLOOKUP((ROW(G185)-15),'List of tables'!$A$4:$H$621,6,FALSE))</f>
        <v>http://www.ninis2.nisra.gov.uk/public/SearchResults.aspx?sk=DC2211NI;</v>
      </c>
    </row>
    <row r="184" spans="1:7" ht="70" customHeight="1" x14ac:dyDescent="0.3">
      <c r="A184" s="23" t="str">
        <f>IF(ISNA(VLOOKUP((ROW(A186)-15),'List of tables'!$A$4:$H$621,2,FALSE))," ",VLOOKUP((ROW(A186)-15),'List of tables'!$A$4:$H$621,2,FALSE))</f>
        <v>DC2212NI</v>
      </c>
      <c r="B184" s="21" t="str">
        <f>IF(ISNA(VLOOKUP((ROW(B186)-15),'List of tables'!$A$4:$H$621,3,FALSE))," ",VLOOKUP((ROW(B186)-15),'List of tables'!$A$4:$H$621,3,FALSE))</f>
        <v>Country of Birth by National Identity (Classification 1)</v>
      </c>
      <c r="C184" s="21" t="str">
        <f>IF(ISNA(VLOOKUP((ROW(H186)-15),'List of tables'!$A$4:$H$621,8,FALSE))," ",VLOOKUP((ROW(H186)-15),'List of tables'!$A$4:$H$621,8,FALSE))</f>
        <v>All usual residents</v>
      </c>
      <c r="D184" s="21" t="str">
        <f>IF(ISNA(VLOOKUP((ROW(D186)-15),'List of tables'!$A$4:$H$621,5,FALSE))," ",VLOOKUP((ROW(D186)-15),'List of tables'!$A$4:$H$621,5,FALSE))</f>
        <v>Local Government District, NUTS3, Education and Library Board, Health and Social Care Trust, Northern Ireland</v>
      </c>
      <c r="E184" s="22" t="str">
        <f t="shared" si="1"/>
        <v>Link to files</v>
      </c>
      <c r="G184" s="18" t="str">
        <f>IF(ISNA(VLOOKUP((ROW(G186)-15),'List of tables'!$A$4:$H$621,6,FALSE))," ",VLOOKUP((ROW(G186)-15),'List of tables'!$A$4:$H$621,6,FALSE))</f>
        <v>http://www.ninis2.nisra.gov.uk/public/SearchResults.aspx?sk=DC2212NI;</v>
      </c>
    </row>
    <row r="185" spans="1:7" ht="70" customHeight="1" x14ac:dyDescent="0.3">
      <c r="A185" s="23" t="str">
        <f>IF(ISNA(VLOOKUP((ROW(A187)-15),'List of tables'!$A$4:$H$621,2,FALSE))," ",VLOOKUP((ROW(A187)-15),'List of tables'!$A$4:$H$621,2,FALSE))</f>
        <v>DC2213NI</v>
      </c>
      <c r="B185" s="21" t="str">
        <f>IF(ISNA(VLOOKUP((ROW(B187)-15),'List of tables'!$A$4:$H$621,3,FALSE))," ",VLOOKUP((ROW(B187)-15),'List of tables'!$A$4:$H$621,3,FALSE))</f>
        <v>Country of Birth by National Identity (Classification 2)</v>
      </c>
      <c r="C185" s="21" t="str">
        <f>IF(ISNA(VLOOKUP((ROW(H187)-15),'List of tables'!$A$4:$H$621,8,FALSE))," ",VLOOKUP((ROW(H187)-15),'List of tables'!$A$4:$H$621,8,FALSE))</f>
        <v>All usual residents</v>
      </c>
      <c r="D185" s="21" t="str">
        <f>IF(ISNA(VLOOKUP((ROW(D187)-15),'List of tables'!$A$4:$H$621,5,FALSE))," ",VLOOKUP((ROW(D187)-15),'List of tables'!$A$4:$H$621,5,FALSE))</f>
        <v>Local Government District, NUTS3, Education and Library Board, Health and Social Care Trust, Northern Ireland</v>
      </c>
      <c r="E185" s="22" t="str">
        <f t="shared" si="1"/>
        <v>Link to files</v>
      </c>
      <c r="G185" s="18" t="str">
        <f>IF(ISNA(VLOOKUP((ROW(G187)-15),'List of tables'!$A$4:$H$621,6,FALSE))," ",VLOOKUP((ROW(G187)-15),'List of tables'!$A$4:$H$621,6,FALSE))</f>
        <v>http://www.ninis2.nisra.gov.uk/public/SearchResults.aspx?sk=DC2213NI;</v>
      </c>
    </row>
    <row r="186" spans="1:7" ht="70" customHeight="1" x14ac:dyDescent="0.3">
      <c r="A186" s="23" t="str">
        <f>IF(ISNA(VLOOKUP((ROW(A188)-15),'List of tables'!$A$4:$H$621,2,FALSE))," ",VLOOKUP((ROW(A188)-15),'List of tables'!$A$4:$H$621,2,FALSE))</f>
        <v>DC2214NI</v>
      </c>
      <c r="B186" s="21" t="str">
        <f>IF(ISNA(VLOOKUP((ROW(B188)-15),'List of tables'!$A$4:$H$621,3,FALSE))," ",VLOOKUP((ROW(B188)-15),'List of tables'!$A$4:$H$621,3,FALSE))</f>
        <v>National Identity (Classification 1) by Main Language</v>
      </c>
      <c r="C186" s="21" t="str">
        <f>IF(ISNA(VLOOKUP((ROW(H188)-15),'List of tables'!$A$4:$H$621,8,FALSE))," ",VLOOKUP((ROW(H188)-15),'List of tables'!$A$4:$H$621,8,FALSE))</f>
        <v>All usual residents aged 3 and over</v>
      </c>
      <c r="D186" s="21" t="str">
        <f>IF(ISNA(VLOOKUP((ROW(D188)-15),'List of tables'!$A$4:$H$621,5,FALSE))," ",VLOOKUP((ROW(D188)-15),'List of tables'!$A$4:$H$621,5,FALSE))</f>
        <v>Local Government District, NUTS3, Education and Library Board, Health and Social Care Trust, Northern Ireland</v>
      </c>
      <c r="E186" s="22" t="str">
        <f t="shared" si="1"/>
        <v>Link to files</v>
      </c>
      <c r="G186" s="18" t="str">
        <f>IF(ISNA(VLOOKUP((ROW(G188)-15),'List of tables'!$A$4:$H$621,6,FALSE))," ",VLOOKUP((ROW(G188)-15),'List of tables'!$A$4:$H$621,6,FALSE))</f>
        <v>http://www.ninis2.nisra.gov.uk/public/SearchResults.aspx?sk=DC2214NI;</v>
      </c>
    </row>
    <row r="187" spans="1:7" ht="70" customHeight="1" x14ac:dyDescent="0.3">
      <c r="A187" s="23" t="str">
        <f>IF(ISNA(VLOOKUP((ROW(A189)-15),'List of tables'!$A$4:$H$621,2,FALSE))," ",VLOOKUP((ROW(A189)-15),'List of tables'!$A$4:$H$621,2,FALSE))</f>
        <v>DC2215NI</v>
      </c>
      <c r="B187" s="21" t="str">
        <f>IF(ISNA(VLOOKUP((ROW(B189)-15),'List of tables'!$A$4:$H$621,3,FALSE))," ",VLOOKUP((ROW(B189)-15),'List of tables'!$A$4:$H$621,3,FALSE))</f>
        <v>National Identity (Classification 2) by Main Language</v>
      </c>
      <c r="C187" s="21" t="str">
        <f>IF(ISNA(VLOOKUP((ROW(H189)-15),'List of tables'!$A$4:$H$621,8,FALSE))," ",VLOOKUP((ROW(H189)-15),'List of tables'!$A$4:$H$621,8,FALSE))</f>
        <v>All usual residents aged 3 and over</v>
      </c>
      <c r="D187" s="21" t="str">
        <f>IF(ISNA(VLOOKUP((ROW(D189)-15),'List of tables'!$A$4:$H$621,5,FALSE))," ",VLOOKUP((ROW(D189)-15),'List of tables'!$A$4:$H$621,5,FALSE))</f>
        <v>Local Government District, NUTS3, Education and Library Board, Health and Social Care Trust, Northern Ireland</v>
      </c>
      <c r="E187" s="22" t="str">
        <f t="shared" si="1"/>
        <v>Link to files</v>
      </c>
      <c r="G187" s="18" t="str">
        <f>IF(ISNA(VLOOKUP((ROW(G189)-15),'List of tables'!$A$4:$H$621,6,FALSE))," ",VLOOKUP((ROW(G189)-15),'List of tables'!$A$4:$H$621,6,FALSE))</f>
        <v>http://www.ninis2.nisra.gov.uk/public/SearchResults.aspx?sk=DC2215NI;</v>
      </c>
    </row>
    <row r="188" spans="1:7" ht="70" customHeight="1" x14ac:dyDescent="0.3">
      <c r="A188" s="23" t="str">
        <f>IF(ISNA(VLOOKUP((ROW(A190)-15),'List of tables'!$A$4:$H$621,2,FALSE))," ",VLOOKUP((ROW(A190)-15),'List of tables'!$A$4:$H$621,2,FALSE))</f>
        <v>DC2216NI</v>
      </c>
      <c r="B188" s="21" t="str">
        <f>IF(ISNA(VLOOKUP((ROW(B190)-15),'List of tables'!$A$4:$H$621,3,FALSE))," ",VLOOKUP((ROW(B190)-15),'List of tables'!$A$4:$H$621,3,FALSE))</f>
        <v>National Identity (Classification 1) by Proficiency in English</v>
      </c>
      <c r="C188" s="21" t="str">
        <f>IF(ISNA(VLOOKUP((ROW(H190)-15),'List of tables'!$A$4:$H$621,8,FALSE))," ",VLOOKUP((ROW(H190)-15),'List of tables'!$A$4:$H$621,8,FALSE))</f>
        <v>All usual residents aged 3 and over</v>
      </c>
      <c r="D188" s="21" t="str">
        <f>IF(ISNA(VLOOKUP((ROW(D190)-15),'List of tables'!$A$4:$H$621,5,FALSE))," ",VLOOKUP((ROW(D190)-15),'List of tables'!$A$4:$H$621,5,FALSE))</f>
        <v>Local Government District, NUTS3, Education and Library Board, Health and Social Care Trust, Northern Ireland</v>
      </c>
      <c r="E188" s="22" t="str">
        <f t="shared" si="1"/>
        <v>Link to files</v>
      </c>
      <c r="G188" s="18" t="str">
        <f>IF(ISNA(VLOOKUP((ROW(G190)-15),'List of tables'!$A$4:$H$621,6,FALSE))," ",VLOOKUP((ROW(G190)-15),'List of tables'!$A$4:$H$621,6,FALSE))</f>
        <v>http://www.ninis2.nisra.gov.uk/public/SearchResults.aspx?sk=DC2216NI;</v>
      </c>
    </row>
    <row r="189" spans="1:7" ht="70" customHeight="1" x14ac:dyDescent="0.3">
      <c r="A189" s="23" t="str">
        <f>IF(ISNA(VLOOKUP((ROW(A191)-15),'List of tables'!$A$4:$H$621,2,FALSE))," ",VLOOKUP((ROW(A191)-15),'List of tables'!$A$4:$H$621,2,FALSE))</f>
        <v>DC2217NI</v>
      </c>
      <c r="B189" s="21" t="str">
        <f>IF(ISNA(VLOOKUP((ROW(B191)-15),'List of tables'!$A$4:$H$621,3,FALSE))," ",VLOOKUP((ROW(B191)-15),'List of tables'!$A$4:$H$621,3,FALSE))</f>
        <v>National Identity (Classification 2) by Proficiency in English</v>
      </c>
      <c r="C189" s="21" t="str">
        <f>IF(ISNA(VLOOKUP((ROW(H191)-15),'List of tables'!$A$4:$H$621,8,FALSE))," ",VLOOKUP((ROW(H191)-15),'List of tables'!$A$4:$H$621,8,FALSE))</f>
        <v>All usual residents aged 3 and over</v>
      </c>
      <c r="D189" s="21" t="str">
        <f>IF(ISNA(VLOOKUP((ROW(D191)-15),'List of tables'!$A$4:$H$621,5,FALSE))," ",VLOOKUP((ROW(D191)-15),'List of tables'!$A$4:$H$621,5,FALSE))</f>
        <v>Local Government District, NUTS3, Education and Library Board, Health and Social Care Trust, Northern Ireland</v>
      </c>
      <c r="E189" s="22" t="str">
        <f t="shared" si="1"/>
        <v>Link to files</v>
      </c>
      <c r="G189" s="18" t="str">
        <f>IF(ISNA(VLOOKUP((ROW(G191)-15),'List of tables'!$A$4:$H$621,6,FALSE))," ",VLOOKUP((ROW(G191)-15),'List of tables'!$A$4:$H$621,6,FALSE))</f>
        <v>http://www.ninis2.nisra.gov.uk/public/SearchResults.aspx?sk=DC2217NI;</v>
      </c>
    </row>
    <row r="190" spans="1:7" ht="70" customHeight="1" x14ac:dyDescent="0.3">
      <c r="A190" s="23" t="str">
        <f>IF(ISNA(VLOOKUP((ROW(A192)-15),'List of tables'!$A$4:$H$621,2,FALSE))," ",VLOOKUP((ROW(A192)-15),'List of tables'!$A$4:$H$621,2,FALSE))</f>
        <v>DC2218NI</v>
      </c>
      <c r="B190" s="21" t="str">
        <f>IF(ISNA(VLOOKUP((ROW(B192)-15),'List of tables'!$A$4:$H$621,3,FALSE))," ",VLOOKUP((ROW(B192)-15),'List of tables'!$A$4:$H$621,3,FALSE))</f>
        <v>National Identity (Classification 1) by Passports Held (Classification 1)</v>
      </c>
      <c r="C190" s="21" t="str">
        <f>IF(ISNA(VLOOKUP((ROW(H192)-15),'List of tables'!$A$4:$H$621,8,FALSE))," ",VLOOKUP((ROW(H192)-15),'List of tables'!$A$4:$H$621,8,FALSE))</f>
        <v>All usual residents</v>
      </c>
      <c r="D190" s="21" t="str">
        <f>IF(ISNA(VLOOKUP((ROW(D192)-15),'List of tables'!$A$4:$H$621,5,FALSE))," ",VLOOKUP((ROW(D192)-15),'List of tables'!$A$4:$H$621,5,FALSE))</f>
        <v>Local Government District, NUTS3, Education and Library Board, Health and Social Care Trust, Northern Ireland</v>
      </c>
      <c r="E190" s="22" t="str">
        <f t="shared" si="1"/>
        <v>Link to files</v>
      </c>
      <c r="G190" s="18" t="str">
        <f>IF(ISNA(VLOOKUP((ROW(G192)-15),'List of tables'!$A$4:$H$621,6,FALSE))," ",VLOOKUP((ROW(G192)-15),'List of tables'!$A$4:$H$621,6,FALSE))</f>
        <v>http://www.ninis2.nisra.gov.uk/public/SearchResults.aspx?sk=DC2218NI;</v>
      </c>
    </row>
    <row r="191" spans="1:7" ht="70" customHeight="1" x14ac:dyDescent="0.3">
      <c r="A191" s="23" t="str">
        <f>IF(ISNA(VLOOKUP((ROW(A193)-15),'List of tables'!$A$4:$H$621,2,FALSE))," ",VLOOKUP((ROW(A193)-15),'List of tables'!$A$4:$H$621,2,FALSE))</f>
        <v>DC2219NI</v>
      </c>
      <c r="B191" s="21" t="str">
        <f>IF(ISNA(VLOOKUP((ROW(B193)-15),'List of tables'!$A$4:$H$621,3,FALSE))," ",VLOOKUP((ROW(B193)-15),'List of tables'!$A$4:$H$621,3,FALSE))</f>
        <v>National Identity (Classification 1) by Passports Held (Classification 2)</v>
      </c>
      <c r="C191" s="21" t="str">
        <f>IF(ISNA(VLOOKUP((ROW(H193)-15),'List of tables'!$A$4:$H$621,8,FALSE))," ",VLOOKUP((ROW(H193)-15),'List of tables'!$A$4:$H$621,8,FALSE))</f>
        <v>All usual residents</v>
      </c>
      <c r="D191" s="21" t="str">
        <f>IF(ISNA(VLOOKUP((ROW(D193)-15),'List of tables'!$A$4:$H$621,5,FALSE))," ",VLOOKUP((ROW(D193)-15),'List of tables'!$A$4:$H$621,5,FALSE))</f>
        <v>Local Government District, NUTS3, Education and Library Board, Health and Social Care Trust, Northern Ireland</v>
      </c>
      <c r="E191" s="22" t="str">
        <f t="shared" si="1"/>
        <v>Link to files</v>
      </c>
      <c r="G191" s="18" t="str">
        <f>IF(ISNA(VLOOKUP((ROW(G193)-15),'List of tables'!$A$4:$H$621,6,FALSE))," ",VLOOKUP((ROW(G193)-15),'List of tables'!$A$4:$H$621,6,FALSE))</f>
        <v>http://www.ninis2.nisra.gov.uk/public/SearchResults.aspx?sk=DC2219NI;</v>
      </c>
    </row>
    <row r="192" spans="1:7" ht="70" customHeight="1" x14ac:dyDescent="0.3">
      <c r="A192" s="23" t="str">
        <f>IF(ISNA(VLOOKUP((ROW(A194)-15),'List of tables'!$A$4:$H$621,2,FALSE))," ",VLOOKUP((ROW(A194)-15),'List of tables'!$A$4:$H$621,2,FALSE))</f>
        <v>DC2220NI</v>
      </c>
      <c r="B192" s="21" t="str">
        <f>IF(ISNA(VLOOKUP((ROW(B194)-15),'List of tables'!$A$4:$H$621,3,FALSE))," ",VLOOKUP((ROW(B194)-15),'List of tables'!$A$4:$H$621,3,FALSE))</f>
        <v>National Identity (Classification 2) by Passports Held (Classification 1)</v>
      </c>
      <c r="C192" s="21" t="str">
        <f>IF(ISNA(VLOOKUP((ROW(H194)-15),'List of tables'!$A$4:$H$621,8,FALSE))," ",VLOOKUP((ROW(H194)-15),'List of tables'!$A$4:$H$621,8,FALSE))</f>
        <v>All usual residents</v>
      </c>
      <c r="D192" s="21" t="str">
        <f>IF(ISNA(VLOOKUP((ROW(D194)-15),'List of tables'!$A$4:$H$621,5,FALSE))," ",VLOOKUP((ROW(D194)-15),'List of tables'!$A$4:$H$621,5,FALSE))</f>
        <v>Local Government District, NUTS3, Education and Library Board, Health and Social Care Trust, Northern Ireland</v>
      </c>
      <c r="E192" s="22" t="str">
        <f t="shared" si="1"/>
        <v>Link to files</v>
      </c>
      <c r="G192" s="18" t="str">
        <f>IF(ISNA(VLOOKUP((ROW(G194)-15),'List of tables'!$A$4:$H$621,6,FALSE))," ",VLOOKUP((ROW(G194)-15),'List of tables'!$A$4:$H$621,6,FALSE))</f>
        <v>http://www.ninis2.nisra.gov.uk/public/SearchResults.aspx?sk=DC2220NI;</v>
      </c>
    </row>
    <row r="193" spans="1:7" ht="70" customHeight="1" x14ac:dyDescent="0.3">
      <c r="A193" s="23" t="str">
        <f>IF(ISNA(VLOOKUP((ROW(A195)-15),'List of tables'!$A$4:$H$621,2,FALSE))," ",VLOOKUP((ROW(A195)-15),'List of tables'!$A$4:$H$621,2,FALSE))</f>
        <v>DC2221NI</v>
      </c>
      <c r="B193" s="21" t="str">
        <f>IF(ISNA(VLOOKUP((ROW(B195)-15),'List of tables'!$A$4:$H$621,3,FALSE))," ",VLOOKUP((ROW(B195)-15),'List of tables'!$A$4:$H$621,3,FALSE))</f>
        <v>National Identity (Classification 2) by Passports Held (Classification 2)</v>
      </c>
      <c r="C193" s="21" t="str">
        <f>IF(ISNA(VLOOKUP((ROW(H195)-15),'List of tables'!$A$4:$H$621,8,FALSE))," ",VLOOKUP((ROW(H195)-15),'List of tables'!$A$4:$H$621,8,FALSE))</f>
        <v>All usual residents</v>
      </c>
      <c r="D193" s="21" t="str">
        <f>IF(ISNA(VLOOKUP((ROW(D195)-15),'List of tables'!$A$4:$H$621,5,FALSE))," ",VLOOKUP((ROW(D195)-15),'List of tables'!$A$4:$H$621,5,FALSE))</f>
        <v>Local Government District, NUTS3, Education and Library Board, Health and Social Care Trust, Northern Ireland</v>
      </c>
      <c r="E193" s="22" t="str">
        <f t="shared" si="1"/>
        <v>Link to files</v>
      </c>
      <c r="G193" s="18" t="str">
        <f>IF(ISNA(VLOOKUP((ROW(G195)-15),'List of tables'!$A$4:$H$621,6,FALSE))," ",VLOOKUP((ROW(G195)-15),'List of tables'!$A$4:$H$621,6,FALSE))</f>
        <v>http://www.ninis2.nisra.gov.uk/public/SearchResults.aspx?sk=DC2221NI;</v>
      </c>
    </row>
    <row r="194" spans="1:7" ht="70" customHeight="1" x14ac:dyDescent="0.3">
      <c r="A194" s="23" t="str">
        <f>IF(ISNA(VLOOKUP((ROW(A196)-15),'List of tables'!$A$4:$H$621,2,FALSE))," ",VLOOKUP((ROW(A196)-15),'List of tables'!$A$4:$H$621,2,FALSE))</f>
        <v>DC2222NI</v>
      </c>
      <c r="B194" s="21" t="str">
        <f>IF(ISNA(VLOOKUP((ROW(B196)-15),'List of tables'!$A$4:$H$621,3,FALSE))," ",VLOOKUP((ROW(B196)-15),'List of tables'!$A$4:$H$621,3,FALSE))</f>
        <v>Country of Birth by Main Language</v>
      </c>
      <c r="C194" s="21" t="str">
        <f>IF(ISNA(VLOOKUP((ROW(H196)-15),'List of tables'!$A$4:$H$621,8,FALSE))," ",VLOOKUP((ROW(H196)-15),'List of tables'!$A$4:$H$621,8,FALSE))</f>
        <v>All usual residents aged 3 and over</v>
      </c>
      <c r="D194" s="21" t="str">
        <f>IF(ISNA(VLOOKUP((ROW(D196)-15),'List of tables'!$A$4:$H$621,5,FALSE))," ",VLOOKUP((ROW(D196)-15),'List of tables'!$A$4:$H$621,5,FALSE))</f>
        <v>Local Government District, NUTS3, Education and Library Board, Health and Social Care Trust, Northern Ireland</v>
      </c>
      <c r="E194" s="22" t="str">
        <f t="shared" si="1"/>
        <v>Link to files</v>
      </c>
      <c r="G194" s="18" t="str">
        <f>IF(ISNA(VLOOKUP((ROW(G196)-15),'List of tables'!$A$4:$H$621,6,FALSE))," ",VLOOKUP((ROW(G196)-15),'List of tables'!$A$4:$H$621,6,FALSE))</f>
        <v>http://www.ninis2.nisra.gov.uk/public/SearchResults.aspx?sk=DC2222NI;</v>
      </c>
    </row>
    <row r="195" spans="1:7" ht="70" customHeight="1" x14ac:dyDescent="0.3">
      <c r="A195" s="23" t="str">
        <f>IF(ISNA(VLOOKUP((ROW(A197)-15),'List of tables'!$A$4:$H$621,2,FALSE))," ",VLOOKUP((ROW(A197)-15),'List of tables'!$A$4:$H$621,2,FALSE))</f>
        <v>DC2223NI</v>
      </c>
      <c r="B195" s="21" t="str">
        <f>IF(ISNA(VLOOKUP((ROW(B197)-15),'List of tables'!$A$4:$H$621,3,FALSE))," ",VLOOKUP((ROW(B197)-15),'List of tables'!$A$4:$H$621,3,FALSE))</f>
        <v>Country of Birth by Proficiency in English</v>
      </c>
      <c r="C195" s="21" t="str">
        <f>IF(ISNA(VLOOKUP((ROW(H197)-15),'List of tables'!$A$4:$H$621,8,FALSE))," ",VLOOKUP((ROW(H197)-15),'List of tables'!$A$4:$H$621,8,FALSE))</f>
        <v>All usual residents aged 3 and over</v>
      </c>
      <c r="D195" s="21" t="str">
        <f>IF(ISNA(VLOOKUP((ROW(D197)-15),'List of tables'!$A$4:$H$621,5,FALSE))," ",VLOOKUP((ROW(D197)-15),'List of tables'!$A$4:$H$621,5,FALSE))</f>
        <v>Local Government District, NUTS3, Education and Library Board, Health and Social Care Trust, Northern Ireland</v>
      </c>
      <c r="E195" s="22" t="str">
        <f t="shared" si="1"/>
        <v>Link to files</v>
      </c>
      <c r="G195" s="18" t="str">
        <f>IF(ISNA(VLOOKUP((ROW(G197)-15),'List of tables'!$A$4:$H$621,6,FALSE))," ",VLOOKUP((ROW(G197)-15),'List of tables'!$A$4:$H$621,6,FALSE))</f>
        <v>http://www.ninis2.nisra.gov.uk/public/SearchResults.aspx?sk=DC2223NI;</v>
      </c>
    </row>
    <row r="196" spans="1:7" ht="70" customHeight="1" x14ac:dyDescent="0.3">
      <c r="A196" s="23" t="str">
        <f>IF(ISNA(VLOOKUP((ROW(A198)-15),'List of tables'!$A$4:$H$621,2,FALSE))," ",VLOOKUP((ROW(A198)-15),'List of tables'!$A$4:$H$621,2,FALSE))</f>
        <v>DC2224NI</v>
      </c>
      <c r="B196" s="21" t="str">
        <f>IF(ISNA(VLOOKUP((ROW(B198)-15),'List of tables'!$A$4:$H$621,3,FALSE))," ",VLOOKUP((ROW(B198)-15),'List of tables'!$A$4:$H$621,3,FALSE))</f>
        <v>Country of Birth by Passports Held (Classification 1)</v>
      </c>
      <c r="C196" s="21" t="str">
        <f>IF(ISNA(VLOOKUP((ROW(H198)-15),'List of tables'!$A$4:$H$621,8,FALSE))," ",VLOOKUP((ROW(H198)-15),'List of tables'!$A$4:$H$621,8,FALSE))</f>
        <v>All usual residents</v>
      </c>
      <c r="D196" s="21" t="str">
        <f>IF(ISNA(VLOOKUP((ROW(D198)-15),'List of tables'!$A$4:$H$621,5,FALSE))," ",VLOOKUP((ROW(D198)-15),'List of tables'!$A$4:$H$621,5,FALSE))</f>
        <v>Local Government District, NUTS3, Education and Library Board, Health and Social Care Trust, Northern Ireland</v>
      </c>
      <c r="E196" s="22" t="str">
        <f t="shared" si="1"/>
        <v>Link to files</v>
      </c>
      <c r="G196" s="18" t="str">
        <f>IF(ISNA(VLOOKUP((ROW(G198)-15),'List of tables'!$A$4:$H$621,6,FALSE))," ",VLOOKUP((ROW(G198)-15),'List of tables'!$A$4:$H$621,6,FALSE))</f>
        <v>http://www.ninis2.nisra.gov.uk/public/SearchResults.aspx?sk=DC2224NI;</v>
      </c>
    </row>
    <row r="197" spans="1:7" ht="70" customHeight="1" x14ac:dyDescent="0.3">
      <c r="A197" s="23" t="str">
        <f>IF(ISNA(VLOOKUP((ROW(A199)-15),'List of tables'!$A$4:$H$621,2,FALSE))," ",VLOOKUP((ROW(A199)-15),'List of tables'!$A$4:$H$621,2,FALSE))</f>
        <v>DC2225NI</v>
      </c>
      <c r="B197" s="21" t="str">
        <f>IF(ISNA(VLOOKUP((ROW(B199)-15),'List of tables'!$A$4:$H$621,3,FALSE))," ",VLOOKUP((ROW(B199)-15),'List of tables'!$A$4:$H$621,3,FALSE))</f>
        <v>Country of Birth by Passports Held (Classification 2)</v>
      </c>
      <c r="C197" s="21" t="str">
        <f>IF(ISNA(VLOOKUP((ROW(H199)-15),'List of tables'!$A$4:$H$621,8,FALSE))," ",VLOOKUP((ROW(H199)-15),'List of tables'!$A$4:$H$621,8,FALSE))</f>
        <v>All usual residents</v>
      </c>
      <c r="D197" s="21" t="str">
        <f>IF(ISNA(VLOOKUP((ROW(D199)-15),'List of tables'!$A$4:$H$621,5,FALSE))," ",VLOOKUP((ROW(D199)-15),'List of tables'!$A$4:$H$621,5,FALSE))</f>
        <v>Local Government District, NUTS3, Education and Library Board, Health and Social Care Trust, Northern Ireland</v>
      </c>
      <c r="E197" s="22" t="str">
        <f t="shared" si="1"/>
        <v>Link to files</v>
      </c>
      <c r="G197" s="18" t="str">
        <f>IF(ISNA(VLOOKUP((ROW(G199)-15),'List of tables'!$A$4:$H$621,6,FALSE))," ",VLOOKUP((ROW(G199)-15),'List of tables'!$A$4:$H$621,6,FALSE))</f>
        <v>http://www.ninis2.nisra.gov.uk/public/SearchResults.aspx?sk=DC2225NI;</v>
      </c>
    </row>
    <row r="198" spans="1:7" ht="70" customHeight="1" x14ac:dyDescent="0.3">
      <c r="A198" s="23" t="str">
        <f>IF(ISNA(VLOOKUP((ROW(A200)-15),'List of tables'!$A$4:$H$621,2,FALSE))," ",VLOOKUP((ROW(A200)-15),'List of tables'!$A$4:$H$621,2,FALSE))</f>
        <v>DC2226NI</v>
      </c>
      <c r="B198" s="21" t="str">
        <f>IF(ISNA(VLOOKUP((ROW(B200)-15),'List of tables'!$A$4:$H$621,3,FALSE))," ",VLOOKUP((ROW(B200)-15),'List of tables'!$A$4:$H$621,3,FALSE))</f>
        <v>Knowledge of Irish by Country of Birth by Religion or Religion Brought Up In by Age</v>
      </c>
      <c r="C198" s="21" t="str">
        <f>IF(ISNA(VLOOKUP((ROW(H200)-15),'List of tables'!$A$4:$H$621,8,FALSE))," ",VLOOKUP((ROW(H200)-15),'List of tables'!$A$4:$H$621,8,FALSE))</f>
        <v>All usual residents aged 3 and over</v>
      </c>
      <c r="D198" s="21" t="str">
        <f>IF(ISNA(VLOOKUP((ROW(D200)-15),'List of tables'!$A$4:$H$621,5,FALSE))," ",VLOOKUP((ROW(D200)-15),'List of tables'!$A$4:$H$621,5,FALSE))</f>
        <v>Northern Ireland</v>
      </c>
      <c r="E198" s="22" t="str">
        <f t="shared" si="1"/>
        <v>Link to files</v>
      </c>
      <c r="G198" s="18" t="str">
        <f>IF(ISNA(VLOOKUP((ROW(G200)-15),'List of tables'!$A$4:$H$621,6,FALSE))," ",VLOOKUP((ROW(G200)-15),'List of tables'!$A$4:$H$621,6,FALSE))</f>
        <v>http://www.ninis2.nisra.gov.uk/public/SearchResults.aspx?sk=DC2226NI;</v>
      </c>
    </row>
    <row r="199" spans="1:7" ht="70" customHeight="1" x14ac:dyDescent="0.3">
      <c r="A199" s="23" t="str">
        <f>IF(ISNA(VLOOKUP((ROW(A201)-15),'List of tables'!$A$4:$H$621,2,FALSE))," ",VLOOKUP((ROW(A201)-15),'List of tables'!$A$4:$H$621,2,FALSE))</f>
        <v>DC2227NI</v>
      </c>
      <c r="B199" s="21" t="str">
        <f>IF(ISNA(VLOOKUP((ROW(B201)-15),'List of tables'!$A$4:$H$621,3,FALSE))," ",VLOOKUP((ROW(B201)-15),'List of tables'!$A$4:$H$621,3,FALSE))</f>
        <v>Knowledge of Ulster-Scots by Country of Birth by Religion or Religion Brought Up In by Age</v>
      </c>
      <c r="C199" s="21" t="str">
        <f>IF(ISNA(VLOOKUP((ROW(H201)-15),'List of tables'!$A$4:$H$621,8,FALSE))," ",VLOOKUP((ROW(H201)-15),'List of tables'!$A$4:$H$621,8,FALSE))</f>
        <v>All usual residents aged 3 and over</v>
      </c>
      <c r="D199" s="21" t="str">
        <f>IF(ISNA(VLOOKUP((ROW(D201)-15),'List of tables'!$A$4:$H$621,5,FALSE))," ",VLOOKUP((ROW(D201)-15),'List of tables'!$A$4:$H$621,5,FALSE))</f>
        <v>Northern Ireland</v>
      </c>
      <c r="E199" s="22" t="str">
        <f t="shared" si="1"/>
        <v>Link to files</v>
      </c>
      <c r="G199" s="18" t="str">
        <f>IF(ISNA(VLOOKUP((ROW(G201)-15),'List of tables'!$A$4:$H$621,6,FALSE))," ",VLOOKUP((ROW(G201)-15),'List of tables'!$A$4:$H$621,6,FALSE))</f>
        <v>http://www.ninis2.nisra.gov.uk/public/SearchResults.aspx?sk=DC2227NI;</v>
      </c>
    </row>
    <row r="200" spans="1:7" ht="70" customHeight="1" x14ac:dyDescent="0.3">
      <c r="A200" s="23" t="str">
        <f>IF(ISNA(VLOOKUP((ROW(A202)-15),'List of tables'!$A$4:$H$621,2,FALSE))," ",VLOOKUP((ROW(A202)-15),'List of tables'!$A$4:$H$621,2,FALSE))</f>
        <v>DC2228NI</v>
      </c>
      <c r="B200" s="21" t="str">
        <f>IF(ISNA(VLOOKUP((ROW(B202)-15),'List of tables'!$A$4:$H$621,3,FALSE))," ",VLOOKUP((ROW(B202)-15),'List of tables'!$A$4:$H$621,3,FALSE))</f>
        <v>Passports Held (Classification 1) by Knowledge of Irish</v>
      </c>
      <c r="C200" s="21" t="str">
        <f>IF(ISNA(VLOOKUP((ROW(H202)-15),'List of tables'!$A$4:$H$621,8,FALSE))," ",VLOOKUP((ROW(H202)-15),'List of tables'!$A$4:$H$621,8,FALSE))</f>
        <v>All usual residents aged 3 and over</v>
      </c>
      <c r="D200" s="21" t="str">
        <f>IF(ISNA(VLOOKUP((ROW(D202)-15),'List of tables'!$A$4:$H$621,5,FALSE))," ",VLOOKUP((ROW(D202)-15),'List of tables'!$A$4:$H$621,5,FALSE))</f>
        <v>Local Government District, NUTS3, Education and Library Board, Health and Social Care Trust, Northern Ireland</v>
      </c>
      <c r="E200" s="22" t="str">
        <f t="shared" si="1"/>
        <v>Link to files</v>
      </c>
      <c r="G200" s="18" t="str">
        <f>IF(ISNA(VLOOKUP((ROW(G202)-15),'List of tables'!$A$4:$H$621,6,FALSE))," ",VLOOKUP((ROW(G202)-15),'List of tables'!$A$4:$H$621,6,FALSE))</f>
        <v>http://www.ninis2.nisra.gov.uk/public/SearchResults.aspx?sk=DC2228NI;</v>
      </c>
    </row>
    <row r="201" spans="1:7" ht="70" customHeight="1" x14ac:dyDescent="0.3">
      <c r="A201" s="23" t="str">
        <f>IF(ISNA(VLOOKUP((ROW(A203)-15),'List of tables'!$A$4:$H$621,2,FALSE))," ",VLOOKUP((ROW(A203)-15),'List of tables'!$A$4:$H$621,2,FALSE))</f>
        <v>DC2229NI</v>
      </c>
      <c r="B201" s="21" t="str">
        <f>IF(ISNA(VLOOKUP((ROW(B203)-15),'List of tables'!$A$4:$H$621,3,FALSE))," ",VLOOKUP((ROW(B203)-15),'List of tables'!$A$4:$H$621,3,FALSE))</f>
        <v>Passports Held (Classification 2) by Knowledge of Irish</v>
      </c>
      <c r="C201" s="21" t="str">
        <f>IF(ISNA(VLOOKUP((ROW(H203)-15),'List of tables'!$A$4:$H$621,8,FALSE))," ",VLOOKUP((ROW(H203)-15),'List of tables'!$A$4:$H$621,8,FALSE))</f>
        <v>All usual residents aged 3 and over</v>
      </c>
      <c r="D201" s="21" t="str">
        <f>IF(ISNA(VLOOKUP((ROW(D203)-15),'List of tables'!$A$4:$H$621,5,FALSE))," ",VLOOKUP((ROW(D203)-15),'List of tables'!$A$4:$H$621,5,FALSE))</f>
        <v>Local Government District, NUTS3, Education and Library Board, Health and Social Care Trust, Northern Ireland</v>
      </c>
      <c r="E201" s="22" t="str">
        <f t="shared" si="1"/>
        <v>Link to files</v>
      </c>
      <c r="G201" s="18" t="str">
        <f>IF(ISNA(VLOOKUP((ROW(G203)-15),'List of tables'!$A$4:$H$621,6,FALSE))," ",VLOOKUP((ROW(G203)-15),'List of tables'!$A$4:$H$621,6,FALSE))</f>
        <v>http://www.ninis2.nisra.gov.uk/public/SearchResults.aspx?sk=DC2229NI;</v>
      </c>
    </row>
    <row r="202" spans="1:7" ht="70" customHeight="1" x14ac:dyDescent="0.3">
      <c r="A202" s="23" t="str">
        <f>IF(ISNA(VLOOKUP((ROW(A204)-15),'List of tables'!$A$4:$H$621,2,FALSE))," ",VLOOKUP((ROW(A204)-15),'List of tables'!$A$4:$H$621,2,FALSE))</f>
        <v>DC2230NI</v>
      </c>
      <c r="B202" s="21" t="str">
        <f>IF(ISNA(VLOOKUP((ROW(B204)-15),'List of tables'!$A$4:$H$621,3,FALSE))," ",VLOOKUP((ROW(B204)-15),'List of tables'!$A$4:$H$621,3,FALSE))</f>
        <v>Passports Held (Classification 1) by Knowledge of Ulster-Scots</v>
      </c>
      <c r="C202" s="21" t="str">
        <f>IF(ISNA(VLOOKUP((ROW(H204)-15),'List of tables'!$A$4:$H$621,8,FALSE))," ",VLOOKUP((ROW(H204)-15),'List of tables'!$A$4:$H$621,8,FALSE))</f>
        <v>All usual residents aged 3 and over</v>
      </c>
      <c r="D202" s="21" t="str">
        <f>IF(ISNA(VLOOKUP((ROW(D204)-15),'List of tables'!$A$4:$H$621,5,FALSE))," ",VLOOKUP((ROW(D204)-15),'List of tables'!$A$4:$H$621,5,FALSE))</f>
        <v>Local Government District, NUTS3, Education and Library Board, Health and Social Care Trust, Northern Ireland</v>
      </c>
      <c r="E202" s="22" t="str">
        <f t="shared" si="1"/>
        <v>Link to files</v>
      </c>
      <c r="G202" s="18" t="str">
        <f>IF(ISNA(VLOOKUP((ROW(G204)-15),'List of tables'!$A$4:$H$621,6,FALSE))," ",VLOOKUP((ROW(G204)-15),'List of tables'!$A$4:$H$621,6,FALSE))</f>
        <v>http://www.ninis2.nisra.gov.uk/public/SearchResults.aspx?sk=DC2230NI;</v>
      </c>
    </row>
    <row r="203" spans="1:7" ht="70" customHeight="1" x14ac:dyDescent="0.3">
      <c r="A203" s="23" t="str">
        <f>IF(ISNA(VLOOKUP((ROW(A205)-15),'List of tables'!$A$4:$H$621,2,FALSE))," ",VLOOKUP((ROW(A205)-15),'List of tables'!$A$4:$H$621,2,FALSE))</f>
        <v>DC2231NI</v>
      </c>
      <c r="B203" s="21" t="str">
        <f>IF(ISNA(VLOOKUP((ROW(B205)-15),'List of tables'!$A$4:$H$621,3,FALSE))," ",VLOOKUP((ROW(B205)-15),'List of tables'!$A$4:$H$621,3,FALSE))</f>
        <v>Passports Held (Classification 2) by Knowledge of Ulster-Scots</v>
      </c>
      <c r="C203" s="21" t="str">
        <f>IF(ISNA(VLOOKUP((ROW(H205)-15),'List of tables'!$A$4:$H$621,8,FALSE))," ",VLOOKUP((ROW(H205)-15),'List of tables'!$A$4:$H$621,8,FALSE))</f>
        <v>All usual residents aged 3 and over</v>
      </c>
      <c r="D203" s="21" t="str">
        <f>IF(ISNA(VLOOKUP((ROW(D205)-15),'List of tables'!$A$4:$H$621,5,FALSE))," ",VLOOKUP((ROW(D205)-15),'List of tables'!$A$4:$H$621,5,FALSE))</f>
        <v>Local Government District, NUTS3, Education and Library Board, Health and Social Care Trust, Northern Ireland</v>
      </c>
      <c r="E203" s="22" t="str">
        <f t="shared" si="1"/>
        <v>Link to files</v>
      </c>
      <c r="G203" s="18" t="str">
        <f>IF(ISNA(VLOOKUP((ROW(G205)-15),'List of tables'!$A$4:$H$621,6,FALSE))," ",VLOOKUP((ROW(G205)-15),'List of tables'!$A$4:$H$621,6,FALSE))</f>
        <v>http://www.ninis2.nisra.gov.uk/public/SearchResults.aspx?sk=DC2231NI;</v>
      </c>
    </row>
    <row r="204" spans="1:7" ht="70" customHeight="1" x14ac:dyDescent="0.3">
      <c r="A204" s="23" t="str">
        <f>IF(ISNA(VLOOKUP((ROW(A206)-15),'List of tables'!$A$4:$H$621,2,FALSE))," ",VLOOKUP((ROW(A206)-15),'List of tables'!$A$4:$H$621,2,FALSE))</f>
        <v>DC2232NI</v>
      </c>
      <c r="B204" s="21" t="str">
        <f>IF(ISNA(VLOOKUP((ROW(B206)-15),'List of tables'!$A$4:$H$621,3,FALSE))," ",VLOOKUP((ROW(B206)-15),'List of tables'!$A$4:$H$621,3,FALSE))</f>
        <v>Proficiency in English by Main Language</v>
      </c>
      <c r="C204" s="21" t="str">
        <f>IF(ISNA(VLOOKUP((ROW(H206)-15),'List of tables'!$A$4:$H$621,8,FALSE))," ",VLOOKUP((ROW(H206)-15),'List of tables'!$A$4:$H$621,8,FALSE))</f>
        <v>All usual residents aged 3 and over</v>
      </c>
      <c r="D204" s="21" t="str">
        <f>IF(ISNA(VLOOKUP((ROW(D206)-15),'List of tables'!$A$4:$H$621,5,FALSE))," ",VLOOKUP((ROW(D206)-15),'List of tables'!$A$4:$H$621,5,FALSE))</f>
        <v>Local Government District, NUTS3, Education and Library Board, Health and Social Care Trust, Northern Ireland</v>
      </c>
      <c r="E204" s="22" t="str">
        <f t="shared" si="1"/>
        <v>Link to files</v>
      </c>
      <c r="G204" s="18" t="str">
        <f>IF(ISNA(VLOOKUP((ROW(G206)-15),'List of tables'!$A$4:$H$621,6,FALSE))," ",VLOOKUP((ROW(G206)-15),'List of tables'!$A$4:$H$621,6,FALSE))</f>
        <v>http://www.ninis2.nisra.gov.uk/public/SearchResults.aspx?sk=DC2232NI;</v>
      </c>
    </row>
    <row r="205" spans="1:7" ht="70" customHeight="1" x14ac:dyDescent="0.3">
      <c r="A205" s="23" t="str">
        <f>IF(ISNA(VLOOKUP((ROW(A207)-15),'List of tables'!$A$4:$H$621,2,FALSE))," ",VLOOKUP((ROW(A207)-15),'List of tables'!$A$4:$H$621,2,FALSE))</f>
        <v>DC2233NI</v>
      </c>
      <c r="B205" s="21" t="str">
        <f>IF(ISNA(VLOOKUP((ROW(B207)-15),'List of tables'!$A$4:$H$621,3,FALSE))," ",VLOOKUP((ROW(B207)-15),'List of tables'!$A$4:$H$621,3,FALSE))</f>
        <v>Passports Held (Classification 1) by Main Language</v>
      </c>
      <c r="C205" s="21" t="str">
        <f>IF(ISNA(VLOOKUP((ROW(H207)-15),'List of tables'!$A$4:$H$621,8,FALSE))," ",VLOOKUP((ROW(H207)-15),'List of tables'!$A$4:$H$621,8,FALSE))</f>
        <v>All usual residents aged 3 and over</v>
      </c>
      <c r="D205" s="21" t="str">
        <f>IF(ISNA(VLOOKUP((ROW(D207)-15),'List of tables'!$A$4:$H$621,5,FALSE))," ",VLOOKUP((ROW(D207)-15),'List of tables'!$A$4:$H$621,5,FALSE))</f>
        <v>Local Government District, NUTS3, Education and Library Board, Health and Social Care Trust, Northern Ireland</v>
      </c>
      <c r="E205" s="22" t="str">
        <f t="shared" si="1"/>
        <v>Link to files</v>
      </c>
      <c r="G205" s="18" t="str">
        <f>IF(ISNA(VLOOKUP((ROW(G207)-15),'List of tables'!$A$4:$H$621,6,FALSE))," ",VLOOKUP((ROW(G207)-15),'List of tables'!$A$4:$H$621,6,FALSE))</f>
        <v>http://www.ninis2.nisra.gov.uk/public/SearchResults.aspx?sk=DC2233NI;</v>
      </c>
    </row>
    <row r="206" spans="1:7" ht="70" customHeight="1" x14ac:dyDescent="0.3">
      <c r="A206" s="23" t="str">
        <f>IF(ISNA(VLOOKUP((ROW(A208)-15),'List of tables'!$A$4:$H$621,2,FALSE))," ",VLOOKUP((ROW(A208)-15),'List of tables'!$A$4:$H$621,2,FALSE))</f>
        <v>DC2234NI</v>
      </c>
      <c r="B206" s="21" t="str">
        <f>IF(ISNA(VLOOKUP((ROW(B208)-15),'List of tables'!$A$4:$H$621,3,FALSE))," ",VLOOKUP((ROW(B208)-15),'List of tables'!$A$4:$H$621,3,FALSE))</f>
        <v>Passports Held (Classification 2) by Main Language</v>
      </c>
      <c r="C206" s="21" t="str">
        <f>IF(ISNA(VLOOKUP((ROW(H208)-15),'List of tables'!$A$4:$H$621,8,FALSE))," ",VLOOKUP((ROW(H208)-15),'List of tables'!$A$4:$H$621,8,FALSE))</f>
        <v>All usual residents aged 3 and over</v>
      </c>
      <c r="D206" s="21" t="str">
        <f>IF(ISNA(VLOOKUP((ROW(D208)-15),'List of tables'!$A$4:$H$621,5,FALSE))," ",VLOOKUP((ROW(D208)-15),'List of tables'!$A$4:$H$621,5,FALSE))</f>
        <v>Local Government District, NUTS3, Education and Library Board, Health and Social Care Trust, Northern Ireland</v>
      </c>
      <c r="E206" s="22" t="str">
        <f t="shared" si="1"/>
        <v>Link to files</v>
      </c>
      <c r="G206" s="18" t="str">
        <f>IF(ISNA(VLOOKUP((ROW(G208)-15),'List of tables'!$A$4:$H$621,6,FALSE))," ",VLOOKUP((ROW(G208)-15),'List of tables'!$A$4:$H$621,6,FALSE))</f>
        <v>http://www.ninis2.nisra.gov.uk/public/SearchResults.aspx?sk=DC2234NI;</v>
      </c>
    </row>
    <row r="207" spans="1:7" ht="70" customHeight="1" x14ac:dyDescent="0.3">
      <c r="A207" s="23" t="str">
        <f>IF(ISNA(VLOOKUP((ROW(A209)-15),'List of tables'!$A$4:$H$621,2,FALSE))," ",VLOOKUP((ROW(A209)-15),'List of tables'!$A$4:$H$621,2,FALSE))</f>
        <v>DC2235NI</v>
      </c>
      <c r="B207" s="21" t="str">
        <f>IF(ISNA(VLOOKUP((ROW(B209)-15),'List of tables'!$A$4:$H$621,3,FALSE))," ",VLOOKUP((ROW(B209)-15),'List of tables'!$A$4:$H$621,3,FALSE))</f>
        <v>Proficiency in English by Passports Held (Classification 1)</v>
      </c>
      <c r="C207" s="21" t="str">
        <f>IF(ISNA(VLOOKUP((ROW(H209)-15),'List of tables'!$A$4:$H$621,8,FALSE))," ",VLOOKUP((ROW(H209)-15),'List of tables'!$A$4:$H$621,8,FALSE))</f>
        <v>All usual residents aged 3 and over</v>
      </c>
      <c r="D207" s="21" t="str">
        <f>IF(ISNA(VLOOKUP((ROW(D209)-15),'List of tables'!$A$4:$H$621,5,FALSE))," ",VLOOKUP((ROW(D209)-15),'List of tables'!$A$4:$H$621,5,FALSE))</f>
        <v>Local Government District, NUTS3, Education and Library Board, Health and Social Care Trust, Northern Ireland</v>
      </c>
      <c r="E207" s="22" t="str">
        <f t="shared" ref="E207:E270" si="2">IF(LEN(G207)&lt;10,"",HYPERLINK(G207,"Link to files"))</f>
        <v>Link to files</v>
      </c>
      <c r="G207" s="18" t="str">
        <f>IF(ISNA(VLOOKUP((ROW(G209)-15),'List of tables'!$A$4:$H$621,6,FALSE))," ",VLOOKUP((ROW(G209)-15),'List of tables'!$A$4:$H$621,6,FALSE))</f>
        <v>http://www.ninis2.nisra.gov.uk/public/SearchResults.aspx?sk=DC2235NI;</v>
      </c>
    </row>
    <row r="208" spans="1:7" ht="70" customHeight="1" x14ac:dyDescent="0.3">
      <c r="A208" s="23" t="str">
        <f>IF(ISNA(VLOOKUP((ROW(A210)-15),'List of tables'!$A$4:$H$621,2,FALSE))," ",VLOOKUP((ROW(A210)-15),'List of tables'!$A$4:$H$621,2,FALSE))</f>
        <v>DC2236NI</v>
      </c>
      <c r="B208" s="21" t="str">
        <f>IF(ISNA(VLOOKUP((ROW(B210)-15),'List of tables'!$A$4:$H$621,3,FALSE))," ",VLOOKUP((ROW(B210)-15),'List of tables'!$A$4:$H$621,3,FALSE))</f>
        <v>Proficiency in English by Passports Held (Classification 2)</v>
      </c>
      <c r="C208" s="21" t="str">
        <f>IF(ISNA(VLOOKUP((ROW(H210)-15),'List of tables'!$A$4:$H$621,8,FALSE))," ",VLOOKUP((ROW(H210)-15),'List of tables'!$A$4:$H$621,8,FALSE))</f>
        <v>All usual residents aged 3 and over</v>
      </c>
      <c r="D208" s="21" t="str">
        <f>IF(ISNA(VLOOKUP((ROW(D210)-15),'List of tables'!$A$4:$H$621,5,FALSE))," ",VLOOKUP((ROW(D210)-15),'List of tables'!$A$4:$H$621,5,FALSE))</f>
        <v>Local Government District, NUTS3, Education and Library Board, Health and Social Care Trust, Northern Ireland</v>
      </c>
      <c r="E208" s="22" t="str">
        <f t="shared" si="2"/>
        <v>Link to files</v>
      </c>
      <c r="G208" s="18" t="str">
        <f>IF(ISNA(VLOOKUP((ROW(G210)-15),'List of tables'!$A$4:$H$621,6,FALSE))," ",VLOOKUP((ROW(G210)-15),'List of tables'!$A$4:$H$621,6,FALSE))</f>
        <v>http://www.ninis2.nisra.gov.uk/public/SearchResults.aspx?sk=DC2236NI;</v>
      </c>
    </row>
    <row r="209" spans="1:7" ht="70" customHeight="1" x14ac:dyDescent="0.3">
      <c r="A209" s="23" t="str">
        <f>IF(ISNA(VLOOKUP((ROW(A211)-15),'List of tables'!$A$4:$H$621,2,FALSE))," ",VLOOKUP((ROW(A211)-15),'List of tables'!$A$4:$H$621,2,FALSE))</f>
        <v>DC2237NI</v>
      </c>
      <c r="B209" s="21" t="str">
        <f>IF(ISNA(VLOOKUP((ROW(B211)-15),'List of tables'!$A$4:$H$621,3,FALSE))," ",VLOOKUP((ROW(B211)-15),'List of tables'!$A$4:$H$621,3,FALSE))</f>
        <v>National Identity (Classification 1) by Religion</v>
      </c>
      <c r="C209" s="21" t="str">
        <f>IF(ISNA(VLOOKUP((ROW(H211)-15),'List of tables'!$A$4:$H$621,8,FALSE))," ",VLOOKUP((ROW(H211)-15),'List of tables'!$A$4:$H$621,8,FALSE))</f>
        <v>All usual residents</v>
      </c>
      <c r="D209" s="21" t="str">
        <f>IF(ISNA(VLOOKUP((ROW(D211)-15),'List of tables'!$A$4:$H$621,5,FALSE))," ",VLOOKUP((ROW(D211)-15),'List of tables'!$A$4:$H$621,5,FALSE))</f>
        <v>Local Government District, NUTS3, Education and Library Board, Health and Social Care Trust, Northern Ireland</v>
      </c>
      <c r="E209" s="22" t="str">
        <f t="shared" si="2"/>
        <v>Link to files</v>
      </c>
      <c r="G209" s="18" t="str">
        <f>IF(ISNA(VLOOKUP((ROW(G211)-15),'List of tables'!$A$4:$H$621,6,FALSE))," ",VLOOKUP((ROW(G211)-15),'List of tables'!$A$4:$H$621,6,FALSE))</f>
        <v>http://www.ninis2.nisra.gov.uk/public/SearchResults.aspx?sk=DC2237NI;</v>
      </c>
    </row>
    <row r="210" spans="1:7" ht="70" customHeight="1" x14ac:dyDescent="0.3">
      <c r="A210" s="23" t="str">
        <f>IF(ISNA(VLOOKUP((ROW(A212)-15),'List of tables'!$A$4:$H$621,2,FALSE))," ",VLOOKUP((ROW(A212)-15),'List of tables'!$A$4:$H$621,2,FALSE))</f>
        <v>DC2238NI</v>
      </c>
      <c r="B210" s="21" t="str">
        <f>IF(ISNA(VLOOKUP((ROW(B212)-15),'List of tables'!$A$4:$H$621,3,FALSE))," ",VLOOKUP((ROW(B212)-15),'List of tables'!$A$4:$H$621,3,FALSE))</f>
        <v>National Identity (Classification 1) by Religion or Religion Brought Up In</v>
      </c>
      <c r="C210" s="21" t="str">
        <f>IF(ISNA(VLOOKUP((ROW(H212)-15),'List of tables'!$A$4:$H$621,8,FALSE))," ",VLOOKUP((ROW(H212)-15),'List of tables'!$A$4:$H$621,8,FALSE))</f>
        <v>All usual residents</v>
      </c>
      <c r="D210" s="21" t="str">
        <f>IF(ISNA(VLOOKUP((ROW(D212)-15),'List of tables'!$A$4:$H$621,5,FALSE))," ",VLOOKUP((ROW(D212)-15),'List of tables'!$A$4:$H$621,5,FALSE))</f>
        <v>Local Government District, NUTS3, Education and Library Board, Health and Social Care Trust, Northern Ireland</v>
      </c>
      <c r="E210" s="22" t="str">
        <f t="shared" si="2"/>
        <v>Link to files</v>
      </c>
      <c r="G210" s="18" t="str">
        <f>IF(ISNA(VLOOKUP((ROW(G212)-15),'List of tables'!$A$4:$H$621,6,FALSE))," ",VLOOKUP((ROW(G212)-15),'List of tables'!$A$4:$H$621,6,FALSE))</f>
        <v>http://www.ninis2.nisra.gov.uk/public/SearchResults.aspx?sk=DC2238NI;</v>
      </c>
    </row>
    <row r="211" spans="1:7" ht="70" customHeight="1" x14ac:dyDescent="0.3">
      <c r="A211" s="23" t="str">
        <f>IF(ISNA(VLOOKUP((ROW(A213)-15),'List of tables'!$A$4:$H$621,2,FALSE))," ",VLOOKUP((ROW(A213)-15),'List of tables'!$A$4:$H$621,2,FALSE))</f>
        <v>DC2239NI</v>
      </c>
      <c r="B211" s="21" t="str">
        <f>IF(ISNA(VLOOKUP((ROW(B213)-15),'List of tables'!$A$4:$H$621,3,FALSE))," ",VLOOKUP((ROW(B213)-15),'List of tables'!$A$4:$H$621,3,FALSE))</f>
        <v>National Identity (Classification 2) by Religion</v>
      </c>
      <c r="C211" s="21" t="str">
        <f>IF(ISNA(VLOOKUP((ROW(H213)-15),'List of tables'!$A$4:$H$621,8,FALSE))," ",VLOOKUP((ROW(H213)-15),'List of tables'!$A$4:$H$621,8,FALSE))</f>
        <v>All usual residents</v>
      </c>
      <c r="D211" s="21" t="str">
        <f>IF(ISNA(VLOOKUP((ROW(D213)-15),'List of tables'!$A$4:$H$621,5,FALSE))," ",VLOOKUP((ROW(D213)-15),'List of tables'!$A$4:$H$621,5,FALSE))</f>
        <v>Local Government District, NUTS3, Education and Library Board, Health and Social Care Trust, Northern Ireland</v>
      </c>
      <c r="E211" s="22" t="str">
        <f t="shared" si="2"/>
        <v>Link to files</v>
      </c>
      <c r="G211" s="18" t="str">
        <f>IF(ISNA(VLOOKUP((ROW(G213)-15),'List of tables'!$A$4:$H$621,6,FALSE))," ",VLOOKUP((ROW(G213)-15),'List of tables'!$A$4:$H$621,6,FALSE))</f>
        <v>http://www.ninis2.nisra.gov.uk/public/SearchResults.aspx?sk=DC2239NI;</v>
      </c>
    </row>
    <row r="212" spans="1:7" ht="70" customHeight="1" x14ac:dyDescent="0.3">
      <c r="A212" s="23" t="str">
        <f>IF(ISNA(VLOOKUP((ROW(A214)-15),'List of tables'!$A$4:$H$621,2,FALSE))," ",VLOOKUP((ROW(A214)-15),'List of tables'!$A$4:$H$621,2,FALSE))</f>
        <v>DC2240NI</v>
      </c>
      <c r="B212" s="21" t="str">
        <f>IF(ISNA(VLOOKUP((ROW(B214)-15),'List of tables'!$A$4:$H$621,3,FALSE))," ",VLOOKUP((ROW(B214)-15),'List of tables'!$A$4:$H$621,3,FALSE))</f>
        <v>National Identity (Classification 2) by Religion or Religion Brought Up In</v>
      </c>
      <c r="C212" s="21" t="str">
        <f>IF(ISNA(VLOOKUP((ROW(H214)-15),'List of tables'!$A$4:$H$621,8,FALSE))," ",VLOOKUP((ROW(H214)-15),'List of tables'!$A$4:$H$621,8,FALSE))</f>
        <v>All usual residents</v>
      </c>
      <c r="D212" s="21" t="str">
        <f>IF(ISNA(VLOOKUP((ROW(D214)-15),'List of tables'!$A$4:$H$621,5,FALSE))," ",VLOOKUP((ROW(D214)-15),'List of tables'!$A$4:$H$621,5,FALSE))</f>
        <v>Local Government District, NUTS3, Education and Library Board, Health and Social Care Trust, Northern Ireland</v>
      </c>
      <c r="E212" s="22" t="str">
        <f t="shared" si="2"/>
        <v>Link to files</v>
      </c>
      <c r="G212" s="18" t="str">
        <f>IF(ISNA(VLOOKUP((ROW(G214)-15),'List of tables'!$A$4:$H$621,6,FALSE))," ",VLOOKUP((ROW(G214)-15),'List of tables'!$A$4:$H$621,6,FALSE))</f>
        <v>http://www.ninis2.nisra.gov.uk/public/SearchResults.aspx?sk=DC2240NI;</v>
      </c>
    </row>
    <row r="213" spans="1:7" ht="70" customHeight="1" x14ac:dyDescent="0.3">
      <c r="A213" s="23" t="str">
        <f>IF(ISNA(VLOOKUP((ROW(A215)-15),'List of tables'!$A$4:$H$621,2,FALSE))," ",VLOOKUP((ROW(A215)-15),'List of tables'!$A$4:$H$621,2,FALSE))</f>
        <v>DC2241NI</v>
      </c>
      <c r="B213" s="21" t="str">
        <f>IF(ISNA(VLOOKUP((ROW(B215)-15),'List of tables'!$A$4:$H$621,3,FALSE))," ",VLOOKUP((ROW(B215)-15),'List of tables'!$A$4:$H$621,3,FALSE))</f>
        <v>Country of Birth by Religion</v>
      </c>
      <c r="C213" s="21" t="str">
        <f>IF(ISNA(VLOOKUP((ROW(H215)-15),'List of tables'!$A$4:$H$621,8,FALSE))," ",VLOOKUP((ROW(H215)-15),'List of tables'!$A$4:$H$621,8,FALSE))</f>
        <v>All usual residents</v>
      </c>
      <c r="D213" s="21" t="str">
        <f>IF(ISNA(VLOOKUP((ROW(D215)-15),'List of tables'!$A$4:$H$621,5,FALSE))," ",VLOOKUP((ROW(D215)-15),'List of tables'!$A$4:$H$621,5,FALSE))</f>
        <v>Local Government District, NUTS3, Education and Library Board, Health and Social Care Trust, Northern Ireland</v>
      </c>
      <c r="E213" s="22" t="str">
        <f t="shared" si="2"/>
        <v>Link to files</v>
      </c>
      <c r="G213" s="18" t="str">
        <f>IF(ISNA(VLOOKUP((ROW(G215)-15),'List of tables'!$A$4:$H$621,6,FALSE))," ",VLOOKUP((ROW(G215)-15),'List of tables'!$A$4:$H$621,6,FALSE))</f>
        <v>http://www.ninis2.nisra.gov.uk/public/SearchResults.aspx?sk=DC2241NI;</v>
      </c>
    </row>
    <row r="214" spans="1:7" ht="70" customHeight="1" x14ac:dyDescent="0.3">
      <c r="A214" s="23" t="str">
        <f>IF(ISNA(VLOOKUP((ROW(A216)-15),'List of tables'!$A$4:$H$621,2,FALSE))," ",VLOOKUP((ROW(A216)-15),'List of tables'!$A$4:$H$621,2,FALSE))</f>
        <v>DC2242NI</v>
      </c>
      <c r="B214" s="21" t="str">
        <f>IF(ISNA(VLOOKUP((ROW(B216)-15),'List of tables'!$A$4:$H$621,3,FALSE))," ",VLOOKUP((ROW(B216)-15),'List of tables'!$A$4:$H$621,3,FALSE))</f>
        <v>Country of Birth by Religion or Religion Brought Up In</v>
      </c>
      <c r="C214" s="21" t="str">
        <f>IF(ISNA(VLOOKUP((ROW(H216)-15),'List of tables'!$A$4:$H$621,8,FALSE))," ",VLOOKUP((ROW(H216)-15),'List of tables'!$A$4:$H$621,8,FALSE))</f>
        <v>All usual residents</v>
      </c>
      <c r="D214" s="21" t="str">
        <f>IF(ISNA(VLOOKUP((ROW(D216)-15),'List of tables'!$A$4:$H$621,5,FALSE))," ",VLOOKUP((ROW(D216)-15),'List of tables'!$A$4:$H$621,5,FALSE))</f>
        <v>Local Government District, NUTS3, Education and Library Board, Health and Social Care Trust, Northern Ireland</v>
      </c>
      <c r="E214" s="22" t="str">
        <f t="shared" si="2"/>
        <v>Link to files</v>
      </c>
      <c r="G214" s="18" t="str">
        <f>IF(ISNA(VLOOKUP((ROW(G216)-15),'List of tables'!$A$4:$H$621,6,FALSE))," ",VLOOKUP((ROW(G216)-15),'List of tables'!$A$4:$H$621,6,FALSE))</f>
        <v>http://www.ninis2.nisra.gov.uk/public/SearchResults.aspx?sk=DC2242NI;</v>
      </c>
    </row>
    <row r="215" spans="1:7" ht="70" customHeight="1" x14ac:dyDescent="0.3">
      <c r="A215" s="23" t="str">
        <f>IF(ISNA(VLOOKUP((ROW(A217)-15),'List of tables'!$A$4:$H$621,2,FALSE))," ",VLOOKUP((ROW(A217)-15),'List of tables'!$A$4:$H$621,2,FALSE))</f>
        <v>DC2243NI</v>
      </c>
      <c r="B215" s="21" t="str">
        <f>IF(ISNA(VLOOKUP((ROW(B217)-15),'List of tables'!$A$4:$H$621,3,FALSE))," ",VLOOKUP((ROW(B217)-15),'List of tables'!$A$4:$H$621,3,FALSE))</f>
        <v>Knowledge of Irish by Religion by Age by Sex</v>
      </c>
      <c r="C215" s="21" t="str">
        <f>IF(ISNA(VLOOKUP((ROW(H217)-15),'List of tables'!$A$4:$H$621,8,FALSE))," ",VLOOKUP((ROW(H217)-15),'List of tables'!$A$4:$H$621,8,FALSE))</f>
        <v>All usual residents aged 3 and over</v>
      </c>
      <c r="D215" s="21" t="str">
        <f>IF(ISNA(VLOOKUP((ROW(D217)-15),'List of tables'!$A$4:$H$621,5,FALSE))," ",VLOOKUP((ROW(D217)-15),'List of tables'!$A$4:$H$621,5,FALSE))</f>
        <v>Northern Ireland</v>
      </c>
      <c r="E215" s="22" t="str">
        <f t="shared" si="2"/>
        <v>Link to files</v>
      </c>
      <c r="G215" s="18" t="str">
        <f>IF(ISNA(VLOOKUP((ROW(G217)-15),'List of tables'!$A$4:$H$621,6,FALSE))," ",VLOOKUP((ROW(G217)-15),'List of tables'!$A$4:$H$621,6,FALSE))</f>
        <v>http://www.ninis2.nisra.gov.uk/public/SearchResults.aspx?sk=DC2243NI;</v>
      </c>
    </row>
    <row r="216" spans="1:7" ht="70" customHeight="1" x14ac:dyDescent="0.3">
      <c r="A216" s="23" t="str">
        <f>IF(ISNA(VLOOKUP((ROW(A218)-15),'List of tables'!$A$4:$H$621,2,FALSE))," ",VLOOKUP((ROW(A218)-15),'List of tables'!$A$4:$H$621,2,FALSE))</f>
        <v>DC2244NI</v>
      </c>
      <c r="B216" s="21" t="str">
        <f>IF(ISNA(VLOOKUP((ROW(B218)-15),'List of tables'!$A$4:$H$621,3,FALSE))," ",VLOOKUP((ROW(B218)-15),'List of tables'!$A$4:$H$621,3,FALSE))</f>
        <v>Knowledge of Irish by Religion or Religion Brought Up In by Age by Sex</v>
      </c>
      <c r="C216" s="21" t="str">
        <f>IF(ISNA(VLOOKUP((ROW(H218)-15),'List of tables'!$A$4:$H$621,8,FALSE))," ",VLOOKUP((ROW(H218)-15),'List of tables'!$A$4:$H$621,8,FALSE))</f>
        <v>All usual residents aged 3 and over</v>
      </c>
      <c r="D216" s="21" t="str">
        <f>IF(ISNA(VLOOKUP((ROW(D218)-15),'List of tables'!$A$4:$H$621,5,FALSE))," ",VLOOKUP((ROW(D218)-15),'List of tables'!$A$4:$H$621,5,FALSE))</f>
        <v>Northern Ireland</v>
      </c>
      <c r="E216" s="22" t="str">
        <f t="shared" si="2"/>
        <v>Link to files</v>
      </c>
      <c r="G216" s="18" t="str">
        <f>IF(ISNA(VLOOKUP((ROW(G218)-15),'List of tables'!$A$4:$H$621,6,FALSE))," ",VLOOKUP((ROW(G218)-15),'List of tables'!$A$4:$H$621,6,FALSE))</f>
        <v>http://www.ninis2.nisra.gov.uk/public/SearchResults.aspx?sk=DC2244NI;</v>
      </c>
    </row>
    <row r="217" spans="1:7" ht="70" customHeight="1" x14ac:dyDescent="0.3">
      <c r="A217" s="23" t="str">
        <f>IF(ISNA(VLOOKUP((ROW(A219)-15),'List of tables'!$A$4:$H$621,2,FALSE))," ",VLOOKUP((ROW(A219)-15),'List of tables'!$A$4:$H$621,2,FALSE))</f>
        <v>DC2245NI</v>
      </c>
      <c r="B217" s="21" t="str">
        <f>IF(ISNA(VLOOKUP((ROW(B219)-15),'List of tables'!$A$4:$H$621,3,FALSE))," ",VLOOKUP((ROW(B219)-15),'List of tables'!$A$4:$H$621,3,FALSE))</f>
        <v>Knowledge of Ulster-Scots by Religion by Age by Sex</v>
      </c>
      <c r="C217" s="21" t="str">
        <f>IF(ISNA(VLOOKUP((ROW(H219)-15),'List of tables'!$A$4:$H$621,8,FALSE))," ",VLOOKUP((ROW(H219)-15),'List of tables'!$A$4:$H$621,8,FALSE))</f>
        <v>All usual residents aged 3 and over</v>
      </c>
      <c r="D217" s="21" t="str">
        <f>IF(ISNA(VLOOKUP((ROW(D219)-15),'List of tables'!$A$4:$H$621,5,FALSE))," ",VLOOKUP((ROW(D219)-15),'List of tables'!$A$4:$H$621,5,FALSE))</f>
        <v>Northern Ireland</v>
      </c>
      <c r="E217" s="22" t="str">
        <f t="shared" si="2"/>
        <v>Link to files</v>
      </c>
      <c r="G217" s="18" t="str">
        <f>IF(ISNA(VLOOKUP((ROW(G219)-15),'List of tables'!$A$4:$H$621,6,FALSE))," ",VLOOKUP((ROW(G219)-15),'List of tables'!$A$4:$H$621,6,FALSE))</f>
        <v>http://www.ninis2.nisra.gov.uk/public/SearchResults.aspx?sk=DC2245NI;</v>
      </c>
    </row>
    <row r="218" spans="1:7" ht="70" customHeight="1" x14ac:dyDescent="0.3">
      <c r="A218" s="23" t="str">
        <f>IF(ISNA(VLOOKUP((ROW(A220)-15),'List of tables'!$A$4:$H$621,2,FALSE))," ",VLOOKUP((ROW(A220)-15),'List of tables'!$A$4:$H$621,2,FALSE))</f>
        <v>DC2246NI</v>
      </c>
      <c r="B218" s="21" t="str">
        <f>IF(ISNA(VLOOKUP((ROW(B220)-15),'List of tables'!$A$4:$H$621,3,FALSE))," ",VLOOKUP((ROW(B220)-15),'List of tables'!$A$4:$H$621,3,FALSE))</f>
        <v>Knowledge of Ulster-Scots by Religion or Religion Brought Up In by Age by Sex</v>
      </c>
      <c r="C218" s="21" t="str">
        <f>IF(ISNA(VLOOKUP((ROW(H220)-15),'List of tables'!$A$4:$H$621,8,FALSE))," ",VLOOKUP((ROW(H220)-15),'List of tables'!$A$4:$H$621,8,FALSE))</f>
        <v>All usual residents aged 3 and over</v>
      </c>
      <c r="D218" s="21" t="str">
        <f>IF(ISNA(VLOOKUP((ROW(D220)-15),'List of tables'!$A$4:$H$621,5,FALSE))," ",VLOOKUP((ROW(D220)-15),'List of tables'!$A$4:$H$621,5,FALSE))</f>
        <v>Northern Ireland</v>
      </c>
      <c r="E218" s="22" t="str">
        <f t="shared" si="2"/>
        <v>Link to files</v>
      </c>
      <c r="G218" s="18" t="str">
        <f>IF(ISNA(VLOOKUP((ROW(G220)-15),'List of tables'!$A$4:$H$621,6,FALSE))," ",VLOOKUP((ROW(G220)-15),'List of tables'!$A$4:$H$621,6,FALSE))</f>
        <v>http://www.ninis2.nisra.gov.uk/public/SearchResults.aspx?sk=DC2246NI;</v>
      </c>
    </row>
    <row r="219" spans="1:7" ht="70" customHeight="1" x14ac:dyDescent="0.3">
      <c r="A219" s="23" t="str">
        <f>IF(ISNA(VLOOKUP((ROW(A221)-15),'List of tables'!$A$4:$H$621,2,FALSE))," ",VLOOKUP((ROW(A221)-15),'List of tables'!$A$4:$H$621,2,FALSE))</f>
        <v>DC2247NI</v>
      </c>
      <c r="B219" s="21" t="str">
        <f>IF(ISNA(VLOOKUP((ROW(B221)-15),'List of tables'!$A$4:$H$621,3,FALSE))," ",VLOOKUP((ROW(B221)-15),'List of tables'!$A$4:$H$621,3,FALSE))</f>
        <v>Ethnic Group by Religion</v>
      </c>
      <c r="C219" s="21" t="str">
        <f>IF(ISNA(VLOOKUP((ROW(H221)-15),'List of tables'!$A$4:$H$621,8,FALSE))," ",VLOOKUP((ROW(H221)-15),'List of tables'!$A$4:$H$621,8,FALSE))</f>
        <v>All usual residents</v>
      </c>
      <c r="D219" s="21" t="str">
        <f>IF(ISNA(VLOOKUP((ROW(D221)-15),'List of tables'!$A$4:$H$621,5,FALSE))," ",VLOOKUP((ROW(D221)-15),'List of tables'!$A$4:$H$621,5,FALSE))</f>
        <v>Super Output Area, Electoral Ward, Local Government District, Assembly Area, NUTS3, Education and Library Board, Health and Social Care Trust, Northern Ireland</v>
      </c>
      <c r="E219" s="22" t="str">
        <f t="shared" si="2"/>
        <v>Link to files</v>
      </c>
      <c r="G219" s="18" t="str">
        <f>IF(ISNA(VLOOKUP((ROW(G221)-15),'List of tables'!$A$4:$H$621,6,FALSE))," ",VLOOKUP((ROW(G221)-15),'List of tables'!$A$4:$H$621,6,FALSE))</f>
        <v>http://www.ninis2.nisra.gov.uk/public/SearchResults.aspx?sk=DC2247NI;</v>
      </c>
    </row>
    <row r="220" spans="1:7" ht="70" customHeight="1" x14ac:dyDescent="0.3">
      <c r="A220" s="23" t="str">
        <f>IF(ISNA(VLOOKUP((ROW(A222)-15),'List of tables'!$A$4:$H$621,2,FALSE))," ",VLOOKUP((ROW(A222)-15),'List of tables'!$A$4:$H$621,2,FALSE))</f>
        <v>DC2248NI</v>
      </c>
      <c r="B220" s="21" t="str">
        <f>IF(ISNA(VLOOKUP((ROW(B222)-15),'List of tables'!$A$4:$H$621,3,FALSE))," ",VLOOKUP((ROW(B222)-15),'List of tables'!$A$4:$H$621,3,FALSE))</f>
        <v>Ethnic Group by Religion or Religion Brought Up In</v>
      </c>
      <c r="C220" s="21" t="str">
        <f>IF(ISNA(VLOOKUP((ROW(H222)-15),'List of tables'!$A$4:$H$621,8,FALSE))," ",VLOOKUP((ROW(H222)-15),'List of tables'!$A$4:$H$621,8,FALSE))</f>
        <v>All usual residents</v>
      </c>
      <c r="D220" s="21" t="str">
        <f>IF(ISNA(VLOOKUP((ROW(D222)-15),'List of tables'!$A$4:$H$621,5,FALSE))," ",VLOOKUP((ROW(D222)-15),'List of tables'!$A$4:$H$621,5,FALSE))</f>
        <v>Super Output Area, Electoral Ward, Local Government District, Assembly Area, NUTS3, Education and Library Board, Health and Social Care Trust, Northern Ireland</v>
      </c>
      <c r="E220" s="22" t="str">
        <f t="shared" si="2"/>
        <v>Link to files</v>
      </c>
      <c r="G220" s="18" t="str">
        <f>IF(ISNA(VLOOKUP((ROW(G222)-15),'List of tables'!$A$4:$H$621,6,FALSE))," ",VLOOKUP((ROW(G222)-15),'List of tables'!$A$4:$H$621,6,FALSE))</f>
        <v>http://www.ninis2.nisra.gov.uk/public/SearchResults.aspx?sk=DC2248NI;</v>
      </c>
    </row>
    <row r="221" spans="1:7" ht="70" customHeight="1" x14ac:dyDescent="0.3">
      <c r="A221" s="23" t="str">
        <f>IF(ISNA(VLOOKUP((ROW(A223)-15),'List of tables'!$A$4:$H$621,2,FALSE))," ",VLOOKUP((ROW(A223)-15),'List of tables'!$A$4:$H$621,2,FALSE))</f>
        <v>DC2249NI</v>
      </c>
      <c r="B221" s="21" t="str">
        <f>IF(ISNA(VLOOKUP((ROW(B223)-15),'List of tables'!$A$4:$H$621,3,FALSE))," ",VLOOKUP((ROW(B223)-15),'List of tables'!$A$4:$H$621,3,FALSE))</f>
        <v>Passports Held (Classification 1) by Religion</v>
      </c>
      <c r="C221" s="21" t="str">
        <f>IF(ISNA(VLOOKUP((ROW(H223)-15),'List of tables'!$A$4:$H$621,8,FALSE))," ",VLOOKUP((ROW(H223)-15),'List of tables'!$A$4:$H$621,8,FALSE))</f>
        <v>All usual residents</v>
      </c>
      <c r="D221" s="21" t="str">
        <f>IF(ISNA(VLOOKUP((ROW(D223)-15),'List of tables'!$A$4:$H$621,5,FALSE))," ",VLOOKUP((ROW(D223)-15),'List of tables'!$A$4:$H$621,5,FALSE))</f>
        <v>Super Output Area, Electoral Ward, Local Government District, Assembly Area, NUTS3, Education and Library Board, Health and Social Care Trust, Northern Ireland</v>
      </c>
      <c r="E221" s="22" t="str">
        <f t="shared" si="2"/>
        <v>Link to files</v>
      </c>
      <c r="G221" s="18" t="str">
        <f>IF(ISNA(VLOOKUP((ROW(G223)-15),'List of tables'!$A$4:$H$621,6,FALSE))," ",VLOOKUP((ROW(G223)-15),'List of tables'!$A$4:$H$621,6,FALSE))</f>
        <v>http://www.ninis2.nisra.gov.uk/public/SearchResults.aspx?sk=DC2249NI;</v>
      </c>
    </row>
    <row r="222" spans="1:7" ht="70" customHeight="1" x14ac:dyDescent="0.3">
      <c r="A222" s="23" t="str">
        <f>IF(ISNA(VLOOKUP((ROW(A224)-15),'List of tables'!$A$4:$H$621,2,FALSE))," ",VLOOKUP((ROW(A224)-15),'List of tables'!$A$4:$H$621,2,FALSE))</f>
        <v>DC2250NI</v>
      </c>
      <c r="B222" s="21" t="str">
        <f>IF(ISNA(VLOOKUP((ROW(B224)-15),'List of tables'!$A$4:$H$621,3,FALSE))," ",VLOOKUP((ROW(B224)-15),'List of tables'!$A$4:$H$621,3,FALSE))</f>
        <v>Passports Held (Classification 1) by Religion or Religion Brought Up In</v>
      </c>
      <c r="C222" s="21" t="str">
        <f>IF(ISNA(VLOOKUP((ROW(H224)-15),'List of tables'!$A$4:$H$621,8,FALSE))," ",VLOOKUP((ROW(H224)-15),'List of tables'!$A$4:$H$621,8,FALSE))</f>
        <v>All usual residents</v>
      </c>
      <c r="D222" s="21" t="str">
        <f>IF(ISNA(VLOOKUP((ROW(D224)-15),'List of tables'!$A$4:$H$621,5,FALSE))," ",VLOOKUP((ROW(D224)-15),'List of tables'!$A$4:$H$621,5,FALSE))</f>
        <v>Super Output Area, Electoral Ward, Local Government District, Assembly Area, NUTS3, Education and Library Board, Health and Social Care Trust, Northern Ireland</v>
      </c>
      <c r="E222" s="22" t="str">
        <f t="shared" si="2"/>
        <v>Link to files</v>
      </c>
      <c r="G222" s="18" t="str">
        <f>IF(ISNA(VLOOKUP((ROW(G224)-15),'List of tables'!$A$4:$H$621,6,FALSE))," ",VLOOKUP((ROW(G224)-15),'List of tables'!$A$4:$H$621,6,FALSE))</f>
        <v>http://www.ninis2.nisra.gov.uk/public/SearchResults.aspx?sk=DC2250NI;</v>
      </c>
    </row>
    <row r="223" spans="1:7" ht="70" customHeight="1" x14ac:dyDescent="0.3">
      <c r="A223" s="23" t="str">
        <f>IF(ISNA(VLOOKUP((ROW(A225)-15),'List of tables'!$A$4:$H$621,2,FALSE))," ",VLOOKUP((ROW(A225)-15),'List of tables'!$A$4:$H$621,2,FALSE))</f>
        <v>DC2251NI</v>
      </c>
      <c r="B223" s="21" t="str">
        <f>IF(ISNA(VLOOKUP((ROW(B225)-15),'List of tables'!$A$4:$H$621,3,FALSE))," ",VLOOKUP((ROW(B225)-15),'List of tables'!$A$4:$H$621,3,FALSE))</f>
        <v>Passports Held (Classification 2) by Religion</v>
      </c>
      <c r="C223" s="21" t="str">
        <f>IF(ISNA(VLOOKUP((ROW(H225)-15),'List of tables'!$A$4:$H$621,8,FALSE))," ",VLOOKUP((ROW(H225)-15),'List of tables'!$A$4:$H$621,8,FALSE))</f>
        <v>All usual residents</v>
      </c>
      <c r="D223" s="21" t="str">
        <f>IF(ISNA(VLOOKUP((ROW(D225)-15),'List of tables'!$A$4:$H$621,5,FALSE))," ",VLOOKUP((ROW(D225)-15),'List of tables'!$A$4:$H$621,5,FALSE))</f>
        <v>Super Output Area, Electoral Ward, Local Government District, Assembly Area, NUTS3, Education and Library Board, Health and Social Care Trust, Northern Ireland</v>
      </c>
      <c r="E223" s="22" t="str">
        <f t="shared" si="2"/>
        <v>Link to files</v>
      </c>
      <c r="G223" s="18" t="str">
        <f>IF(ISNA(VLOOKUP((ROW(G225)-15),'List of tables'!$A$4:$H$621,6,FALSE))," ",VLOOKUP((ROW(G225)-15),'List of tables'!$A$4:$H$621,6,FALSE))</f>
        <v>http://www.ninis2.nisra.gov.uk/public/SearchResults.aspx?sk=DC2251NI;</v>
      </c>
    </row>
    <row r="224" spans="1:7" ht="70" customHeight="1" x14ac:dyDescent="0.3">
      <c r="A224" s="23" t="str">
        <f>IF(ISNA(VLOOKUP((ROW(A226)-15),'List of tables'!$A$4:$H$621,2,FALSE))," ",VLOOKUP((ROW(A226)-15),'List of tables'!$A$4:$H$621,2,FALSE))</f>
        <v>DC2252NI</v>
      </c>
      <c r="B224" s="21" t="str">
        <f>IF(ISNA(VLOOKUP((ROW(B226)-15),'List of tables'!$A$4:$H$621,3,FALSE))," ",VLOOKUP((ROW(B226)-15),'List of tables'!$A$4:$H$621,3,FALSE))</f>
        <v>Passports Held (Classification 2) by Religion or Religion Brought Up In</v>
      </c>
      <c r="C224" s="21" t="str">
        <f>IF(ISNA(VLOOKUP((ROW(H226)-15),'List of tables'!$A$4:$H$621,8,FALSE))," ",VLOOKUP((ROW(H226)-15),'List of tables'!$A$4:$H$621,8,FALSE))</f>
        <v>All usual residents</v>
      </c>
      <c r="D224" s="21" t="str">
        <f>IF(ISNA(VLOOKUP((ROW(D226)-15),'List of tables'!$A$4:$H$621,5,FALSE))," ",VLOOKUP((ROW(D226)-15),'List of tables'!$A$4:$H$621,5,FALSE))</f>
        <v>Super Output Area, Electoral Ward, Local Government District, Assembly Area, NUTS3, Education and Library Board, Health and Social Care Trust, Northern Ireland</v>
      </c>
      <c r="E224" s="22" t="str">
        <f t="shared" si="2"/>
        <v>Link to files</v>
      </c>
      <c r="G224" s="18" t="str">
        <f>IF(ISNA(VLOOKUP((ROW(G226)-15),'List of tables'!$A$4:$H$621,6,FALSE))," ",VLOOKUP((ROW(G226)-15),'List of tables'!$A$4:$H$621,6,FALSE))</f>
        <v>http://www.ninis2.nisra.gov.uk/public/SearchResults.aspx?sk=DC2252NI;</v>
      </c>
    </row>
    <row r="225" spans="1:7" ht="70" customHeight="1" x14ac:dyDescent="0.3">
      <c r="A225" s="23" t="str">
        <f>IF(ISNA(VLOOKUP((ROW(A227)-15),'List of tables'!$A$4:$H$621,2,FALSE))," ",VLOOKUP((ROW(A227)-15),'List of tables'!$A$4:$H$621,2,FALSE))</f>
        <v>DC2253NI</v>
      </c>
      <c r="B225" s="21" t="str">
        <f>IF(ISNA(VLOOKUP((ROW(B227)-15),'List of tables'!$A$4:$H$621,3,FALSE))," ",VLOOKUP((ROW(B227)-15),'List of tables'!$A$4:$H$621,3,FALSE))</f>
        <v>Country of Birth by Religion by Age</v>
      </c>
      <c r="C225" s="21" t="str">
        <f>IF(ISNA(VLOOKUP((ROW(H227)-15),'List of tables'!$A$4:$H$621,8,FALSE))," ",VLOOKUP((ROW(H227)-15),'List of tables'!$A$4:$H$621,8,FALSE))</f>
        <v>All usual residents</v>
      </c>
      <c r="D225" s="21" t="str">
        <f>IF(ISNA(VLOOKUP((ROW(D227)-15),'List of tables'!$A$4:$H$621,5,FALSE))," ",VLOOKUP((ROW(D227)-15),'List of tables'!$A$4:$H$621,5,FALSE))</f>
        <v>Northern Ireland</v>
      </c>
      <c r="E225" s="22" t="str">
        <f t="shared" si="2"/>
        <v>Link to files</v>
      </c>
      <c r="G225" s="18" t="str">
        <f>IF(ISNA(VLOOKUP((ROW(G227)-15),'List of tables'!$A$4:$H$621,6,FALSE))," ",VLOOKUP((ROW(G227)-15),'List of tables'!$A$4:$H$621,6,FALSE))</f>
        <v>http://www.ninis2.nisra.gov.uk/public/SearchResults.aspx?sk=DC2253NI;</v>
      </c>
    </row>
    <row r="226" spans="1:7" ht="70" customHeight="1" x14ac:dyDescent="0.3">
      <c r="A226" s="23" t="str">
        <f>IF(ISNA(VLOOKUP((ROW(A228)-15),'List of tables'!$A$4:$H$621,2,FALSE))," ",VLOOKUP((ROW(A228)-15),'List of tables'!$A$4:$H$621,2,FALSE))</f>
        <v>DC2254NI</v>
      </c>
      <c r="B226" s="21" t="str">
        <f>IF(ISNA(VLOOKUP((ROW(B228)-15),'List of tables'!$A$4:$H$621,3,FALSE))," ",VLOOKUP((ROW(B228)-15),'List of tables'!$A$4:$H$621,3,FALSE))</f>
        <v>Country of Birth by Religion or Religion Brought Up In by Age</v>
      </c>
      <c r="C226" s="21" t="str">
        <f>IF(ISNA(VLOOKUP((ROW(H228)-15),'List of tables'!$A$4:$H$621,8,FALSE))," ",VLOOKUP((ROW(H228)-15),'List of tables'!$A$4:$H$621,8,FALSE))</f>
        <v>All usual residents</v>
      </c>
      <c r="D226" s="21" t="str">
        <f>IF(ISNA(VLOOKUP((ROW(D228)-15),'List of tables'!$A$4:$H$621,5,FALSE))," ",VLOOKUP((ROW(D228)-15),'List of tables'!$A$4:$H$621,5,FALSE))</f>
        <v>Northern Ireland</v>
      </c>
      <c r="E226" s="22" t="str">
        <f t="shared" si="2"/>
        <v>Link to files</v>
      </c>
      <c r="G226" s="18" t="str">
        <f>IF(ISNA(VLOOKUP((ROW(G228)-15),'List of tables'!$A$4:$H$621,6,FALSE))," ",VLOOKUP((ROW(G228)-15),'List of tables'!$A$4:$H$621,6,FALSE))</f>
        <v>http://www.ninis2.nisra.gov.uk/public/SearchResults.aspx?sk=DC2254NI;</v>
      </c>
    </row>
    <row r="227" spans="1:7" ht="70" customHeight="1" x14ac:dyDescent="0.3">
      <c r="A227" s="23" t="str">
        <f>IF(ISNA(VLOOKUP((ROW(A229)-15),'List of tables'!$A$4:$H$621,2,FALSE))," ",VLOOKUP((ROW(A229)-15),'List of tables'!$A$4:$H$621,2,FALSE))</f>
        <v>DC2301NI</v>
      </c>
      <c r="B227" s="21" t="str">
        <f>IF(ISNA(VLOOKUP((ROW(B229)-15),'List of tables'!$A$4:$H$621,3,FALSE))," ",VLOOKUP((ROW(B229)-15),'List of tables'!$A$4:$H$621,3,FALSE))</f>
        <v>General Health by Ethnic Group by Age by Sex</v>
      </c>
      <c r="C227" s="21" t="str">
        <f>IF(ISNA(VLOOKUP((ROW(H229)-15),'List of tables'!$A$4:$H$621,8,FALSE))," ",VLOOKUP((ROW(H229)-15),'List of tables'!$A$4:$H$621,8,FALSE))</f>
        <v>All usual residents</v>
      </c>
      <c r="D227" s="21" t="str">
        <f>IF(ISNA(VLOOKUP((ROW(D229)-15),'List of tables'!$A$4:$H$621,5,FALSE))," ",VLOOKUP((ROW(D229)-15),'List of tables'!$A$4:$H$621,5,FALSE))</f>
        <v>Northern Ireland</v>
      </c>
      <c r="E227" s="22" t="str">
        <f t="shared" si="2"/>
        <v>Link to files</v>
      </c>
      <c r="G227" s="18" t="str">
        <f>IF(ISNA(VLOOKUP((ROW(G229)-15),'List of tables'!$A$4:$H$621,6,FALSE))," ",VLOOKUP((ROW(G229)-15),'List of tables'!$A$4:$H$621,6,FALSE))</f>
        <v>http://www.ninis2.nisra.gov.uk/public/SearchResults.aspx?sk=DC2301NI;</v>
      </c>
    </row>
    <row r="228" spans="1:7" ht="70" customHeight="1" x14ac:dyDescent="0.3">
      <c r="A228" s="23" t="str">
        <f>IF(ISNA(VLOOKUP((ROW(A230)-15),'List of tables'!$A$4:$H$621,2,FALSE))," ",VLOOKUP((ROW(A230)-15),'List of tables'!$A$4:$H$621,2,FALSE))</f>
        <v>DC2302NI</v>
      </c>
      <c r="B228" s="21" t="str">
        <f>IF(ISNA(VLOOKUP((ROW(B230)-15),'List of tables'!$A$4:$H$621,3,FALSE))," ",VLOOKUP((ROW(B230)-15),'List of tables'!$A$4:$H$621,3,FALSE))</f>
        <v>Long-Term Health Problem or Disability by Ethnic Group by Age by Sex</v>
      </c>
      <c r="C228" s="21" t="str">
        <f>IF(ISNA(VLOOKUP((ROW(H230)-15),'List of tables'!$A$4:$H$621,8,FALSE))," ",VLOOKUP((ROW(H230)-15),'List of tables'!$A$4:$H$621,8,FALSE))</f>
        <v>All usual residents</v>
      </c>
      <c r="D228" s="21" t="str">
        <f>IF(ISNA(VLOOKUP((ROW(D230)-15),'List of tables'!$A$4:$H$621,5,FALSE))," ",VLOOKUP((ROW(D230)-15),'List of tables'!$A$4:$H$621,5,FALSE))</f>
        <v>Northern Ireland</v>
      </c>
      <c r="E228" s="22" t="str">
        <f t="shared" si="2"/>
        <v>Link to files</v>
      </c>
      <c r="G228" s="18" t="str">
        <f>IF(ISNA(VLOOKUP((ROW(G230)-15),'List of tables'!$A$4:$H$621,6,FALSE))," ",VLOOKUP((ROW(G230)-15),'List of tables'!$A$4:$H$621,6,FALSE))</f>
        <v>http://www.ninis2.nisra.gov.uk/public/SearchResults.aspx?sk=DC2302NI;</v>
      </c>
    </row>
    <row r="229" spans="1:7" ht="70" customHeight="1" x14ac:dyDescent="0.3">
      <c r="A229" s="23" t="str">
        <f>IF(ISNA(VLOOKUP((ROW(A231)-15),'List of tables'!$A$4:$H$621,2,FALSE))," ",VLOOKUP((ROW(A231)-15),'List of tables'!$A$4:$H$621,2,FALSE))</f>
        <v>DC2303NI</v>
      </c>
      <c r="B229" s="21" t="str">
        <f>IF(ISNA(VLOOKUP((ROW(B231)-15),'List of tables'!$A$4:$H$621,3,FALSE))," ",VLOOKUP((ROW(B231)-15),'List of tables'!$A$4:$H$621,3,FALSE))</f>
        <v>Long-Term Health Problem or Disability by General Health by Ethnic Group by Age</v>
      </c>
      <c r="C229" s="21" t="str">
        <f>IF(ISNA(VLOOKUP((ROW(H231)-15),'List of tables'!$A$4:$H$621,8,FALSE))," ",VLOOKUP((ROW(H231)-15),'List of tables'!$A$4:$H$621,8,FALSE))</f>
        <v>All usual residents</v>
      </c>
      <c r="D229" s="21" t="str">
        <f>IF(ISNA(VLOOKUP((ROW(D231)-15),'List of tables'!$A$4:$H$621,5,FALSE))," ",VLOOKUP((ROW(D231)-15),'List of tables'!$A$4:$H$621,5,FALSE))</f>
        <v>Northern Ireland</v>
      </c>
      <c r="E229" s="22" t="str">
        <f t="shared" si="2"/>
        <v>Link to files</v>
      </c>
      <c r="G229" s="18" t="str">
        <f>IF(ISNA(VLOOKUP((ROW(G231)-15),'List of tables'!$A$4:$H$621,6,FALSE))," ",VLOOKUP((ROW(G231)-15),'List of tables'!$A$4:$H$621,6,FALSE))</f>
        <v>http://www.ninis2.nisra.gov.uk/public/SearchResults.aspx?sk=DC2303NI;</v>
      </c>
    </row>
    <row r="230" spans="1:7" ht="70" customHeight="1" x14ac:dyDescent="0.3">
      <c r="A230" s="23" t="str">
        <f>IF(ISNA(VLOOKUP((ROW(A232)-15),'List of tables'!$A$4:$H$621,2,FALSE))," ",VLOOKUP((ROW(A232)-15),'List of tables'!$A$4:$H$621,2,FALSE))</f>
        <v>DC2304NI</v>
      </c>
      <c r="B230" s="21" t="str">
        <f>IF(ISNA(VLOOKUP((ROW(B232)-15),'List of tables'!$A$4:$H$621,3,FALSE))," ",VLOOKUP((ROW(B232)-15),'List of tables'!$A$4:$H$621,3,FALSE))</f>
        <v>Country of Birth by General Health by Long-Term Health Problem or Disability</v>
      </c>
      <c r="C230" s="21" t="str">
        <f>IF(ISNA(VLOOKUP((ROW(H232)-15),'List of tables'!$A$4:$H$621,8,FALSE))," ",VLOOKUP((ROW(H232)-15),'List of tables'!$A$4:$H$621,8,FALSE))</f>
        <v>All usual residents</v>
      </c>
      <c r="D230" s="21" t="str">
        <f>IF(ISNA(VLOOKUP((ROW(D232)-15),'List of tables'!$A$4:$H$621,5,FALSE))," ",VLOOKUP((ROW(D232)-15),'List of tables'!$A$4:$H$621,5,FALSE))</f>
        <v>Local Government District, NUTS3, Education and Library Board, Health and Social Care Trust, Northern Ireland</v>
      </c>
      <c r="E230" s="22" t="str">
        <f t="shared" si="2"/>
        <v>Link to files</v>
      </c>
      <c r="G230" s="18" t="str">
        <f>IF(ISNA(VLOOKUP((ROW(G232)-15),'List of tables'!$A$4:$H$621,6,FALSE))," ",VLOOKUP((ROW(G232)-15),'List of tables'!$A$4:$H$621,6,FALSE))</f>
        <v>http://www.ninis2.nisra.gov.uk/public/SearchResults.aspx?sk=DC2304NI;</v>
      </c>
    </row>
    <row r="231" spans="1:7" ht="70" customHeight="1" x14ac:dyDescent="0.3">
      <c r="A231" s="23" t="str">
        <f>IF(ISNA(VLOOKUP((ROW(A233)-15),'List of tables'!$A$4:$H$621,2,FALSE))," ",VLOOKUP((ROW(A233)-15),'List of tables'!$A$4:$H$621,2,FALSE))</f>
        <v>DC2305NI</v>
      </c>
      <c r="B231" s="21" t="str">
        <f>IF(ISNA(VLOOKUP((ROW(B233)-15),'List of tables'!$A$4:$H$621,3,FALSE))," ",VLOOKUP((ROW(B233)-15),'List of tables'!$A$4:$H$621,3,FALSE))</f>
        <v>Proficiency in English by General Health by Long-Term Health Problem or Disability by Age by Sex</v>
      </c>
      <c r="C231" s="21" t="str">
        <f>IF(ISNA(VLOOKUP((ROW(H233)-15),'List of tables'!$A$4:$H$621,8,FALSE))," ",VLOOKUP((ROW(H233)-15),'List of tables'!$A$4:$H$621,8,FALSE))</f>
        <v>All usual residents aged 3 and over</v>
      </c>
      <c r="D231" s="21" t="str">
        <f>IF(ISNA(VLOOKUP((ROW(D233)-15),'List of tables'!$A$4:$H$621,5,FALSE))," ",VLOOKUP((ROW(D233)-15),'List of tables'!$A$4:$H$621,5,FALSE))</f>
        <v>Northern Ireland</v>
      </c>
      <c r="E231" s="22" t="str">
        <f t="shared" si="2"/>
        <v>Link to files</v>
      </c>
      <c r="G231" s="18" t="str">
        <f>IF(ISNA(VLOOKUP((ROW(G233)-15),'List of tables'!$A$4:$H$621,6,FALSE))," ",VLOOKUP((ROW(G233)-15),'List of tables'!$A$4:$H$621,6,FALSE))</f>
        <v>http://www.ninis2.nisra.gov.uk/public/SearchResults.aspx?sk=DC2305NI;</v>
      </c>
    </row>
    <row r="232" spans="1:7" ht="70" customHeight="1" x14ac:dyDescent="0.3">
      <c r="A232" s="23" t="str">
        <f>IF(ISNA(VLOOKUP((ROW(A234)-15),'List of tables'!$A$4:$H$621,2,FALSE))," ",VLOOKUP((ROW(A234)-15),'List of tables'!$A$4:$H$621,2,FALSE))</f>
        <v>DC2306NI</v>
      </c>
      <c r="B232" s="21" t="str">
        <f>IF(ISNA(VLOOKUP((ROW(B234)-15),'List of tables'!$A$4:$H$621,3,FALSE))," ",VLOOKUP((ROW(B234)-15),'List of tables'!$A$4:$H$621,3,FALSE))</f>
        <v>General Health by Religion by Age by Sex</v>
      </c>
      <c r="C232" s="21" t="str">
        <f>IF(ISNA(VLOOKUP((ROW(H234)-15),'List of tables'!$A$4:$H$621,8,FALSE))," ",VLOOKUP((ROW(H234)-15),'List of tables'!$A$4:$H$621,8,FALSE))</f>
        <v>All usual residents</v>
      </c>
      <c r="D232" s="21" t="str">
        <f>IF(ISNA(VLOOKUP((ROW(D234)-15),'List of tables'!$A$4:$H$621,5,FALSE))," ",VLOOKUP((ROW(D234)-15),'List of tables'!$A$4:$H$621,5,FALSE))</f>
        <v>Local Government District, NUTS3, Education and Library Board, Health and Social Care Trust, Northern Ireland</v>
      </c>
      <c r="E232" s="22" t="str">
        <f t="shared" si="2"/>
        <v>Link to files</v>
      </c>
      <c r="G232" s="18" t="str">
        <f>IF(ISNA(VLOOKUP((ROW(G234)-15),'List of tables'!$A$4:$H$621,6,FALSE))," ",VLOOKUP((ROW(G234)-15),'List of tables'!$A$4:$H$621,6,FALSE))</f>
        <v>http://www.ninis2.nisra.gov.uk/public/SearchResults.aspx?sk=DC2306NI;</v>
      </c>
    </row>
    <row r="233" spans="1:7" ht="70" customHeight="1" x14ac:dyDescent="0.3">
      <c r="A233" s="23" t="str">
        <f>IF(ISNA(VLOOKUP((ROW(A235)-15),'List of tables'!$A$4:$H$621,2,FALSE))," ",VLOOKUP((ROW(A235)-15),'List of tables'!$A$4:$H$621,2,FALSE))</f>
        <v>DC2307NI</v>
      </c>
      <c r="B233" s="21" t="str">
        <f>IF(ISNA(VLOOKUP((ROW(B235)-15),'List of tables'!$A$4:$H$621,3,FALSE))," ",VLOOKUP((ROW(B235)-15),'List of tables'!$A$4:$H$621,3,FALSE))</f>
        <v>General Health by Religion or Religion Brought Up In by Age by Sex</v>
      </c>
      <c r="C233" s="21" t="str">
        <f>IF(ISNA(VLOOKUP((ROW(H235)-15),'List of tables'!$A$4:$H$621,8,FALSE))," ",VLOOKUP((ROW(H235)-15),'List of tables'!$A$4:$H$621,8,FALSE))</f>
        <v>All usual residents</v>
      </c>
      <c r="D233" s="21" t="str">
        <f>IF(ISNA(VLOOKUP((ROW(D235)-15),'List of tables'!$A$4:$H$621,5,FALSE))," ",VLOOKUP((ROW(D235)-15),'List of tables'!$A$4:$H$621,5,FALSE))</f>
        <v>Local Government District, NUTS3, Education and Library Board, Health and Social Care Trust, Northern Ireland</v>
      </c>
      <c r="E233" s="22" t="str">
        <f t="shared" si="2"/>
        <v>Link to files</v>
      </c>
      <c r="G233" s="18" t="str">
        <f>IF(ISNA(VLOOKUP((ROW(G235)-15),'List of tables'!$A$4:$H$621,6,FALSE))," ",VLOOKUP((ROW(G235)-15),'List of tables'!$A$4:$H$621,6,FALSE))</f>
        <v>http://www.ninis2.nisra.gov.uk/public/SearchResults.aspx?sk=DC2307NI;</v>
      </c>
    </row>
    <row r="234" spans="1:7" ht="70" customHeight="1" x14ac:dyDescent="0.3">
      <c r="A234" s="23" t="str">
        <f>IF(ISNA(VLOOKUP((ROW(A236)-15),'List of tables'!$A$4:$H$621,2,FALSE))," ",VLOOKUP((ROW(A236)-15),'List of tables'!$A$4:$H$621,2,FALSE))</f>
        <v>DC2308NI</v>
      </c>
      <c r="B234" s="21" t="str">
        <f>IF(ISNA(VLOOKUP((ROW(B236)-15),'List of tables'!$A$4:$H$621,3,FALSE))," ",VLOOKUP((ROW(B236)-15),'List of tables'!$A$4:$H$621,3,FALSE))</f>
        <v>Long-Term Health Problem or Disability by Religion by Age by Sex</v>
      </c>
      <c r="C234" s="21" t="str">
        <f>IF(ISNA(VLOOKUP((ROW(H236)-15),'List of tables'!$A$4:$H$621,8,FALSE))," ",VLOOKUP((ROW(H236)-15),'List of tables'!$A$4:$H$621,8,FALSE))</f>
        <v>All usual residents</v>
      </c>
      <c r="D234" s="21" t="str">
        <f>IF(ISNA(VLOOKUP((ROW(D236)-15),'List of tables'!$A$4:$H$621,5,FALSE))," ",VLOOKUP((ROW(D236)-15),'List of tables'!$A$4:$H$621,5,FALSE))</f>
        <v>Local Government District, NUTS3, Education and Library Board, Health and Social Care Trust, Northern Ireland</v>
      </c>
      <c r="E234" s="22" t="str">
        <f t="shared" si="2"/>
        <v>Link to files</v>
      </c>
      <c r="G234" s="18" t="str">
        <f>IF(ISNA(VLOOKUP((ROW(G236)-15),'List of tables'!$A$4:$H$621,6,FALSE))," ",VLOOKUP((ROW(G236)-15),'List of tables'!$A$4:$H$621,6,FALSE))</f>
        <v>http://www.ninis2.nisra.gov.uk/public/SearchResults.aspx?sk=DC2308NI;</v>
      </c>
    </row>
    <row r="235" spans="1:7" ht="70" customHeight="1" x14ac:dyDescent="0.3">
      <c r="A235" s="23" t="str">
        <f>IF(ISNA(VLOOKUP((ROW(A237)-15),'List of tables'!$A$4:$H$621,2,FALSE))," ",VLOOKUP((ROW(A237)-15),'List of tables'!$A$4:$H$621,2,FALSE))</f>
        <v>DC2309NI</v>
      </c>
      <c r="B235" s="21" t="str">
        <f>IF(ISNA(VLOOKUP((ROW(B237)-15),'List of tables'!$A$4:$H$621,3,FALSE))," ",VLOOKUP((ROW(B237)-15),'List of tables'!$A$4:$H$621,3,FALSE))</f>
        <v>Long-Term Health Problem or Disability by Religion or Religion Brought Up In by Age by Sex</v>
      </c>
      <c r="C235" s="21" t="str">
        <f>IF(ISNA(VLOOKUP((ROW(H237)-15),'List of tables'!$A$4:$H$621,8,FALSE))," ",VLOOKUP((ROW(H237)-15),'List of tables'!$A$4:$H$621,8,FALSE))</f>
        <v>All usual residents</v>
      </c>
      <c r="D235" s="21" t="str">
        <f>IF(ISNA(VLOOKUP((ROW(D237)-15),'List of tables'!$A$4:$H$621,5,FALSE))," ",VLOOKUP((ROW(D237)-15),'List of tables'!$A$4:$H$621,5,FALSE))</f>
        <v>Local Government District, NUTS3, Education and Library Board, Health and Social Care Trust, Northern Ireland</v>
      </c>
      <c r="E235" s="22" t="str">
        <f t="shared" si="2"/>
        <v>Link to files</v>
      </c>
      <c r="G235" s="18" t="str">
        <f>IF(ISNA(VLOOKUP((ROW(G237)-15),'List of tables'!$A$4:$H$621,6,FALSE))," ",VLOOKUP((ROW(G237)-15),'List of tables'!$A$4:$H$621,6,FALSE))</f>
        <v>http://www.ninis2.nisra.gov.uk/public/SearchResults.aspx?sk=DC2309NI;</v>
      </c>
    </row>
    <row r="236" spans="1:7" ht="70" customHeight="1" x14ac:dyDescent="0.3">
      <c r="A236" s="23" t="str">
        <f>IF(ISNA(VLOOKUP((ROW(A238)-15),'List of tables'!$A$4:$H$621,2,FALSE))," ",VLOOKUP((ROW(A238)-15),'List of tables'!$A$4:$H$621,2,FALSE))</f>
        <v>DC2401NI</v>
      </c>
      <c r="B236" s="21" t="str">
        <f>IF(ISNA(VLOOKUP((ROW(B238)-15),'List of tables'!$A$4:$H$621,3,FALSE))," ",VLOOKUP((ROW(B238)-15),'List of tables'!$A$4:$H$621,3,FALSE))</f>
        <v>Type of Communal Establishment by Ethnic Group by Sex</v>
      </c>
      <c r="C236" s="21" t="str">
        <f>IF(ISNA(VLOOKUP((ROW(H238)-15),'List of tables'!$A$4:$H$621,8,FALSE))," ",VLOOKUP((ROW(H238)-15),'List of tables'!$A$4:$H$621,8,FALSE))</f>
        <v>All usual residents in communal establishments</v>
      </c>
      <c r="D236" s="21" t="str">
        <f>IF(ISNA(VLOOKUP((ROW(D238)-15),'List of tables'!$A$4:$H$621,5,FALSE))," ",VLOOKUP((ROW(D238)-15),'List of tables'!$A$4:$H$621,5,FALSE))</f>
        <v>Northern Ireland</v>
      </c>
      <c r="E236" s="22" t="str">
        <f t="shared" si="2"/>
        <v>Link to files</v>
      </c>
      <c r="G236" s="18" t="str">
        <f>IF(ISNA(VLOOKUP((ROW(G238)-15),'List of tables'!$A$4:$H$621,6,FALSE))," ",VLOOKUP((ROW(G238)-15),'List of tables'!$A$4:$H$621,6,FALSE))</f>
        <v>http://www.ninis2.nisra.gov.uk/public/SearchResults.aspx?sk=DC2401NI;</v>
      </c>
    </row>
    <row r="237" spans="1:7" ht="70" customHeight="1" x14ac:dyDescent="0.3">
      <c r="A237" s="23" t="str">
        <f>IF(ISNA(VLOOKUP((ROW(A239)-15),'List of tables'!$A$4:$H$621,2,FALSE))," ",VLOOKUP((ROW(A239)-15),'List of tables'!$A$4:$H$621,2,FALSE))</f>
        <v>DC2402NI</v>
      </c>
      <c r="B237" s="21" t="str">
        <f>IF(ISNA(VLOOKUP((ROW(B239)-15),'List of tables'!$A$4:$H$621,3,FALSE))," ",VLOOKUP((ROW(B239)-15),'List of tables'!$A$4:$H$621,3,FALSE))</f>
        <v>Tenure by Number of Cars or Vans by Ethnic Group of HRP</v>
      </c>
      <c r="C237" s="21" t="str">
        <f>IF(ISNA(VLOOKUP((ROW(H239)-15),'List of tables'!$A$4:$H$621,8,FALSE))," ",VLOOKUP((ROW(H239)-15),'List of tables'!$A$4:$H$621,8,FALSE))</f>
        <v>All Household Reference Persons (HRPs)</v>
      </c>
      <c r="D237" s="21" t="str">
        <f>IF(ISNA(VLOOKUP((ROW(D239)-15),'List of tables'!$A$4:$H$621,5,FALSE))," ",VLOOKUP((ROW(D239)-15),'List of tables'!$A$4:$H$621,5,FALSE))</f>
        <v>Local Government District, NUTS3, Education and Library Board, Health and Social Care Trust, Northern Ireland</v>
      </c>
      <c r="E237" s="22" t="str">
        <f t="shared" si="2"/>
        <v>Link to files</v>
      </c>
      <c r="G237" s="18" t="str">
        <f>IF(ISNA(VLOOKUP((ROW(G239)-15),'List of tables'!$A$4:$H$621,6,FALSE))," ",VLOOKUP((ROW(G239)-15),'List of tables'!$A$4:$H$621,6,FALSE))</f>
        <v>http://www.ninis2.nisra.gov.uk/public/SearchResults.aspx?sk=DC2402NI;</v>
      </c>
    </row>
    <row r="238" spans="1:7" ht="70" customHeight="1" x14ac:dyDescent="0.3">
      <c r="A238" s="23" t="str">
        <f>IF(ISNA(VLOOKUP((ROW(A240)-15),'List of tables'!$A$4:$H$621,2,FALSE))," ",VLOOKUP((ROW(A240)-15),'List of tables'!$A$4:$H$621,2,FALSE))</f>
        <v>DC2403NI</v>
      </c>
      <c r="B238" s="21" t="str">
        <f>IF(ISNA(VLOOKUP((ROW(B240)-15),'List of tables'!$A$4:$H$621,3,FALSE))," ",VLOOKUP((ROW(B240)-15),'List of tables'!$A$4:$H$621,3,FALSE))</f>
        <v>Tenure by Occupancy Rating (Rooms) by Ethnic Group</v>
      </c>
      <c r="C238" s="21" t="str">
        <f>IF(ISNA(VLOOKUP((ROW(H240)-15),'List of tables'!$A$4:$H$621,8,FALSE))," ",VLOOKUP((ROW(H240)-15),'List of tables'!$A$4:$H$621,8,FALSE))</f>
        <v>All usual residents in households</v>
      </c>
      <c r="D238" s="21" t="str">
        <f>IF(ISNA(VLOOKUP((ROW(D240)-15),'List of tables'!$A$4:$H$621,5,FALSE))," ",VLOOKUP((ROW(D240)-15),'List of tables'!$A$4:$H$621,5,FALSE))</f>
        <v>Local Government District, NUTS3, Education and Library Board, Health and Social Care Trust, Northern Ireland</v>
      </c>
      <c r="E238" s="22" t="str">
        <f t="shared" si="2"/>
        <v>Link to files</v>
      </c>
      <c r="G238" s="18" t="str">
        <f>IF(ISNA(VLOOKUP((ROW(G240)-15),'List of tables'!$A$4:$H$621,6,FALSE))," ",VLOOKUP((ROW(G240)-15),'List of tables'!$A$4:$H$621,6,FALSE))</f>
        <v>http://www.ninis2.nisra.gov.uk/public/SearchResults.aspx?sk=DC2403NI;</v>
      </c>
    </row>
    <row r="239" spans="1:7" ht="70" customHeight="1" x14ac:dyDescent="0.3">
      <c r="A239" s="23" t="str">
        <f>IF(ISNA(VLOOKUP((ROW(A241)-15),'List of tables'!$A$4:$H$621,2,FALSE))," ",VLOOKUP((ROW(A241)-15),'List of tables'!$A$4:$H$621,2,FALSE))</f>
        <v>DC2404NI</v>
      </c>
      <c r="B239" s="21" t="str">
        <f>IF(ISNA(VLOOKUP((ROW(B241)-15),'List of tables'!$A$4:$H$621,3,FALSE))," ",VLOOKUP((ROW(B241)-15),'List of tables'!$A$4:$H$621,3,FALSE))</f>
        <v>Tenure by Occupancy Rating (Rooms) by Ethnic Group of HRP</v>
      </c>
      <c r="C239" s="21" t="str">
        <f>IF(ISNA(VLOOKUP((ROW(H241)-15),'List of tables'!$A$4:$H$621,8,FALSE))," ",VLOOKUP((ROW(H241)-15),'List of tables'!$A$4:$H$621,8,FALSE))</f>
        <v>All Household Reference Persons (HRPs)</v>
      </c>
      <c r="D239" s="21" t="str">
        <f>IF(ISNA(VLOOKUP((ROW(D241)-15),'List of tables'!$A$4:$H$621,5,FALSE))," ",VLOOKUP((ROW(D241)-15),'List of tables'!$A$4:$H$621,5,FALSE))</f>
        <v>Local Government District, NUTS3, Education and Library Board, Health and Social Care Trust, Northern Ireland</v>
      </c>
      <c r="E239" s="22" t="str">
        <f t="shared" si="2"/>
        <v>Link to files</v>
      </c>
      <c r="G239" s="18" t="str">
        <f>IF(ISNA(VLOOKUP((ROW(G241)-15),'List of tables'!$A$4:$H$621,6,FALSE))," ",VLOOKUP((ROW(G241)-15),'List of tables'!$A$4:$H$621,6,FALSE))</f>
        <v>http://www.ninis2.nisra.gov.uk/public/SearchResults.aspx?sk=DC2404NI;</v>
      </c>
    </row>
    <row r="240" spans="1:7" ht="70" customHeight="1" x14ac:dyDescent="0.3">
      <c r="A240" s="23" t="str">
        <f>IF(ISNA(VLOOKUP((ROW(A242)-15),'List of tables'!$A$4:$H$621,2,FALSE))," ",VLOOKUP((ROW(A242)-15),'List of tables'!$A$4:$H$621,2,FALSE))</f>
        <v>DC2405NI</v>
      </c>
      <c r="B240" s="21" t="str">
        <f>IF(ISNA(VLOOKUP((ROW(B242)-15),'List of tables'!$A$4:$H$621,3,FALSE))," ",VLOOKUP((ROW(B242)-15),'List of tables'!$A$4:$H$621,3,FALSE))</f>
        <v>Household Size by Ethnic Group of HRP</v>
      </c>
      <c r="C240" s="21" t="str">
        <f>IF(ISNA(VLOOKUP((ROW(H242)-15),'List of tables'!$A$4:$H$621,8,FALSE))," ",VLOOKUP((ROW(H242)-15),'List of tables'!$A$4:$H$621,8,FALSE))</f>
        <v>All households</v>
      </c>
      <c r="D240" s="21" t="str">
        <f>IF(ISNA(VLOOKUP((ROW(D242)-15),'List of tables'!$A$4:$H$621,5,FALSE))," ",VLOOKUP((ROW(D242)-15),'List of tables'!$A$4:$H$621,5,FALSE))</f>
        <v>Local Government District, NUTS3, Education and Library Board, Health and Social Care Trust, Northern Ireland</v>
      </c>
      <c r="E240" s="22" t="str">
        <f t="shared" si="2"/>
        <v>Link to files</v>
      </c>
      <c r="G240" s="18" t="str">
        <f>IF(ISNA(VLOOKUP((ROW(G242)-15),'List of tables'!$A$4:$H$621,6,FALSE))," ",VLOOKUP((ROW(G242)-15),'List of tables'!$A$4:$H$621,6,FALSE))</f>
        <v>http://www.ninis2.nisra.gov.uk/public/SearchResults.aspx?sk=DC2405NI;</v>
      </c>
    </row>
    <row r="241" spans="1:7" ht="70" customHeight="1" x14ac:dyDescent="0.3">
      <c r="A241" s="23" t="str">
        <f>IF(ISNA(VLOOKUP((ROW(A243)-15),'List of tables'!$A$4:$H$621,2,FALSE))," ",VLOOKUP((ROW(A243)-15),'List of tables'!$A$4:$H$621,2,FALSE))</f>
        <v>DC2406NI</v>
      </c>
      <c r="B241" s="21" t="str">
        <f>IF(ISNA(VLOOKUP((ROW(B243)-15),'List of tables'!$A$4:$H$621,3,FALSE))," ",VLOOKUP((ROW(B243)-15),'List of tables'!$A$4:$H$621,3,FALSE))</f>
        <v>Type of Communal Establishment by Country of Birth by Sex</v>
      </c>
      <c r="C241" s="21" t="str">
        <f>IF(ISNA(VLOOKUP((ROW(H243)-15),'List of tables'!$A$4:$H$621,8,FALSE))," ",VLOOKUP((ROW(H243)-15),'List of tables'!$A$4:$H$621,8,FALSE))</f>
        <v>All usual residents in communal establishments</v>
      </c>
      <c r="D241" s="21" t="str">
        <f>IF(ISNA(VLOOKUP((ROW(D243)-15),'List of tables'!$A$4:$H$621,5,FALSE))," ",VLOOKUP((ROW(D243)-15),'List of tables'!$A$4:$H$621,5,FALSE))</f>
        <v>Local Government District, NUTS3, Education and Library Board, Health and Social Care Trust, Northern Ireland</v>
      </c>
      <c r="E241" s="22" t="str">
        <f t="shared" si="2"/>
        <v>Link to files</v>
      </c>
      <c r="G241" s="18" t="str">
        <f>IF(ISNA(VLOOKUP((ROW(G243)-15),'List of tables'!$A$4:$H$621,6,FALSE))," ",VLOOKUP((ROW(G243)-15),'List of tables'!$A$4:$H$621,6,FALSE))</f>
        <v>http://www.ninis2.nisra.gov.uk/public/SearchResults.aspx?sk=DC2406NI;</v>
      </c>
    </row>
    <row r="242" spans="1:7" ht="70" customHeight="1" x14ac:dyDescent="0.3">
      <c r="A242" s="23" t="str">
        <f>IF(ISNA(VLOOKUP((ROW(A244)-15),'List of tables'!$A$4:$H$621,2,FALSE))," ",VLOOKUP((ROW(A244)-15),'List of tables'!$A$4:$H$621,2,FALSE))</f>
        <v>DC2407NI</v>
      </c>
      <c r="B242" s="21" t="str">
        <f>IF(ISNA(VLOOKUP((ROW(B244)-15),'List of tables'!$A$4:$H$621,3,FALSE))," ",VLOOKUP((ROW(B244)-15),'List of tables'!$A$4:$H$621,3,FALSE))</f>
        <v>Tenure by Occupancy Rating (Rooms) by Country of Birth</v>
      </c>
      <c r="C242" s="21" t="str">
        <f>IF(ISNA(VLOOKUP((ROW(H244)-15),'List of tables'!$A$4:$H$621,8,FALSE))," ",VLOOKUP((ROW(H244)-15),'List of tables'!$A$4:$H$621,8,FALSE))</f>
        <v>All usual residents in households</v>
      </c>
      <c r="D242" s="21" t="str">
        <f>IF(ISNA(VLOOKUP((ROW(D244)-15),'List of tables'!$A$4:$H$621,5,FALSE))," ",VLOOKUP((ROW(D244)-15),'List of tables'!$A$4:$H$621,5,FALSE))</f>
        <v>Local Government District, NUTS3, Education and Library Board, Health and Social Care Trust, Northern Ireland</v>
      </c>
      <c r="E242" s="22" t="str">
        <f t="shared" si="2"/>
        <v>Link to files</v>
      </c>
      <c r="G242" s="18" t="str">
        <f>IF(ISNA(VLOOKUP((ROW(G244)-15),'List of tables'!$A$4:$H$621,6,FALSE))," ",VLOOKUP((ROW(G244)-15),'List of tables'!$A$4:$H$621,6,FALSE))</f>
        <v>http://www.ninis2.nisra.gov.uk/public/SearchResults.aspx?sk=DC2407NI;</v>
      </c>
    </row>
    <row r="243" spans="1:7" ht="70" customHeight="1" x14ac:dyDescent="0.3">
      <c r="A243" s="23" t="str">
        <f>IF(ISNA(VLOOKUP((ROW(A245)-15),'List of tables'!$A$4:$H$621,2,FALSE))," ",VLOOKUP((ROW(A245)-15),'List of tables'!$A$4:$H$621,2,FALSE))</f>
        <v>DC2409NI</v>
      </c>
      <c r="B243" s="21" t="str">
        <f>IF(ISNA(VLOOKUP((ROW(B245)-15),'List of tables'!$A$4:$H$621,3,FALSE))," ",VLOOKUP((ROW(B245)-15),'List of tables'!$A$4:$H$621,3,FALSE))</f>
        <v>Country of Birth of HRP by Household Size</v>
      </c>
      <c r="C243" s="21" t="str">
        <f>IF(ISNA(VLOOKUP((ROW(H245)-15),'List of tables'!$A$4:$H$621,8,FALSE))," ",VLOOKUP((ROW(H245)-15),'List of tables'!$A$4:$H$621,8,FALSE))</f>
        <v>All households</v>
      </c>
      <c r="D243" s="21" t="str">
        <f>IF(ISNA(VLOOKUP((ROW(D245)-15),'List of tables'!$A$4:$H$621,5,FALSE))," ",VLOOKUP((ROW(D245)-15),'List of tables'!$A$4:$H$621,5,FALSE))</f>
        <v>Local Government District, NUTS3, Education and Library Board, Health and Social Care Trust, Northern Ireland</v>
      </c>
      <c r="E243" s="22" t="str">
        <f t="shared" si="2"/>
        <v>Link to files</v>
      </c>
      <c r="G243" s="18" t="str">
        <f>IF(ISNA(VLOOKUP((ROW(G245)-15),'List of tables'!$A$4:$H$621,6,FALSE))," ",VLOOKUP((ROW(G245)-15),'List of tables'!$A$4:$H$621,6,FALSE))</f>
        <v>http://www.ninis2.nisra.gov.uk/public/SearchResults.aspx?sk=DC2409NI;</v>
      </c>
    </row>
    <row r="244" spans="1:7" ht="70" customHeight="1" x14ac:dyDescent="0.3">
      <c r="A244" s="23" t="str">
        <f>IF(ISNA(VLOOKUP((ROW(A246)-15),'List of tables'!$A$4:$H$621,2,FALSE))," ",VLOOKUP((ROW(A246)-15),'List of tables'!$A$4:$H$621,2,FALSE))</f>
        <v>DC2412NI</v>
      </c>
      <c r="B244" s="21" t="str">
        <f>IF(ISNA(VLOOKUP((ROW(B246)-15),'List of tables'!$A$4:$H$621,3,FALSE))," ",VLOOKUP((ROW(B246)-15),'List of tables'!$A$4:$H$621,3,FALSE))</f>
        <v>Type of Communal Establishment by Religion by Sex</v>
      </c>
      <c r="C244" s="21" t="str">
        <f>IF(ISNA(VLOOKUP((ROW(H246)-15),'List of tables'!$A$4:$H$621,8,FALSE))," ",VLOOKUP((ROW(H246)-15),'List of tables'!$A$4:$H$621,8,FALSE))</f>
        <v>All usual residents in communal establishments</v>
      </c>
      <c r="D244" s="21" t="str">
        <f>IF(ISNA(VLOOKUP((ROW(D246)-15),'List of tables'!$A$4:$H$621,5,FALSE))," ",VLOOKUP((ROW(D246)-15),'List of tables'!$A$4:$H$621,5,FALSE))</f>
        <v>Local Government District, NUTS3, Education and Library Board, Health and Social Care Trust, Northern Ireland</v>
      </c>
      <c r="E244" s="22" t="str">
        <f t="shared" si="2"/>
        <v>Link to files</v>
      </c>
      <c r="G244" s="18" t="str">
        <f>IF(ISNA(VLOOKUP((ROW(G246)-15),'List of tables'!$A$4:$H$621,6,FALSE))," ",VLOOKUP((ROW(G246)-15),'List of tables'!$A$4:$H$621,6,FALSE))</f>
        <v>http://www.ninis2.nisra.gov.uk/public/SearchResults.aspx?sk=DC2412NI;</v>
      </c>
    </row>
    <row r="245" spans="1:7" ht="70" customHeight="1" x14ac:dyDescent="0.3">
      <c r="A245" s="23" t="str">
        <f>IF(ISNA(VLOOKUP((ROW(A247)-15),'List of tables'!$A$4:$H$621,2,FALSE))," ",VLOOKUP((ROW(A247)-15),'List of tables'!$A$4:$H$621,2,FALSE))</f>
        <v>DC2413NI</v>
      </c>
      <c r="B245" s="21" t="str">
        <f>IF(ISNA(VLOOKUP((ROW(B247)-15),'List of tables'!$A$4:$H$621,3,FALSE))," ",VLOOKUP((ROW(B247)-15),'List of tables'!$A$4:$H$621,3,FALSE))</f>
        <v>Type of Communal Establishment by Religion or Religion Brought Up In by Sex</v>
      </c>
      <c r="C245" s="21" t="str">
        <f>IF(ISNA(VLOOKUP((ROW(H247)-15),'List of tables'!$A$4:$H$621,8,FALSE))," ",VLOOKUP((ROW(H247)-15),'List of tables'!$A$4:$H$621,8,FALSE))</f>
        <v>All usual residents in communal establishments</v>
      </c>
      <c r="D245" s="21" t="str">
        <f>IF(ISNA(VLOOKUP((ROW(D247)-15),'List of tables'!$A$4:$H$621,5,FALSE))," ",VLOOKUP((ROW(D247)-15),'List of tables'!$A$4:$H$621,5,FALSE))</f>
        <v>Local Government District, NUTS3, Education and Library Board, Health and Social Care Trust, Northern Ireland</v>
      </c>
      <c r="E245" s="22" t="str">
        <f t="shared" si="2"/>
        <v>Link to files</v>
      </c>
      <c r="G245" s="18" t="str">
        <f>IF(ISNA(VLOOKUP((ROW(G247)-15),'List of tables'!$A$4:$H$621,6,FALSE))," ",VLOOKUP((ROW(G247)-15),'List of tables'!$A$4:$H$621,6,FALSE))</f>
        <v>http://www.ninis2.nisra.gov.uk/public/SearchResults.aspx?sk=DC2413NI;</v>
      </c>
    </row>
    <row r="246" spans="1:7" ht="70" customHeight="1" x14ac:dyDescent="0.3">
      <c r="A246" s="23" t="str">
        <f>IF(ISNA(VLOOKUP((ROW(A248)-15),'List of tables'!$A$4:$H$621,2,FALSE))," ",VLOOKUP((ROW(A248)-15),'List of tables'!$A$4:$H$621,2,FALSE))</f>
        <v>DC2414NI</v>
      </c>
      <c r="B246" s="21" t="str">
        <f>IF(ISNA(VLOOKUP((ROW(B248)-15),'List of tables'!$A$4:$H$621,3,FALSE))," ",VLOOKUP((ROW(B248)-15),'List of tables'!$A$4:$H$621,3,FALSE))</f>
        <v>Tenure by Number of Cars or Vans by Religion of HRP</v>
      </c>
      <c r="C246" s="21" t="str">
        <f>IF(ISNA(VLOOKUP((ROW(H248)-15),'List of tables'!$A$4:$H$621,8,FALSE))," ",VLOOKUP((ROW(H248)-15),'List of tables'!$A$4:$H$621,8,FALSE))</f>
        <v>All Household Reference Persons (HRPs)</v>
      </c>
      <c r="D246" s="21" t="str">
        <f>IF(ISNA(VLOOKUP((ROW(D248)-15),'List of tables'!$A$4:$H$621,5,FALSE))," ",VLOOKUP((ROW(D248)-15),'List of tables'!$A$4:$H$621,5,FALSE))</f>
        <v>Local Government District, NUTS3, Education and Library Board, Health and Social Care Trust, Northern Ireland</v>
      </c>
      <c r="E246" s="22" t="str">
        <f t="shared" si="2"/>
        <v>Link to files</v>
      </c>
      <c r="G246" s="18" t="str">
        <f>IF(ISNA(VLOOKUP((ROW(G248)-15),'List of tables'!$A$4:$H$621,6,FALSE))," ",VLOOKUP((ROW(G248)-15),'List of tables'!$A$4:$H$621,6,FALSE))</f>
        <v>http://www.ninis2.nisra.gov.uk/public/SearchResults.aspx?sk=DC2414NI;</v>
      </c>
    </row>
    <row r="247" spans="1:7" ht="70" customHeight="1" x14ac:dyDescent="0.3">
      <c r="A247" s="23" t="str">
        <f>IF(ISNA(VLOOKUP((ROW(A249)-15),'List of tables'!$A$4:$H$621,2,FALSE))," ",VLOOKUP((ROW(A249)-15),'List of tables'!$A$4:$H$621,2,FALSE))</f>
        <v>DC2415NI</v>
      </c>
      <c r="B247" s="21" t="str">
        <f>IF(ISNA(VLOOKUP((ROW(B249)-15),'List of tables'!$A$4:$H$621,3,FALSE))," ",VLOOKUP((ROW(B249)-15),'List of tables'!$A$4:$H$621,3,FALSE))</f>
        <v>Tenure by Number of Cars or Vans by Religion or Religion Brought Up In of HRP</v>
      </c>
      <c r="C247" s="21" t="str">
        <f>IF(ISNA(VLOOKUP((ROW(H249)-15),'List of tables'!$A$4:$H$621,8,FALSE))," ",VLOOKUP((ROW(H249)-15),'List of tables'!$A$4:$H$621,8,FALSE))</f>
        <v>All Household Reference Persons (HRPs)</v>
      </c>
      <c r="D247" s="21" t="str">
        <f>IF(ISNA(VLOOKUP((ROW(D249)-15),'List of tables'!$A$4:$H$621,5,FALSE))," ",VLOOKUP((ROW(D249)-15),'List of tables'!$A$4:$H$621,5,FALSE))</f>
        <v>Local Government District, NUTS3, Education and Library Board, Health and Social Care Trust, Northern Ireland</v>
      </c>
      <c r="E247" s="22" t="str">
        <f t="shared" si="2"/>
        <v>Link to files</v>
      </c>
      <c r="G247" s="18" t="str">
        <f>IF(ISNA(VLOOKUP((ROW(G249)-15),'List of tables'!$A$4:$H$621,6,FALSE))," ",VLOOKUP((ROW(G249)-15),'List of tables'!$A$4:$H$621,6,FALSE))</f>
        <v>http://www.ninis2.nisra.gov.uk/public/SearchResults.aspx?sk=DC2415NI;</v>
      </c>
    </row>
    <row r="248" spans="1:7" ht="70" customHeight="1" x14ac:dyDescent="0.3">
      <c r="A248" s="23" t="str">
        <f>IF(ISNA(VLOOKUP((ROW(A250)-15),'List of tables'!$A$4:$H$621,2,FALSE))," ",VLOOKUP((ROW(A250)-15),'List of tables'!$A$4:$H$621,2,FALSE))</f>
        <v>DC2416NI</v>
      </c>
      <c r="B248" s="21" t="str">
        <f>IF(ISNA(VLOOKUP((ROW(B250)-15),'List of tables'!$A$4:$H$621,3,FALSE))," ",VLOOKUP((ROW(B250)-15),'List of tables'!$A$4:$H$621,3,FALSE))</f>
        <v>Tenure by Occupancy Rating (Rooms) by Religion</v>
      </c>
      <c r="C248" s="21" t="str">
        <f>IF(ISNA(VLOOKUP((ROW(H250)-15),'List of tables'!$A$4:$H$621,8,FALSE))," ",VLOOKUP((ROW(H250)-15),'List of tables'!$A$4:$H$621,8,FALSE))</f>
        <v>All usual residents in households</v>
      </c>
      <c r="D248" s="21" t="str">
        <f>IF(ISNA(VLOOKUP((ROW(D250)-15),'List of tables'!$A$4:$H$621,5,FALSE))," ",VLOOKUP((ROW(D250)-15),'List of tables'!$A$4:$H$621,5,FALSE))</f>
        <v>Super Output Area, Electoral Ward, Local Government District, Assembly Area, NUTS3, Education and Library Board, Health and Social Care Trust, Northern Ireland</v>
      </c>
      <c r="E248" s="22" t="str">
        <f t="shared" si="2"/>
        <v>Link to files</v>
      </c>
      <c r="G248" s="18" t="str">
        <f>IF(ISNA(VLOOKUP((ROW(G250)-15),'List of tables'!$A$4:$H$621,6,FALSE))," ",VLOOKUP((ROW(G250)-15),'List of tables'!$A$4:$H$621,6,FALSE))</f>
        <v>http://www.ninis2.nisra.gov.uk/public/SearchResults.aspx?sk=DC2416NI;</v>
      </c>
    </row>
    <row r="249" spans="1:7" ht="70" customHeight="1" x14ac:dyDescent="0.3">
      <c r="A249" s="23" t="str">
        <f>IF(ISNA(VLOOKUP((ROW(A251)-15),'List of tables'!$A$4:$H$621,2,FALSE))," ",VLOOKUP((ROW(A251)-15),'List of tables'!$A$4:$H$621,2,FALSE))</f>
        <v>DC2417NI</v>
      </c>
      <c r="B249" s="21" t="str">
        <f>IF(ISNA(VLOOKUP((ROW(B251)-15),'List of tables'!$A$4:$H$621,3,FALSE))," ",VLOOKUP((ROW(B251)-15),'List of tables'!$A$4:$H$621,3,FALSE))</f>
        <v>Tenure by Occupancy Rating (Rooms) by Religion or Religion Brought Up In</v>
      </c>
      <c r="C249" s="21" t="str">
        <f>IF(ISNA(VLOOKUP((ROW(H251)-15),'List of tables'!$A$4:$H$621,8,FALSE))," ",VLOOKUP((ROW(H251)-15),'List of tables'!$A$4:$H$621,8,FALSE))</f>
        <v>All usual residents in households</v>
      </c>
      <c r="D249" s="21" t="str">
        <f>IF(ISNA(VLOOKUP((ROW(D251)-15),'List of tables'!$A$4:$H$621,5,FALSE))," ",VLOOKUP((ROW(D251)-15),'List of tables'!$A$4:$H$621,5,FALSE))</f>
        <v>Super Output Area, Electoral Ward, Local Government District, Assembly Area, NUTS3, Education and Library Board, Health and Social Care Trust, Northern Ireland</v>
      </c>
      <c r="E249" s="22" t="str">
        <f t="shared" si="2"/>
        <v>Link to files</v>
      </c>
      <c r="G249" s="18" t="str">
        <f>IF(ISNA(VLOOKUP((ROW(G251)-15),'List of tables'!$A$4:$H$621,6,FALSE))," ",VLOOKUP((ROW(G251)-15),'List of tables'!$A$4:$H$621,6,FALSE))</f>
        <v>http://www.ninis2.nisra.gov.uk/public/SearchResults.aspx?sk=DC2417NI;</v>
      </c>
    </row>
    <row r="250" spans="1:7" ht="70" customHeight="1" x14ac:dyDescent="0.3">
      <c r="A250" s="23" t="str">
        <f>IF(ISNA(VLOOKUP((ROW(A252)-15),'List of tables'!$A$4:$H$621,2,FALSE))," ",VLOOKUP((ROW(A252)-15),'List of tables'!$A$4:$H$621,2,FALSE))</f>
        <v>DC2418NI</v>
      </c>
      <c r="B250" s="21" t="str">
        <f>IF(ISNA(VLOOKUP((ROW(B252)-15),'List of tables'!$A$4:$H$621,3,FALSE))," ",VLOOKUP((ROW(B252)-15),'List of tables'!$A$4:$H$621,3,FALSE))</f>
        <v>Tenure by Religion of HRP</v>
      </c>
      <c r="C250" s="21" t="str">
        <f>IF(ISNA(VLOOKUP((ROW(H252)-15),'List of tables'!$A$4:$H$621,8,FALSE))," ",VLOOKUP((ROW(H252)-15),'List of tables'!$A$4:$H$621,8,FALSE))</f>
        <v>All Household Reference Persons (HRPs)</v>
      </c>
      <c r="D250" s="21" t="str">
        <f>IF(ISNA(VLOOKUP((ROW(D252)-15),'List of tables'!$A$4:$H$621,5,FALSE))," ",VLOOKUP((ROW(D252)-15),'List of tables'!$A$4:$H$621,5,FALSE))</f>
        <v>Super Output Area, Electoral Ward, Local Government District, Assembly Area, NUTS3, Education and Library Board, Health and Social Care Trust, Northern Ireland</v>
      </c>
      <c r="E250" s="22" t="str">
        <f t="shared" si="2"/>
        <v>Link to files</v>
      </c>
      <c r="G250" s="18" t="str">
        <f>IF(ISNA(VLOOKUP((ROW(G252)-15),'List of tables'!$A$4:$H$621,6,FALSE))," ",VLOOKUP((ROW(G252)-15),'List of tables'!$A$4:$H$621,6,FALSE))</f>
        <v>http://www.ninis2.nisra.gov.uk/public/SearchResults.aspx?sk=DC2418NI;</v>
      </c>
    </row>
    <row r="251" spans="1:7" ht="70" customHeight="1" x14ac:dyDescent="0.3">
      <c r="A251" s="23" t="str">
        <f>IF(ISNA(VLOOKUP((ROW(A253)-15),'List of tables'!$A$4:$H$621,2,FALSE))," ",VLOOKUP((ROW(A253)-15),'List of tables'!$A$4:$H$621,2,FALSE))</f>
        <v>DC2419NI</v>
      </c>
      <c r="B251" s="21" t="str">
        <f>IF(ISNA(VLOOKUP((ROW(B253)-15),'List of tables'!$A$4:$H$621,3,FALSE))," ",VLOOKUP((ROW(B253)-15),'List of tables'!$A$4:$H$621,3,FALSE))</f>
        <v>Tenure by Religion or Religion Brought Up In of HRP</v>
      </c>
      <c r="C251" s="21" t="str">
        <f>IF(ISNA(VLOOKUP((ROW(H253)-15),'List of tables'!$A$4:$H$621,8,FALSE))," ",VLOOKUP((ROW(H253)-15),'List of tables'!$A$4:$H$621,8,FALSE))</f>
        <v>All Household Reference Persons (HRPs)</v>
      </c>
      <c r="D251" s="21" t="str">
        <f>IF(ISNA(VLOOKUP((ROW(D253)-15),'List of tables'!$A$4:$H$621,5,FALSE))," ",VLOOKUP((ROW(D253)-15),'List of tables'!$A$4:$H$621,5,FALSE))</f>
        <v>Super Output Area, Electoral Ward, Local Government District, Assembly Area, NUTS3, Education and Library Board, Health and Social Care Trust, Northern Ireland</v>
      </c>
      <c r="E251" s="22" t="str">
        <f t="shared" si="2"/>
        <v>Link to files</v>
      </c>
      <c r="G251" s="18" t="str">
        <f>IF(ISNA(VLOOKUP((ROW(G253)-15),'List of tables'!$A$4:$H$621,6,FALSE))," ",VLOOKUP((ROW(G253)-15),'List of tables'!$A$4:$H$621,6,FALSE))</f>
        <v>http://www.ninis2.nisra.gov.uk/public/SearchResults.aspx?sk=DC2419NI;</v>
      </c>
    </row>
    <row r="252" spans="1:7" ht="70" customHeight="1" x14ac:dyDescent="0.3">
      <c r="A252" s="23" t="str">
        <f>IF(ISNA(VLOOKUP((ROW(A254)-15),'List of tables'!$A$4:$H$621,2,FALSE))," ",VLOOKUP((ROW(A254)-15),'List of tables'!$A$4:$H$621,2,FALSE))</f>
        <v>DC2420NI</v>
      </c>
      <c r="B252" s="21" t="str">
        <f>IF(ISNA(VLOOKUP((ROW(B254)-15),'List of tables'!$A$4:$H$621,3,FALSE))," ",VLOOKUP((ROW(B254)-15),'List of tables'!$A$4:$H$621,3,FALSE))</f>
        <v>Household Size by Religion of HRP</v>
      </c>
      <c r="C252" s="21" t="str">
        <f>IF(ISNA(VLOOKUP((ROW(H254)-15),'List of tables'!$A$4:$H$621,8,FALSE))," ",VLOOKUP((ROW(H254)-15),'List of tables'!$A$4:$H$621,8,FALSE))</f>
        <v>All households</v>
      </c>
      <c r="D252" s="21" t="str">
        <f>IF(ISNA(VLOOKUP((ROW(D254)-15),'List of tables'!$A$4:$H$621,5,FALSE))," ",VLOOKUP((ROW(D254)-15),'List of tables'!$A$4:$H$621,5,FALSE))</f>
        <v>Super Output Area, Electoral Ward, Local Government District, Assembly Area, NUTS3, Education and Library Board, Health and Social Care Trust, Northern Ireland</v>
      </c>
      <c r="E252" s="22" t="str">
        <f t="shared" si="2"/>
        <v>Link to files</v>
      </c>
      <c r="G252" s="18" t="str">
        <f>IF(ISNA(VLOOKUP((ROW(G254)-15),'List of tables'!$A$4:$H$621,6,FALSE))," ",VLOOKUP((ROW(G254)-15),'List of tables'!$A$4:$H$621,6,FALSE))</f>
        <v>http://www.ninis2.nisra.gov.uk/public/SearchResults.aspx?sk=DC2420NI;</v>
      </c>
    </row>
    <row r="253" spans="1:7" ht="70" customHeight="1" x14ac:dyDescent="0.3">
      <c r="A253" s="23" t="str">
        <f>IF(ISNA(VLOOKUP((ROW(A255)-15),'List of tables'!$A$4:$H$621,2,FALSE))," ",VLOOKUP((ROW(A255)-15),'List of tables'!$A$4:$H$621,2,FALSE))</f>
        <v>DC2421NI</v>
      </c>
      <c r="B253" s="21" t="str">
        <f>IF(ISNA(VLOOKUP((ROW(B255)-15),'List of tables'!$A$4:$H$621,3,FALSE))," ",VLOOKUP((ROW(B255)-15),'List of tables'!$A$4:$H$621,3,FALSE))</f>
        <v>Household Size by Religion or Religion Brought Up In of HRP</v>
      </c>
      <c r="C253" s="21" t="str">
        <f>IF(ISNA(VLOOKUP((ROW(H255)-15),'List of tables'!$A$4:$H$621,8,FALSE))," ",VLOOKUP((ROW(H255)-15),'List of tables'!$A$4:$H$621,8,FALSE))</f>
        <v>All households</v>
      </c>
      <c r="D253" s="21" t="str">
        <f>IF(ISNA(VLOOKUP((ROW(D255)-15),'List of tables'!$A$4:$H$621,5,FALSE))," ",VLOOKUP((ROW(D255)-15),'List of tables'!$A$4:$H$621,5,FALSE))</f>
        <v>Super Output Area, Electoral Ward, Local Government District, Assembly Area, NUTS3, Education and Library Board, Health and Social Care Trust, Northern Ireland</v>
      </c>
      <c r="E253" s="22" t="str">
        <f t="shared" si="2"/>
        <v>Link to files</v>
      </c>
      <c r="G253" s="18" t="str">
        <f>IF(ISNA(VLOOKUP((ROW(G255)-15),'List of tables'!$A$4:$H$621,6,FALSE))," ",VLOOKUP((ROW(G255)-15),'List of tables'!$A$4:$H$621,6,FALSE))</f>
        <v>http://www.ninis2.nisra.gov.uk/public/SearchResults.aspx?sk=DC2421NI;</v>
      </c>
    </row>
    <row r="254" spans="1:7" ht="70" customHeight="1" x14ac:dyDescent="0.3">
      <c r="A254" s="23" t="str">
        <f>IF(ISNA(VLOOKUP((ROW(A256)-15),'List of tables'!$A$4:$H$621,2,FALSE))," ",VLOOKUP((ROW(A256)-15),'List of tables'!$A$4:$H$621,2,FALSE))</f>
        <v>DC2501NI</v>
      </c>
      <c r="B254" s="21" t="str">
        <f>IF(ISNA(VLOOKUP((ROW(B256)-15),'List of tables'!$A$4:$H$621,3,FALSE))," ",VLOOKUP((ROW(B256)-15),'List of tables'!$A$4:$H$621,3,FALSE))</f>
        <v>Highest Level of Qualification by Ethnic Group by Sex</v>
      </c>
      <c r="C254" s="21" t="str">
        <f>IF(ISNA(VLOOKUP((ROW(H256)-15),'List of tables'!$A$4:$H$621,8,FALSE))," ",VLOOKUP((ROW(H256)-15),'List of tables'!$A$4:$H$621,8,FALSE))</f>
        <v>All usual residents aged 16 and over</v>
      </c>
      <c r="D254" s="21" t="str">
        <f>IF(ISNA(VLOOKUP((ROW(D256)-15),'List of tables'!$A$4:$H$621,5,FALSE))," ",VLOOKUP((ROW(D256)-15),'List of tables'!$A$4:$H$621,5,FALSE))</f>
        <v>Northern Ireland</v>
      </c>
      <c r="E254" s="22" t="str">
        <f t="shared" si="2"/>
        <v>Link to files</v>
      </c>
      <c r="G254" s="18" t="str">
        <f>IF(ISNA(VLOOKUP((ROW(G256)-15),'List of tables'!$A$4:$H$621,6,FALSE))," ",VLOOKUP((ROW(G256)-15),'List of tables'!$A$4:$H$621,6,FALSE))</f>
        <v>http://www.ninis2.nisra.gov.uk/public/SearchResults.aspx?sk=DC2501NI;</v>
      </c>
    </row>
    <row r="255" spans="1:7" ht="70" customHeight="1" x14ac:dyDescent="0.3">
      <c r="A255" s="23" t="str">
        <f>IF(ISNA(VLOOKUP((ROW(A257)-15),'List of tables'!$A$4:$H$621,2,FALSE))," ",VLOOKUP((ROW(A257)-15),'List of tables'!$A$4:$H$621,2,FALSE))</f>
        <v>DC2502NI</v>
      </c>
      <c r="B255" s="21" t="str">
        <f>IF(ISNA(VLOOKUP((ROW(B257)-15),'List of tables'!$A$4:$H$621,3,FALSE))," ",VLOOKUP((ROW(B257)-15),'List of tables'!$A$4:$H$621,3,FALSE))</f>
        <v>Highest Level of Qualification by Ethnic Group by Age</v>
      </c>
      <c r="C255" s="21" t="str">
        <f>IF(ISNA(VLOOKUP((ROW(H257)-15),'List of tables'!$A$4:$H$621,8,FALSE))," ",VLOOKUP((ROW(H257)-15),'List of tables'!$A$4:$H$621,8,FALSE))</f>
        <v>All usual residents aged 16 and over</v>
      </c>
      <c r="D255" s="21" t="str">
        <f>IF(ISNA(VLOOKUP((ROW(D257)-15),'List of tables'!$A$4:$H$621,5,FALSE))," ",VLOOKUP((ROW(D257)-15),'List of tables'!$A$4:$H$621,5,FALSE))</f>
        <v>Northern Ireland</v>
      </c>
      <c r="E255" s="22" t="str">
        <f t="shared" si="2"/>
        <v>Link to files</v>
      </c>
      <c r="G255" s="18" t="str">
        <f>IF(ISNA(VLOOKUP((ROW(G257)-15),'List of tables'!$A$4:$H$621,6,FALSE))," ",VLOOKUP((ROW(G257)-15),'List of tables'!$A$4:$H$621,6,FALSE))</f>
        <v>http://www.ninis2.nisra.gov.uk/public/SearchResults.aspx?sk=DC2502NI;</v>
      </c>
    </row>
    <row r="256" spans="1:7" ht="70" customHeight="1" x14ac:dyDescent="0.3">
      <c r="A256" s="23" t="str">
        <f>IF(ISNA(VLOOKUP((ROW(A258)-15),'List of tables'!$A$4:$H$621,2,FALSE))," ",VLOOKUP((ROW(A258)-15),'List of tables'!$A$4:$H$621,2,FALSE))</f>
        <v>DC2503NI</v>
      </c>
      <c r="B256" s="21" t="str">
        <f>IF(ISNA(VLOOKUP((ROW(B258)-15),'List of tables'!$A$4:$H$621,3,FALSE))," ",VLOOKUP((ROW(B258)-15),'List of tables'!$A$4:$H$621,3,FALSE))</f>
        <v>Country of Birth by Highest Level of Qualification</v>
      </c>
      <c r="C256" s="21" t="str">
        <f>IF(ISNA(VLOOKUP((ROW(H258)-15),'List of tables'!$A$4:$H$621,8,FALSE))," ",VLOOKUP((ROW(H258)-15),'List of tables'!$A$4:$H$621,8,FALSE))</f>
        <v>All usual residents aged 16 and over</v>
      </c>
      <c r="D256" s="21" t="str">
        <f>IF(ISNA(VLOOKUP((ROW(D258)-15),'List of tables'!$A$4:$H$621,5,FALSE))," ",VLOOKUP((ROW(D258)-15),'List of tables'!$A$4:$H$621,5,FALSE))</f>
        <v>Super Output Area, Electoral Ward, Local Government District, Assembly Area, NUTS3, Education and Library Board, Health and Social Care Trust, Northern Ireland</v>
      </c>
      <c r="E256" s="22" t="str">
        <f t="shared" si="2"/>
        <v>Link to files</v>
      </c>
      <c r="G256" s="18" t="str">
        <f>IF(ISNA(VLOOKUP((ROW(G258)-15),'List of tables'!$A$4:$H$621,6,FALSE))," ",VLOOKUP((ROW(G258)-15),'List of tables'!$A$4:$H$621,6,FALSE))</f>
        <v>http://www.ninis2.nisra.gov.uk/public/SearchResults.aspx?sk=DC2503NI;</v>
      </c>
    </row>
    <row r="257" spans="1:7" ht="70" customHeight="1" x14ac:dyDescent="0.3">
      <c r="A257" s="23" t="str">
        <f>IF(ISNA(VLOOKUP((ROW(A259)-15),'List of tables'!$A$4:$H$621,2,FALSE))," ",VLOOKUP((ROW(A259)-15),'List of tables'!$A$4:$H$621,2,FALSE))</f>
        <v>DC2506NI</v>
      </c>
      <c r="B257" s="21" t="str">
        <f>IF(ISNA(VLOOKUP((ROW(B259)-15),'List of tables'!$A$4:$H$621,3,FALSE))," ",VLOOKUP((ROW(B259)-15),'List of tables'!$A$4:$H$621,3,FALSE))</f>
        <v>Highest Level of Qualification by Main Language</v>
      </c>
      <c r="C257" s="21" t="str">
        <f>IF(ISNA(VLOOKUP((ROW(H259)-15),'List of tables'!$A$4:$H$621,8,FALSE))," ",VLOOKUP((ROW(H259)-15),'List of tables'!$A$4:$H$621,8,FALSE))</f>
        <v>All usual residents aged 16 and over</v>
      </c>
      <c r="D257" s="21" t="str">
        <f>IF(ISNA(VLOOKUP((ROW(D259)-15),'List of tables'!$A$4:$H$621,5,FALSE))," ",VLOOKUP((ROW(D259)-15),'List of tables'!$A$4:$H$621,5,FALSE))</f>
        <v>Super Output Area, Electoral Ward, Local Government District, Assembly Area, NUTS3, Education and Library Board, Health and Social Care Trust, Northern Ireland</v>
      </c>
      <c r="E257" s="22" t="str">
        <f t="shared" si="2"/>
        <v>Link to files</v>
      </c>
      <c r="G257" s="18" t="str">
        <f>IF(ISNA(VLOOKUP((ROW(G259)-15),'List of tables'!$A$4:$H$621,6,FALSE))," ",VLOOKUP((ROW(G259)-15),'List of tables'!$A$4:$H$621,6,FALSE))</f>
        <v>http://www.ninis2.nisra.gov.uk/public/SearchResults.aspx?sk=DC2506NI;</v>
      </c>
    </row>
    <row r="258" spans="1:7" ht="70" customHeight="1" x14ac:dyDescent="0.3">
      <c r="A258" s="23" t="str">
        <f>IF(ISNA(VLOOKUP((ROW(A260)-15),'List of tables'!$A$4:$H$621,2,FALSE))," ",VLOOKUP((ROW(A260)-15),'List of tables'!$A$4:$H$621,2,FALSE))</f>
        <v>DC2507NI</v>
      </c>
      <c r="B258" s="21" t="str">
        <f>IF(ISNA(VLOOKUP((ROW(B260)-15),'List of tables'!$A$4:$H$621,3,FALSE))," ",VLOOKUP((ROW(B260)-15),'List of tables'!$A$4:$H$621,3,FALSE))</f>
        <v>Proficiency in English by Highest Level of Qualification by Age by Sex</v>
      </c>
      <c r="C258" s="21" t="str">
        <f>IF(ISNA(VLOOKUP((ROW(H260)-15),'List of tables'!$A$4:$H$621,8,FALSE))," ",VLOOKUP((ROW(H260)-15),'List of tables'!$A$4:$H$621,8,FALSE))</f>
        <v>All usual residents aged 16 and over</v>
      </c>
      <c r="D258" s="21" t="str">
        <f>IF(ISNA(VLOOKUP((ROW(D260)-15),'List of tables'!$A$4:$H$621,5,FALSE))," ",VLOOKUP((ROW(D260)-15),'List of tables'!$A$4:$H$621,5,FALSE))</f>
        <v>Northern Ireland</v>
      </c>
      <c r="E258" s="22" t="str">
        <f t="shared" si="2"/>
        <v>Link to files</v>
      </c>
      <c r="G258" s="18" t="str">
        <f>IF(ISNA(VLOOKUP((ROW(G260)-15),'List of tables'!$A$4:$H$621,6,FALSE))," ",VLOOKUP((ROW(G260)-15),'List of tables'!$A$4:$H$621,6,FALSE))</f>
        <v>http://www.ninis2.nisra.gov.uk/public/SearchResults.aspx?sk=DC2507NI;</v>
      </c>
    </row>
    <row r="259" spans="1:7" ht="70" customHeight="1" x14ac:dyDescent="0.3">
      <c r="A259" s="23" t="str">
        <f>IF(ISNA(VLOOKUP((ROW(A261)-15),'List of tables'!$A$4:$H$621,2,FALSE))," ",VLOOKUP((ROW(A261)-15),'List of tables'!$A$4:$H$621,2,FALSE))</f>
        <v>DC2508NI</v>
      </c>
      <c r="B259" s="21" t="str">
        <f>IF(ISNA(VLOOKUP((ROW(B261)-15),'List of tables'!$A$4:$H$621,3,FALSE))," ",VLOOKUP((ROW(B261)-15),'List of tables'!$A$4:$H$621,3,FALSE))</f>
        <v>Highest Level of Qualification by Religion by Sex</v>
      </c>
      <c r="C259" s="21" t="str">
        <f>IF(ISNA(VLOOKUP((ROW(H261)-15),'List of tables'!$A$4:$H$621,8,FALSE))," ",VLOOKUP((ROW(H261)-15),'List of tables'!$A$4:$H$621,8,FALSE))</f>
        <v>All usual residents aged 16 and over</v>
      </c>
      <c r="D259" s="21" t="str">
        <f>IF(ISNA(VLOOKUP((ROW(D261)-15),'List of tables'!$A$4:$H$621,5,FALSE))," ",VLOOKUP((ROW(D261)-15),'List of tables'!$A$4:$H$621,5,FALSE))</f>
        <v>Super Output Area, Electoral Ward, Local Government District, Assembly Area, NUTS3, Education and Library Board, Health and Social Care Trust, Northern Ireland</v>
      </c>
      <c r="E259" s="22" t="str">
        <f t="shared" si="2"/>
        <v>Link to files</v>
      </c>
      <c r="G259" s="18" t="str">
        <f>IF(ISNA(VLOOKUP((ROW(G261)-15),'List of tables'!$A$4:$H$621,6,FALSE))," ",VLOOKUP((ROW(G261)-15),'List of tables'!$A$4:$H$621,6,FALSE))</f>
        <v>http://www.ninis2.nisra.gov.uk/public/SearchResults.aspx?sk=DC2508NI;</v>
      </c>
    </row>
    <row r="260" spans="1:7" ht="70" customHeight="1" x14ac:dyDescent="0.3">
      <c r="A260" s="23" t="str">
        <f>IF(ISNA(VLOOKUP((ROW(A262)-15),'List of tables'!$A$4:$H$621,2,FALSE))," ",VLOOKUP((ROW(A262)-15),'List of tables'!$A$4:$H$621,2,FALSE))</f>
        <v>DC2509NI</v>
      </c>
      <c r="B260" s="21" t="str">
        <f>IF(ISNA(VLOOKUP((ROW(B262)-15),'List of tables'!$A$4:$H$621,3,FALSE))," ",VLOOKUP((ROW(B262)-15),'List of tables'!$A$4:$H$621,3,FALSE))</f>
        <v>Highest Level of Qualification by Religion or Religion Brought Up In by Sex</v>
      </c>
      <c r="C260" s="21" t="str">
        <f>IF(ISNA(VLOOKUP((ROW(H262)-15),'List of tables'!$A$4:$H$621,8,FALSE))," ",VLOOKUP((ROW(H262)-15),'List of tables'!$A$4:$H$621,8,FALSE))</f>
        <v>All usual residents aged 16 and over</v>
      </c>
      <c r="D260" s="21" t="str">
        <f>IF(ISNA(VLOOKUP((ROW(D262)-15),'List of tables'!$A$4:$H$621,5,FALSE))," ",VLOOKUP((ROW(D262)-15),'List of tables'!$A$4:$H$621,5,FALSE))</f>
        <v>Super Output Area, Electoral Ward, Local Government District, Assembly Area, NUTS3, Education and Library Board, Health and Social Care Trust, Northern Ireland</v>
      </c>
      <c r="E260" s="22" t="str">
        <f t="shared" si="2"/>
        <v>Link to files</v>
      </c>
      <c r="G260" s="18" t="str">
        <f>IF(ISNA(VLOOKUP((ROW(G262)-15),'List of tables'!$A$4:$H$621,6,FALSE))," ",VLOOKUP((ROW(G262)-15),'List of tables'!$A$4:$H$621,6,FALSE))</f>
        <v>http://www.ninis2.nisra.gov.uk/public/SearchResults.aspx?sk=DC2509NI;</v>
      </c>
    </row>
    <row r="261" spans="1:7" ht="70" customHeight="1" x14ac:dyDescent="0.3">
      <c r="A261" s="23" t="str">
        <f>IF(ISNA(VLOOKUP((ROW(A263)-15),'List of tables'!$A$4:$H$621,2,FALSE))," ",VLOOKUP((ROW(A263)-15),'List of tables'!$A$4:$H$621,2,FALSE))</f>
        <v>DC2510NI</v>
      </c>
      <c r="B261" s="21" t="str">
        <f>IF(ISNA(VLOOKUP((ROW(B263)-15),'List of tables'!$A$4:$H$621,3,FALSE))," ",VLOOKUP((ROW(B263)-15),'List of tables'!$A$4:$H$621,3,FALSE))</f>
        <v>Highest Level of Qualification by Religion by Age by Sex</v>
      </c>
      <c r="C261" s="21" t="str">
        <f>IF(ISNA(VLOOKUP((ROW(H263)-15),'List of tables'!$A$4:$H$621,8,FALSE))," ",VLOOKUP((ROW(H263)-15),'List of tables'!$A$4:$H$621,8,FALSE))</f>
        <v>All usual residents aged 16 and over</v>
      </c>
      <c r="D261" s="21" t="str">
        <f>IF(ISNA(VLOOKUP((ROW(D263)-15),'List of tables'!$A$4:$H$621,5,FALSE))," ",VLOOKUP((ROW(D263)-15),'List of tables'!$A$4:$H$621,5,FALSE))</f>
        <v>Northern Ireland</v>
      </c>
      <c r="E261" s="22" t="str">
        <f t="shared" si="2"/>
        <v>Link to files</v>
      </c>
      <c r="G261" s="18" t="str">
        <f>IF(ISNA(VLOOKUP((ROW(G263)-15),'List of tables'!$A$4:$H$621,6,FALSE))," ",VLOOKUP((ROW(G263)-15),'List of tables'!$A$4:$H$621,6,FALSE))</f>
        <v>http://www.ninis2.nisra.gov.uk/public/SearchResults.aspx?sk=DC2510NI;</v>
      </c>
    </row>
    <row r="262" spans="1:7" ht="70" customHeight="1" x14ac:dyDescent="0.3">
      <c r="A262" s="23" t="str">
        <f>IF(ISNA(VLOOKUP((ROW(A264)-15),'List of tables'!$A$4:$H$621,2,FALSE))," ",VLOOKUP((ROW(A264)-15),'List of tables'!$A$4:$H$621,2,FALSE))</f>
        <v>DC2511NI</v>
      </c>
      <c r="B262" s="21" t="str">
        <f>IF(ISNA(VLOOKUP((ROW(B264)-15),'List of tables'!$A$4:$H$621,3,FALSE))," ",VLOOKUP((ROW(B264)-15),'List of tables'!$A$4:$H$621,3,FALSE))</f>
        <v>Highest Level of Qualification by Religion or Religion Brought Up In by Age by Sex</v>
      </c>
      <c r="C262" s="21" t="str">
        <f>IF(ISNA(VLOOKUP((ROW(H264)-15),'List of tables'!$A$4:$H$621,8,FALSE))," ",VLOOKUP((ROW(H264)-15),'List of tables'!$A$4:$H$621,8,FALSE))</f>
        <v>All usual residents aged 16 and over</v>
      </c>
      <c r="D262" s="21" t="str">
        <f>IF(ISNA(VLOOKUP((ROW(D264)-15),'List of tables'!$A$4:$H$621,5,FALSE))," ",VLOOKUP((ROW(D264)-15),'List of tables'!$A$4:$H$621,5,FALSE))</f>
        <v>Northern Ireland</v>
      </c>
      <c r="E262" s="22" t="str">
        <f t="shared" si="2"/>
        <v>Link to files</v>
      </c>
      <c r="G262" s="18" t="str">
        <f>IF(ISNA(VLOOKUP((ROW(G264)-15),'List of tables'!$A$4:$H$621,6,FALSE))," ",VLOOKUP((ROW(G264)-15),'List of tables'!$A$4:$H$621,6,FALSE))</f>
        <v>http://www.ninis2.nisra.gov.uk/public/SearchResults.aspx?sk=DC2511NI;</v>
      </c>
    </row>
    <row r="263" spans="1:7" ht="70" customHeight="1" x14ac:dyDescent="0.3">
      <c r="A263" s="23" t="str">
        <f>IF(ISNA(VLOOKUP((ROW(A265)-15),'List of tables'!$A$4:$H$621,2,FALSE))," ",VLOOKUP((ROW(A265)-15),'List of tables'!$A$4:$H$621,2,FALSE))</f>
        <v>DC2601NI</v>
      </c>
      <c r="B263" s="21" t="str">
        <f>IF(ISNA(VLOOKUP((ROW(B265)-15),'List of tables'!$A$4:$H$621,3,FALSE))," ",VLOOKUP((ROW(B265)-15),'List of tables'!$A$4:$H$621,3,FALSE))</f>
        <v>Economic Activity by Ethnic Group by Age by Sex</v>
      </c>
      <c r="C263" s="21" t="str">
        <f>IF(ISNA(VLOOKUP((ROW(H265)-15),'List of tables'!$A$4:$H$621,8,FALSE))," ",VLOOKUP((ROW(H265)-15),'List of tables'!$A$4:$H$621,8,FALSE))</f>
        <v>All usual residents aged 16 to 74</v>
      </c>
      <c r="D263" s="21" t="str">
        <f>IF(ISNA(VLOOKUP((ROW(D265)-15),'List of tables'!$A$4:$H$621,5,FALSE))," ",VLOOKUP((ROW(D265)-15),'List of tables'!$A$4:$H$621,5,FALSE))</f>
        <v>Northern Ireland</v>
      </c>
      <c r="E263" s="22" t="str">
        <f t="shared" si="2"/>
        <v>Link to files</v>
      </c>
      <c r="G263" s="18" t="str">
        <f>IF(ISNA(VLOOKUP((ROW(G265)-15),'List of tables'!$A$4:$H$621,6,FALSE))," ",VLOOKUP((ROW(G265)-15),'List of tables'!$A$4:$H$621,6,FALSE))</f>
        <v>http://www.ninis2.nisra.gov.uk/public/SearchResults.aspx?sk=DC2601NI;</v>
      </c>
    </row>
    <row r="264" spans="1:7" ht="70" customHeight="1" x14ac:dyDescent="0.3">
      <c r="A264" s="23" t="str">
        <f>IF(ISNA(VLOOKUP((ROW(A266)-15),'List of tables'!$A$4:$H$621,2,FALSE))," ",VLOOKUP((ROW(A266)-15),'List of tables'!$A$4:$H$621,2,FALSE))</f>
        <v>DC2603NI</v>
      </c>
      <c r="B264" s="21" t="str">
        <f>IF(ISNA(VLOOKUP((ROW(B266)-15),'List of tables'!$A$4:$H$621,3,FALSE))," ",VLOOKUP((ROW(B266)-15),'List of tables'!$A$4:$H$621,3,FALSE))</f>
        <v>Occupation by Ethnic Group by Sex</v>
      </c>
      <c r="C264" s="21" t="str">
        <f>IF(ISNA(VLOOKUP((ROW(H266)-15),'List of tables'!$A$4:$H$621,8,FALSE))," ",VLOOKUP((ROW(H266)-15),'List of tables'!$A$4:$H$621,8,FALSE))</f>
        <v xml:space="preserve">All usual residents aged 16 to 74 in employment </v>
      </c>
      <c r="D264" s="21" t="str">
        <f>IF(ISNA(VLOOKUP((ROW(D266)-15),'List of tables'!$A$4:$H$621,5,FALSE))," ",VLOOKUP((ROW(D266)-15),'List of tables'!$A$4:$H$621,5,FALSE))</f>
        <v>Northern Ireland</v>
      </c>
      <c r="E264" s="22" t="str">
        <f t="shared" si="2"/>
        <v>Link to files</v>
      </c>
      <c r="G264" s="18" t="str">
        <f>IF(ISNA(VLOOKUP((ROW(G266)-15),'List of tables'!$A$4:$H$621,6,FALSE))," ",VLOOKUP((ROW(G266)-15),'List of tables'!$A$4:$H$621,6,FALSE))</f>
        <v>http://www.ninis2.nisra.gov.uk/public/SearchResults.aspx?sk=DC2603NI;</v>
      </c>
    </row>
    <row r="265" spans="1:7" ht="70" customHeight="1" x14ac:dyDescent="0.3">
      <c r="A265" s="23" t="str">
        <f>IF(ISNA(VLOOKUP((ROW(A267)-15),'List of tables'!$A$4:$H$621,2,FALSE))," ",VLOOKUP((ROW(A267)-15),'List of tables'!$A$4:$H$621,2,FALSE))</f>
        <v>DC2604NI</v>
      </c>
      <c r="B265" s="21" t="str">
        <f>IF(ISNA(VLOOKUP((ROW(B267)-15),'List of tables'!$A$4:$H$621,3,FALSE))," ",VLOOKUP((ROW(B267)-15),'List of tables'!$A$4:$H$621,3,FALSE))</f>
        <v>Industry by Ethnic Group by Sex</v>
      </c>
      <c r="C265" s="21" t="str">
        <f>IF(ISNA(VLOOKUP((ROW(H267)-15),'List of tables'!$A$4:$H$621,8,FALSE))," ",VLOOKUP((ROW(H267)-15),'List of tables'!$A$4:$H$621,8,FALSE))</f>
        <v xml:space="preserve">All usual residents aged 16 to 74 in employment </v>
      </c>
      <c r="D265" s="21" t="str">
        <f>IF(ISNA(VLOOKUP((ROW(D267)-15),'List of tables'!$A$4:$H$621,5,FALSE))," ",VLOOKUP((ROW(D267)-15),'List of tables'!$A$4:$H$621,5,FALSE))</f>
        <v>Northern Ireland</v>
      </c>
      <c r="E265" s="22" t="str">
        <f t="shared" si="2"/>
        <v>Link to files</v>
      </c>
      <c r="G265" s="18" t="str">
        <f>IF(ISNA(VLOOKUP((ROW(G267)-15),'List of tables'!$A$4:$H$621,6,FALSE))," ",VLOOKUP((ROW(G267)-15),'List of tables'!$A$4:$H$621,6,FALSE))</f>
        <v>http://www.ninis2.nisra.gov.uk/public/SearchResults.aspx?sk=DC2604NI;</v>
      </c>
    </row>
    <row r="266" spans="1:7" ht="70" customHeight="1" x14ac:dyDescent="0.3">
      <c r="A266" s="23" t="str">
        <f>IF(ISNA(VLOOKUP((ROW(A268)-15),'List of tables'!$A$4:$H$621,2,FALSE))," ",VLOOKUP((ROW(A268)-15),'List of tables'!$A$4:$H$621,2,FALSE))</f>
        <v>DC2605NI</v>
      </c>
      <c r="B266" s="21" t="str">
        <f>IF(ISNA(VLOOKUP((ROW(B268)-15),'List of tables'!$A$4:$H$621,3,FALSE))," ",VLOOKUP((ROW(B268)-15),'List of tables'!$A$4:$H$621,3,FALSE))</f>
        <v>NS-SeC by Ethnic Group by Sex</v>
      </c>
      <c r="C266" s="21" t="str">
        <f>IF(ISNA(VLOOKUP((ROW(H268)-15),'List of tables'!$A$4:$H$621,8,FALSE))," ",VLOOKUP((ROW(H268)-15),'List of tables'!$A$4:$H$621,8,FALSE))</f>
        <v>All usual residents aged 16 to 74</v>
      </c>
      <c r="D266" s="21" t="str">
        <f>IF(ISNA(VLOOKUP((ROW(D268)-15),'List of tables'!$A$4:$H$621,5,FALSE))," ",VLOOKUP((ROW(D268)-15),'List of tables'!$A$4:$H$621,5,FALSE))</f>
        <v>Northern Ireland</v>
      </c>
      <c r="E266" s="22" t="str">
        <f t="shared" si="2"/>
        <v>Link to files</v>
      </c>
      <c r="G266" s="18" t="str">
        <f>IF(ISNA(VLOOKUP((ROW(G268)-15),'List of tables'!$A$4:$H$621,6,FALSE))," ",VLOOKUP((ROW(G268)-15),'List of tables'!$A$4:$H$621,6,FALSE))</f>
        <v>http://www.ninis2.nisra.gov.uk/public/SearchResults.aspx?sk=DC2605NI;</v>
      </c>
    </row>
    <row r="267" spans="1:7" ht="70" customHeight="1" x14ac:dyDescent="0.3">
      <c r="A267" s="23" t="str">
        <f>IF(ISNA(VLOOKUP((ROW(A269)-15),'List of tables'!$A$4:$H$621,2,FALSE))," ",VLOOKUP((ROW(A269)-15),'List of tables'!$A$4:$H$621,2,FALSE))</f>
        <v>DC2606NI</v>
      </c>
      <c r="B267" s="21" t="str">
        <f>IF(ISNA(VLOOKUP((ROW(B269)-15),'List of tables'!$A$4:$H$621,3,FALSE))," ",VLOOKUP((ROW(B269)-15),'List of tables'!$A$4:$H$621,3,FALSE))</f>
        <v>Economic Activity by Country of Birth by Age by Sex</v>
      </c>
      <c r="C267" s="21" t="str">
        <f>IF(ISNA(VLOOKUP((ROW(H269)-15),'List of tables'!$A$4:$H$621,8,FALSE))," ",VLOOKUP((ROW(H269)-15),'List of tables'!$A$4:$H$621,8,FALSE))</f>
        <v>All usual residents aged 16 to 74</v>
      </c>
      <c r="D267" s="21" t="str">
        <f>IF(ISNA(VLOOKUP((ROW(D269)-15),'List of tables'!$A$4:$H$621,5,FALSE))," ",VLOOKUP((ROW(D269)-15),'List of tables'!$A$4:$H$621,5,FALSE))</f>
        <v>Northern Ireland</v>
      </c>
      <c r="E267" s="22" t="str">
        <f t="shared" si="2"/>
        <v>Link to files</v>
      </c>
      <c r="G267" s="18" t="str">
        <f>IF(ISNA(VLOOKUP((ROW(G269)-15),'List of tables'!$A$4:$H$621,6,FALSE))," ",VLOOKUP((ROW(G269)-15),'List of tables'!$A$4:$H$621,6,FALSE))</f>
        <v>http://www.ninis2.nisra.gov.uk/public/SearchResults.aspx?sk=DC2606NI;</v>
      </c>
    </row>
    <row r="268" spans="1:7" ht="70" customHeight="1" x14ac:dyDescent="0.3">
      <c r="A268" s="23" t="str">
        <f>IF(ISNA(VLOOKUP((ROW(A270)-15),'List of tables'!$A$4:$H$621,2,FALSE))," ",VLOOKUP((ROW(A270)-15),'List of tables'!$A$4:$H$621,2,FALSE))</f>
        <v>DC2607NI</v>
      </c>
      <c r="B268" s="21" t="str">
        <f>IF(ISNA(VLOOKUP((ROW(B270)-15),'List of tables'!$A$4:$H$621,3,FALSE))," ",VLOOKUP((ROW(B270)-15),'List of tables'!$A$4:$H$621,3,FALSE))</f>
        <v>Occupation by Country of Birth by Sex</v>
      </c>
      <c r="C268" s="21" t="str">
        <f>IF(ISNA(VLOOKUP((ROW(H270)-15),'List of tables'!$A$4:$H$621,8,FALSE))," ",VLOOKUP((ROW(H270)-15),'List of tables'!$A$4:$H$621,8,FALSE))</f>
        <v>All usual residents aged 16 to 74</v>
      </c>
      <c r="D268" s="21" t="str">
        <f>IF(ISNA(VLOOKUP((ROW(D270)-15),'List of tables'!$A$4:$H$621,5,FALSE))," ",VLOOKUP((ROW(D270)-15),'List of tables'!$A$4:$H$621,5,FALSE))</f>
        <v>Northern Ireland</v>
      </c>
      <c r="E268" s="22" t="str">
        <f t="shared" si="2"/>
        <v>Link to files</v>
      </c>
      <c r="G268" s="18" t="str">
        <f>IF(ISNA(VLOOKUP((ROW(G270)-15),'List of tables'!$A$4:$H$621,6,FALSE))," ",VLOOKUP((ROW(G270)-15),'List of tables'!$A$4:$H$621,6,FALSE))</f>
        <v>http://www.ninis2.nisra.gov.uk/public/SearchResults.aspx?sk=DC2607NI;</v>
      </c>
    </row>
    <row r="269" spans="1:7" ht="70" customHeight="1" x14ac:dyDescent="0.3">
      <c r="A269" s="23" t="str">
        <f>IF(ISNA(VLOOKUP((ROW(A271)-15),'List of tables'!$A$4:$H$621,2,FALSE))," ",VLOOKUP((ROW(A271)-15),'List of tables'!$A$4:$H$621,2,FALSE))</f>
        <v>DC2608NI</v>
      </c>
      <c r="B269" s="21" t="str">
        <f>IF(ISNA(VLOOKUP((ROW(B271)-15),'List of tables'!$A$4:$H$621,3,FALSE))," ",VLOOKUP((ROW(B271)-15),'List of tables'!$A$4:$H$621,3,FALSE))</f>
        <v>Industry by Country of Birth by Sex</v>
      </c>
      <c r="C269" s="21" t="str">
        <f>IF(ISNA(VLOOKUP((ROW(H271)-15),'List of tables'!$A$4:$H$621,8,FALSE))," ",VLOOKUP((ROW(H271)-15),'List of tables'!$A$4:$H$621,8,FALSE))</f>
        <v>All usual residents aged 16 to 74</v>
      </c>
      <c r="D269" s="21" t="str">
        <f>IF(ISNA(VLOOKUP((ROW(D271)-15),'List of tables'!$A$4:$H$621,5,FALSE))," ",VLOOKUP((ROW(D271)-15),'List of tables'!$A$4:$H$621,5,FALSE))</f>
        <v>Northern Ireland</v>
      </c>
      <c r="E269" s="22" t="str">
        <f t="shared" si="2"/>
        <v>Link to files</v>
      </c>
      <c r="G269" s="18" t="str">
        <f>IF(ISNA(VLOOKUP((ROW(G271)-15),'List of tables'!$A$4:$H$621,6,FALSE))," ",VLOOKUP((ROW(G271)-15),'List of tables'!$A$4:$H$621,6,FALSE))</f>
        <v>http://www.ninis2.nisra.gov.uk/public/SearchResults.aspx?sk=DC2608NI;</v>
      </c>
    </row>
    <row r="270" spans="1:7" ht="70" customHeight="1" x14ac:dyDescent="0.3">
      <c r="A270" s="23" t="str">
        <f>IF(ISNA(VLOOKUP((ROW(A272)-15),'List of tables'!$A$4:$H$621,2,FALSE))," ",VLOOKUP((ROW(A272)-15),'List of tables'!$A$4:$H$621,2,FALSE))</f>
        <v>DC2611NI</v>
      </c>
      <c r="B270" s="21" t="str">
        <f>IF(ISNA(VLOOKUP((ROW(B272)-15),'List of tables'!$A$4:$H$621,3,FALSE))," ",VLOOKUP((ROW(B272)-15),'List of tables'!$A$4:$H$621,3,FALSE))</f>
        <v>Proficiency in English by Industry by Employment Status by Hours Worked</v>
      </c>
      <c r="C270" s="21" t="str">
        <f>IF(ISNA(VLOOKUP((ROW(H272)-15),'List of tables'!$A$4:$H$621,8,FALSE))," ",VLOOKUP((ROW(H272)-15),'List of tables'!$A$4:$H$621,8,FALSE))</f>
        <v>All usual residents aged 16 to 74 in employment</v>
      </c>
      <c r="D270" s="21" t="str">
        <f>IF(ISNA(VLOOKUP((ROW(D272)-15),'List of tables'!$A$4:$H$621,5,FALSE))," ",VLOOKUP((ROW(D272)-15),'List of tables'!$A$4:$H$621,5,FALSE))</f>
        <v>Northern Ireland</v>
      </c>
      <c r="E270" s="22" t="str">
        <f t="shared" si="2"/>
        <v>Link to files</v>
      </c>
      <c r="G270" s="18" t="str">
        <f>IF(ISNA(VLOOKUP((ROW(G272)-15),'List of tables'!$A$4:$H$621,6,FALSE))," ",VLOOKUP((ROW(G272)-15),'List of tables'!$A$4:$H$621,6,FALSE))</f>
        <v>http://www.ninis2.nisra.gov.uk/public/SearchResults.aspx?sk=DC2611NI;</v>
      </c>
    </row>
    <row r="271" spans="1:7" ht="70" customHeight="1" x14ac:dyDescent="0.3">
      <c r="A271" s="23" t="str">
        <f>IF(ISNA(VLOOKUP((ROW(A273)-15),'List of tables'!$A$4:$H$621,2,FALSE))," ",VLOOKUP((ROW(A273)-15),'List of tables'!$A$4:$H$621,2,FALSE))</f>
        <v>DC2612NI</v>
      </c>
      <c r="B271" s="21" t="str">
        <f>IF(ISNA(VLOOKUP((ROW(B273)-15),'List of tables'!$A$4:$H$621,3,FALSE))," ",VLOOKUP((ROW(B273)-15),'List of tables'!$A$4:$H$621,3,FALSE))</f>
        <v>Economic Activity by Main Language</v>
      </c>
      <c r="C271" s="21" t="str">
        <f>IF(ISNA(VLOOKUP((ROW(H273)-15),'List of tables'!$A$4:$H$621,8,FALSE))," ",VLOOKUP((ROW(H273)-15),'List of tables'!$A$4:$H$621,8,FALSE))</f>
        <v>All usual residents aged 16 to 74</v>
      </c>
      <c r="D271" s="21" t="str">
        <f>IF(ISNA(VLOOKUP((ROW(D273)-15),'List of tables'!$A$4:$H$621,5,FALSE))," ",VLOOKUP((ROW(D273)-15),'List of tables'!$A$4:$H$621,5,FALSE))</f>
        <v>Super Output Area, Electoral Ward, Local Government District, Assembly Area, NUTS3, Education and Library Board, Health and Social Care Trust, Northern Ireland</v>
      </c>
      <c r="E271" s="22" t="str">
        <f t="shared" ref="E271:E334" si="3">IF(LEN(G271)&lt;10,"",HYPERLINK(G271,"Link to files"))</f>
        <v>Link to files</v>
      </c>
      <c r="G271" s="18" t="str">
        <f>IF(ISNA(VLOOKUP((ROW(G273)-15),'List of tables'!$A$4:$H$621,6,FALSE))," ",VLOOKUP((ROW(G273)-15),'List of tables'!$A$4:$H$621,6,FALSE))</f>
        <v>http://www.ninis2.nisra.gov.uk/public/SearchResults.aspx?sk=DC2612NI;</v>
      </c>
    </row>
    <row r="272" spans="1:7" ht="70" customHeight="1" x14ac:dyDescent="0.3">
      <c r="A272" s="23" t="str">
        <f>IF(ISNA(VLOOKUP((ROW(A274)-15),'List of tables'!$A$4:$H$621,2,FALSE))," ",VLOOKUP((ROW(A274)-15),'List of tables'!$A$4:$H$621,2,FALSE))</f>
        <v>DC2613NI</v>
      </c>
      <c r="B272" s="21" t="str">
        <f>IF(ISNA(VLOOKUP((ROW(B274)-15),'List of tables'!$A$4:$H$621,3,FALSE))," ",VLOOKUP((ROW(B274)-15),'List of tables'!$A$4:$H$621,3,FALSE))</f>
        <v>Occupation by Proficiency in English by Sex</v>
      </c>
      <c r="C272" s="21" t="str">
        <f>IF(ISNA(VLOOKUP((ROW(H274)-15),'List of tables'!$A$4:$H$621,8,FALSE))," ",VLOOKUP((ROW(H274)-15),'List of tables'!$A$4:$H$621,8,FALSE))</f>
        <v>All usual residents aged 16 to 74 in employment</v>
      </c>
      <c r="D272" s="21" t="str">
        <f>IF(ISNA(VLOOKUP((ROW(D274)-15),'List of tables'!$A$4:$H$621,5,FALSE))," ",VLOOKUP((ROW(D274)-15),'List of tables'!$A$4:$H$621,5,FALSE))</f>
        <v>Local Government District, NUTS3, Education and Library Board, Health and Social Care Trust, Northern Ireland</v>
      </c>
      <c r="E272" s="22" t="str">
        <f t="shared" si="3"/>
        <v>Link to files</v>
      </c>
      <c r="G272" s="18" t="str">
        <f>IF(ISNA(VLOOKUP((ROW(G274)-15),'List of tables'!$A$4:$H$621,6,FALSE))," ",VLOOKUP((ROW(G274)-15),'List of tables'!$A$4:$H$621,6,FALSE))</f>
        <v>http://www.ninis2.nisra.gov.uk/public/SearchResults.aspx?sk=DC2613NI;</v>
      </c>
    </row>
    <row r="273" spans="1:7" ht="70" customHeight="1" x14ac:dyDescent="0.3">
      <c r="A273" s="23" t="str">
        <f>IF(ISNA(VLOOKUP((ROW(A275)-15),'List of tables'!$A$4:$H$621,2,FALSE))," ",VLOOKUP((ROW(A275)-15),'List of tables'!$A$4:$H$621,2,FALSE))</f>
        <v>DC2614NI</v>
      </c>
      <c r="B273" s="21" t="str">
        <f>IF(ISNA(VLOOKUP((ROW(B275)-15),'List of tables'!$A$4:$H$621,3,FALSE))," ",VLOOKUP((ROW(B275)-15),'List of tables'!$A$4:$H$621,3,FALSE))</f>
        <v>Economic Activity by Religion by Sex</v>
      </c>
      <c r="C273" s="21" t="str">
        <f>IF(ISNA(VLOOKUP((ROW(H275)-15),'List of tables'!$A$4:$H$621,8,FALSE))," ",VLOOKUP((ROW(H275)-15),'List of tables'!$A$4:$H$621,8,FALSE))</f>
        <v>All usual residents aged 16 to 74</v>
      </c>
      <c r="D273" s="21" t="str">
        <f>IF(ISNA(VLOOKUP((ROW(D275)-15),'List of tables'!$A$4:$H$621,5,FALSE))," ",VLOOKUP((ROW(D275)-15),'List of tables'!$A$4:$H$621,5,FALSE))</f>
        <v>Super Output Area, Electoral Ward, Local Government District, Assembly Area, NUTS3, Education and Library Board, Health and Social Care Trust, Northern Ireland</v>
      </c>
      <c r="E273" s="22" t="str">
        <f t="shared" si="3"/>
        <v>Link to files</v>
      </c>
      <c r="G273" s="18" t="str">
        <f>IF(ISNA(VLOOKUP((ROW(G275)-15),'List of tables'!$A$4:$H$621,6,FALSE))," ",VLOOKUP((ROW(G275)-15),'List of tables'!$A$4:$H$621,6,FALSE))</f>
        <v>http://www.ninis2.nisra.gov.uk/public/SearchResults.aspx?sk=DC2614NI;</v>
      </c>
    </row>
    <row r="274" spans="1:7" ht="70" customHeight="1" x14ac:dyDescent="0.3">
      <c r="A274" s="23" t="str">
        <f>IF(ISNA(VLOOKUP((ROW(A276)-15),'List of tables'!$A$4:$H$621,2,FALSE))," ",VLOOKUP((ROW(A276)-15),'List of tables'!$A$4:$H$621,2,FALSE))</f>
        <v>DC2615NI</v>
      </c>
      <c r="B274" s="21" t="str">
        <f>IF(ISNA(VLOOKUP((ROW(B276)-15),'List of tables'!$A$4:$H$621,3,FALSE))," ",VLOOKUP((ROW(B276)-15),'List of tables'!$A$4:$H$621,3,FALSE))</f>
        <v>Economic Activity by Religion or Religion Brought Up In by Sex</v>
      </c>
      <c r="C274" s="21" t="str">
        <f>IF(ISNA(VLOOKUP((ROW(H276)-15),'List of tables'!$A$4:$H$621,8,FALSE))," ",VLOOKUP((ROW(H276)-15),'List of tables'!$A$4:$H$621,8,FALSE))</f>
        <v>All usual residents aged 16 to 74</v>
      </c>
      <c r="D274" s="21" t="str">
        <f>IF(ISNA(VLOOKUP((ROW(D276)-15),'List of tables'!$A$4:$H$621,5,FALSE))," ",VLOOKUP((ROW(D276)-15),'List of tables'!$A$4:$H$621,5,FALSE))</f>
        <v>Super Output Area, Electoral Ward, Local Government District, Assembly Area, NUTS3, Education and Library Board, Health and Social Care Trust, Northern Ireland</v>
      </c>
      <c r="E274" s="22" t="str">
        <f t="shared" si="3"/>
        <v>Link to files</v>
      </c>
      <c r="G274" s="18" t="str">
        <f>IF(ISNA(VLOOKUP((ROW(G276)-15),'List of tables'!$A$4:$H$621,6,FALSE))," ",VLOOKUP((ROW(G276)-15),'List of tables'!$A$4:$H$621,6,FALSE))</f>
        <v>http://www.ninis2.nisra.gov.uk/public/SearchResults.aspx?sk=DC2615NI;</v>
      </c>
    </row>
    <row r="275" spans="1:7" ht="70" customHeight="1" x14ac:dyDescent="0.3">
      <c r="A275" s="23" t="str">
        <f>IF(ISNA(VLOOKUP((ROW(A277)-15),'List of tables'!$A$4:$H$621,2,FALSE))," ",VLOOKUP((ROW(A277)-15),'List of tables'!$A$4:$H$621,2,FALSE))</f>
        <v>DC2616NI</v>
      </c>
      <c r="B275" s="21" t="str">
        <f>IF(ISNA(VLOOKUP((ROW(B277)-15),'List of tables'!$A$4:$H$621,3,FALSE))," ",VLOOKUP((ROW(B277)-15),'List of tables'!$A$4:$H$621,3,FALSE))</f>
        <v>Economic Activity by Religion by Age by Sex</v>
      </c>
      <c r="C275" s="21" t="str">
        <f>IF(ISNA(VLOOKUP((ROW(H277)-15),'List of tables'!$A$4:$H$621,8,FALSE))," ",VLOOKUP((ROW(H277)-15),'List of tables'!$A$4:$H$621,8,FALSE))</f>
        <v>All usual residents aged 16 to 74</v>
      </c>
      <c r="D275" s="21" t="str">
        <f>IF(ISNA(VLOOKUP((ROW(D277)-15),'List of tables'!$A$4:$H$621,5,FALSE))," ",VLOOKUP((ROW(D277)-15),'List of tables'!$A$4:$H$621,5,FALSE))</f>
        <v>Northern Ireland</v>
      </c>
      <c r="E275" s="22" t="str">
        <f t="shared" si="3"/>
        <v>Link to files</v>
      </c>
      <c r="G275" s="18" t="str">
        <f>IF(ISNA(VLOOKUP((ROW(G277)-15),'List of tables'!$A$4:$H$621,6,FALSE))," ",VLOOKUP((ROW(G277)-15),'List of tables'!$A$4:$H$621,6,FALSE))</f>
        <v>http://www.ninis2.nisra.gov.uk/public/SearchResults.aspx?sk=DC2616NI;</v>
      </c>
    </row>
    <row r="276" spans="1:7" ht="70" customHeight="1" x14ac:dyDescent="0.3">
      <c r="A276" s="23" t="str">
        <f>IF(ISNA(VLOOKUP((ROW(A278)-15),'List of tables'!$A$4:$H$621,2,FALSE))," ",VLOOKUP((ROW(A278)-15),'List of tables'!$A$4:$H$621,2,FALSE))</f>
        <v>DC2617NI</v>
      </c>
      <c r="B276" s="21" t="str">
        <f>IF(ISNA(VLOOKUP((ROW(B278)-15),'List of tables'!$A$4:$H$621,3,FALSE))," ",VLOOKUP((ROW(B278)-15),'List of tables'!$A$4:$H$621,3,FALSE))</f>
        <v>Economic Activity by Religion or Religion Brought Up In by Age by Sex</v>
      </c>
      <c r="C276" s="21" t="str">
        <f>IF(ISNA(VLOOKUP((ROW(H278)-15),'List of tables'!$A$4:$H$621,8,FALSE))," ",VLOOKUP((ROW(H278)-15),'List of tables'!$A$4:$H$621,8,FALSE))</f>
        <v>All usual residents aged 16 to 74</v>
      </c>
      <c r="D276" s="21" t="str">
        <f>IF(ISNA(VLOOKUP((ROW(D278)-15),'List of tables'!$A$4:$H$621,5,FALSE))," ",VLOOKUP((ROW(D278)-15),'List of tables'!$A$4:$H$621,5,FALSE))</f>
        <v>Northern Ireland</v>
      </c>
      <c r="E276" s="22" t="str">
        <f t="shared" si="3"/>
        <v>Link to files</v>
      </c>
      <c r="G276" s="18" t="str">
        <f>IF(ISNA(VLOOKUP((ROW(G278)-15),'List of tables'!$A$4:$H$621,6,FALSE))," ",VLOOKUP((ROW(G278)-15),'List of tables'!$A$4:$H$621,6,FALSE))</f>
        <v>http://www.ninis2.nisra.gov.uk/public/SearchResults.aspx?sk=DC2617NI;</v>
      </c>
    </row>
    <row r="277" spans="1:7" ht="70" customHeight="1" x14ac:dyDescent="0.3">
      <c r="A277" s="23" t="str">
        <f>IF(ISNA(VLOOKUP((ROW(A279)-15),'List of tables'!$A$4:$H$621,2,FALSE))," ",VLOOKUP((ROW(A279)-15),'List of tables'!$A$4:$H$621,2,FALSE))</f>
        <v>DC2618NI</v>
      </c>
      <c r="B277" s="21" t="str">
        <f>IF(ISNA(VLOOKUP((ROW(B279)-15),'List of tables'!$A$4:$H$621,3,FALSE))," ",VLOOKUP((ROW(B279)-15),'List of tables'!$A$4:$H$621,3,FALSE))</f>
        <v>Occupation by Religion by Sex</v>
      </c>
      <c r="C277" s="21" t="str">
        <f>IF(ISNA(VLOOKUP((ROW(H279)-15),'List of tables'!$A$4:$H$621,8,FALSE))," ",VLOOKUP((ROW(H279)-15),'List of tables'!$A$4:$H$621,8,FALSE))</f>
        <v xml:space="preserve">All usual residents aged 16 to 74 in employment </v>
      </c>
      <c r="D277" s="21" t="str">
        <f>IF(ISNA(VLOOKUP((ROW(D279)-15),'List of tables'!$A$4:$H$621,5,FALSE))," ",VLOOKUP((ROW(D279)-15),'List of tables'!$A$4:$H$621,5,FALSE))</f>
        <v>Local Government District, NUTS3, Education and Library Board, Health and Social Care Trust, Northern Ireland</v>
      </c>
      <c r="E277" s="22" t="str">
        <f t="shared" si="3"/>
        <v>Link to files</v>
      </c>
      <c r="G277" s="18" t="str">
        <f>IF(ISNA(VLOOKUP((ROW(G279)-15),'List of tables'!$A$4:$H$621,6,FALSE))," ",VLOOKUP((ROW(G279)-15),'List of tables'!$A$4:$H$621,6,FALSE))</f>
        <v>http://www.ninis2.nisra.gov.uk/public/SearchResults.aspx?sk=DC2618NI;</v>
      </c>
    </row>
    <row r="278" spans="1:7" ht="70" customHeight="1" x14ac:dyDescent="0.3">
      <c r="A278" s="23" t="str">
        <f>IF(ISNA(VLOOKUP((ROW(A280)-15),'List of tables'!$A$4:$H$621,2,FALSE))," ",VLOOKUP((ROW(A280)-15),'List of tables'!$A$4:$H$621,2,FALSE))</f>
        <v>DC2619NI</v>
      </c>
      <c r="B278" s="21" t="str">
        <f>IF(ISNA(VLOOKUP((ROW(B280)-15),'List of tables'!$A$4:$H$621,3,FALSE))," ",VLOOKUP((ROW(B280)-15),'List of tables'!$A$4:$H$621,3,FALSE))</f>
        <v>Occupation by Religion or Religion Brought Up In by Sex</v>
      </c>
      <c r="C278" s="21" t="str">
        <f>IF(ISNA(VLOOKUP((ROW(H280)-15),'List of tables'!$A$4:$H$621,8,FALSE))," ",VLOOKUP((ROW(H280)-15),'List of tables'!$A$4:$H$621,8,FALSE))</f>
        <v xml:space="preserve">All usual residents aged 16 to 74 in employment </v>
      </c>
      <c r="D278" s="21" t="str">
        <f>IF(ISNA(VLOOKUP((ROW(D280)-15),'List of tables'!$A$4:$H$621,5,FALSE))," ",VLOOKUP((ROW(D280)-15),'List of tables'!$A$4:$H$621,5,FALSE))</f>
        <v>Local Government District, NUTS3, Education and Library Board, Health and Social Care Trust, Northern Ireland</v>
      </c>
      <c r="E278" s="22" t="str">
        <f t="shared" si="3"/>
        <v>Link to files</v>
      </c>
      <c r="G278" s="18" t="str">
        <f>IF(ISNA(VLOOKUP((ROW(G280)-15),'List of tables'!$A$4:$H$621,6,FALSE))," ",VLOOKUP((ROW(G280)-15),'List of tables'!$A$4:$H$621,6,FALSE))</f>
        <v>http://www.ninis2.nisra.gov.uk/public/SearchResults.aspx?sk=DC2619NI;</v>
      </c>
    </row>
    <row r="279" spans="1:7" ht="70" customHeight="1" x14ac:dyDescent="0.3">
      <c r="A279" s="23" t="str">
        <f>IF(ISNA(VLOOKUP((ROW(A281)-15),'List of tables'!$A$4:$H$621,2,FALSE))," ",VLOOKUP((ROW(A281)-15),'List of tables'!$A$4:$H$621,2,FALSE))</f>
        <v>DC2620NI</v>
      </c>
      <c r="B279" s="21" t="str">
        <f>IF(ISNA(VLOOKUP((ROW(B281)-15),'List of tables'!$A$4:$H$621,3,FALSE))," ",VLOOKUP((ROW(B281)-15),'List of tables'!$A$4:$H$621,3,FALSE))</f>
        <v>Industry by Religion by Sex</v>
      </c>
      <c r="C279" s="21" t="str">
        <f>IF(ISNA(VLOOKUP((ROW(H281)-15),'List of tables'!$A$4:$H$621,8,FALSE))," ",VLOOKUP((ROW(H281)-15),'List of tables'!$A$4:$H$621,8,FALSE))</f>
        <v xml:space="preserve">All usual residents aged 16 to 74 in employment </v>
      </c>
      <c r="D279" s="21" t="str">
        <f>IF(ISNA(VLOOKUP((ROW(D281)-15),'List of tables'!$A$4:$H$621,5,FALSE))," ",VLOOKUP((ROW(D281)-15),'List of tables'!$A$4:$H$621,5,FALSE))</f>
        <v>Local Government District, NUTS3, Education and Library Board, Health and Social Care Trust, Northern Ireland</v>
      </c>
      <c r="E279" s="22" t="str">
        <f t="shared" si="3"/>
        <v>Link to files</v>
      </c>
      <c r="G279" s="18" t="str">
        <f>IF(ISNA(VLOOKUP((ROW(G281)-15),'List of tables'!$A$4:$H$621,6,FALSE))," ",VLOOKUP((ROW(G281)-15),'List of tables'!$A$4:$H$621,6,FALSE))</f>
        <v>http://www.ninis2.nisra.gov.uk/public/SearchResults.aspx?sk=DC2620NI;</v>
      </c>
    </row>
    <row r="280" spans="1:7" ht="70" customHeight="1" x14ac:dyDescent="0.3">
      <c r="A280" s="23" t="str">
        <f>IF(ISNA(VLOOKUP((ROW(A282)-15),'List of tables'!$A$4:$H$621,2,FALSE))," ",VLOOKUP((ROW(A282)-15),'List of tables'!$A$4:$H$621,2,FALSE))</f>
        <v>DC2621NI</v>
      </c>
      <c r="B280" s="21" t="str">
        <f>IF(ISNA(VLOOKUP((ROW(B282)-15),'List of tables'!$A$4:$H$621,3,FALSE))," ",VLOOKUP((ROW(B282)-15),'List of tables'!$A$4:$H$621,3,FALSE))</f>
        <v>Industry by Religion or Religion Brought Up In by Sex</v>
      </c>
      <c r="C280" s="21" t="str">
        <f>IF(ISNA(VLOOKUP((ROW(H282)-15),'List of tables'!$A$4:$H$621,8,FALSE))," ",VLOOKUP((ROW(H282)-15),'List of tables'!$A$4:$H$621,8,FALSE))</f>
        <v xml:space="preserve">All usual residents aged 16 to 74 in employment </v>
      </c>
      <c r="D280" s="21" t="str">
        <f>IF(ISNA(VLOOKUP((ROW(D282)-15),'List of tables'!$A$4:$H$621,5,FALSE))," ",VLOOKUP((ROW(D282)-15),'List of tables'!$A$4:$H$621,5,FALSE))</f>
        <v>Local Government District, NUTS3, Education and Library Board, Health and Social Care Trust, Northern Ireland</v>
      </c>
      <c r="E280" s="22" t="str">
        <f t="shared" si="3"/>
        <v>Link to files</v>
      </c>
      <c r="G280" s="18" t="str">
        <f>IF(ISNA(VLOOKUP((ROW(G282)-15),'List of tables'!$A$4:$H$621,6,FALSE))," ",VLOOKUP((ROW(G282)-15),'List of tables'!$A$4:$H$621,6,FALSE))</f>
        <v>http://www.ninis2.nisra.gov.uk/public/SearchResults.aspx?sk=DC2621NI;</v>
      </c>
    </row>
    <row r="281" spans="1:7" ht="70" customHeight="1" x14ac:dyDescent="0.3">
      <c r="A281" s="23" t="str">
        <f>IF(ISNA(VLOOKUP((ROW(A283)-15),'List of tables'!$A$4:$H$621,2,FALSE))," ",VLOOKUP((ROW(A283)-15),'List of tables'!$A$4:$H$621,2,FALSE))</f>
        <v>DC2622NI</v>
      </c>
      <c r="B281" s="21" t="str">
        <f>IF(ISNA(VLOOKUP((ROW(B283)-15),'List of tables'!$A$4:$H$621,3,FALSE))," ",VLOOKUP((ROW(B283)-15),'List of tables'!$A$4:$H$621,3,FALSE))</f>
        <v>NS-SeC by Religion by Sex</v>
      </c>
      <c r="C281" s="21" t="str">
        <f>IF(ISNA(VLOOKUP((ROW(H283)-15),'List of tables'!$A$4:$H$621,8,FALSE))," ",VLOOKUP((ROW(H283)-15),'List of tables'!$A$4:$H$621,8,FALSE))</f>
        <v>All usual residents aged 16 to 74</v>
      </c>
      <c r="D281" s="21" t="str">
        <f>IF(ISNA(VLOOKUP((ROW(D283)-15),'List of tables'!$A$4:$H$621,5,FALSE))," ",VLOOKUP((ROW(D283)-15),'List of tables'!$A$4:$H$621,5,FALSE))</f>
        <v>Super Output Area, Electoral Ward, Local Government District, Assembly Area, NUTS3, Education and Library Board, Health and Social Care Trust, Northern Ireland</v>
      </c>
      <c r="E281" s="22" t="str">
        <f t="shared" si="3"/>
        <v>Link to files</v>
      </c>
      <c r="G281" s="18" t="str">
        <f>IF(ISNA(VLOOKUP((ROW(G283)-15),'List of tables'!$A$4:$H$621,6,FALSE))," ",VLOOKUP((ROW(G283)-15),'List of tables'!$A$4:$H$621,6,FALSE))</f>
        <v>http://www.ninis2.nisra.gov.uk/public/SearchResults.aspx?sk=DC2622NI;</v>
      </c>
    </row>
    <row r="282" spans="1:7" ht="70" customHeight="1" x14ac:dyDescent="0.3">
      <c r="A282" s="23" t="str">
        <f>IF(ISNA(VLOOKUP((ROW(A284)-15),'List of tables'!$A$4:$H$621,2,FALSE))," ",VLOOKUP((ROW(A284)-15),'List of tables'!$A$4:$H$621,2,FALSE))</f>
        <v>DC2623NI</v>
      </c>
      <c r="B282" s="21" t="str">
        <f>IF(ISNA(VLOOKUP((ROW(B284)-15),'List of tables'!$A$4:$H$621,3,FALSE))," ",VLOOKUP((ROW(B284)-15),'List of tables'!$A$4:$H$621,3,FALSE))</f>
        <v>NS-SeC by Religion or Religion Brought Up In by Sex</v>
      </c>
      <c r="C282" s="21" t="str">
        <f>IF(ISNA(VLOOKUP((ROW(H284)-15),'List of tables'!$A$4:$H$621,8,FALSE))," ",VLOOKUP((ROW(H284)-15),'List of tables'!$A$4:$H$621,8,FALSE))</f>
        <v>All usual residents aged 16 to 74</v>
      </c>
      <c r="D282" s="21" t="str">
        <f>IF(ISNA(VLOOKUP((ROW(D284)-15),'List of tables'!$A$4:$H$621,5,FALSE))," ",VLOOKUP((ROW(D284)-15),'List of tables'!$A$4:$H$621,5,FALSE))</f>
        <v>Super Output Area, Electoral Ward, Local Government District, Assembly Area, NUTS3, Education and Library Board, Health and Social Care Trust, Northern Ireland</v>
      </c>
      <c r="E282" s="22" t="str">
        <f t="shared" si="3"/>
        <v>Link to files</v>
      </c>
      <c r="G282" s="18" t="str">
        <f>IF(ISNA(VLOOKUP((ROW(G284)-15),'List of tables'!$A$4:$H$621,6,FALSE))," ",VLOOKUP((ROW(G284)-15),'List of tables'!$A$4:$H$621,6,FALSE))</f>
        <v>http://www.ninis2.nisra.gov.uk/public/SearchResults.aspx?sk=DC2623NI;</v>
      </c>
    </row>
    <row r="283" spans="1:7" ht="70" customHeight="1" x14ac:dyDescent="0.3">
      <c r="A283" s="23" t="str">
        <f>IF(ISNA(VLOOKUP((ROW(A285)-15),'List of tables'!$A$4:$H$621,2,FALSE))," ",VLOOKUP((ROW(A285)-15),'List of tables'!$A$4:$H$621,2,FALSE))</f>
        <v>DC2624NI</v>
      </c>
      <c r="B283" s="21" t="str">
        <f>IF(ISNA(VLOOKUP((ROW(B285)-15),'List of tables'!$A$4:$H$621,3,FALSE))," ",VLOOKUP((ROW(B285)-15),'List of tables'!$A$4:$H$621,3,FALSE))</f>
        <v>Economic Activity by Proficiency in English by Age by Sex</v>
      </c>
      <c r="C283" s="21" t="str">
        <f>IF(ISNA(VLOOKUP((ROW(H285)-15),'List of tables'!$A$4:$H$621,8,FALSE))," ",VLOOKUP((ROW(H285)-15),'List of tables'!$A$4:$H$621,8,FALSE))</f>
        <v>All usual residents aged 16 to 74</v>
      </c>
      <c r="D283" s="21" t="str">
        <f>IF(ISNA(VLOOKUP((ROW(D285)-15),'List of tables'!$A$4:$H$621,5,FALSE))," ",VLOOKUP((ROW(D285)-15),'List of tables'!$A$4:$H$621,5,FALSE))</f>
        <v>Northern Ireland</v>
      </c>
      <c r="E283" s="22" t="str">
        <f t="shared" si="3"/>
        <v>Link to files</v>
      </c>
      <c r="G283" s="18" t="str">
        <f>IF(ISNA(VLOOKUP((ROW(G285)-15),'List of tables'!$A$4:$H$621,6,FALSE))," ",VLOOKUP((ROW(G285)-15),'List of tables'!$A$4:$H$621,6,FALSE))</f>
        <v>http://www.ninis2.nisra.gov.uk/public/SearchResults.aspx?sk=DC2624NI;</v>
      </c>
    </row>
    <row r="284" spans="1:7" ht="70" customHeight="1" x14ac:dyDescent="0.3">
      <c r="A284" s="23" t="str">
        <f>IF(ISNA(VLOOKUP((ROW(A286)-15),'List of tables'!$A$4:$H$621,2,FALSE))," ",VLOOKUP((ROW(A286)-15),'List of tables'!$A$4:$H$621,2,FALSE))</f>
        <v>DC2625NI</v>
      </c>
      <c r="B284" s="21" t="str">
        <f>IF(ISNA(VLOOKUP((ROW(B286)-15),'List of tables'!$A$4:$H$621,3,FALSE))," ",VLOOKUP((ROW(B286)-15),'List of tables'!$A$4:$H$621,3,FALSE))</f>
        <v>Economic Activity by Religion by Age</v>
      </c>
      <c r="C284" s="21" t="str">
        <f>IF(ISNA(VLOOKUP((ROW(H286)-15),'List of tables'!$A$4:$H$621,8,FALSE))," ",VLOOKUP((ROW(H286)-15),'List of tables'!$A$4:$H$621,8,FALSE))</f>
        <v>All usual residents aged 16 to 74</v>
      </c>
      <c r="D284" s="21" t="str">
        <f>IF(ISNA(VLOOKUP((ROW(D286)-15),'List of tables'!$A$4:$H$621,5,FALSE))," ",VLOOKUP((ROW(D286)-15),'List of tables'!$A$4:$H$621,5,FALSE))</f>
        <v>Local Government District, NUTS3, Education and Library Board, Health and Social Care Trust, Northern Ireland</v>
      </c>
      <c r="E284" s="22" t="str">
        <f t="shared" si="3"/>
        <v>Link to files</v>
      </c>
      <c r="G284" s="18" t="str">
        <f>IF(ISNA(VLOOKUP((ROW(G286)-15),'List of tables'!$A$4:$H$621,6,FALSE))," ",VLOOKUP((ROW(G286)-15),'List of tables'!$A$4:$H$621,6,FALSE))</f>
        <v>http://www.ninis2.nisra.gov.uk/public/SearchResults.aspx?sk=DC2625NI;</v>
      </c>
    </row>
    <row r="285" spans="1:7" ht="70" customHeight="1" x14ac:dyDescent="0.3">
      <c r="A285" s="23" t="str">
        <f>IF(ISNA(VLOOKUP((ROW(A287)-15),'List of tables'!$A$4:$H$621,2,FALSE))," ",VLOOKUP((ROW(A287)-15),'List of tables'!$A$4:$H$621,2,FALSE))</f>
        <v>DC2626NI</v>
      </c>
      <c r="B285" s="21" t="str">
        <f>IF(ISNA(VLOOKUP((ROW(B287)-15),'List of tables'!$A$4:$H$621,3,FALSE))," ",VLOOKUP((ROW(B287)-15),'List of tables'!$A$4:$H$621,3,FALSE))</f>
        <v>Economic Activity by Religion or Religion Brought Up In by Age</v>
      </c>
      <c r="C285" s="21" t="str">
        <f>IF(ISNA(VLOOKUP((ROW(H287)-15),'List of tables'!$A$4:$H$621,8,FALSE))," ",VLOOKUP((ROW(H287)-15),'List of tables'!$A$4:$H$621,8,FALSE))</f>
        <v>All usual residents aged 16 to 74</v>
      </c>
      <c r="D285" s="21" t="str">
        <f>IF(ISNA(VLOOKUP((ROW(D287)-15),'List of tables'!$A$4:$H$621,5,FALSE))," ",VLOOKUP((ROW(D287)-15),'List of tables'!$A$4:$H$621,5,FALSE))</f>
        <v>Local Government District, NUTS3, Education and Library Board, Health and Social Care Trust, Northern Ireland</v>
      </c>
      <c r="E285" s="22" t="str">
        <f t="shared" si="3"/>
        <v>Link to files</v>
      </c>
      <c r="G285" s="18" t="str">
        <f>IF(ISNA(VLOOKUP((ROW(G287)-15),'List of tables'!$A$4:$H$621,6,FALSE))," ",VLOOKUP((ROW(G287)-15),'List of tables'!$A$4:$H$621,6,FALSE))</f>
        <v>http://www.ninis2.nisra.gov.uk/public/SearchResults.aspx?sk=DC2626NI;</v>
      </c>
    </row>
    <row r="286" spans="1:7" ht="70" customHeight="1" x14ac:dyDescent="0.3">
      <c r="A286" s="23" t="str">
        <f>IF(ISNA(VLOOKUP((ROW(A288)-15),'List of tables'!$A$4:$H$621,2,FALSE))," ",VLOOKUP((ROW(A288)-15),'List of tables'!$A$4:$H$621,2,FALSE))</f>
        <v>DC3101NI</v>
      </c>
      <c r="B286" s="21" t="str">
        <f>IF(ISNA(VLOOKUP((ROW(B288)-15),'List of tables'!$A$4:$H$621,3,FALSE))," ",VLOOKUP((ROW(B288)-15),'List of tables'!$A$4:$H$621,3,FALSE))</f>
        <v>Type of Long-Term Condition by Age by Sex</v>
      </c>
      <c r="C286" s="21" t="str">
        <f>IF(ISNA(VLOOKUP((ROW(H288)-15),'List of tables'!$A$4:$H$621,8,FALSE))," ",VLOOKUP((ROW(H288)-15),'List of tables'!$A$4:$H$621,8,FALSE))</f>
        <v>All usual residents</v>
      </c>
      <c r="D286" s="21" t="str">
        <f>IF(ISNA(VLOOKUP((ROW(D288)-15),'List of tables'!$A$4:$H$621,5,FALSE))," ",VLOOKUP((ROW(D288)-15),'List of tables'!$A$4:$H$621,5,FALSE))</f>
        <v>Local Government District, NUTS3, Education and Library Board, Health and Social Care Trust, Northern Ireland</v>
      </c>
      <c r="E286" s="22" t="str">
        <f t="shared" si="3"/>
        <v>Link to files</v>
      </c>
      <c r="G286" s="18" t="str">
        <f>IF(ISNA(VLOOKUP((ROW(G288)-15),'List of tables'!$A$4:$H$621,6,FALSE))," ",VLOOKUP((ROW(G288)-15),'List of tables'!$A$4:$H$621,6,FALSE))</f>
        <v>http://www.ninis2.nisra.gov.uk/public/SearchResults.aspx?sk=DC3101NI;</v>
      </c>
    </row>
    <row r="287" spans="1:7" ht="70" customHeight="1" x14ac:dyDescent="0.3">
      <c r="A287" s="23" t="str">
        <f>IF(ISNA(VLOOKUP((ROW(A289)-15),'List of tables'!$A$4:$H$621,2,FALSE))," ",VLOOKUP((ROW(A289)-15),'List of tables'!$A$4:$H$621,2,FALSE))</f>
        <v>DC3301NI</v>
      </c>
      <c r="B287" s="21" t="str">
        <f>IF(ISNA(VLOOKUP((ROW(B289)-15),'List of tables'!$A$4:$H$621,3,FALSE))," ",VLOOKUP((ROW(B289)-15),'List of tables'!$A$4:$H$621,3,FALSE))</f>
        <v>General Health by Provision of Unpaid Care by Age by Sex</v>
      </c>
      <c r="C287" s="21" t="str">
        <f>IF(ISNA(VLOOKUP((ROW(H289)-15),'List of tables'!$A$4:$H$621,8,FALSE))," ",VLOOKUP((ROW(H289)-15),'List of tables'!$A$4:$H$621,8,FALSE))</f>
        <v>All usual residents in households</v>
      </c>
      <c r="D287" s="21" t="str">
        <f>IF(ISNA(VLOOKUP((ROW(D289)-15),'List of tables'!$A$4:$H$621,5,FALSE))," ",VLOOKUP((ROW(D289)-15),'List of tables'!$A$4:$H$621,5,FALSE))</f>
        <v>Northern Ireland</v>
      </c>
      <c r="E287" s="22" t="str">
        <f t="shared" si="3"/>
        <v>Link to files</v>
      </c>
      <c r="G287" s="18" t="str">
        <f>IF(ISNA(VLOOKUP((ROW(G289)-15),'List of tables'!$A$4:$H$621,6,FALSE))," ",VLOOKUP((ROW(G289)-15),'List of tables'!$A$4:$H$621,6,FALSE))</f>
        <v>http://www.ninis2.nisra.gov.uk/public/SearchResults.aspx?sk=DC3301NI;</v>
      </c>
    </row>
    <row r="288" spans="1:7" ht="70" customHeight="1" x14ac:dyDescent="0.3">
      <c r="A288" s="23" t="str">
        <f>IF(ISNA(VLOOKUP((ROW(A290)-15),'List of tables'!$A$4:$H$621,2,FALSE))," ",VLOOKUP((ROW(A290)-15),'List of tables'!$A$4:$H$621,2,FALSE))</f>
        <v>DC3302NI</v>
      </c>
      <c r="B288" s="21" t="str">
        <f>IF(ISNA(VLOOKUP((ROW(B290)-15),'List of tables'!$A$4:$H$621,3,FALSE))," ",VLOOKUP((ROW(B290)-15),'List of tables'!$A$4:$H$621,3,FALSE))</f>
        <v>Economic Activity by General Health by Provision of Unpaid Care by Sex</v>
      </c>
      <c r="C288" s="21" t="str">
        <f>IF(ISNA(VLOOKUP((ROW(H290)-15),'List of tables'!$A$4:$H$621,8,FALSE))," ",VLOOKUP((ROW(H290)-15),'List of tables'!$A$4:$H$621,8,FALSE))</f>
        <v>All usual residents aged 16 to 74</v>
      </c>
      <c r="D288" s="21" t="str">
        <f>IF(ISNA(VLOOKUP((ROW(D290)-15),'List of tables'!$A$4:$H$621,5,FALSE))," ",VLOOKUP((ROW(D290)-15),'List of tables'!$A$4:$H$621,5,FALSE))</f>
        <v>Northern Ireland</v>
      </c>
      <c r="E288" s="22" t="str">
        <f t="shared" si="3"/>
        <v>Link to files</v>
      </c>
      <c r="G288" s="18" t="str">
        <f>IF(ISNA(VLOOKUP((ROW(G290)-15),'List of tables'!$A$4:$H$621,6,FALSE))," ",VLOOKUP((ROW(G290)-15),'List of tables'!$A$4:$H$621,6,FALSE))</f>
        <v>http://www.ninis2.nisra.gov.uk/public/SearchResults.aspx?sk=DC3302NI;</v>
      </c>
    </row>
    <row r="289" spans="1:7" ht="70" customHeight="1" x14ac:dyDescent="0.3">
      <c r="A289" s="23" t="str">
        <f>IF(ISNA(VLOOKUP((ROW(A291)-15),'List of tables'!$A$4:$H$621,2,FALSE))," ",VLOOKUP((ROW(A291)-15),'List of tables'!$A$4:$H$621,2,FALSE))</f>
        <v>DC3304NI</v>
      </c>
      <c r="B289" s="21" t="str">
        <f>IF(ISNA(VLOOKUP((ROW(B291)-15),'List of tables'!$A$4:$H$621,3,FALSE))," ",VLOOKUP((ROW(B291)-15),'List of tables'!$A$4:$H$621,3,FALSE))</f>
        <v>Long-Term Health Problem or Disability by Provision of Unpaid Care by Age by Sex</v>
      </c>
      <c r="C289" s="21" t="str">
        <f>IF(ISNA(VLOOKUP((ROW(H291)-15),'List of tables'!$A$4:$H$621,8,FALSE))," ",VLOOKUP((ROW(H291)-15),'List of tables'!$A$4:$H$621,8,FALSE))</f>
        <v>All usual residents</v>
      </c>
      <c r="D289" s="21" t="str">
        <f>IF(ISNA(VLOOKUP((ROW(D291)-15),'List of tables'!$A$4:$H$621,5,FALSE))," ",VLOOKUP((ROW(D291)-15),'List of tables'!$A$4:$H$621,5,FALSE))</f>
        <v>Northern Ireland</v>
      </c>
      <c r="E289" s="22" t="str">
        <f t="shared" si="3"/>
        <v>Link to files</v>
      </c>
      <c r="G289" s="18" t="str">
        <f>IF(ISNA(VLOOKUP((ROW(G291)-15),'List of tables'!$A$4:$H$621,6,FALSE))," ",VLOOKUP((ROW(G291)-15),'List of tables'!$A$4:$H$621,6,FALSE))</f>
        <v>http://www.ninis2.nisra.gov.uk/public/SearchResults.aspx?sk=DC3304NI;</v>
      </c>
    </row>
    <row r="290" spans="1:7" ht="70" customHeight="1" x14ac:dyDescent="0.3">
      <c r="A290" s="23" t="str">
        <f>IF(ISNA(VLOOKUP((ROW(A292)-15),'List of tables'!$A$4:$H$621,2,FALSE))," ",VLOOKUP((ROW(A292)-15),'List of tables'!$A$4:$H$621,2,FALSE))</f>
        <v>DC3305NI</v>
      </c>
      <c r="B290" s="21" t="str">
        <f>IF(ISNA(VLOOKUP((ROW(B292)-15),'List of tables'!$A$4:$H$621,3,FALSE))," ",VLOOKUP((ROW(B292)-15),'List of tables'!$A$4:$H$621,3,FALSE))</f>
        <v>General Health by Long-Term Health Problem or Disability by Age by Sex</v>
      </c>
      <c r="C290" s="21" t="str">
        <f>IF(ISNA(VLOOKUP((ROW(H292)-15),'List of tables'!$A$4:$H$621,8,FALSE))," ",VLOOKUP((ROW(H292)-15),'List of tables'!$A$4:$H$621,8,FALSE))</f>
        <v>All usual residents in households</v>
      </c>
      <c r="D290" s="21" t="str">
        <f>IF(ISNA(VLOOKUP((ROW(D292)-15),'List of tables'!$A$4:$H$621,5,FALSE))," ",VLOOKUP((ROW(D292)-15),'List of tables'!$A$4:$H$621,5,FALSE))</f>
        <v>Northern Ireland</v>
      </c>
      <c r="E290" s="22" t="str">
        <f t="shared" si="3"/>
        <v>Link to files</v>
      </c>
      <c r="G290" s="18" t="str">
        <f>IF(ISNA(VLOOKUP((ROW(G292)-15),'List of tables'!$A$4:$H$621,6,FALSE))," ",VLOOKUP((ROW(G292)-15),'List of tables'!$A$4:$H$621,6,FALSE))</f>
        <v>http://www.ninis2.nisra.gov.uk/public/SearchResults.aspx?sk=DC3305NI;</v>
      </c>
    </row>
    <row r="291" spans="1:7" ht="70" customHeight="1" x14ac:dyDescent="0.3">
      <c r="A291" s="23" t="str">
        <f>IF(ISNA(VLOOKUP((ROW(A293)-15),'List of tables'!$A$4:$H$621,2,FALSE))," ",VLOOKUP((ROW(A293)-15),'List of tables'!$A$4:$H$621,2,FALSE))</f>
        <v>DC3306NI</v>
      </c>
      <c r="B291" s="21" t="str">
        <f>IF(ISNA(VLOOKUP((ROW(B293)-15),'List of tables'!$A$4:$H$621,3,FALSE))," ",VLOOKUP((ROW(B293)-15),'List of tables'!$A$4:$H$621,3,FALSE))</f>
        <v>Tenure by General Health by Long-Term Health Problem or Disability by Age</v>
      </c>
      <c r="C291" s="21" t="str">
        <f>IF(ISNA(VLOOKUP((ROW(H293)-15),'List of tables'!$A$4:$H$621,8,FALSE))," ",VLOOKUP((ROW(H293)-15),'List of tables'!$A$4:$H$621,8,FALSE))</f>
        <v>All usual residents in households</v>
      </c>
      <c r="D291" s="21" t="str">
        <f>IF(ISNA(VLOOKUP((ROW(D293)-15),'List of tables'!$A$4:$H$621,5,FALSE))," ",VLOOKUP((ROW(D293)-15),'List of tables'!$A$4:$H$621,5,FALSE))</f>
        <v>Northern Ireland</v>
      </c>
      <c r="E291" s="22" t="str">
        <f t="shared" si="3"/>
        <v>Link to files</v>
      </c>
      <c r="G291" s="18" t="str">
        <f>IF(ISNA(VLOOKUP((ROW(G293)-15),'List of tables'!$A$4:$H$621,6,FALSE))," ",VLOOKUP((ROW(G293)-15),'List of tables'!$A$4:$H$621,6,FALSE))</f>
        <v>http://www.ninis2.nisra.gov.uk/public/SearchResults.aspx?sk=DC3306NI;</v>
      </c>
    </row>
    <row r="292" spans="1:7" ht="70" customHeight="1" x14ac:dyDescent="0.3">
      <c r="A292" s="23" t="str">
        <f>IF(ISNA(VLOOKUP((ROW(A294)-15),'List of tables'!$A$4:$H$621,2,FALSE))," ",VLOOKUP((ROW(A294)-15),'List of tables'!$A$4:$H$621,2,FALSE))</f>
        <v>DC3308NI</v>
      </c>
      <c r="B292" s="21" t="str">
        <f>IF(ISNA(VLOOKUP((ROW(B294)-15),'List of tables'!$A$4:$H$621,3,FALSE))," ",VLOOKUP((ROW(B294)-15),'List of tables'!$A$4:$H$621,3,FALSE))</f>
        <v>Number of Cars or Vans by General Health by Long-Term Health Problem or Disability by Age by Sex</v>
      </c>
      <c r="C292" s="21" t="str">
        <f>IF(ISNA(VLOOKUP((ROW(H294)-15),'List of tables'!$A$4:$H$621,8,FALSE))," ",VLOOKUP((ROW(H294)-15),'List of tables'!$A$4:$H$621,8,FALSE))</f>
        <v>All usual residents in households</v>
      </c>
      <c r="D292" s="21" t="str">
        <f>IF(ISNA(VLOOKUP((ROW(D294)-15),'List of tables'!$A$4:$H$621,5,FALSE))," ",VLOOKUP((ROW(D294)-15),'List of tables'!$A$4:$H$621,5,FALSE))</f>
        <v>Northern Ireland</v>
      </c>
      <c r="E292" s="22" t="str">
        <f t="shared" si="3"/>
        <v>Link to files</v>
      </c>
      <c r="G292" s="18" t="str">
        <f>IF(ISNA(VLOOKUP((ROW(G294)-15),'List of tables'!$A$4:$H$621,6,FALSE))," ",VLOOKUP((ROW(G294)-15),'List of tables'!$A$4:$H$621,6,FALSE))</f>
        <v>http://www.ninis2.nisra.gov.uk/public/SearchResults.aspx?sk=DC3308NI;</v>
      </c>
    </row>
    <row r="293" spans="1:7" ht="70" customHeight="1" x14ac:dyDescent="0.3">
      <c r="A293" s="23" t="str">
        <f>IF(ISNA(VLOOKUP((ROW(A295)-15),'List of tables'!$A$4:$H$621,2,FALSE))," ",VLOOKUP((ROW(A295)-15),'List of tables'!$A$4:$H$621,2,FALSE))</f>
        <v>DC3309NI</v>
      </c>
      <c r="B293" s="21" t="str">
        <f>IF(ISNA(VLOOKUP((ROW(B295)-15),'List of tables'!$A$4:$H$621,3,FALSE))," ",VLOOKUP((ROW(B295)-15),'List of tables'!$A$4:$H$621,3,FALSE))</f>
        <v>General Health by Long-Term Health Problem or Disability by Age by Sex - Communal Establishments</v>
      </c>
      <c r="C293" s="21" t="str">
        <f>IF(ISNA(VLOOKUP((ROW(H295)-15),'List of tables'!$A$4:$H$621,8,FALSE))," ",VLOOKUP((ROW(H295)-15),'List of tables'!$A$4:$H$621,8,FALSE))</f>
        <v>All usual residents resident in communal establishments (excluding staff and their families)</v>
      </c>
      <c r="D293" s="21" t="str">
        <f>IF(ISNA(VLOOKUP((ROW(D295)-15),'List of tables'!$A$4:$H$621,5,FALSE))," ",VLOOKUP((ROW(D295)-15),'List of tables'!$A$4:$H$621,5,FALSE))</f>
        <v>Northern Ireland</v>
      </c>
      <c r="E293" s="22" t="str">
        <f t="shared" si="3"/>
        <v>Link to files</v>
      </c>
      <c r="G293" s="18" t="str">
        <f>IF(ISNA(VLOOKUP((ROW(G295)-15),'List of tables'!$A$4:$H$621,6,FALSE))," ",VLOOKUP((ROW(G295)-15),'List of tables'!$A$4:$H$621,6,FALSE))</f>
        <v>http://www.ninis2.nisra.gov.uk/public/SearchResults.aspx?sk=DC3309NI;</v>
      </c>
    </row>
    <row r="294" spans="1:7" ht="70" customHeight="1" x14ac:dyDescent="0.3">
      <c r="A294" s="23" t="str">
        <f>IF(ISNA(VLOOKUP((ROW(A296)-15),'List of tables'!$A$4:$H$621,2,FALSE))," ",VLOOKUP((ROW(A296)-15),'List of tables'!$A$4:$H$621,2,FALSE))</f>
        <v>DC3310NI</v>
      </c>
      <c r="B294" s="21" t="str">
        <f>IF(ISNA(VLOOKUP((ROW(B296)-15),'List of tables'!$A$4:$H$621,3,FALSE))," ",VLOOKUP((ROW(B296)-15),'List of tables'!$A$4:$H$621,3,FALSE))</f>
        <v>Type of Long-Term Condition by General Health by Long-Term Health Problem or Disability</v>
      </c>
      <c r="C294" s="21" t="str">
        <f>IF(ISNA(VLOOKUP((ROW(H296)-15),'List of tables'!$A$4:$H$621,8,FALSE))," ",VLOOKUP((ROW(H296)-15),'List of tables'!$A$4:$H$621,8,FALSE))</f>
        <v>All usual residents</v>
      </c>
      <c r="D294" s="21" t="str">
        <f>IF(ISNA(VLOOKUP((ROW(D296)-15),'List of tables'!$A$4:$H$621,5,FALSE))," ",VLOOKUP((ROW(D296)-15),'List of tables'!$A$4:$H$621,5,FALSE))</f>
        <v>Local Government District, NUTS3, Education and Library Board, Health and Social Care Trust, Northern Ireland</v>
      </c>
      <c r="E294" s="22" t="str">
        <f t="shared" si="3"/>
        <v>Link to files</v>
      </c>
      <c r="G294" s="18" t="str">
        <f>IF(ISNA(VLOOKUP((ROW(G296)-15),'List of tables'!$A$4:$H$621,6,FALSE))," ",VLOOKUP((ROW(G296)-15),'List of tables'!$A$4:$H$621,6,FALSE))</f>
        <v>http://www.ninis2.nisra.gov.uk/public/SearchResults.aspx?sk=DC3310NI;</v>
      </c>
    </row>
    <row r="295" spans="1:7" ht="70" customHeight="1" x14ac:dyDescent="0.3">
      <c r="A295" s="23" t="str">
        <f>IF(ISNA(VLOOKUP((ROW(A297)-15),'List of tables'!$A$4:$H$621,2,FALSE))," ",VLOOKUP((ROW(A297)-15),'List of tables'!$A$4:$H$621,2,FALSE))</f>
        <v>DC3401NI</v>
      </c>
      <c r="B295" s="21" t="str">
        <f>IF(ISNA(VLOOKUP((ROW(B297)-15),'List of tables'!$A$4:$H$621,3,FALSE))," ",VLOOKUP((ROW(B297)-15),'List of tables'!$A$4:$H$621,3,FALSE))</f>
        <v>Type of Long-Term Condition by Tenure</v>
      </c>
      <c r="C295" s="21" t="str">
        <f>IF(ISNA(VLOOKUP((ROW(H297)-15),'List of tables'!$A$4:$H$621,8,FALSE))," ",VLOOKUP((ROW(H297)-15),'List of tables'!$A$4:$H$621,8,FALSE))</f>
        <v>All usual residents</v>
      </c>
      <c r="D295" s="21" t="str">
        <f>IF(ISNA(VLOOKUP((ROW(D297)-15),'List of tables'!$A$4:$H$621,5,FALSE))," ",VLOOKUP((ROW(D297)-15),'List of tables'!$A$4:$H$621,5,FALSE))</f>
        <v>Super Output Area, Electoral Ward, Local Government District, Assembly Area, NUTS3, Education and Library Board, Health and Social Care Trust, Northern Ireland</v>
      </c>
      <c r="E295" s="22" t="str">
        <f t="shared" si="3"/>
        <v>Link to files</v>
      </c>
      <c r="G295" s="18" t="str">
        <f>IF(ISNA(VLOOKUP((ROW(G297)-15),'List of tables'!$A$4:$H$621,6,FALSE))," ",VLOOKUP((ROW(G297)-15),'List of tables'!$A$4:$H$621,6,FALSE))</f>
        <v>http://www.ninis2.nisra.gov.uk/public/SearchResults.aspx?sk=DC3401NI;</v>
      </c>
    </row>
    <row r="296" spans="1:7" ht="70" customHeight="1" x14ac:dyDescent="0.3">
      <c r="A296" s="23" t="str">
        <f>IF(ISNA(VLOOKUP((ROW(A298)-15),'List of tables'!$A$4:$H$621,2,FALSE))," ",VLOOKUP((ROW(A298)-15),'List of tables'!$A$4:$H$621,2,FALSE))</f>
        <v>DC3402NI</v>
      </c>
      <c r="B296" s="21" t="str">
        <f>IF(ISNA(VLOOKUP((ROW(B298)-15),'List of tables'!$A$4:$H$621,3,FALSE))," ",VLOOKUP((ROW(B298)-15),'List of tables'!$A$4:$H$621,3,FALSE))</f>
        <v>Type of Long-Term Condition by Adaptation of Accommodation</v>
      </c>
      <c r="C296" s="21" t="str">
        <f>IF(ISNA(VLOOKUP((ROW(H298)-15),'List of tables'!$A$4:$H$621,8,FALSE))," ",VLOOKUP((ROW(H298)-15),'List of tables'!$A$4:$H$621,8,FALSE))</f>
        <v>All usual residents in households</v>
      </c>
      <c r="D296" s="21" t="str">
        <f>IF(ISNA(VLOOKUP((ROW(D298)-15),'List of tables'!$A$4:$H$621,5,FALSE))," ",VLOOKUP((ROW(D298)-15),'List of tables'!$A$4:$H$621,5,FALSE))</f>
        <v>Local Government District, NUTS3, Education and Library Board, Health and Social Care Trust, Northern Ireland</v>
      </c>
      <c r="E296" s="22" t="str">
        <f t="shared" si="3"/>
        <v>Link to files</v>
      </c>
      <c r="G296" s="18" t="str">
        <f>IF(ISNA(VLOOKUP((ROW(G298)-15),'List of tables'!$A$4:$H$621,6,FALSE))," ",VLOOKUP((ROW(G298)-15),'List of tables'!$A$4:$H$621,6,FALSE))</f>
        <v>http://www.ninis2.nisra.gov.uk/public/SearchResults.aspx?sk=DC3402NI;</v>
      </c>
    </row>
    <row r="297" spans="1:7" ht="70" customHeight="1" x14ac:dyDescent="0.3">
      <c r="A297" s="23" t="str">
        <f>IF(ISNA(VLOOKUP((ROW(A299)-15),'List of tables'!$A$4:$H$621,2,FALSE))," ",VLOOKUP((ROW(A299)-15),'List of tables'!$A$4:$H$621,2,FALSE))</f>
        <v>DC3601NI</v>
      </c>
      <c r="B297" s="21" t="str">
        <f>IF(ISNA(VLOOKUP((ROW(B299)-15),'List of tables'!$A$4:$H$621,3,FALSE))," ",VLOOKUP((ROW(B299)-15),'List of tables'!$A$4:$H$621,3,FALSE))</f>
        <v>Provision of Unpaid Care by Hours Worked</v>
      </c>
      <c r="C297" s="21" t="str">
        <f>IF(ISNA(VLOOKUP((ROW(H299)-15),'List of tables'!$A$4:$H$621,8,FALSE))," ",VLOOKUP((ROW(H299)-15),'List of tables'!$A$4:$H$621,8,FALSE))</f>
        <v>All usual residents aged 16 to 74 in employment</v>
      </c>
      <c r="D297" s="21" t="str">
        <f>IF(ISNA(VLOOKUP((ROW(D299)-15),'List of tables'!$A$4:$H$621,5,FALSE))," ",VLOOKUP((ROW(D299)-15),'List of tables'!$A$4:$H$621,5,FALSE))</f>
        <v>Super Output Area, Electoral Ward, Local Government District, Assembly Area, NUTS3, Education and Library Board, Health and Social Care Trust, Northern Ireland</v>
      </c>
      <c r="E297" s="22" t="str">
        <f t="shared" si="3"/>
        <v>Link to files</v>
      </c>
      <c r="G297" s="18" t="str">
        <f>IF(ISNA(VLOOKUP((ROW(G299)-15),'List of tables'!$A$4:$H$621,6,FALSE))," ",VLOOKUP((ROW(G299)-15),'List of tables'!$A$4:$H$621,6,FALSE))</f>
        <v>http://www.ninis2.nisra.gov.uk/public/SearchResults.aspx?sk=DC3601NI;</v>
      </c>
    </row>
    <row r="298" spans="1:7" ht="70" customHeight="1" x14ac:dyDescent="0.3">
      <c r="A298" s="23" t="str">
        <f>IF(ISNA(VLOOKUP((ROW(A300)-15),'List of tables'!$A$4:$H$621,2,FALSE))," ",VLOOKUP((ROW(A300)-15),'List of tables'!$A$4:$H$621,2,FALSE))</f>
        <v>DC3602NI</v>
      </c>
      <c r="B298" s="21" t="str">
        <f>IF(ISNA(VLOOKUP((ROW(B300)-15),'List of tables'!$A$4:$H$621,3,FALSE))," ",VLOOKUP((ROW(B300)-15),'List of tables'!$A$4:$H$621,3,FALSE))</f>
        <v>General Health by Long-Term Health Problem or Disability by Occupancy Rating (Rooms) by Age</v>
      </c>
      <c r="C298" s="21" t="str">
        <f>IF(ISNA(VLOOKUP((ROW(H300)-15),'List of tables'!$A$4:$H$621,8,FALSE))," ",VLOOKUP((ROW(H300)-15),'List of tables'!$A$4:$H$621,8,FALSE))</f>
        <v>All usual residents in households</v>
      </c>
      <c r="D298" s="21" t="str">
        <f>IF(ISNA(VLOOKUP((ROW(D300)-15),'List of tables'!$A$4:$H$621,5,FALSE))," ",VLOOKUP((ROW(D300)-15),'List of tables'!$A$4:$H$621,5,FALSE))</f>
        <v>Northern Ireland</v>
      </c>
      <c r="E298" s="22" t="str">
        <f t="shared" si="3"/>
        <v>Link to files</v>
      </c>
      <c r="G298" s="18" t="str">
        <f>IF(ISNA(VLOOKUP((ROW(G300)-15),'List of tables'!$A$4:$H$621,6,FALSE))," ",VLOOKUP((ROW(G300)-15),'List of tables'!$A$4:$H$621,6,FALSE))</f>
        <v>http://www.ninis2.nisra.gov.uk/public/SearchResults.aspx?sk=DC3602NI;</v>
      </c>
    </row>
    <row r="299" spans="1:7" ht="70" customHeight="1" x14ac:dyDescent="0.3">
      <c r="A299" s="23" t="str">
        <f>IF(ISNA(VLOOKUP((ROW(A301)-15),'List of tables'!$A$4:$H$621,2,FALSE))," ",VLOOKUP((ROW(A301)-15),'List of tables'!$A$4:$H$621,2,FALSE))</f>
        <v>DC3603NI</v>
      </c>
      <c r="B299" s="21" t="str">
        <f>IF(ISNA(VLOOKUP((ROW(B301)-15),'List of tables'!$A$4:$H$621,3,FALSE))," ",VLOOKUP((ROW(B301)-15),'List of tables'!$A$4:$H$621,3,FALSE))</f>
        <v>General Health by NS-SeC by Age by Sex</v>
      </c>
      <c r="C299" s="21" t="str">
        <f>IF(ISNA(VLOOKUP((ROW(H301)-15),'List of tables'!$A$4:$H$621,8,FALSE))," ",VLOOKUP((ROW(H301)-15),'List of tables'!$A$4:$H$621,8,FALSE))</f>
        <v>All usual residents aged 16 to 74</v>
      </c>
      <c r="D299" s="21" t="str">
        <f>IF(ISNA(VLOOKUP((ROW(D301)-15),'List of tables'!$A$4:$H$621,5,FALSE))," ",VLOOKUP((ROW(D301)-15),'List of tables'!$A$4:$H$621,5,FALSE))</f>
        <v>Northern Ireland</v>
      </c>
      <c r="E299" s="22" t="str">
        <f t="shared" si="3"/>
        <v>Link to files</v>
      </c>
      <c r="G299" s="18" t="str">
        <f>IF(ISNA(VLOOKUP((ROW(G301)-15),'List of tables'!$A$4:$H$621,6,FALSE))," ",VLOOKUP((ROW(G301)-15),'List of tables'!$A$4:$H$621,6,FALSE))</f>
        <v>http://www.ninis2.nisra.gov.uk/public/SearchResults.aspx?sk=DC3603NI;</v>
      </c>
    </row>
    <row r="300" spans="1:7" ht="70" customHeight="1" x14ac:dyDescent="0.3">
      <c r="A300" s="23" t="str">
        <f>IF(ISNA(VLOOKUP((ROW(A302)-15),'List of tables'!$A$4:$H$621,2,FALSE))," ",VLOOKUP((ROW(A302)-15),'List of tables'!$A$4:$H$621,2,FALSE))</f>
        <v>DC3604NI</v>
      </c>
      <c r="B300" s="21" t="str">
        <f>IF(ISNA(VLOOKUP((ROW(B302)-15),'List of tables'!$A$4:$H$621,3,FALSE))," ",VLOOKUP((ROW(B302)-15),'List of tables'!$A$4:$H$621,3,FALSE))</f>
        <v>Economic Activity by Hours Worked by Long-Term Health Problem or Disability by Sex</v>
      </c>
      <c r="C300" s="21" t="str">
        <f>IF(ISNA(VLOOKUP((ROW(H302)-15),'List of tables'!$A$4:$H$621,8,FALSE))," ",VLOOKUP((ROW(H302)-15),'List of tables'!$A$4:$H$621,8,FALSE))</f>
        <v>All usual residents aged 16 to 74</v>
      </c>
      <c r="D300" s="21" t="str">
        <f>IF(ISNA(VLOOKUP((ROW(D302)-15),'List of tables'!$A$4:$H$621,5,FALSE))," ",VLOOKUP((ROW(D302)-15),'List of tables'!$A$4:$H$621,5,FALSE))</f>
        <v>Local Government District, NUTS3, Education and Library Board, Health and Social Care Trust, Northern Ireland</v>
      </c>
      <c r="E300" s="22" t="str">
        <f t="shared" si="3"/>
        <v>Link to files</v>
      </c>
      <c r="G300" s="18" t="str">
        <f>IF(ISNA(VLOOKUP((ROW(G302)-15),'List of tables'!$A$4:$H$621,6,FALSE))," ",VLOOKUP((ROW(G302)-15),'List of tables'!$A$4:$H$621,6,FALSE))</f>
        <v>http://www.ninis2.nisra.gov.uk/public/SearchResults.aspx?sk=DC3604NI;</v>
      </c>
    </row>
    <row r="301" spans="1:7" ht="70" customHeight="1" x14ac:dyDescent="0.3">
      <c r="A301" s="23" t="str">
        <f>IF(ISNA(VLOOKUP((ROW(A303)-15),'List of tables'!$A$4:$H$621,2,FALSE))," ",VLOOKUP((ROW(A303)-15),'List of tables'!$A$4:$H$621,2,FALSE))</f>
        <v>DC3605NI</v>
      </c>
      <c r="B301" s="21" t="str">
        <f>IF(ISNA(VLOOKUP((ROW(B303)-15),'List of tables'!$A$4:$H$621,3,FALSE))," ",VLOOKUP((ROW(B303)-15),'List of tables'!$A$4:$H$621,3,FALSE))</f>
        <v>Long-Term Health Problem or Disability by NS-SeC by Age by Sex</v>
      </c>
      <c r="C301" s="21" t="str">
        <f>IF(ISNA(VLOOKUP((ROW(H303)-15),'List of tables'!$A$4:$H$621,8,FALSE))," ",VLOOKUP((ROW(H303)-15),'List of tables'!$A$4:$H$621,8,FALSE))</f>
        <v>All usual residents aged 16 to 74</v>
      </c>
      <c r="D301" s="21" t="str">
        <f>IF(ISNA(VLOOKUP((ROW(D303)-15),'List of tables'!$A$4:$H$621,5,FALSE))," ",VLOOKUP((ROW(D303)-15),'List of tables'!$A$4:$H$621,5,FALSE))</f>
        <v>Northern Ireland</v>
      </c>
      <c r="E301" s="22" t="str">
        <f t="shared" si="3"/>
        <v>Link to files</v>
      </c>
      <c r="G301" s="18" t="str">
        <f>IF(ISNA(VLOOKUP((ROW(G303)-15),'List of tables'!$A$4:$H$621,6,FALSE))," ",VLOOKUP((ROW(G303)-15),'List of tables'!$A$4:$H$621,6,FALSE))</f>
        <v>http://www.ninis2.nisra.gov.uk/public/SearchResults.aspx?sk=DC3605NI;</v>
      </c>
    </row>
    <row r="302" spans="1:7" ht="70" customHeight="1" x14ac:dyDescent="0.3">
      <c r="A302" s="23" t="str">
        <f>IF(ISNA(VLOOKUP((ROW(A304)-15),'List of tables'!$A$4:$H$621,2,FALSE))," ",VLOOKUP((ROW(A304)-15),'List of tables'!$A$4:$H$621,2,FALSE))</f>
        <v>DC3606NI</v>
      </c>
      <c r="B302" s="21" t="str">
        <f>IF(ISNA(VLOOKUP((ROW(B304)-15),'List of tables'!$A$4:$H$621,3,FALSE))," ",VLOOKUP((ROW(B304)-15),'List of tables'!$A$4:$H$621,3,FALSE))</f>
        <v>Type of Long-Term Condition by Economic Activity</v>
      </c>
      <c r="C302" s="21" t="str">
        <f>IF(ISNA(VLOOKUP((ROW(H304)-15),'List of tables'!$A$4:$H$621,8,FALSE))," ",VLOOKUP((ROW(H304)-15),'List of tables'!$A$4:$H$621,8,FALSE))</f>
        <v>All usual residents aged 16 to 74</v>
      </c>
      <c r="D302" s="21" t="str">
        <f>IF(ISNA(VLOOKUP((ROW(D304)-15),'List of tables'!$A$4:$H$621,5,FALSE))," ",VLOOKUP((ROW(D304)-15),'List of tables'!$A$4:$H$621,5,FALSE))</f>
        <v>Super Output Area, Electoral Ward, Local Government District, Assembly Area, NUTS3, Education and Library Board, Health and Social Care Trust, Northern Ireland</v>
      </c>
      <c r="E302" s="22" t="str">
        <f t="shared" si="3"/>
        <v>Link to files</v>
      </c>
      <c r="G302" s="18" t="str">
        <f>IF(ISNA(VLOOKUP((ROW(G304)-15),'List of tables'!$A$4:$H$621,6,FALSE))," ",VLOOKUP((ROW(G304)-15),'List of tables'!$A$4:$H$621,6,FALSE))</f>
        <v>http://www.ninis2.nisra.gov.uk/public/SearchResults.aspx?sk=DC3606NI;</v>
      </c>
    </row>
    <row r="303" spans="1:7" ht="70" customHeight="1" x14ac:dyDescent="0.3">
      <c r="A303" s="23" t="str">
        <f>IF(ISNA(VLOOKUP((ROW(A305)-15),'List of tables'!$A$4:$H$621,2,FALSE))," ",VLOOKUP((ROW(A305)-15),'List of tables'!$A$4:$H$621,2,FALSE))</f>
        <v>DC4101NI</v>
      </c>
      <c r="B303" s="21" t="str">
        <f>IF(ISNA(VLOOKUP((ROW(B305)-15),'List of tables'!$A$4:$H$621,3,FALSE))," ",VLOOKUP((ROW(B305)-15),'List of tables'!$A$4:$H$621,3,FALSE))</f>
        <v>Tenure by Household Composition</v>
      </c>
      <c r="C303" s="21" t="str">
        <f>IF(ISNA(VLOOKUP((ROW(H305)-15),'List of tables'!$A$4:$H$621,8,FALSE))," ",VLOOKUP((ROW(H305)-15),'List of tables'!$A$4:$H$621,8,FALSE))</f>
        <v>All households</v>
      </c>
      <c r="D303" s="21" t="str">
        <f>IF(ISNA(VLOOKUP((ROW(D305)-15),'List of tables'!$A$4:$H$621,5,FALSE))," ",VLOOKUP((ROW(D305)-15),'List of tables'!$A$4:$H$621,5,FALSE))</f>
        <v>Local Government District, NUTS3, Education and Library Board, Health and Social Care Trust, Northern Ireland</v>
      </c>
      <c r="E303" s="22" t="str">
        <f t="shared" si="3"/>
        <v>Link to files</v>
      </c>
      <c r="G303" s="18" t="str">
        <f>IF(ISNA(VLOOKUP((ROW(G305)-15),'List of tables'!$A$4:$H$621,6,FALSE))," ",VLOOKUP((ROW(G305)-15),'List of tables'!$A$4:$H$621,6,FALSE))</f>
        <v>http://www.ninis2.nisra.gov.uk/public/SearchResults.aspx?sk=DC4101NI;</v>
      </c>
    </row>
    <row r="304" spans="1:7" ht="70" customHeight="1" x14ac:dyDescent="0.3">
      <c r="A304" s="23" t="str">
        <f>IF(ISNA(VLOOKUP((ROW(A306)-15),'List of tables'!$A$4:$H$621,2,FALSE))," ",VLOOKUP((ROW(A306)-15),'List of tables'!$A$4:$H$621,2,FALSE))</f>
        <v>DC4103NI</v>
      </c>
      <c r="B304" s="21" t="str">
        <f>IF(ISNA(VLOOKUP((ROW(B306)-15),'List of tables'!$A$4:$H$621,3,FALSE))," ",VLOOKUP((ROW(B306)-15),'List of tables'!$A$4:$H$621,3,FALSE))</f>
        <v>Household Composition by Numbers of Cars or Vans Available</v>
      </c>
      <c r="C304" s="21" t="str">
        <f>IF(ISNA(VLOOKUP((ROW(H306)-15),'List of tables'!$A$4:$H$621,8,FALSE))," ",VLOOKUP((ROW(H306)-15),'List of tables'!$A$4:$H$621,8,FALSE))</f>
        <v>All households</v>
      </c>
      <c r="D304" s="21" t="str">
        <f>IF(ISNA(VLOOKUP((ROW(D306)-15),'List of tables'!$A$4:$H$621,5,FALSE))," ",VLOOKUP((ROW(D306)-15),'List of tables'!$A$4:$H$621,5,FALSE))</f>
        <v>Super Output Area, Electoral Ward, Local Government District, Assembly Area, NUTS3, Education and Library Board, Health and Social Care Trust, Northern Ireland</v>
      </c>
      <c r="E304" s="22" t="str">
        <f t="shared" si="3"/>
        <v>Link to files</v>
      </c>
      <c r="G304" s="18" t="str">
        <f>IF(ISNA(VLOOKUP((ROW(G306)-15),'List of tables'!$A$4:$H$621,6,FALSE))," ",VLOOKUP((ROW(G306)-15),'List of tables'!$A$4:$H$621,6,FALSE))</f>
        <v>http://www.ninis2.nisra.gov.uk/public/SearchResults.aspx?sk=DC4103NI;</v>
      </c>
    </row>
    <row r="305" spans="1:7" ht="70" customHeight="1" x14ac:dyDescent="0.3">
      <c r="A305" s="23" t="str">
        <f>IF(ISNA(VLOOKUP((ROW(A307)-15),'List of tables'!$A$4:$H$621,2,FALSE))," ",VLOOKUP((ROW(A307)-15),'List of tables'!$A$4:$H$621,2,FALSE))</f>
        <v>DC4104NI</v>
      </c>
      <c r="B305" s="21" t="str">
        <f>IF(ISNA(VLOOKUP((ROW(B307)-15),'List of tables'!$A$4:$H$621,3,FALSE))," ",VLOOKUP((ROW(B307)-15),'List of tables'!$A$4:$H$621,3,FALSE))</f>
        <v>Type of Communal Establishment by Resident Type by Age by Sex</v>
      </c>
      <c r="C305" s="21" t="str">
        <f>IF(ISNA(VLOOKUP((ROW(H307)-15),'List of tables'!$A$4:$H$621,8,FALSE))," ",VLOOKUP((ROW(H307)-15),'List of tables'!$A$4:$H$621,8,FALSE))</f>
        <v>All usual residents in communal establishments</v>
      </c>
      <c r="D305" s="21" t="str">
        <f>IF(ISNA(VLOOKUP((ROW(D307)-15),'List of tables'!$A$4:$H$621,5,FALSE))," ",VLOOKUP((ROW(D307)-15),'List of tables'!$A$4:$H$621,5,FALSE))</f>
        <v>Local Government District, NUTS3, Education and Library Board, Health and Social Care Trust, Northern Ireland</v>
      </c>
      <c r="E305" s="22" t="str">
        <f t="shared" si="3"/>
        <v>Link to files</v>
      </c>
      <c r="G305" s="18" t="str">
        <f>IF(ISNA(VLOOKUP((ROW(G307)-15),'List of tables'!$A$4:$H$621,6,FALSE))," ",VLOOKUP((ROW(G307)-15),'List of tables'!$A$4:$H$621,6,FALSE))</f>
        <v>http://www.ninis2.nisra.gov.uk/public/SearchResults.aspx?sk=DC4104NI;</v>
      </c>
    </row>
    <row r="306" spans="1:7" ht="70" customHeight="1" x14ac:dyDescent="0.3">
      <c r="A306" s="23" t="str">
        <f>IF(ISNA(VLOOKUP((ROW(A308)-15),'List of tables'!$A$4:$H$621,2,FALSE))," ",VLOOKUP((ROW(A308)-15),'List of tables'!$A$4:$H$621,2,FALSE))</f>
        <v>DC4301NI</v>
      </c>
      <c r="B306" s="21" t="str">
        <f>IF(ISNA(VLOOKUP((ROW(B308)-15),'List of tables'!$A$4:$H$621,3,FALSE))," ",VLOOKUP((ROW(B308)-15),'List of tables'!$A$4:$H$621,3,FALSE))</f>
        <v>Tenure by General Health by Long-Term Health Problem or Disability by Age</v>
      </c>
      <c r="C306" s="21" t="str">
        <f>IF(ISNA(VLOOKUP((ROW(H308)-15),'List of tables'!$A$4:$H$621,8,FALSE))," ",VLOOKUP((ROW(H308)-15),'List of tables'!$A$4:$H$621,8,FALSE))</f>
        <v>All usual residents in households</v>
      </c>
      <c r="D306" s="21" t="str">
        <f>IF(ISNA(VLOOKUP((ROW(D308)-15),'List of tables'!$A$4:$H$621,5,FALSE))," ",VLOOKUP((ROW(D308)-15),'List of tables'!$A$4:$H$621,5,FALSE))</f>
        <v>Northern Ireland</v>
      </c>
      <c r="E306" s="22" t="str">
        <f t="shared" si="3"/>
        <v>Link to files</v>
      </c>
      <c r="G306" s="18" t="str">
        <f>IF(ISNA(VLOOKUP((ROW(G308)-15),'List of tables'!$A$4:$H$621,6,FALSE))," ",VLOOKUP((ROW(G308)-15),'List of tables'!$A$4:$H$621,6,FALSE))</f>
        <v>http://www.ninis2.nisra.gov.uk/public/SearchResults.aspx?sk=DC4301NI;</v>
      </c>
    </row>
    <row r="307" spans="1:7" ht="70" customHeight="1" x14ac:dyDescent="0.3">
      <c r="A307" s="23" t="str">
        <f>IF(ISNA(VLOOKUP((ROW(A309)-15),'List of tables'!$A$4:$H$621,2,FALSE))," ",VLOOKUP((ROW(A309)-15),'List of tables'!$A$4:$H$621,2,FALSE))</f>
        <v>DC4302NI</v>
      </c>
      <c r="B307" s="21" t="str">
        <f>IF(ISNA(VLOOKUP((ROW(B309)-15),'List of tables'!$A$4:$H$621,3,FALSE))," ",VLOOKUP((ROW(B309)-15),'List of tables'!$A$4:$H$621,3,FALSE))</f>
        <v>Long-Term Health Problem or Disability by Type of Communal Establishment by Age by Sex</v>
      </c>
      <c r="C307" s="21" t="str">
        <f>IF(ISNA(VLOOKUP((ROW(H309)-15),'List of tables'!$A$4:$H$621,8,FALSE))," ",VLOOKUP((ROW(H309)-15),'List of tables'!$A$4:$H$621,8,FALSE))</f>
        <v>All usual residents in communal establishments (excluding staff and their families)</v>
      </c>
      <c r="D307" s="21" t="str">
        <f>IF(ISNA(VLOOKUP((ROW(D309)-15),'List of tables'!$A$4:$H$621,5,FALSE))," ",VLOOKUP((ROW(D309)-15),'List of tables'!$A$4:$H$621,5,FALSE))</f>
        <v>Local Government District, NUTS3, Education and Library Board, Health and Social Care Trust, Northern Ireland</v>
      </c>
      <c r="E307" s="22" t="str">
        <f t="shared" si="3"/>
        <v>Link to files</v>
      </c>
      <c r="G307" s="18" t="str">
        <f>IF(ISNA(VLOOKUP((ROW(G309)-15),'List of tables'!$A$4:$H$621,6,FALSE))," ",VLOOKUP((ROW(G309)-15),'List of tables'!$A$4:$H$621,6,FALSE))</f>
        <v>http://www.ninis2.nisra.gov.uk/public/SearchResults.aspx?sk=DC4302NI;</v>
      </c>
    </row>
    <row r="308" spans="1:7" ht="70" customHeight="1" x14ac:dyDescent="0.3">
      <c r="A308" s="23" t="str">
        <f>IF(ISNA(VLOOKUP((ROW(A310)-15),'List of tables'!$A$4:$H$621,2,FALSE))," ",VLOOKUP((ROW(A310)-15),'List of tables'!$A$4:$H$621,2,FALSE))</f>
        <v>DC4303NI</v>
      </c>
      <c r="B308" s="21" t="str">
        <f>IF(ISNA(VLOOKUP((ROW(B310)-15),'List of tables'!$A$4:$H$621,3,FALSE))," ",VLOOKUP((ROW(B310)-15),'List of tables'!$A$4:$H$621,3,FALSE))</f>
        <v>General Health by Type of Communal Establishment by Age by Sex</v>
      </c>
      <c r="C308" s="21" t="str">
        <f>IF(ISNA(VLOOKUP((ROW(H310)-15),'List of tables'!$A$4:$H$621,8,FALSE))," ",VLOOKUP((ROW(H310)-15),'List of tables'!$A$4:$H$621,8,FALSE))</f>
        <v>All usual residents in communal establishments (excluding staff and their families)</v>
      </c>
      <c r="D308" s="21" t="str">
        <f>IF(ISNA(VLOOKUP((ROW(D310)-15),'List of tables'!$A$4:$H$621,5,FALSE))," ",VLOOKUP((ROW(D310)-15),'List of tables'!$A$4:$H$621,5,FALSE))</f>
        <v>Local Government District, NUTS3, Education and Library Board, Health and Social Care Trust, Northern Ireland</v>
      </c>
      <c r="E308" s="22" t="str">
        <f t="shared" si="3"/>
        <v>Link to files</v>
      </c>
      <c r="G308" s="18" t="str">
        <f>IF(ISNA(VLOOKUP((ROW(G310)-15),'List of tables'!$A$4:$H$621,6,FALSE))," ",VLOOKUP((ROW(G310)-15),'List of tables'!$A$4:$H$621,6,FALSE))</f>
        <v>http://www.ninis2.nisra.gov.uk/public/SearchResults.aspx?sk=DC4303NI;</v>
      </c>
    </row>
    <row r="309" spans="1:7" ht="70" customHeight="1" x14ac:dyDescent="0.3">
      <c r="A309" s="23" t="str">
        <f>IF(ISNA(VLOOKUP((ROW(A311)-15),'List of tables'!$A$4:$H$621,2,FALSE))," ",VLOOKUP((ROW(A311)-15),'List of tables'!$A$4:$H$621,2,FALSE))</f>
        <v>DC4304NI</v>
      </c>
      <c r="B309" s="21" t="str">
        <f>IF(ISNA(VLOOKUP((ROW(B311)-15),'List of tables'!$A$4:$H$621,3,FALSE))," ",VLOOKUP((ROW(B311)-15),'List of tables'!$A$4:$H$621,3,FALSE))</f>
        <v>General Health by Adaptation of Accommodation</v>
      </c>
      <c r="C309" s="21" t="str">
        <f>IF(ISNA(VLOOKUP((ROW(H311)-15),'List of tables'!$A$4:$H$621,8,FALSE))," ",VLOOKUP((ROW(H311)-15),'List of tables'!$A$4:$H$621,8,FALSE))</f>
        <v>All usual residents in households</v>
      </c>
      <c r="D309" s="21" t="str">
        <f>IF(ISNA(VLOOKUP((ROW(D311)-15),'List of tables'!$A$4:$H$621,5,FALSE))," ",VLOOKUP((ROW(D311)-15),'List of tables'!$A$4:$H$621,5,FALSE))</f>
        <v>Local Government District, NUTS3, Education and Library Board, Health and Social Care Trust, Northern Ireland</v>
      </c>
      <c r="E309" s="22" t="str">
        <f t="shared" si="3"/>
        <v>Link to files</v>
      </c>
      <c r="G309" s="18" t="str">
        <f>IF(ISNA(VLOOKUP((ROW(G311)-15),'List of tables'!$A$4:$H$621,6,FALSE))," ",VLOOKUP((ROW(G311)-15),'List of tables'!$A$4:$H$621,6,FALSE))</f>
        <v>http://www.ninis2.nisra.gov.uk/public/SearchResults.aspx?sk=DC4304NI;</v>
      </c>
    </row>
    <row r="310" spans="1:7" ht="70" customHeight="1" x14ac:dyDescent="0.3">
      <c r="A310" s="23" t="str">
        <f>IF(ISNA(VLOOKUP((ROW(A312)-15),'List of tables'!$A$4:$H$621,2,FALSE))," ",VLOOKUP((ROW(A312)-15),'List of tables'!$A$4:$H$621,2,FALSE))</f>
        <v>DC4305NI</v>
      </c>
      <c r="B310" s="21" t="str">
        <f>IF(ISNA(VLOOKUP((ROW(B312)-15),'List of tables'!$A$4:$H$621,3,FALSE))," ",VLOOKUP((ROW(B312)-15),'List of tables'!$A$4:$H$621,3,FALSE))</f>
        <v>Long-Term Health Problem or Disability by Adaptation of Accommodation</v>
      </c>
      <c r="C310" s="21" t="str">
        <f>IF(ISNA(VLOOKUP((ROW(H312)-15),'List of tables'!$A$4:$H$621,8,FALSE))," ",VLOOKUP((ROW(H312)-15),'List of tables'!$A$4:$H$621,8,FALSE))</f>
        <v>All usual residents in households</v>
      </c>
      <c r="D310" s="21" t="str">
        <f>IF(ISNA(VLOOKUP((ROW(D312)-15),'List of tables'!$A$4:$H$621,5,FALSE))," ",VLOOKUP((ROW(D312)-15),'List of tables'!$A$4:$H$621,5,FALSE))</f>
        <v>Local Government District, NUTS3, Education and Library Board, Health and Social Care Trust, Northern Ireland</v>
      </c>
      <c r="E310" s="22" t="str">
        <f t="shared" si="3"/>
        <v>Link to files</v>
      </c>
      <c r="G310" s="18" t="str">
        <f>IF(ISNA(VLOOKUP((ROW(G312)-15),'List of tables'!$A$4:$H$621,6,FALSE))," ",VLOOKUP((ROW(G312)-15),'List of tables'!$A$4:$H$621,6,FALSE))</f>
        <v>http://www.ninis2.nisra.gov.uk/public/SearchResults.aspx?sk=DC4305NI;</v>
      </c>
    </row>
    <row r="311" spans="1:7" ht="70" customHeight="1" x14ac:dyDescent="0.3">
      <c r="A311" s="23" t="str">
        <f>IF(ISNA(VLOOKUP((ROW(A313)-15),'List of tables'!$A$4:$H$621,2,FALSE))," ",VLOOKUP((ROW(A313)-15),'List of tables'!$A$4:$H$621,2,FALSE))</f>
        <v>DC4306NI</v>
      </c>
      <c r="B311" s="21" t="str">
        <f>IF(ISNA(VLOOKUP((ROW(B313)-15),'List of tables'!$A$4:$H$621,3,FALSE))," ",VLOOKUP((ROW(B313)-15),'List of tables'!$A$4:$H$621,3,FALSE))</f>
        <v>Provision of Unpaid Care by Adaptation of Accommodation</v>
      </c>
      <c r="C311" s="21" t="str">
        <f>IF(ISNA(VLOOKUP((ROW(H313)-15),'List of tables'!$A$4:$H$621,8,FALSE))," ",VLOOKUP((ROW(H313)-15),'List of tables'!$A$4:$H$621,8,FALSE))</f>
        <v>All usual residents in households</v>
      </c>
      <c r="D311" s="21" t="str">
        <f>IF(ISNA(VLOOKUP((ROW(D313)-15),'List of tables'!$A$4:$H$621,5,FALSE))," ",VLOOKUP((ROW(D313)-15),'List of tables'!$A$4:$H$621,5,FALSE))</f>
        <v>Local Government District, NUTS3, Education and Library Board, Health and Social Care Trust, Northern Ireland</v>
      </c>
      <c r="E311" s="22" t="str">
        <f t="shared" si="3"/>
        <v>Link to files</v>
      </c>
      <c r="G311" s="18" t="str">
        <f>IF(ISNA(VLOOKUP((ROW(G313)-15),'List of tables'!$A$4:$H$621,6,FALSE))," ",VLOOKUP((ROW(G313)-15),'List of tables'!$A$4:$H$621,6,FALSE))</f>
        <v>http://www.ninis2.nisra.gov.uk/public/SearchResults.aspx?sk=DC4306NI;</v>
      </c>
    </row>
    <row r="312" spans="1:7" ht="70" customHeight="1" x14ac:dyDescent="0.3">
      <c r="A312" s="23" t="str">
        <f>IF(ISNA(VLOOKUP((ROW(A314)-15),'List of tables'!$A$4:$H$621,2,FALSE))," ",VLOOKUP((ROW(A314)-15),'List of tables'!$A$4:$H$621,2,FALSE))</f>
        <v>DC4401NI</v>
      </c>
      <c r="B312" s="21" t="str">
        <f>IF(ISNA(VLOOKUP((ROW(B314)-15),'List of tables'!$A$4:$H$621,3,FALSE))," ",VLOOKUP((ROW(B314)-15),'List of tables'!$A$4:$H$621,3,FALSE))</f>
        <v>Dwelling Type by Accommodation Type by Household Space Type</v>
      </c>
      <c r="C312" s="21" t="str">
        <f>IF(ISNA(VLOOKUP((ROW(H314)-15),'List of tables'!$A$4:$H$621,8,FALSE))," ",VLOOKUP((ROW(H314)-15),'List of tables'!$A$4:$H$621,8,FALSE))</f>
        <v>All household spaces</v>
      </c>
      <c r="D312" s="21" t="str">
        <f>IF(ISNA(VLOOKUP((ROW(D314)-15),'List of tables'!$A$4:$H$621,5,FALSE))," ",VLOOKUP((ROW(D314)-15),'List of tables'!$A$4:$H$621,5,FALSE))</f>
        <v>Super Output Area, Electoral Ward, Local Government District, Assembly Area, NUTS3, Education and Library Board, Health and Social Care Trust, Northern Ireland</v>
      </c>
      <c r="E312" s="22" t="str">
        <f t="shared" si="3"/>
        <v>Link to files</v>
      </c>
      <c r="G312" s="18" t="str">
        <f>IF(ISNA(VLOOKUP((ROW(G314)-15),'List of tables'!$A$4:$H$621,6,FALSE))," ",VLOOKUP((ROW(G314)-15),'List of tables'!$A$4:$H$621,6,FALSE))</f>
        <v>http://www.ninis2.nisra.gov.uk/public/SearchResults.aspx?sk=DC4401NI;</v>
      </c>
    </row>
    <row r="313" spans="1:7" ht="70" customHeight="1" x14ac:dyDescent="0.3">
      <c r="A313" s="23" t="str">
        <f>IF(ISNA(VLOOKUP((ROW(A315)-15),'List of tables'!$A$4:$H$621,2,FALSE))," ",VLOOKUP((ROW(A315)-15),'List of tables'!$A$4:$H$621,2,FALSE))</f>
        <v>DC4402NI</v>
      </c>
      <c r="B313" s="21" t="str">
        <f>IF(ISNA(VLOOKUP((ROW(B315)-15),'List of tables'!$A$4:$H$621,3,FALSE))," ",VLOOKUP((ROW(B315)-15),'List of tables'!$A$4:$H$621,3,FALSE))</f>
        <v>Dwelling Type by Accommodation Type by Tenure - Households</v>
      </c>
      <c r="C313" s="21" t="str">
        <f>IF(ISNA(VLOOKUP((ROW(H315)-15),'List of tables'!$A$4:$H$621,8,FALSE))," ",VLOOKUP((ROW(H315)-15),'List of tables'!$A$4:$H$621,8,FALSE))</f>
        <v>All occupied household spaces</v>
      </c>
      <c r="D313" s="21" t="str">
        <f>IF(ISNA(VLOOKUP((ROW(D315)-15),'List of tables'!$A$4:$H$621,5,FALSE))," ",VLOOKUP((ROW(D315)-15),'List of tables'!$A$4:$H$621,5,FALSE))</f>
        <v>Super Output Area, Electoral Ward, Local Government District, Assembly Area, NUTS3, Education and Library Board, Health and Social Care Trust, Northern Ireland</v>
      </c>
      <c r="E313" s="22" t="str">
        <f t="shared" si="3"/>
        <v>Link to files</v>
      </c>
      <c r="G313" s="18" t="str">
        <f>IF(ISNA(VLOOKUP((ROW(G315)-15),'List of tables'!$A$4:$H$621,6,FALSE))," ",VLOOKUP((ROW(G315)-15),'List of tables'!$A$4:$H$621,6,FALSE))</f>
        <v>http://www.ninis2.nisra.gov.uk/public/SearchResults.aspx?sk=DC4402NI;</v>
      </c>
    </row>
    <row r="314" spans="1:7" ht="70" customHeight="1" x14ac:dyDescent="0.3">
      <c r="A314" s="23" t="str">
        <f>IF(ISNA(VLOOKUP((ROW(A316)-15),'List of tables'!$A$4:$H$621,2,FALSE))," ",VLOOKUP((ROW(A316)-15),'List of tables'!$A$4:$H$621,2,FALSE))</f>
        <v>DC4403NI</v>
      </c>
      <c r="B314" s="21" t="str">
        <f>IF(ISNA(VLOOKUP((ROW(B316)-15),'List of tables'!$A$4:$H$621,3,FALSE))," ",VLOOKUP((ROW(B316)-15),'List of tables'!$A$4:$H$621,3,FALSE))</f>
        <v>Dwelling Type by Accommodation Type by Tenure - Usual Residents</v>
      </c>
      <c r="C314" s="21" t="str">
        <f>IF(ISNA(VLOOKUP((ROW(H316)-15),'List of tables'!$A$4:$H$621,8,FALSE))," ",VLOOKUP((ROW(H316)-15),'List of tables'!$A$4:$H$621,8,FALSE))</f>
        <v>All usual residents in households</v>
      </c>
      <c r="D314" s="21" t="str">
        <f>IF(ISNA(VLOOKUP((ROW(D316)-15),'List of tables'!$A$4:$H$621,5,FALSE))," ",VLOOKUP((ROW(D316)-15),'List of tables'!$A$4:$H$621,5,FALSE))</f>
        <v>Super Output Area, Electoral Ward, Local Government District, Assembly Area, NUTS3, Education and Library Board, Health and Social Care Trust, Northern Ireland</v>
      </c>
      <c r="E314" s="22" t="str">
        <f t="shared" si="3"/>
        <v>Link to files</v>
      </c>
      <c r="G314" s="18" t="str">
        <f>IF(ISNA(VLOOKUP((ROW(G316)-15),'List of tables'!$A$4:$H$621,6,FALSE))," ",VLOOKUP((ROW(G316)-15),'List of tables'!$A$4:$H$621,6,FALSE))</f>
        <v>http://www.ninis2.nisra.gov.uk/public/SearchResults.aspx?sk=DC4403NI;</v>
      </c>
    </row>
    <row r="315" spans="1:7" ht="70" customHeight="1" x14ac:dyDescent="0.3">
      <c r="A315" s="23" t="str">
        <f>IF(ISNA(VLOOKUP((ROW(A317)-15),'List of tables'!$A$4:$H$621,2,FALSE))," ",VLOOKUP((ROW(A317)-15),'List of tables'!$A$4:$H$621,2,FALSE))</f>
        <v>DC4405NI</v>
      </c>
      <c r="B315" s="21" t="str">
        <f>IF(ISNA(VLOOKUP((ROW(B317)-15),'List of tables'!$A$4:$H$621,3,FALSE))," ",VLOOKUP((ROW(B317)-15),'List of tables'!$A$4:$H$621,3,FALSE))</f>
        <v>Accommodation Type by Car or Van Availability by Number of Usual Residents aged 17 or over in the Household</v>
      </c>
      <c r="C315" s="21" t="str">
        <f>IF(ISNA(VLOOKUP((ROW(H317)-15),'List of tables'!$A$4:$H$621,8,FALSE))," ",VLOOKUP((ROW(H317)-15),'List of tables'!$A$4:$H$621,8,FALSE))</f>
        <v>All households</v>
      </c>
      <c r="D315" s="21" t="str">
        <f>IF(ISNA(VLOOKUP((ROW(D317)-15),'List of tables'!$A$4:$H$621,5,FALSE))," ",VLOOKUP((ROW(D317)-15),'List of tables'!$A$4:$H$621,5,FALSE))</f>
        <v>Super Output Area, Electoral Ward, Local Government District, Assembly Area, NUTS3, Education and Library Board, Health and Social Care Trust, Northern Ireland</v>
      </c>
      <c r="E315" s="22" t="str">
        <f t="shared" si="3"/>
        <v>Link to files</v>
      </c>
      <c r="G315" s="18" t="str">
        <f>IF(ISNA(VLOOKUP((ROW(G317)-15),'List of tables'!$A$4:$H$621,6,FALSE))," ",VLOOKUP((ROW(G317)-15),'List of tables'!$A$4:$H$621,6,FALSE))</f>
        <v>http://www.ninis2.nisra.gov.uk/public/SearchResults.aspx?sk=DC4405NI;</v>
      </c>
    </row>
    <row r="316" spans="1:7" ht="70" customHeight="1" x14ac:dyDescent="0.3">
      <c r="A316" s="23" t="str">
        <f>IF(ISNA(VLOOKUP((ROW(A318)-15),'List of tables'!$A$4:$H$621,2,FALSE))," ",VLOOKUP((ROW(A318)-15),'List of tables'!$A$4:$H$621,2,FALSE))</f>
        <v>DC4406NI</v>
      </c>
      <c r="B316" s="21" t="str">
        <f>IF(ISNA(VLOOKUP((ROW(B318)-15),'List of tables'!$A$4:$H$621,3,FALSE))," ",VLOOKUP((ROW(B318)-15),'List of tables'!$A$4:$H$621,3,FALSE))</f>
        <v>Tenure by Household Size by Number of Rooms</v>
      </c>
      <c r="C316" s="21" t="str">
        <f>IF(ISNA(VLOOKUP((ROW(H318)-15),'List of tables'!$A$4:$H$621,8,FALSE))," ",VLOOKUP((ROW(H318)-15),'List of tables'!$A$4:$H$621,8,FALSE))</f>
        <v>All households</v>
      </c>
      <c r="D316" s="21" t="str">
        <f>IF(ISNA(VLOOKUP((ROW(D318)-15),'List of tables'!$A$4:$H$621,5,FALSE))," ",VLOOKUP((ROW(D318)-15),'List of tables'!$A$4:$H$621,5,FALSE))</f>
        <v>Super Output Area, Electoral Ward, Local Government District, Assembly Area, NUTS3, Education and Library Board, Health and Social Care Trust, Northern Ireland</v>
      </c>
      <c r="E316" s="22" t="str">
        <f t="shared" si="3"/>
        <v>Link to files</v>
      </c>
      <c r="G316" s="18" t="str">
        <f>IF(ISNA(VLOOKUP((ROW(G318)-15),'List of tables'!$A$4:$H$621,6,FALSE))," ",VLOOKUP((ROW(G318)-15),'List of tables'!$A$4:$H$621,6,FALSE))</f>
        <v>http://www.ninis2.nisra.gov.uk/public/SearchResults.aspx?sk=DC4406NI;</v>
      </c>
    </row>
    <row r="317" spans="1:7" ht="70" customHeight="1" x14ac:dyDescent="0.3">
      <c r="A317" s="23" t="str">
        <f>IF(ISNA(VLOOKUP((ROW(A319)-15),'List of tables'!$A$4:$H$621,2,FALSE))," ",VLOOKUP((ROW(A319)-15),'List of tables'!$A$4:$H$621,2,FALSE))</f>
        <v>DC4407NI</v>
      </c>
      <c r="B317" s="21" t="str">
        <f>IF(ISNA(VLOOKUP((ROW(B319)-15),'List of tables'!$A$4:$H$621,3,FALSE))," ",VLOOKUP((ROW(B319)-15),'List of tables'!$A$4:$H$621,3,FALSE))</f>
        <v>Tenure by Persons per Room by Accommodation Type</v>
      </c>
      <c r="C317" s="21" t="str">
        <f>IF(ISNA(VLOOKUP((ROW(H319)-15),'List of tables'!$A$4:$H$621,8,FALSE))," ",VLOOKUP((ROW(H319)-15),'List of tables'!$A$4:$H$621,8,FALSE))</f>
        <v>All households</v>
      </c>
      <c r="D317" s="21" t="str">
        <f>IF(ISNA(VLOOKUP((ROW(D319)-15),'List of tables'!$A$4:$H$621,5,FALSE))," ",VLOOKUP((ROW(D319)-15),'List of tables'!$A$4:$H$621,5,FALSE))</f>
        <v>Super Output Area, Electoral Ward, Local Government District, Assembly Area, NUTS3, Education and Library Board, Health and Social Care Trust, Northern Ireland</v>
      </c>
      <c r="E317" s="22" t="str">
        <f t="shared" si="3"/>
        <v>Link to files</v>
      </c>
      <c r="G317" s="18" t="str">
        <f>IF(ISNA(VLOOKUP((ROW(G319)-15),'List of tables'!$A$4:$H$621,6,FALSE))," ",VLOOKUP((ROW(G319)-15),'List of tables'!$A$4:$H$621,6,FALSE))</f>
        <v>http://www.ninis2.nisra.gov.uk/public/SearchResults.aspx?sk=DC4407NI;</v>
      </c>
    </row>
    <row r="318" spans="1:7" ht="70" customHeight="1" x14ac:dyDescent="0.3">
      <c r="A318" s="23" t="str">
        <f>IF(ISNA(VLOOKUP((ROW(A320)-15),'List of tables'!$A$4:$H$621,2,FALSE))," ",VLOOKUP((ROW(A320)-15),'List of tables'!$A$4:$H$621,2,FALSE))</f>
        <v>DC4408NI</v>
      </c>
      <c r="B318" s="21" t="str">
        <f>IF(ISNA(VLOOKUP((ROW(B320)-15),'List of tables'!$A$4:$H$621,3,FALSE))," ",VLOOKUP((ROW(B320)-15),'List of tables'!$A$4:$H$621,3,FALSE))</f>
        <v>Household Composition by Tenure by Occupancy Rating (Rooms)</v>
      </c>
      <c r="C318" s="21" t="str">
        <f>IF(ISNA(VLOOKUP((ROW(H320)-15),'List of tables'!$A$4:$H$621,8,FALSE))," ",VLOOKUP((ROW(H320)-15),'List of tables'!$A$4:$H$621,8,FALSE))</f>
        <v>All households</v>
      </c>
      <c r="D318" s="21" t="str">
        <f>IF(ISNA(VLOOKUP((ROW(D320)-15),'List of tables'!$A$4:$H$621,5,FALSE))," ",VLOOKUP((ROW(D320)-15),'List of tables'!$A$4:$H$621,5,FALSE))</f>
        <v>Northern Ireland</v>
      </c>
      <c r="E318" s="22" t="str">
        <f t="shared" si="3"/>
        <v>Link to files</v>
      </c>
      <c r="G318" s="18" t="str">
        <f>IF(ISNA(VLOOKUP((ROW(G320)-15),'List of tables'!$A$4:$H$621,6,FALSE))," ",VLOOKUP((ROW(G320)-15),'List of tables'!$A$4:$H$621,6,FALSE))</f>
        <v>http://www.ninis2.nisra.gov.uk/public/SearchResults.aspx?sk=DC4408NI;</v>
      </c>
    </row>
    <row r="319" spans="1:7" ht="70" customHeight="1" x14ac:dyDescent="0.3">
      <c r="A319" s="23" t="str">
        <f>IF(ISNA(VLOOKUP((ROW(A321)-15),'List of tables'!$A$4:$H$621,2,FALSE))," ",VLOOKUP((ROW(A321)-15),'List of tables'!$A$4:$H$621,2,FALSE))</f>
        <v>DC4409NI</v>
      </c>
      <c r="B319" s="21" t="str">
        <f>IF(ISNA(VLOOKUP((ROW(B321)-15),'List of tables'!$A$4:$H$621,3,FALSE))," ",VLOOKUP((ROW(B321)-15),'List of tables'!$A$4:$H$621,3,FALSE))</f>
        <v>Tenure by Central Heating by Household Composition</v>
      </c>
      <c r="C319" s="21" t="str">
        <f>IF(ISNA(VLOOKUP((ROW(H321)-15),'List of tables'!$A$4:$H$621,8,FALSE))," ",VLOOKUP((ROW(H321)-15),'List of tables'!$A$4:$H$621,8,FALSE))</f>
        <v>All households</v>
      </c>
      <c r="D319" s="21" t="str">
        <f>IF(ISNA(VLOOKUP((ROW(D321)-15),'List of tables'!$A$4:$H$621,5,FALSE))," ",VLOOKUP((ROW(D321)-15),'List of tables'!$A$4:$H$621,5,FALSE))</f>
        <v>Northern Ireland</v>
      </c>
      <c r="E319" s="22" t="str">
        <f t="shared" si="3"/>
        <v>Link to files</v>
      </c>
      <c r="G319" s="18" t="str">
        <f>IF(ISNA(VLOOKUP((ROW(G321)-15),'List of tables'!$A$4:$H$621,6,FALSE))," ",VLOOKUP((ROW(G321)-15),'List of tables'!$A$4:$H$621,6,FALSE))</f>
        <v>http://www.ninis2.nisra.gov.uk/public/SearchResults.aspx?sk=DC4409NI;</v>
      </c>
    </row>
    <row r="320" spans="1:7" ht="70" customHeight="1" x14ac:dyDescent="0.3">
      <c r="A320" s="23" t="str">
        <f>IF(ISNA(VLOOKUP((ROW(A322)-15),'List of tables'!$A$4:$H$621,2,FALSE))," ",VLOOKUP((ROW(A322)-15),'List of tables'!$A$4:$H$621,2,FALSE))</f>
        <v>DC4410NI</v>
      </c>
      <c r="B320" s="21" t="str">
        <f>IF(ISNA(VLOOKUP((ROW(B322)-15),'List of tables'!$A$4:$H$621,3,FALSE))," ",VLOOKUP((ROW(B322)-15),'List of tables'!$A$4:$H$621,3,FALSE))</f>
        <v>Tenure by Car or Van Availability by Number of Usual Residents aged 17 or over in the Household</v>
      </c>
      <c r="C320" s="21" t="str">
        <f>IF(ISNA(VLOOKUP((ROW(H322)-15),'List of tables'!$A$4:$H$621,8,FALSE))," ",VLOOKUP((ROW(H322)-15),'List of tables'!$A$4:$H$621,8,FALSE))</f>
        <v>All households</v>
      </c>
      <c r="D320" s="21" t="str">
        <f>IF(ISNA(VLOOKUP((ROW(D322)-15),'List of tables'!$A$4:$H$621,5,FALSE))," ",VLOOKUP((ROW(D322)-15),'List of tables'!$A$4:$H$621,5,FALSE))</f>
        <v>Super Output Area, Electoral Ward, Local Government District, Assembly Area, NUTS3, Education and Library Board, Health and Social Care Trust, Northern Ireland</v>
      </c>
      <c r="E320" s="22" t="str">
        <f t="shared" si="3"/>
        <v>Link to files</v>
      </c>
      <c r="G320" s="18" t="str">
        <f>IF(ISNA(VLOOKUP((ROW(G322)-15),'List of tables'!$A$4:$H$621,6,FALSE))," ",VLOOKUP((ROW(G322)-15),'List of tables'!$A$4:$H$621,6,FALSE))</f>
        <v>http://www.ninis2.nisra.gov.uk/public/SearchResults.aspx?sk=DC4410NI;</v>
      </c>
    </row>
    <row r="321" spans="1:7" ht="70" customHeight="1" x14ac:dyDescent="0.3">
      <c r="A321" s="23" t="str">
        <f>IF(ISNA(VLOOKUP((ROW(A323)-15),'List of tables'!$A$4:$H$621,2,FALSE))," ",VLOOKUP((ROW(A323)-15),'List of tables'!$A$4:$H$621,2,FALSE))</f>
        <v>DC4413NI</v>
      </c>
      <c r="B321" s="21" t="str">
        <f>IF(ISNA(VLOOKUP((ROW(B323)-15),'List of tables'!$A$4:$H$621,3,FALSE))," ",VLOOKUP((ROW(B323)-15),'List of tables'!$A$4:$H$621,3,FALSE))</f>
        <v>Tenure by Adaptation of Accommodation</v>
      </c>
      <c r="C321" s="21" t="str">
        <f>IF(ISNA(VLOOKUP((ROW(H323)-15),'List of tables'!$A$4:$H$621,8,FALSE))," ",VLOOKUP((ROW(H323)-15),'List of tables'!$A$4:$H$621,8,FALSE))</f>
        <v>All usual residents in households</v>
      </c>
      <c r="D321" s="21" t="str">
        <f>IF(ISNA(VLOOKUP((ROW(D323)-15),'List of tables'!$A$4:$H$621,5,FALSE))," ",VLOOKUP((ROW(D323)-15),'List of tables'!$A$4:$H$621,5,FALSE))</f>
        <v>Local Government District, NUTS3, Education and Library Board, Health and Social Care Trust, Northern Ireland</v>
      </c>
      <c r="E321" s="22" t="str">
        <f t="shared" si="3"/>
        <v>Link to files</v>
      </c>
      <c r="G321" s="18" t="str">
        <f>IF(ISNA(VLOOKUP((ROW(G323)-15),'List of tables'!$A$4:$H$621,6,FALSE))," ",VLOOKUP((ROW(G323)-15),'List of tables'!$A$4:$H$621,6,FALSE))</f>
        <v>http://www.ninis2.nisra.gov.uk/public/SearchResults.aspx?sk=DC4413NI;</v>
      </c>
    </row>
    <row r="322" spans="1:7" ht="70" customHeight="1" x14ac:dyDescent="0.3">
      <c r="A322" s="23" t="str">
        <f>IF(ISNA(VLOOKUP((ROW(A324)-15),'List of tables'!$A$4:$H$621,2,FALSE))," ",VLOOKUP((ROW(A324)-15),'List of tables'!$A$4:$H$621,2,FALSE))</f>
        <v>DC5101NI</v>
      </c>
      <c r="B322" s="21" t="str">
        <f>IF(ISNA(VLOOKUP((ROW(B324)-15),'List of tables'!$A$4:$H$621,3,FALSE))," ",VLOOKUP((ROW(B324)-15),'List of tables'!$A$4:$H$621,3,FALSE))</f>
        <v>Highest Level of Qualification by Age by Sex</v>
      </c>
      <c r="C322" s="21" t="str">
        <f>IF(ISNA(VLOOKUP((ROW(H324)-15),'List of tables'!$A$4:$H$621,8,FALSE))," ",VLOOKUP((ROW(H324)-15),'List of tables'!$A$4:$H$621,8,FALSE))</f>
        <v>All usual residents aged 16 and over</v>
      </c>
      <c r="D322" s="21" t="str">
        <f>IF(ISNA(VLOOKUP((ROW(D324)-15),'List of tables'!$A$4:$H$621,5,FALSE))," ",VLOOKUP((ROW(D324)-15),'List of tables'!$A$4:$H$621,5,FALSE))</f>
        <v>Super Output Area, Electoral Ward, Local Government District, Assembly Area, NUTS3, Education and Library Board, Health and Social Care Trust, Northern Ireland</v>
      </c>
      <c r="E322" s="22" t="str">
        <f t="shared" si="3"/>
        <v>Link to files</v>
      </c>
      <c r="G322" s="18" t="str">
        <f>IF(ISNA(VLOOKUP((ROW(G324)-15),'List of tables'!$A$4:$H$621,6,FALSE))," ",VLOOKUP((ROW(G324)-15),'List of tables'!$A$4:$H$621,6,FALSE))</f>
        <v>http://www.ninis2.nisra.gov.uk/public/SearchResults.aspx?sk=DC5101NI;</v>
      </c>
    </row>
    <row r="323" spans="1:7" ht="70" customHeight="1" x14ac:dyDescent="0.3">
      <c r="A323" s="23" t="str">
        <f>IF(ISNA(VLOOKUP((ROW(A325)-15),'List of tables'!$A$4:$H$621,2,FALSE))," ",VLOOKUP((ROW(A325)-15),'List of tables'!$A$4:$H$621,2,FALSE))</f>
        <v>DC6101NI</v>
      </c>
      <c r="B323" s="21" t="str">
        <f>IF(ISNA(VLOOKUP((ROW(B325)-15),'List of tables'!$A$4:$H$621,3,FALSE))," ",VLOOKUP((ROW(B325)-15),'List of tables'!$A$4:$H$621,3,FALSE))</f>
        <v>Economic Activity by Age by Sex</v>
      </c>
      <c r="C323" s="21" t="str">
        <f>IF(ISNA(VLOOKUP((ROW(H325)-15),'List of tables'!$A$4:$H$621,8,FALSE))," ",VLOOKUP((ROW(H325)-15),'List of tables'!$A$4:$H$621,8,FALSE))</f>
        <v>All usual residents aged 16 to 74</v>
      </c>
      <c r="D323" s="21" t="str">
        <f>IF(ISNA(VLOOKUP((ROW(D325)-15),'List of tables'!$A$4:$H$621,5,FALSE))," ",VLOOKUP((ROW(D325)-15),'List of tables'!$A$4:$H$621,5,FALSE))</f>
        <v>Super Output Area, Electoral Ward, Local Government District, Assembly Area, NUTS3, Education and Library Board, Health and Social Care Trust, Northern Ireland</v>
      </c>
      <c r="E323" s="22" t="str">
        <f t="shared" si="3"/>
        <v>Link to files</v>
      </c>
      <c r="G323" s="18" t="str">
        <f>IF(ISNA(VLOOKUP((ROW(G325)-15),'List of tables'!$A$4:$H$621,6,FALSE))," ",VLOOKUP((ROW(G325)-15),'List of tables'!$A$4:$H$621,6,FALSE))</f>
        <v>http://www.ninis2.nisra.gov.uk/public/SearchResults.aspx?sk=DC6101NI;</v>
      </c>
    </row>
    <row r="324" spans="1:7" ht="70" customHeight="1" x14ac:dyDescent="0.3">
      <c r="A324" s="23" t="str">
        <f>IF(ISNA(VLOOKUP((ROW(A326)-15),'List of tables'!$A$4:$H$621,2,FALSE))," ",VLOOKUP((ROW(A326)-15),'List of tables'!$A$4:$H$621,2,FALSE))</f>
        <v>DC6102NI</v>
      </c>
      <c r="B324" s="21" t="str">
        <f>IF(ISNA(VLOOKUP((ROW(B326)-15),'List of tables'!$A$4:$H$621,3,FALSE))," ",VLOOKUP((ROW(B326)-15),'List of tables'!$A$4:$H$621,3,FALSE))</f>
        <v>Economic Activity by Living Arrangements by Sex</v>
      </c>
      <c r="C324" s="21" t="str">
        <f>IF(ISNA(VLOOKUP((ROW(H326)-15),'List of tables'!$A$4:$H$621,8,FALSE))," ",VLOOKUP((ROW(H326)-15),'List of tables'!$A$4:$H$621,8,FALSE))</f>
        <v>All usual residents aged 16 to 74 in households</v>
      </c>
      <c r="D324" s="21" t="str">
        <f>IF(ISNA(VLOOKUP((ROW(D326)-15),'List of tables'!$A$4:$H$621,5,FALSE))," ",VLOOKUP((ROW(D326)-15),'List of tables'!$A$4:$H$621,5,FALSE))</f>
        <v>Super Output Area, Electoral Ward, Local Government District, Assembly Area, NUTS3, Education and Library Board, Health and Social Care Trust, Northern Ireland</v>
      </c>
      <c r="E324" s="22" t="str">
        <f t="shared" si="3"/>
        <v>Link to files</v>
      </c>
      <c r="G324" s="18" t="str">
        <f>IF(ISNA(VLOOKUP((ROW(G326)-15),'List of tables'!$A$4:$H$621,6,FALSE))," ",VLOOKUP((ROW(G326)-15),'List of tables'!$A$4:$H$621,6,FALSE))</f>
        <v>http://www.ninis2.nisra.gov.uk/public/SearchResults.aspx?sk=DC6102NI;</v>
      </c>
    </row>
    <row r="325" spans="1:7" ht="70" customHeight="1" x14ac:dyDescent="0.3">
      <c r="A325" s="23" t="str">
        <f>IF(ISNA(VLOOKUP((ROW(A327)-15),'List of tables'!$A$4:$H$621,2,FALSE))," ",VLOOKUP((ROW(A327)-15),'List of tables'!$A$4:$H$621,2,FALSE))</f>
        <v>DC6104NI</v>
      </c>
      <c r="B325" s="21" t="str">
        <f>IF(ISNA(VLOOKUP((ROW(B327)-15),'List of tables'!$A$4:$H$621,3,FALSE))," ",VLOOKUP((ROW(B327)-15),'List of tables'!$A$4:$H$621,3,FALSE))</f>
        <v>Economic Activity by Household Type by Tenure by Age of Full-Time Students</v>
      </c>
      <c r="C325" s="21" t="str">
        <f>IF(ISNA(VLOOKUP((ROW(H327)-15),'List of tables'!$A$4:$H$621,8,FALSE))," ",VLOOKUP((ROW(H327)-15),'List of tables'!$A$4:$H$621,8,FALSE))</f>
        <v>All full-time students and schoolchildren aged 16 and over at their term time address</v>
      </c>
      <c r="D325" s="21" t="str">
        <f>IF(ISNA(VLOOKUP((ROW(D327)-15),'List of tables'!$A$4:$H$621,5,FALSE))," ",VLOOKUP((ROW(D327)-15),'List of tables'!$A$4:$H$621,5,FALSE))</f>
        <v>Local Government District, NUTS3, Education and Library Board, Health and Social Care Trust, Northern Ireland</v>
      </c>
      <c r="E325" s="22" t="str">
        <f t="shared" si="3"/>
        <v>Link to files</v>
      </c>
      <c r="G325" s="18" t="str">
        <f>IF(ISNA(VLOOKUP((ROW(G327)-15),'List of tables'!$A$4:$H$621,6,FALSE))," ",VLOOKUP((ROW(G327)-15),'List of tables'!$A$4:$H$621,6,FALSE))</f>
        <v>http://www.ninis2.nisra.gov.uk/public/SearchResults.aspx?sk=DC6104NI;</v>
      </c>
    </row>
    <row r="326" spans="1:7" ht="70" customHeight="1" x14ac:dyDescent="0.3">
      <c r="A326" s="23" t="str">
        <f>IF(ISNA(VLOOKUP((ROW(A328)-15),'List of tables'!$A$4:$H$621,2,FALSE))," ",VLOOKUP((ROW(A328)-15),'List of tables'!$A$4:$H$621,2,FALSE))</f>
        <v>DC6105NI</v>
      </c>
      <c r="B326" s="21" t="str">
        <f>IF(ISNA(VLOOKUP((ROW(B328)-15),'List of tables'!$A$4:$H$621,3,FALSE))," ",VLOOKUP((ROW(B328)-15),'List of tables'!$A$4:$H$621,3,FALSE))</f>
        <v>Hours Worked by Age by Sex</v>
      </c>
      <c r="C326" s="21" t="str">
        <f>IF(ISNA(VLOOKUP((ROW(H328)-15),'List of tables'!$A$4:$H$621,8,FALSE))," ",VLOOKUP((ROW(H328)-15),'List of tables'!$A$4:$H$621,8,FALSE))</f>
        <v>All usual residents aged 16 to 74 in employment</v>
      </c>
      <c r="D326" s="21" t="str">
        <f>IF(ISNA(VLOOKUP((ROW(D328)-15),'List of tables'!$A$4:$H$621,5,FALSE))," ",VLOOKUP((ROW(D328)-15),'List of tables'!$A$4:$H$621,5,FALSE))</f>
        <v>Super Output Area, Electoral Ward, Local Government District, Assembly Area, NUTS3, Education and Library Board, Health and Social Care Trust, Northern Ireland</v>
      </c>
      <c r="E326" s="22" t="str">
        <f t="shared" si="3"/>
        <v>Link to files</v>
      </c>
      <c r="G326" s="18" t="str">
        <f>IF(ISNA(VLOOKUP((ROW(G328)-15),'List of tables'!$A$4:$H$621,6,FALSE))," ",VLOOKUP((ROW(G328)-15),'List of tables'!$A$4:$H$621,6,FALSE))</f>
        <v>http://www.ninis2.nisra.gov.uk/public/SearchResults.aspx?sk=DC6105NI;</v>
      </c>
    </row>
    <row r="327" spans="1:7" ht="70" customHeight="1" x14ac:dyDescent="0.3">
      <c r="A327" s="23" t="str">
        <f>IF(ISNA(VLOOKUP((ROW(A329)-15),'List of tables'!$A$4:$H$621,2,FALSE))," ",VLOOKUP((ROW(A329)-15),'List of tables'!$A$4:$H$621,2,FALSE))</f>
        <v>DC6106NI</v>
      </c>
      <c r="B327" s="21" t="str">
        <f>IF(ISNA(VLOOKUP((ROW(B329)-15),'List of tables'!$A$4:$H$621,3,FALSE))," ",VLOOKUP((ROW(B329)-15),'List of tables'!$A$4:$H$621,3,FALSE))</f>
        <v>Industry by Age by Sex</v>
      </c>
      <c r="C327" s="21" t="str">
        <f>IF(ISNA(VLOOKUP((ROW(H329)-15),'List of tables'!$A$4:$H$621,8,FALSE))," ",VLOOKUP((ROW(H329)-15),'List of tables'!$A$4:$H$621,8,FALSE))</f>
        <v>All usual residents aged 16 to 74 in employment</v>
      </c>
      <c r="D327" s="21" t="str">
        <f>IF(ISNA(VLOOKUP((ROW(D329)-15),'List of tables'!$A$4:$H$621,5,FALSE))," ",VLOOKUP((ROW(D329)-15),'List of tables'!$A$4:$H$621,5,FALSE))</f>
        <v>Local Government District, NUTS3, Education and Library Board, Health and Social Care Trust, Northern Ireland</v>
      </c>
      <c r="E327" s="22" t="str">
        <f t="shared" si="3"/>
        <v>Link to files</v>
      </c>
      <c r="G327" s="18" t="str">
        <f>IF(ISNA(VLOOKUP((ROW(G329)-15),'List of tables'!$A$4:$H$621,6,FALSE))," ",VLOOKUP((ROW(G329)-15),'List of tables'!$A$4:$H$621,6,FALSE))</f>
        <v>http://www.ninis2.nisra.gov.uk/public/SearchResults.aspx?sk=DC6106NI;</v>
      </c>
    </row>
    <row r="328" spans="1:7" ht="70" customHeight="1" x14ac:dyDescent="0.3">
      <c r="A328" s="23" t="str">
        <f>IF(ISNA(VLOOKUP((ROW(A330)-15),'List of tables'!$A$4:$H$621,2,FALSE))," ",VLOOKUP((ROW(A330)-15),'List of tables'!$A$4:$H$621,2,FALSE))</f>
        <v>DC6107NI</v>
      </c>
      <c r="B328" s="21" t="str">
        <f>IF(ISNA(VLOOKUP((ROW(B330)-15),'List of tables'!$A$4:$H$621,3,FALSE))," ",VLOOKUP((ROW(B330)-15),'List of tables'!$A$4:$H$621,3,FALSE))</f>
        <v>Former Industry by Age by Sex</v>
      </c>
      <c r="C328" s="21" t="str">
        <f>IF(ISNA(VLOOKUP((ROW(H330)-15),'List of tables'!$A$4:$H$621,8,FALSE))," ",VLOOKUP((ROW(H330)-15),'List of tables'!$A$4:$H$621,8,FALSE))</f>
        <v xml:space="preserve">All usual residents aged 16 to 74 not in employment </v>
      </c>
      <c r="D328" s="21" t="str">
        <f>IF(ISNA(VLOOKUP((ROW(D330)-15),'List of tables'!$A$4:$H$621,5,FALSE))," ",VLOOKUP((ROW(D330)-15),'List of tables'!$A$4:$H$621,5,FALSE))</f>
        <v>Local Government District, NUTS3, Education and Library Board, Health and Social Care Trust, Northern Ireland</v>
      </c>
      <c r="E328" s="22" t="str">
        <f t="shared" si="3"/>
        <v>Link to files</v>
      </c>
      <c r="G328" s="18" t="str">
        <f>IF(ISNA(VLOOKUP((ROW(G330)-15),'List of tables'!$A$4:$H$621,6,FALSE))," ",VLOOKUP((ROW(G330)-15),'List of tables'!$A$4:$H$621,6,FALSE))</f>
        <v>http://www.ninis2.nisra.gov.uk/public/SearchResults.aspx?sk=DC6107NI;</v>
      </c>
    </row>
    <row r="329" spans="1:7" ht="70" customHeight="1" x14ac:dyDescent="0.3">
      <c r="A329" s="23" t="str">
        <f>IF(ISNA(VLOOKUP((ROW(A331)-15),'List of tables'!$A$4:$H$621,2,FALSE))," ",VLOOKUP((ROW(A331)-15),'List of tables'!$A$4:$H$621,2,FALSE))</f>
        <v>DC6108NI</v>
      </c>
      <c r="B329" s="21" t="str">
        <f>IF(ISNA(VLOOKUP((ROW(B331)-15),'List of tables'!$A$4:$H$621,3,FALSE))," ",VLOOKUP((ROW(B331)-15),'List of tables'!$A$4:$H$621,3,FALSE))</f>
        <v>Occupation by Age by Sex</v>
      </c>
      <c r="C329" s="21" t="str">
        <f>IF(ISNA(VLOOKUP((ROW(H331)-15),'List of tables'!$A$4:$H$621,8,FALSE))," ",VLOOKUP((ROW(H331)-15),'List of tables'!$A$4:$H$621,8,FALSE))</f>
        <v>All usual residents aged 16 to 74 in employment</v>
      </c>
      <c r="D329" s="21" t="str">
        <f>IF(ISNA(VLOOKUP((ROW(D331)-15),'List of tables'!$A$4:$H$621,5,FALSE))," ",VLOOKUP((ROW(D331)-15),'List of tables'!$A$4:$H$621,5,FALSE))</f>
        <v>Local Government District, NUTS3, Education and Library Board, Health and Social Care Trust, Northern Ireland</v>
      </c>
      <c r="E329" s="22" t="str">
        <f t="shared" si="3"/>
        <v>Link to files</v>
      </c>
      <c r="G329" s="18" t="str">
        <f>IF(ISNA(VLOOKUP((ROW(G331)-15),'List of tables'!$A$4:$H$621,6,FALSE))," ",VLOOKUP((ROW(G331)-15),'List of tables'!$A$4:$H$621,6,FALSE))</f>
        <v>http://www.ninis2.nisra.gov.uk/public/SearchResults.aspx?sk=DC6108NI;</v>
      </c>
    </row>
    <row r="330" spans="1:7" ht="70" customHeight="1" x14ac:dyDescent="0.3">
      <c r="A330" s="23" t="str">
        <f>IF(ISNA(VLOOKUP((ROW(A332)-15),'List of tables'!$A$4:$H$621,2,FALSE))," ",VLOOKUP((ROW(A332)-15),'List of tables'!$A$4:$H$621,2,FALSE))</f>
        <v>DC6109NI</v>
      </c>
      <c r="B330" s="21" t="str">
        <f>IF(ISNA(VLOOKUP((ROW(B332)-15),'List of tables'!$A$4:$H$621,3,FALSE))," ",VLOOKUP((ROW(B332)-15),'List of tables'!$A$4:$H$621,3,FALSE))</f>
        <v>Former Occupation by Age by Sex</v>
      </c>
      <c r="C330" s="21" t="str">
        <f>IF(ISNA(VLOOKUP((ROW(H332)-15),'List of tables'!$A$4:$H$621,8,FALSE))," ",VLOOKUP((ROW(H332)-15),'List of tables'!$A$4:$H$621,8,FALSE))</f>
        <v xml:space="preserve">All usual residents aged 16 to 74 not in employment  </v>
      </c>
      <c r="D330" s="21" t="str">
        <f>IF(ISNA(VLOOKUP((ROW(D332)-15),'List of tables'!$A$4:$H$621,5,FALSE))," ",VLOOKUP((ROW(D332)-15),'List of tables'!$A$4:$H$621,5,FALSE))</f>
        <v>Local Government District, NUTS3, Education and Library Board, Health and Social Care Trust, Northern Ireland</v>
      </c>
      <c r="E330" s="22" t="str">
        <f t="shared" si="3"/>
        <v>Link to files</v>
      </c>
      <c r="G330" s="18" t="str">
        <f>IF(ISNA(VLOOKUP((ROW(G332)-15),'List of tables'!$A$4:$H$621,6,FALSE))," ",VLOOKUP((ROW(G332)-15),'List of tables'!$A$4:$H$621,6,FALSE))</f>
        <v>http://www.ninis2.nisra.gov.uk/public/SearchResults.aspx?sk=DC6109NI;</v>
      </c>
    </row>
    <row r="331" spans="1:7" ht="70" customHeight="1" x14ac:dyDescent="0.3">
      <c r="A331" s="23" t="str">
        <f>IF(ISNA(VLOOKUP((ROW(A333)-15),'List of tables'!$A$4:$H$621,2,FALSE))," ",VLOOKUP((ROW(A333)-15),'List of tables'!$A$4:$H$621,2,FALSE))</f>
        <v>DC6110NI</v>
      </c>
      <c r="B331" s="21" t="str">
        <f>IF(ISNA(VLOOKUP((ROW(B333)-15),'List of tables'!$A$4:$H$621,3,FALSE))," ",VLOOKUP((ROW(B333)-15),'List of tables'!$A$4:$H$621,3,FALSE))</f>
        <v>NS-SeC by Age by Sex</v>
      </c>
      <c r="C331" s="21" t="str">
        <f>IF(ISNA(VLOOKUP((ROW(H333)-15),'List of tables'!$A$4:$H$621,8,FALSE))," ",VLOOKUP((ROW(H333)-15),'List of tables'!$A$4:$H$621,8,FALSE))</f>
        <v>All usual residents aged 16 to 74</v>
      </c>
      <c r="D331" s="21" t="str">
        <f>IF(ISNA(VLOOKUP((ROW(D333)-15),'List of tables'!$A$4:$H$621,5,FALSE))," ",VLOOKUP((ROW(D333)-15),'List of tables'!$A$4:$H$621,5,FALSE))</f>
        <v>Local Government District, NUTS3, Education and Library Board, Health and Social Care Trust, Northern Ireland</v>
      </c>
      <c r="E331" s="22" t="str">
        <f t="shared" si="3"/>
        <v>Link to files</v>
      </c>
      <c r="G331" s="18" t="str">
        <f>IF(ISNA(VLOOKUP((ROW(G333)-15),'List of tables'!$A$4:$H$621,6,FALSE))," ",VLOOKUP((ROW(G333)-15),'List of tables'!$A$4:$H$621,6,FALSE))</f>
        <v>http://www.ninis2.nisra.gov.uk/public/SearchResults.aspx?sk=DC6110NI;</v>
      </c>
    </row>
    <row r="332" spans="1:7" ht="70" customHeight="1" x14ac:dyDescent="0.3">
      <c r="A332" s="23" t="str">
        <f>IF(ISNA(VLOOKUP((ROW(A334)-15),'List of tables'!$A$4:$H$621,2,FALSE))," ",VLOOKUP((ROW(A334)-15),'List of tables'!$A$4:$H$621,2,FALSE))</f>
        <v>DC6111NI</v>
      </c>
      <c r="B332" s="21" t="str">
        <f>IF(ISNA(VLOOKUP((ROW(B334)-15),'List of tables'!$A$4:$H$621,3,FALSE))," ",VLOOKUP((ROW(B334)-15),'List of tables'!$A$4:$H$621,3,FALSE))</f>
        <v>NS-SeC of HRP by Household Composition by Sex</v>
      </c>
      <c r="C332" s="21" t="str">
        <f>IF(ISNA(VLOOKUP((ROW(H334)-15),'List of tables'!$A$4:$H$621,8,FALSE))," ",VLOOKUP((ROW(H334)-15),'List of tables'!$A$4:$H$621,8,FALSE))</f>
        <v>All Household Reference Persons (HRPs) aged 16 to 74</v>
      </c>
      <c r="D332" s="21" t="str">
        <f>IF(ISNA(VLOOKUP((ROW(D334)-15),'List of tables'!$A$4:$H$621,5,FALSE))," ",VLOOKUP((ROW(D334)-15),'List of tables'!$A$4:$H$621,5,FALSE))</f>
        <v>Super Output Area, Electoral Ward, Local Government District, Assembly Area, NUTS3, Education and Library Board, Health and Social Care Trust, Northern Ireland</v>
      </c>
      <c r="E332" s="22" t="str">
        <f t="shared" si="3"/>
        <v>Link to files</v>
      </c>
      <c r="G332" s="18" t="str">
        <f>IF(ISNA(VLOOKUP((ROW(G334)-15),'List of tables'!$A$4:$H$621,6,FALSE))," ",VLOOKUP((ROW(G334)-15),'List of tables'!$A$4:$H$621,6,FALSE))</f>
        <v>http://www.ninis2.nisra.gov.uk/public/SearchResults.aspx?sk=DC6111NI;</v>
      </c>
    </row>
    <row r="333" spans="1:7" ht="70" customHeight="1" x14ac:dyDescent="0.3">
      <c r="A333" s="23" t="str">
        <f>IF(ISNA(VLOOKUP((ROW(A335)-15),'List of tables'!$A$4:$H$621,2,FALSE))," ",VLOOKUP((ROW(A335)-15),'List of tables'!$A$4:$H$621,2,FALSE))</f>
        <v>DC6112NI</v>
      </c>
      <c r="B333" s="21" t="str">
        <f>IF(ISNA(VLOOKUP((ROW(B335)-15),'List of tables'!$A$4:$H$621,3,FALSE))," ",VLOOKUP((ROW(B335)-15),'List of tables'!$A$4:$H$621,3,FALSE))</f>
        <v>NS-SeC of HRP by Age by Sex</v>
      </c>
      <c r="C333" s="21" t="str">
        <f>IF(ISNA(VLOOKUP((ROW(H335)-15),'List of tables'!$A$4:$H$621,8,FALSE))," ",VLOOKUP((ROW(H335)-15),'List of tables'!$A$4:$H$621,8,FALSE))</f>
        <v>All Household Reference Persons (HRPs) aged 16 to 74</v>
      </c>
      <c r="D333" s="21" t="str">
        <f>IF(ISNA(VLOOKUP((ROW(D335)-15),'List of tables'!$A$4:$H$621,5,FALSE))," ",VLOOKUP((ROW(D335)-15),'List of tables'!$A$4:$H$621,5,FALSE))</f>
        <v>Super Output Area, Electoral Ward, Local Government District, Assembly Area, NUTS3, Education and Library Board, Health and Social Care Trust, Northern Ireland</v>
      </c>
      <c r="E333" s="22" t="str">
        <f t="shared" si="3"/>
        <v>Link to files</v>
      </c>
      <c r="G333" s="18" t="str">
        <f>IF(ISNA(VLOOKUP((ROW(G335)-15),'List of tables'!$A$4:$H$621,6,FALSE))," ",VLOOKUP((ROW(G335)-15),'List of tables'!$A$4:$H$621,6,FALSE))</f>
        <v>http://www.ninis2.nisra.gov.uk/public/SearchResults.aspx?sk=DC6112NI;</v>
      </c>
    </row>
    <row r="334" spans="1:7" ht="70" customHeight="1" x14ac:dyDescent="0.3">
      <c r="A334" s="23" t="str">
        <f>IF(ISNA(VLOOKUP((ROW(A336)-15),'List of tables'!$A$4:$H$621,2,FALSE))," ",VLOOKUP((ROW(A336)-15),'List of tables'!$A$4:$H$621,2,FALSE))</f>
        <v>DC6113NI</v>
      </c>
      <c r="B334" s="21" t="str">
        <f>IF(ISNA(VLOOKUP((ROW(B336)-15),'List of tables'!$A$4:$H$621,3,FALSE))," ",VLOOKUP((ROW(B336)-15),'List of tables'!$A$4:$H$621,3,FALSE))</f>
        <v>NS-SeC of HRP by Households with Full-Time Students Away from Home by Age of Student</v>
      </c>
      <c r="C334" s="21" t="str">
        <f>IF(ISNA(VLOOKUP((ROW(H336)-15),'List of tables'!$A$4:$H$621,8,FALSE))," ",VLOOKUP((ROW(H336)-15),'List of tables'!$A$4:$H$621,8,FALSE))</f>
        <v>All households with students and schoolchildren aged 4 and over in full-time education who would reside in the area were they not living away from home during term-time</v>
      </c>
      <c r="D334" s="21" t="str">
        <f>IF(ISNA(VLOOKUP((ROW(D336)-15),'List of tables'!$A$4:$H$621,5,FALSE))," ",VLOOKUP((ROW(D336)-15),'List of tables'!$A$4:$H$621,5,FALSE))</f>
        <v>Northern Ireland</v>
      </c>
      <c r="E334" s="22" t="str">
        <f t="shared" si="3"/>
        <v>Link to files</v>
      </c>
      <c r="G334" s="18" t="str">
        <f>IF(ISNA(VLOOKUP((ROW(G336)-15),'List of tables'!$A$4:$H$621,6,FALSE))," ",VLOOKUP((ROW(G336)-15),'List of tables'!$A$4:$H$621,6,FALSE))</f>
        <v>http://www.ninis2.nisra.gov.uk/public/SearchResults.aspx?sk=DC6113NI;</v>
      </c>
    </row>
    <row r="335" spans="1:7" ht="70" customHeight="1" x14ac:dyDescent="0.3">
      <c r="A335" s="23" t="str">
        <f>IF(ISNA(VLOOKUP((ROW(A337)-15),'List of tables'!$A$4:$H$621,2,FALSE))," ",VLOOKUP((ROW(A337)-15),'List of tables'!$A$4:$H$621,2,FALSE))</f>
        <v>DC6116NI</v>
      </c>
      <c r="B335" s="21" t="str">
        <f>IF(ISNA(VLOOKUP((ROW(B337)-15),'List of tables'!$A$4:$H$621,3,FALSE))," ",VLOOKUP((ROW(B337)-15),'List of tables'!$A$4:$H$621,3,FALSE))</f>
        <v>Voluntary Work by Age by Sex</v>
      </c>
      <c r="C335" s="21" t="str">
        <f>IF(ISNA(VLOOKUP((ROW(H337)-15),'List of tables'!$A$4:$H$621,8,FALSE))," ",VLOOKUP((ROW(H337)-15),'List of tables'!$A$4:$H$621,8,FALSE))</f>
        <v>All usual residents aged 16 and over</v>
      </c>
      <c r="D335" s="21" t="str">
        <f>IF(ISNA(VLOOKUP((ROW(D337)-15),'List of tables'!$A$4:$H$621,5,FALSE))," ",VLOOKUP((ROW(D337)-15),'List of tables'!$A$4:$H$621,5,FALSE))</f>
        <v>Super Output Area, Electoral Ward, Local Government District, Assembly Area, NUTS3, Education and Library Board, Health and Social Care Trust, Northern Ireland</v>
      </c>
      <c r="E335" s="22" t="str">
        <f t="shared" ref="E335:E398" si="4">IF(LEN(G335)&lt;10,"",HYPERLINK(G335,"Link to files"))</f>
        <v>Link to files</v>
      </c>
      <c r="G335" s="18" t="str">
        <f>IF(ISNA(VLOOKUP((ROW(G337)-15),'List of tables'!$A$4:$H$621,6,FALSE))," ",VLOOKUP((ROW(G337)-15),'List of tables'!$A$4:$H$621,6,FALSE))</f>
        <v>http://www.ninis2.nisra.gov.uk/public/SearchResults.aspx?sk=DC6116NI;</v>
      </c>
    </row>
    <row r="336" spans="1:7" ht="70" customHeight="1" x14ac:dyDescent="0.3">
      <c r="A336" s="23" t="str">
        <f>IF(ISNA(VLOOKUP((ROW(A338)-15),'List of tables'!$A$4:$H$621,2,FALSE))," ",VLOOKUP((ROW(A338)-15),'List of tables'!$A$4:$H$621,2,FALSE))</f>
        <v>DC6117NI</v>
      </c>
      <c r="B336" s="21" t="str">
        <f>IF(ISNA(VLOOKUP((ROW(B338)-15),'List of tables'!$A$4:$H$621,3,FALSE))," ",VLOOKUP((ROW(B338)-15),'List of tables'!$A$4:$H$621,3,FALSE))</f>
        <v>Approximated Social Grade by Age by Sex</v>
      </c>
      <c r="C336" s="21" t="str">
        <f>IF(ISNA(VLOOKUP((ROW(H338)-15),'List of tables'!$A$4:$H$621,8,FALSE))," ",VLOOKUP((ROW(H338)-15),'List of tables'!$A$4:$H$621,8,FALSE))</f>
        <v>All usual residents aged 16 to 64 in households</v>
      </c>
      <c r="D336" s="21" t="str">
        <f>IF(ISNA(VLOOKUP((ROW(D338)-15),'List of tables'!$A$4:$H$621,5,FALSE))," ",VLOOKUP((ROW(D338)-15),'List of tables'!$A$4:$H$621,5,FALSE))</f>
        <v>Local Government District, NUTS3, Education and Library Board, Health and Social Care Trust, Northern Ireland</v>
      </c>
      <c r="E336" s="22" t="str">
        <f t="shared" si="4"/>
        <v>Link to files</v>
      </c>
      <c r="G336" s="18" t="str">
        <f>IF(ISNA(VLOOKUP((ROW(G338)-15),'List of tables'!$A$4:$H$621,6,FALSE))," ",VLOOKUP((ROW(G338)-15),'List of tables'!$A$4:$H$621,6,FALSE))</f>
        <v>http://www.ninis2.nisra.gov.uk/public/SearchResults.aspx?sk=DC6117NI;</v>
      </c>
    </row>
    <row r="337" spans="1:7" ht="70" customHeight="1" x14ac:dyDescent="0.3">
      <c r="A337" s="23" t="str">
        <f>IF(ISNA(VLOOKUP((ROW(A339)-15),'List of tables'!$A$4:$H$621,2,FALSE))," ",VLOOKUP((ROW(A339)-15),'List of tables'!$A$4:$H$621,2,FALSE))</f>
        <v>DC6118NI</v>
      </c>
      <c r="B337" s="21" t="str">
        <f>IF(ISNA(VLOOKUP((ROW(B339)-15),'List of tables'!$A$4:$H$621,3,FALSE))," ",VLOOKUP((ROW(B339)-15),'List of tables'!$A$4:$H$621,3,FALSE))</f>
        <v>Approximated Social Grade by Adult Lifestage (Alternative Adult Definition)</v>
      </c>
      <c r="C337" s="21" t="str">
        <f>IF(ISNA(VLOOKUP((ROW(H339)-15),'List of tables'!$A$4:$H$621,8,FALSE))," ",VLOOKUP((ROW(H339)-15),'List of tables'!$A$4:$H$621,8,FALSE))</f>
        <v>All usual residents aged 16 to 64 in households</v>
      </c>
      <c r="D337" s="21" t="str">
        <f>IF(ISNA(VLOOKUP((ROW(D339)-15),'List of tables'!$A$4:$H$621,5,FALSE))," ",VLOOKUP((ROW(D339)-15),'List of tables'!$A$4:$H$621,5,FALSE))</f>
        <v>Local Government District, NUTS3, Education and Library Board, Health and Social Care Trust, Northern Ireland</v>
      </c>
      <c r="E337" s="22" t="str">
        <f t="shared" si="4"/>
        <v>Link to files</v>
      </c>
      <c r="G337" s="18" t="str">
        <f>IF(ISNA(VLOOKUP((ROW(G339)-15),'List of tables'!$A$4:$H$621,6,FALSE))," ",VLOOKUP((ROW(G339)-15),'List of tables'!$A$4:$H$621,6,FALSE))</f>
        <v>http://www.ninis2.nisra.gov.uk/public/SearchResults.aspx?sk=DC6118NI;</v>
      </c>
    </row>
    <row r="338" spans="1:7" ht="70" customHeight="1" x14ac:dyDescent="0.3">
      <c r="A338" s="23" t="str">
        <f>IF(ISNA(VLOOKUP((ROW(A340)-15),'List of tables'!$A$4:$H$621,2,FALSE))," ",VLOOKUP((ROW(A340)-15),'List of tables'!$A$4:$H$621,2,FALSE))</f>
        <v>DC6119NI</v>
      </c>
      <c r="B338" s="21" t="str">
        <f>IF(ISNA(VLOOKUP((ROW(B340)-15),'List of tables'!$A$4:$H$621,3,FALSE))," ",VLOOKUP((ROW(B340)-15),'List of tables'!$A$4:$H$621,3,FALSE))</f>
        <v>Approximated Social Grade by Adult Lifestage (Alternative Adult Definition) - HRPs</v>
      </c>
      <c r="C338" s="21" t="str">
        <f>IF(ISNA(VLOOKUP((ROW(H340)-15),'List of tables'!$A$4:$H$621,8,FALSE))," ",VLOOKUP((ROW(H340)-15),'List of tables'!$A$4:$H$621,8,FALSE))</f>
        <v>All Household Reference Persons (HRPs) aged 16 to 64</v>
      </c>
      <c r="D338" s="21" t="str">
        <f>IF(ISNA(VLOOKUP((ROW(D340)-15),'List of tables'!$A$4:$H$621,5,FALSE))," ",VLOOKUP((ROW(D340)-15),'List of tables'!$A$4:$H$621,5,FALSE))</f>
        <v>Local Government District, NUTS3, Education and Library Board, Health and Social Care Trust, Northern Ireland</v>
      </c>
      <c r="E338" s="22" t="str">
        <f t="shared" si="4"/>
        <v>Link to files</v>
      </c>
      <c r="G338" s="18" t="str">
        <f>IF(ISNA(VLOOKUP((ROW(G340)-15),'List of tables'!$A$4:$H$621,6,FALSE))," ",VLOOKUP((ROW(G340)-15),'List of tables'!$A$4:$H$621,6,FALSE))</f>
        <v>http://www.ninis2.nisra.gov.uk/public/SearchResults.aspx?sk=DC6119NI;</v>
      </c>
    </row>
    <row r="339" spans="1:7" ht="70" customHeight="1" x14ac:dyDescent="0.3">
      <c r="A339" s="23" t="str">
        <f>IF(ISNA(VLOOKUP((ROW(A341)-15),'List of tables'!$A$4:$H$621,2,FALSE))," ",VLOOKUP((ROW(A341)-15),'List of tables'!$A$4:$H$621,2,FALSE))</f>
        <v>DC6120NI</v>
      </c>
      <c r="B339" s="21" t="str">
        <f>IF(ISNA(VLOOKUP((ROW(B341)-15),'List of tables'!$A$4:$H$621,3,FALSE))," ",VLOOKUP((ROW(B341)-15),'List of tables'!$A$4:$H$621,3,FALSE))</f>
        <v>Approximated Social Grade by Household Composition</v>
      </c>
      <c r="C339" s="21" t="str">
        <f>IF(ISNA(VLOOKUP((ROW(H341)-15),'List of tables'!$A$4:$H$621,8,FALSE))," ",VLOOKUP((ROW(H341)-15),'List of tables'!$A$4:$H$621,8,FALSE))</f>
        <v>All Household Reference Persons (HRPs) aged 16 to 64</v>
      </c>
      <c r="D339" s="21" t="str">
        <f>IF(ISNA(VLOOKUP((ROW(D341)-15),'List of tables'!$A$4:$H$621,5,FALSE))," ",VLOOKUP((ROW(D341)-15),'List of tables'!$A$4:$H$621,5,FALSE))</f>
        <v>Local Government District, NUTS3, Education and Library Board, Health and Social Care Trust, Northern Ireland</v>
      </c>
      <c r="E339" s="22" t="str">
        <f t="shared" si="4"/>
        <v>Link to files</v>
      </c>
      <c r="G339" s="18" t="str">
        <f>IF(ISNA(VLOOKUP((ROW(G341)-15),'List of tables'!$A$4:$H$621,6,FALSE))," ",VLOOKUP((ROW(G341)-15),'List of tables'!$A$4:$H$621,6,FALSE))</f>
        <v>http://www.ninis2.nisra.gov.uk/public/SearchResults.aspx?sk=DC6120NI;</v>
      </c>
    </row>
    <row r="340" spans="1:7" ht="70" customHeight="1" x14ac:dyDescent="0.3">
      <c r="A340" s="23" t="str">
        <f>IF(ISNA(VLOOKUP((ROW(A342)-15),'List of tables'!$A$4:$H$621,2,FALSE))," ",VLOOKUP((ROW(A342)-15),'List of tables'!$A$4:$H$621,2,FALSE))</f>
        <v>DC6201NI</v>
      </c>
      <c r="B340" s="21" t="str">
        <f>IF(ISNA(VLOOKUP((ROW(B342)-15),'List of tables'!$A$4:$H$621,3,FALSE))," ",VLOOKUP((ROW(B342)-15),'List of tables'!$A$4:$H$621,3,FALSE))</f>
        <v>Ethnic Group by Voluntary Work</v>
      </c>
      <c r="C340" s="21" t="str">
        <f>IF(ISNA(VLOOKUP((ROW(H342)-15),'List of tables'!$A$4:$H$621,8,FALSE))," ",VLOOKUP((ROW(H342)-15),'List of tables'!$A$4:$H$621,8,FALSE))</f>
        <v>All usual residents aged 16 and over</v>
      </c>
      <c r="D340" s="21" t="str">
        <f>IF(ISNA(VLOOKUP((ROW(D342)-15),'List of tables'!$A$4:$H$621,5,FALSE))," ",VLOOKUP((ROW(D342)-15),'List of tables'!$A$4:$H$621,5,FALSE))</f>
        <v>Local Government District, NUTS3, Education and Library Board, Health and Social Care Trust, Northern Ireland</v>
      </c>
      <c r="E340" s="22" t="str">
        <f t="shared" si="4"/>
        <v>Link to files</v>
      </c>
      <c r="G340" s="18" t="str">
        <f>IF(ISNA(VLOOKUP((ROW(G342)-15),'List of tables'!$A$4:$H$621,6,FALSE))," ",VLOOKUP((ROW(G342)-15),'List of tables'!$A$4:$H$621,6,FALSE))</f>
        <v>http://www.ninis2.nisra.gov.uk/public/SearchResults.aspx?sk=DC6201NI;</v>
      </c>
    </row>
    <row r="341" spans="1:7" ht="70" customHeight="1" x14ac:dyDescent="0.3">
      <c r="A341" s="23" t="str">
        <f>IF(ISNA(VLOOKUP((ROW(A343)-15),'List of tables'!$A$4:$H$621,2,FALSE))," ",VLOOKUP((ROW(A343)-15),'List of tables'!$A$4:$H$621,2,FALSE))</f>
        <v>DC6202NI</v>
      </c>
      <c r="B341" s="21" t="str">
        <f>IF(ISNA(VLOOKUP((ROW(B343)-15),'List of tables'!$A$4:$H$621,3,FALSE))," ",VLOOKUP((ROW(B343)-15),'List of tables'!$A$4:$H$621,3,FALSE))</f>
        <v>Religion or Religion Brought Up In by Voluntary Work</v>
      </c>
      <c r="C341" s="21" t="str">
        <f>IF(ISNA(VLOOKUP((ROW(H343)-15),'List of tables'!$A$4:$H$621,8,FALSE))," ",VLOOKUP((ROW(H343)-15),'List of tables'!$A$4:$H$621,8,FALSE))</f>
        <v>All usual residents aged 16 and over</v>
      </c>
      <c r="D341" s="21" t="str">
        <f>IF(ISNA(VLOOKUP((ROW(D343)-15),'List of tables'!$A$4:$H$621,5,FALSE))," ",VLOOKUP((ROW(D343)-15),'List of tables'!$A$4:$H$621,5,FALSE))</f>
        <v>Super Output Area, Electoral Ward, Local Government District, Assembly Area, NUTS3, Education and Library Board, Health and Social Care Trust, Northern Ireland</v>
      </c>
      <c r="E341" s="22" t="str">
        <f t="shared" si="4"/>
        <v>Link to files</v>
      </c>
      <c r="G341" s="18" t="str">
        <f>IF(ISNA(VLOOKUP((ROW(G343)-15),'List of tables'!$A$4:$H$621,6,FALSE))," ",VLOOKUP((ROW(G343)-15),'List of tables'!$A$4:$H$621,6,FALSE))</f>
        <v>http://www.ninis2.nisra.gov.uk/public/SearchResults.aspx?sk=DC6202NI;</v>
      </c>
    </row>
    <row r="342" spans="1:7" ht="70" customHeight="1" x14ac:dyDescent="0.3">
      <c r="A342" s="23" t="str">
        <f>IF(ISNA(VLOOKUP((ROW(A344)-15),'List of tables'!$A$4:$H$621,2,FALSE))," ",VLOOKUP((ROW(A344)-15),'List of tables'!$A$4:$H$621,2,FALSE))</f>
        <v>DC6203NI</v>
      </c>
      <c r="B342" s="21" t="str">
        <f>IF(ISNA(VLOOKUP((ROW(B344)-15),'List of tables'!$A$4:$H$621,3,FALSE))," ",VLOOKUP((ROW(B344)-15),'List of tables'!$A$4:$H$621,3,FALSE))</f>
        <v>Approximated Social Grade by Country of Birth</v>
      </c>
      <c r="C342" s="21" t="str">
        <f>IF(ISNA(VLOOKUP((ROW(H344)-15),'List of tables'!$A$4:$H$621,8,FALSE))," ",VLOOKUP((ROW(H344)-15),'List of tables'!$A$4:$H$621,8,FALSE))</f>
        <v>All usual residents aged 16 to 64 in households</v>
      </c>
      <c r="D342" s="21" t="str">
        <f>IF(ISNA(VLOOKUP((ROW(D344)-15),'List of tables'!$A$4:$H$621,5,FALSE))," ",VLOOKUP((ROW(D344)-15),'List of tables'!$A$4:$H$621,5,FALSE))</f>
        <v>Local Government District, NUTS3, Education and Library Board, Health and Social Care Trust, Northern Ireland</v>
      </c>
      <c r="E342" s="22" t="str">
        <f t="shared" si="4"/>
        <v>Link to files</v>
      </c>
      <c r="G342" s="18" t="str">
        <f>IF(ISNA(VLOOKUP((ROW(G344)-15),'List of tables'!$A$4:$H$621,6,FALSE))," ",VLOOKUP((ROW(G344)-15),'List of tables'!$A$4:$H$621,6,FALSE))</f>
        <v>http://www.ninis2.nisra.gov.uk/public/SearchResults.aspx?sk=DC6203NI;</v>
      </c>
    </row>
    <row r="343" spans="1:7" ht="70" customHeight="1" x14ac:dyDescent="0.3">
      <c r="A343" s="23" t="str">
        <f>IF(ISNA(VLOOKUP((ROW(A345)-15),'List of tables'!$A$4:$H$621,2,FALSE))," ",VLOOKUP((ROW(A345)-15),'List of tables'!$A$4:$H$621,2,FALSE))</f>
        <v>DC6204NI</v>
      </c>
      <c r="B343" s="21" t="str">
        <f>IF(ISNA(VLOOKUP((ROW(B345)-15),'List of tables'!$A$4:$H$621,3,FALSE))," ",VLOOKUP((ROW(B345)-15),'List of tables'!$A$4:$H$621,3,FALSE))</f>
        <v>Approximated Social Grade by National Identity (Classification 1)</v>
      </c>
      <c r="C343" s="21" t="str">
        <f>IF(ISNA(VLOOKUP((ROW(H345)-15),'List of tables'!$A$4:$H$621,8,FALSE))," ",VLOOKUP((ROW(H345)-15),'List of tables'!$A$4:$H$621,8,FALSE))</f>
        <v>All usual residents aged 16 to 64 in households</v>
      </c>
      <c r="D343" s="21" t="str">
        <f>IF(ISNA(VLOOKUP((ROW(D345)-15),'List of tables'!$A$4:$H$621,5,FALSE))," ",VLOOKUP((ROW(D345)-15),'List of tables'!$A$4:$H$621,5,FALSE))</f>
        <v>Local Government District, NUTS3, Education and Library Board, Health and Social Care Trust, Northern Ireland</v>
      </c>
      <c r="E343" s="22" t="str">
        <f t="shared" si="4"/>
        <v>Link to files</v>
      </c>
      <c r="G343" s="18" t="str">
        <f>IF(ISNA(VLOOKUP((ROW(G345)-15),'List of tables'!$A$4:$H$621,6,FALSE))," ",VLOOKUP((ROW(G345)-15),'List of tables'!$A$4:$H$621,6,FALSE))</f>
        <v>http://www.ninis2.nisra.gov.uk/public/SearchResults.aspx?sk=DC6204NI;</v>
      </c>
    </row>
    <row r="344" spans="1:7" ht="70" customHeight="1" x14ac:dyDescent="0.3">
      <c r="A344" s="23" t="str">
        <f>IF(ISNA(VLOOKUP((ROW(A346)-15),'List of tables'!$A$4:$H$621,2,FALSE))," ",VLOOKUP((ROW(A346)-15),'List of tables'!$A$4:$H$621,2,FALSE))</f>
        <v>DC6205NI</v>
      </c>
      <c r="B344" s="21" t="str">
        <f>IF(ISNA(VLOOKUP((ROW(B346)-15),'List of tables'!$A$4:$H$621,3,FALSE))," ",VLOOKUP((ROW(B346)-15),'List of tables'!$A$4:$H$621,3,FALSE))</f>
        <v>Approximated Social Grade by Religion</v>
      </c>
      <c r="C344" s="21" t="str">
        <f>IF(ISNA(VLOOKUP((ROW(H346)-15),'List of tables'!$A$4:$H$621,8,FALSE))," ",VLOOKUP((ROW(H346)-15),'List of tables'!$A$4:$H$621,8,FALSE))</f>
        <v>All usual residents aged 16 to 64 in households</v>
      </c>
      <c r="D344" s="21" t="str">
        <f>IF(ISNA(VLOOKUP((ROW(D346)-15),'List of tables'!$A$4:$H$621,5,FALSE))," ",VLOOKUP((ROW(D346)-15),'List of tables'!$A$4:$H$621,5,FALSE))</f>
        <v>Local Government District, NUTS3, Education and Library Board, Health and Social Care Trust, Northern Ireland</v>
      </c>
      <c r="E344" s="22" t="str">
        <f t="shared" si="4"/>
        <v>Link to files</v>
      </c>
      <c r="G344" s="18" t="str">
        <f>IF(ISNA(VLOOKUP((ROW(G346)-15),'List of tables'!$A$4:$H$621,6,FALSE))," ",VLOOKUP((ROW(G346)-15),'List of tables'!$A$4:$H$621,6,FALSE))</f>
        <v>http://www.ninis2.nisra.gov.uk/public/SearchResults.aspx?sk=DC6205NI;</v>
      </c>
    </row>
    <row r="345" spans="1:7" ht="70" customHeight="1" x14ac:dyDescent="0.3">
      <c r="A345" s="23" t="str">
        <f>IF(ISNA(VLOOKUP((ROW(A347)-15),'List of tables'!$A$4:$H$621,2,FALSE))," ",VLOOKUP((ROW(A347)-15),'List of tables'!$A$4:$H$621,2,FALSE))</f>
        <v>DC6206NI</v>
      </c>
      <c r="B345" s="21" t="str">
        <f>IF(ISNA(VLOOKUP((ROW(B347)-15),'List of tables'!$A$4:$H$621,3,FALSE))," ",VLOOKUP((ROW(B347)-15),'List of tables'!$A$4:$H$621,3,FALSE))</f>
        <v>Approximated Social Grade by Religion or Religion Brought Up In</v>
      </c>
      <c r="C345" s="21" t="str">
        <f>IF(ISNA(VLOOKUP((ROW(H347)-15),'List of tables'!$A$4:$H$621,8,FALSE))," ",VLOOKUP((ROW(H347)-15),'List of tables'!$A$4:$H$621,8,FALSE))</f>
        <v>All usual residents aged 16 to 64 in households</v>
      </c>
      <c r="D345" s="21" t="str">
        <f>IF(ISNA(VLOOKUP((ROW(D347)-15),'List of tables'!$A$4:$H$621,5,FALSE))," ",VLOOKUP((ROW(D347)-15),'List of tables'!$A$4:$H$621,5,FALSE))</f>
        <v>Local Government District, NUTS3, Education and Library Board, Health and Social Care Trust, Northern Ireland</v>
      </c>
      <c r="E345" s="22" t="str">
        <f t="shared" si="4"/>
        <v>Link to files</v>
      </c>
      <c r="G345" s="18" t="str">
        <f>IF(ISNA(VLOOKUP((ROW(G347)-15),'List of tables'!$A$4:$H$621,6,FALSE))," ",VLOOKUP((ROW(G347)-15),'List of tables'!$A$4:$H$621,6,FALSE))</f>
        <v>http://www.ninis2.nisra.gov.uk/public/SearchResults.aspx?sk=DC6206NI;</v>
      </c>
    </row>
    <row r="346" spans="1:7" ht="70" customHeight="1" x14ac:dyDescent="0.3">
      <c r="A346" s="23" t="str">
        <f>IF(ISNA(VLOOKUP((ROW(A348)-15),'List of tables'!$A$4:$H$621,2,FALSE))," ",VLOOKUP((ROW(A348)-15),'List of tables'!$A$4:$H$621,2,FALSE))</f>
        <v>DC6301NI</v>
      </c>
      <c r="B346" s="21" t="str">
        <f>IF(ISNA(VLOOKUP((ROW(B348)-15),'List of tables'!$A$4:$H$621,3,FALSE))," ",VLOOKUP((ROW(B348)-15),'List of tables'!$A$4:$H$621,3,FALSE))</f>
        <v>Provision of Unpaid Care by Voluntary Work</v>
      </c>
      <c r="C346" s="21" t="str">
        <f>IF(ISNA(VLOOKUP((ROW(H348)-15),'List of tables'!$A$4:$H$621,8,FALSE))," ",VLOOKUP((ROW(H348)-15),'List of tables'!$A$4:$H$621,8,FALSE))</f>
        <v>All usual residents aged 16 and over</v>
      </c>
      <c r="D346" s="21" t="str">
        <f>IF(ISNA(VLOOKUP((ROW(D348)-15),'List of tables'!$A$4:$H$621,5,FALSE))," ",VLOOKUP((ROW(D348)-15),'List of tables'!$A$4:$H$621,5,FALSE))</f>
        <v>Super Output Area, Electoral Ward, Local Government District, Assembly Area, NUTS3, Education and Library Board, Health and Social Care Trust, Northern Ireland</v>
      </c>
      <c r="E346" s="22" t="str">
        <f t="shared" si="4"/>
        <v>Link to files</v>
      </c>
      <c r="G346" s="18" t="str">
        <f>IF(ISNA(VLOOKUP((ROW(G348)-15),'List of tables'!$A$4:$H$621,6,FALSE))," ",VLOOKUP((ROW(G348)-15),'List of tables'!$A$4:$H$621,6,FALSE))</f>
        <v>http://www.ninis2.nisra.gov.uk/public/SearchResults.aspx?sk=DC6301NI;</v>
      </c>
    </row>
    <row r="347" spans="1:7" ht="70" customHeight="1" x14ac:dyDescent="0.3">
      <c r="A347" s="23" t="str">
        <f>IF(ISNA(VLOOKUP((ROW(A349)-15),'List of tables'!$A$4:$H$621,2,FALSE))," ",VLOOKUP((ROW(A349)-15),'List of tables'!$A$4:$H$621,2,FALSE))</f>
        <v>DC6302NI</v>
      </c>
      <c r="B347" s="21" t="str">
        <f>IF(ISNA(VLOOKUP((ROW(B349)-15),'List of tables'!$A$4:$H$621,3,FALSE))," ",VLOOKUP((ROW(B349)-15),'List of tables'!$A$4:$H$621,3,FALSE))</f>
        <v>Long-Term Health Problem or Disability by General Health by Voluntary Work</v>
      </c>
      <c r="C347" s="21" t="str">
        <f>IF(ISNA(VLOOKUP((ROW(H349)-15),'List of tables'!$A$4:$H$621,8,FALSE))," ",VLOOKUP((ROW(H349)-15),'List of tables'!$A$4:$H$621,8,FALSE))</f>
        <v>All usual residents aged 16 and over</v>
      </c>
      <c r="D347" s="21" t="str">
        <f>IF(ISNA(VLOOKUP((ROW(D349)-15),'List of tables'!$A$4:$H$621,5,FALSE))," ",VLOOKUP((ROW(D349)-15),'List of tables'!$A$4:$H$621,5,FALSE))</f>
        <v>Super Output Area, Electoral Ward, Local Government District, Assembly Area, NUTS3, Education and Library Board, Health and Social Care Trust, Northern Ireland</v>
      </c>
      <c r="E347" s="22" t="str">
        <f t="shared" si="4"/>
        <v>Link to files</v>
      </c>
      <c r="G347" s="18" t="str">
        <f>IF(ISNA(VLOOKUP((ROW(G349)-15),'List of tables'!$A$4:$H$621,6,FALSE))," ",VLOOKUP((ROW(G349)-15),'List of tables'!$A$4:$H$621,6,FALSE))</f>
        <v>http://www.ninis2.nisra.gov.uk/public/SearchResults.aspx?sk=DC6302NI;</v>
      </c>
    </row>
    <row r="348" spans="1:7" ht="70" customHeight="1" x14ac:dyDescent="0.3">
      <c r="A348" s="23" t="str">
        <f>IF(ISNA(VLOOKUP((ROW(A350)-15),'List of tables'!$A$4:$H$621,2,FALSE))," ",VLOOKUP((ROW(A350)-15),'List of tables'!$A$4:$H$621,2,FALSE))</f>
        <v>DC6401NI</v>
      </c>
      <c r="B348" s="21" t="str">
        <f>IF(ISNA(VLOOKUP((ROW(B350)-15),'List of tables'!$A$4:$H$621,3,FALSE))," ",VLOOKUP((ROW(B350)-15),'List of tables'!$A$4:$H$621,3,FALSE))</f>
        <v>Tenure by Economic Activity by Age of HRP</v>
      </c>
      <c r="C348" s="21" t="str">
        <f>IF(ISNA(VLOOKUP((ROW(H350)-15),'List of tables'!$A$4:$H$621,8,FALSE))," ",VLOOKUP((ROW(H350)-15),'List of tables'!$A$4:$H$621,8,FALSE))</f>
        <v xml:space="preserve">All households with Household Reference Person aged 16 to 74 </v>
      </c>
      <c r="D348" s="21" t="str">
        <f>IF(ISNA(VLOOKUP((ROW(D350)-15),'List of tables'!$A$4:$H$621,5,FALSE))," ",VLOOKUP((ROW(D350)-15),'List of tables'!$A$4:$H$621,5,FALSE))</f>
        <v>Super Output Area, Electoral Ward, Local Government District, Assembly Area, NUTS3, Education and Library Board, Health and Social Care Trust, Northern Ireland</v>
      </c>
      <c r="E348" s="22" t="str">
        <f t="shared" si="4"/>
        <v>Link to files</v>
      </c>
      <c r="G348" s="18" t="str">
        <f>IF(ISNA(VLOOKUP((ROW(G350)-15),'List of tables'!$A$4:$H$621,6,FALSE))," ",VLOOKUP((ROW(G350)-15),'List of tables'!$A$4:$H$621,6,FALSE))</f>
        <v>http://www.ninis2.nisra.gov.uk/public/SearchResults.aspx?sk=DC6401NI;</v>
      </c>
    </row>
    <row r="349" spans="1:7" ht="70" customHeight="1" x14ac:dyDescent="0.3">
      <c r="A349" s="23" t="str">
        <f>IF(ISNA(VLOOKUP((ROW(A351)-15),'List of tables'!$A$4:$H$621,2,FALSE))," ",VLOOKUP((ROW(A351)-15),'List of tables'!$A$4:$H$621,2,FALSE))</f>
        <v>DC6402NI</v>
      </c>
      <c r="B349" s="21" t="str">
        <f>IF(ISNA(VLOOKUP((ROW(B351)-15),'List of tables'!$A$4:$H$621,3,FALSE))," ",VLOOKUP((ROW(B351)-15),'List of tables'!$A$4:$H$621,3,FALSE))</f>
        <v>Tenure by Car or Van Availability by Economic Activity</v>
      </c>
      <c r="C349" s="21" t="str">
        <f>IF(ISNA(VLOOKUP((ROW(H351)-15),'List of tables'!$A$4:$H$621,8,FALSE))," ",VLOOKUP((ROW(H351)-15),'List of tables'!$A$4:$H$621,8,FALSE))</f>
        <v>All usual residents aged 16 to 74 in households</v>
      </c>
      <c r="D349" s="21" t="str">
        <f>IF(ISNA(VLOOKUP((ROW(D351)-15),'List of tables'!$A$4:$H$621,5,FALSE))," ",VLOOKUP((ROW(D351)-15),'List of tables'!$A$4:$H$621,5,FALSE))</f>
        <v>Super Output Area, Electoral Ward, Local Government District, Assembly Area, NUTS3, Education and Library Board, Health and Social Care Trust, Northern Ireland</v>
      </c>
      <c r="E349" s="22" t="str">
        <f t="shared" si="4"/>
        <v>Link to files</v>
      </c>
      <c r="G349" s="18" t="str">
        <f>IF(ISNA(VLOOKUP((ROW(G351)-15),'List of tables'!$A$4:$H$621,6,FALSE))," ",VLOOKUP((ROW(G351)-15),'List of tables'!$A$4:$H$621,6,FALSE))</f>
        <v>http://www.ninis2.nisra.gov.uk/public/SearchResults.aspx?sk=DC6402NI;</v>
      </c>
    </row>
    <row r="350" spans="1:7" ht="70" customHeight="1" x14ac:dyDescent="0.3">
      <c r="A350" s="23" t="str">
        <f>IF(ISNA(VLOOKUP((ROW(A352)-15),'List of tables'!$A$4:$H$621,2,FALSE))," ",VLOOKUP((ROW(A352)-15),'List of tables'!$A$4:$H$621,2,FALSE))</f>
        <v>DC6403NI</v>
      </c>
      <c r="B350" s="21" t="str">
        <f>IF(ISNA(VLOOKUP((ROW(B352)-15),'List of tables'!$A$4:$H$621,3,FALSE))," ",VLOOKUP((ROW(B352)-15),'List of tables'!$A$4:$H$621,3,FALSE))</f>
        <v>NS-SeC of HRP by Tenure by Sex</v>
      </c>
      <c r="C350" s="21" t="str">
        <f>IF(ISNA(VLOOKUP((ROW(H352)-15),'List of tables'!$A$4:$H$621,8,FALSE))," ",VLOOKUP((ROW(H352)-15),'List of tables'!$A$4:$H$621,8,FALSE))</f>
        <v>All Household Reference Persons (HRPs) aged 16 to 74</v>
      </c>
      <c r="D350" s="21" t="str">
        <f>IF(ISNA(VLOOKUP((ROW(D352)-15),'List of tables'!$A$4:$H$621,5,FALSE))," ",VLOOKUP((ROW(D352)-15),'List of tables'!$A$4:$H$621,5,FALSE))</f>
        <v>Super Output Area, Electoral Ward, Local Government District, Assembly Area, NUTS3, Education and Library Board, Health and Social Care Trust, Northern Ireland</v>
      </c>
      <c r="E350" s="22" t="str">
        <f t="shared" si="4"/>
        <v>Link to files</v>
      </c>
      <c r="G350" s="18" t="str">
        <f>IF(ISNA(VLOOKUP((ROW(G352)-15),'List of tables'!$A$4:$H$621,6,FALSE))," ",VLOOKUP((ROW(G352)-15),'List of tables'!$A$4:$H$621,6,FALSE))</f>
        <v>http://www.ninis2.nisra.gov.uk/public/SearchResults.aspx?sk=DC6403NI;</v>
      </c>
    </row>
    <row r="351" spans="1:7" ht="70" customHeight="1" x14ac:dyDescent="0.3">
      <c r="A351" s="23" t="str">
        <f>IF(ISNA(VLOOKUP((ROW(A353)-15),'List of tables'!$A$4:$H$621,2,FALSE))," ",VLOOKUP((ROW(A353)-15),'List of tables'!$A$4:$H$621,2,FALSE))</f>
        <v>DC6404NI</v>
      </c>
      <c r="B351" s="21" t="str">
        <f>IF(ISNA(VLOOKUP((ROW(B353)-15),'List of tables'!$A$4:$H$621,3,FALSE))," ",VLOOKUP((ROW(B353)-15),'List of tables'!$A$4:$H$621,3,FALSE))</f>
        <v>NS-SeC by Tenure</v>
      </c>
      <c r="C351" s="21" t="str">
        <f>IF(ISNA(VLOOKUP((ROW(H353)-15),'List of tables'!$A$4:$H$621,8,FALSE))," ",VLOOKUP((ROW(H353)-15),'List of tables'!$A$4:$H$621,8,FALSE))</f>
        <v xml:space="preserve">All usual residents aged 16 to 74 in households </v>
      </c>
      <c r="D351" s="21" t="str">
        <f>IF(ISNA(VLOOKUP((ROW(D353)-15),'List of tables'!$A$4:$H$621,5,FALSE))," ",VLOOKUP((ROW(D353)-15),'List of tables'!$A$4:$H$621,5,FALSE))</f>
        <v>Local Government District, NUTS3, Education and Library Board, Health and Social Care Trust, Northern Ireland</v>
      </c>
      <c r="E351" s="22" t="str">
        <f t="shared" si="4"/>
        <v>Link to files</v>
      </c>
      <c r="G351" s="18" t="str">
        <f>IF(ISNA(VLOOKUP((ROW(G353)-15),'List of tables'!$A$4:$H$621,6,FALSE))," ",VLOOKUP((ROW(G353)-15),'List of tables'!$A$4:$H$621,6,FALSE))</f>
        <v>http://www.ninis2.nisra.gov.uk/public/SearchResults.aspx?sk=DC6404NI;</v>
      </c>
    </row>
    <row r="352" spans="1:7" ht="70" customHeight="1" x14ac:dyDescent="0.3">
      <c r="A352" s="23" t="str">
        <f>IF(ISNA(VLOOKUP((ROW(A354)-15),'List of tables'!$A$4:$H$621,2,FALSE))," ",VLOOKUP((ROW(A354)-15),'List of tables'!$A$4:$H$621,2,FALSE))</f>
        <v>DC6405NI</v>
      </c>
      <c r="B352" s="21" t="str">
        <f>IF(ISNA(VLOOKUP((ROW(B354)-15),'List of tables'!$A$4:$H$621,3,FALSE))," ",VLOOKUP((ROW(B354)-15),'List of tables'!$A$4:$H$621,3,FALSE))</f>
        <v>Approximated Social Grade by Tenure by Car or Van Availability</v>
      </c>
      <c r="C352" s="21" t="str">
        <f>IF(ISNA(VLOOKUP((ROW(H354)-15),'List of tables'!$A$4:$H$621,8,FALSE))," ",VLOOKUP((ROW(H354)-15),'List of tables'!$A$4:$H$621,8,FALSE))</f>
        <v>All usual residents aged 16 to 64 in households</v>
      </c>
      <c r="D352" s="21" t="str">
        <f>IF(ISNA(VLOOKUP((ROW(D354)-15),'List of tables'!$A$4:$H$621,5,FALSE))," ",VLOOKUP((ROW(D354)-15),'List of tables'!$A$4:$H$621,5,FALSE))</f>
        <v>Local Government District, NUTS3, Education and Library Board, Health and Social Care Trust, Northern Ireland</v>
      </c>
      <c r="E352" s="22" t="str">
        <f t="shared" si="4"/>
        <v>Link to files</v>
      </c>
      <c r="G352" s="18" t="str">
        <f>IF(ISNA(VLOOKUP((ROW(G354)-15),'List of tables'!$A$4:$H$621,6,FALSE))," ",VLOOKUP((ROW(G354)-15),'List of tables'!$A$4:$H$621,6,FALSE))</f>
        <v>http://www.ninis2.nisra.gov.uk/public/SearchResults.aspx?sk=DC6405NI;</v>
      </c>
    </row>
    <row r="353" spans="1:7" ht="70" customHeight="1" x14ac:dyDescent="0.3">
      <c r="A353" s="23" t="str">
        <f>IF(ISNA(VLOOKUP((ROW(A355)-15),'List of tables'!$A$4:$H$621,2,FALSE))," ",VLOOKUP((ROW(A355)-15),'List of tables'!$A$4:$H$621,2,FALSE))</f>
        <v>DC6501NI</v>
      </c>
      <c r="B353" s="21" t="str">
        <f>IF(ISNA(VLOOKUP((ROW(B355)-15),'List of tables'!$A$4:$H$621,3,FALSE))," ",VLOOKUP((ROW(B355)-15),'List of tables'!$A$4:$H$621,3,FALSE))</f>
        <v>Highest Level of Qualification by Economic Activity by Age by Sex</v>
      </c>
      <c r="C353" s="21" t="str">
        <f>IF(ISNA(VLOOKUP((ROW(H355)-15),'List of tables'!$A$4:$H$621,8,FALSE))," ",VLOOKUP((ROW(H355)-15),'List of tables'!$A$4:$H$621,8,FALSE))</f>
        <v>All usual residents aged 16 to 74</v>
      </c>
      <c r="D353" s="21" t="str">
        <f>IF(ISNA(VLOOKUP((ROW(D355)-15),'List of tables'!$A$4:$H$621,5,FALSE))," ",VLOOKUP((ROW(D355)-15),'List of tables'!$A$4:$H$621,5,FALSE))</f>
        <v>Northern Ireland</v>
      </c>
      <c r="E353" s="22" t="str">
        <f t="shared" si="4"/>
        <v>Link to files</v>
      </c>
      <c r="G353" s="18" t="str">
        <f>IF(ISNA(VLOOKUP((ROW(G355)-15),'List of tables'!$A$4:$H$621,6,FALSE))," ",VLOOKUP((ROW(G355)-15),'List of tables'!$A$4:$H$621,6,FALSE))</f>
        <v>http://www.ninis2.nisra.gov.uk/public/SearchResults.aspx?sk=DC6501NI;</v>
      </c>
    </row>
    <row r="354" spans="1:7" ht="70" customHeight="1" x14ac:dyDescent="0.3">
      <c r="A354" s="23" t="str">
        <f>IF(ISNA(VLOOKUP((ROW(A356)-15),'List of tables'!$A$4:$H$621,2,FALSE))," ",VLOOKUP((ROW(A356)-15),'List of tables'!$A$4:$H$621,2,FALSE))</f>
        <v>DC6504NI</v>
      </c>
      <c r="B354" s="21" t="str">
        <f>IF(ISNA(VLOOKUP((ROW(B356)-15),'List of tables'!$A$4:$H$621,3,FALSE))," ",VLOOKUP((ROW(B356)-15),'List of tables'!$A$4:$H$621,3,FALSE))</f>
        <v>Occupation by Highest Level of Qualification by Age by Sex</v>
      </c>
      <c r="C354" s="21" t="str">
        <f>IF(ISNA(VLOOKUP((ROW(H356)-15),'List of tables'!$A$4:$H$621,8,FALSE))," ",VLOOKUP((ROW(H356)-15),'List of tables'!$A$4:$H$621,8,FALSE))</f>
        <v>All usual residents aged 16 to 74</v>
      </c>
      <c r="D354" s="21" t="str">
        <f>IF(ISNA(VLOOKUP((ROW(D356)-15),'List of tables'!$A$4:$H$621,5,FALSE))," ",VLOOKUP((ROW(D356)-15),'List of tables'!$A$4:$H$621,5,FALSE))</f>
        <v>Northern Ireland</v>
      </c>
      <c r="E354" s="22" t="str">
        <f t="shared" si="4"/>
        <v>Link to files</v>
      </c>
      <c r="G354" s="18" t="str">
        <f>IF(ISNA(VLOOKUP((ROW(G356)-15),'List of tables'!$A$4:$H$621,6,FALSE))," ",VLOOKUP((ROW(G356)-15),'List of tables'!$A$4:$H$621,6,FALSE))</f>
        <v>http://www.ninis2.nisra.gov.uk/public/SearchResults.aspx?sk=DC6504NI;</v>
      </c>
    </row>
    <row r="355" spans="1:7" ht="70" customHeight="1" x14ac:dyDescent="0.3">
      <c r="A355" s="23" t="str">
        <f>IF(ISNA(VLOOKUP((ROW(A357)-15),'List of tables'!$A$4:$H$621,2,FALSE))," ",VLOOKUP((ROW(A357)-15),'List of tables'!$A$4:$H$621,2,FALSE))</f>
        <v>DC6505NI</v>
      </c>
      <c r="B355" s="21" t="str">
        <f>IF(ISNA(VLOOKUP((ROW(B357)-15),'List of tables'!$A$4:$H$621,3,FALSE))," ",VLOOKUP((ROW(B357)-15),'List of tables'!$A$4:$H$621,3,FALSE))</f>
        <v>NS-SeC by Highest Level of Qualification by Age by Sex</v>
      </c>
      <c r="C355" s="21" t="str">
        <f>IF(ISNA(VLOOKUP((ROW(H357)-15),'List of tables'!$A$4:$H$621,8,FALSE))," ",VLOOKUP((ROW(H357)-15),'List of tables'!$A$4:$H$621,8,FALSE))</f>
        <v xml:space="preserve">All usual residents aged 16 to 74 </v>
      </c>
      <c r="D355" s="21" t="str">
        <f>IF(ISNA(VLOOKUP((ROW(D357)-15),'List of tables'!$A$4:$H$621,5,FALSE))," ",VLOOKUP((ROW(D357)-15),'List of tables'!$A$4:$H$621,5,FALSE))</f>
        <v>Northern Ireland</v>
      </c>
      <c r="E355" s="22" t="str">
        <f t="shared" si="4"/>
        <v>Link to files</v>
      </c>
      <c r="G355" s="18" t="str">
        <f>IF(ISNA(VLOOKUP((ROW(G357)-15),'List of tables'!$A$4:$H$621,6,FALSE))," ",VLOOKUP((ROW(G357)-15),'List of tables'!$A$4:$H$621,6,FALSE))</f>
        <v>http://www.ninis2.nisra.gov.uk/public/SearchResults.aspx?sk=DC6505NI;</v>
      </c>
    </row>
    <row r="356" spans="1:7" ht="70" customHeight="1" x14ac:dyDescent="0.3">
      <c r="A356" s="23" t="str">
        <f>IF(ISNA(VLOOKUP((ROW(A358)-15),'List of tables'!$A$4:$H$621,2,FALSE))," ",VLOOKUP((ROW(A358)-15),'List of tables'!$A$4:$H$621,2,FALSE))</f>
        <v>DC6506NI</v>
      </c>
      <c r="B356" s="21" t="str">
        <f>IF(ISNA(VLOOKUP((ROW(B358)-15),'List of tables'!$A$4:$H$621,3,FALSE))," ",VLOOKUP((ROW(B358)-15),'List of tables'!$A$4:$H$621,3,FALSE))</f>
        <v>Highest Level of Qualification by Voluntary Work</v>
      </c>
      <c r="C356" s="21" t="str">
        <f>IF(ISNA(VLOOKUP((ROW(H358)-15),'List of tables'!$A$4:$H$621,8,FALSE))," ",VLOOKUP((ROW(H358)-15),'List of tables'!$A$4:$H$621,8,FALSE))</f>
        <v>All usual residents aged 16 and over</v>
      </c>
      <c r="D356" s="21" t="str">
        <f>IF(ISNA(VLOOKUP((ROW(D358)-15),'List of tables'!$A$4:$H$621,5,FALSE))," ",VLOOKUP((ROW(D358)-15),'List of tables'!$A$4:$H$621,5,FALSE))</f>
        <v>Super Output Area, Electoral Ward, Local Government District, Assembly Area, NUTS3, Education and Library Board, Health and Social Care Trust, Northern Ireland</v>
      </c>
      <c r="E356" s="22" t="str">
        <f t="shared" si="4"/>
        <v>Link to files</v>
      </c>
      <c r="G356" s="18" t="str">
        <f>IF(ISNA(VLOOKUP((ROW(G358)-15),'List of tables'!$A$4:$H$621,6,FALSE))," ",VLOOKUP((ROW(G358)-15),'List of tables'!$A$4:$H$621,6,FALSE))</f>
        <v>http://www.ninis2.nisra.gov.uk/public/SearchResults.aspx?sk=DC6506NI;</v>
      </c>
    </row>
    <row r="357" spans="1:7" ht="70" customHeight="1" x14ac:dyDescent="0.3">
      <c r="A357" s="23" t="str">
        <f>IF(ISNA(VLOOKUP((ROW(A359)-15),'List of tables'!$A$4:$H$621,2,FALSE))," ",VLOOKUP((ROW(A359)-15),'List of tables'!$A$4:$H$621,2,FALSE))</f>
        <v>DC6601NI</v>
      </c>
      <c r="B357" s="21" t="str">
        <f>IF(ISNA(VLOOKUP((ROW(B359)-15),'List of tables'!$A$4:$H$621,3,FALSE))," ",VLOOKUP((ROW(B359)-15),'List of tables'!$A$4:$H$621,3,FALSE))</f>
        <v>Economic Activity by Year Last Worked by Age by Sex</v>
      </c>
      <c r="C357" s="21" t="str">
        <f>IF(ISNA(VLOOKUP((ROW(H359)-15),'List of tables'!$A$4:$H$621,8,FALSE))," ",VLOOKUP((ROW(H359)-15),'List of tables'!$A$4:$H$621,8,FALSE))</f>
        <v>All usual residents aged 16 to 74</v>
      </c>
      <c r="D357" s="21" t="str">
        <f>IF(ISNA(VLOOKUP((ROW(D359)-15),'List of tables'!$A$4:$H$621,5,FALSE))," ",VLOOKUP((ROW(D359)-15),'List of tables'!$A$4:$H$621,5,FALSE))</f>
        <v>Northern Ireland</v>
      </c>
      <c r="E357" s="22" t="str">
        <f t="shared" si="4"/>
        <v>Link to files</v>
      </c>
      <c r="G357" s="18" t="str">
        <f>IF(ISNA(VLOOKUP((ROW(G359)-15),'List of tables'!$A$4:$H$621,6,FALSE))," ",VLOOKUP((ROW(G359)-15),'List of tables'!$A$4:$H$621,6,FALSE))</f>
        <v>http://www.ninis2.nisra.gov.uk/public/SearchResults.aspx?sk=DC6601NI;</v>
      </c>
    </row>
    <row r="358" spans="1:7" ht="70" customHeight="1" x14ac:dyDescent="0.3">
      <c r="A358" s="23" t="str">
        <f>IF(ISNA(VLOOKUP((ROW(A360)-15),'List of tables'!$A$4:$H$621,2,FALSE))," ",VLOOKUP((ROW(A360)-15),'List of tables'!$A$4:$H$621,2,FALSE))</f>
        <v>DC6602NI</v>
      </c>
      <c r="B358" s="21" t="str">
        <f>IF(ISNA(VLOOKUP((ROW(B360)-15),'List of tables'!$A$4:$H$621,3,FALSE))," ",VLOOKUP((ROW(B360)-15),'List of tables'!$A$4:$H$621,3,FALSE))</f>
        <v>NS-SeC by Economic Activity by Sex</v>
      </c>
      <c r="C358" s="21" t="str">
        <f>IF(ISNA(VLOOKUP((ROW(H360)-15),'List of tables'!$A$4:$H$621,8,FALSE))," ",VLOOKUP((ROW(H360)-15),'List of tables'!$A$4:$H$621,8,FALSE))</f>
        <v>All usual residents aged 16 to 74</v>
      </c>
      <c r="D358" s="21" t="str">
        <f>IF(ISNA(VLOOKUP((ROW(D360)-15),'List of tables'!$A$4:$H$621,5,FALSE))," ",VLOOKUP((ROW(D360)-15),'List of tables'!$A$4:$H$621,5,FALSE))</f>
        <v>Local Government District, NUTS3, Education and Library Board, Health and Social Care Trust, Northern Ireland</v>
      </c>
      <c r="E358" s="22" t="str">
        <f t="shared" si="4"/>
        <v>Link to files</v>
      </c>
      <c r="G358" s="18" t="str">
        <f>IF(ISNA(VLOOKUP((ROW(G360)-15),'List of tables'!$A$4:$H$621,6,FALSE))," ",VLOOKUP((ROW(G360)-15),'List of tables'!$A$4:$H$621,6,FALSE))</f>
        <v>http://www.ninis2.nisra.gov.uk/public/SearchResults.aspx?sk=DC6602NI;</v>
      </c>
    </row>
    <row r="359" spans="1:7" ht="70" customHeight="1" x14ac:dyDescent="0.3">
      <c r="A359" s="23" t="str">
        <f>IF(ISNA(VLOOKUP((ROW(A361)-15),'List of tables'!$A$4:$H$621,2,FALSE))," ",VLOOKUP((ROW(A361)-15),'List of tables'!$A$4:$H$621,2,FALSE))</f>
        <v>DC6603NI</v>
      </c>
      <c r="B359" s="21" t="str">
        <f>IF(ISNA(VLOOKUP((ROW(B361)-15),'List of tables'!$A$4:$H$621,3,FALSE))," ",VLOOKUP((ROW(B361)-15),'List of tables'!$A$4:$H$621,3,FALSE))</f>
        <v>Occupation by Hours Worked by Age by Sex</v>
      </c>
      <c r="C359" s="21" t="str">
        <f>IF(ISNA(VLOOKUP((ROW(H361)-15),'List of tables'!$A$4:$H$621,8,FALSE))," ",VLOOKUP((ROW(H361)-15),'List of tables'!$A$4:$H$621,8,FALSE))</f>
        <v>All usual residents aged 16 to 74 in employment</v>
      </c>
      <c r="D359" s="21" t="str">
        <f>IF(ISNA(VLOOKUP((ROW(D361)-15),'List of tables'!$A$4:$H$621,5,FALSE))," ",VLOOKUP((ROW(D361)-15),'List of tables'!$A$4:$H$621,5,FALSE))</f>
        <v>Northern Ireland</v>
      </c>
      <c r="E359" s="22" t="str">
        <f t="shared" si="4"/>
        <v>Link to files</v>
      </c>
      <c r="G359" s="18" t="str">
        <f>IF(ISNA(VLOOKUP((ROW(G361)-15),'List of tables'!$A$4:$H$621,6,FALSE))," ",VLOOKUP((ROW(G361)-15),'List of tables'!$A$4:$H$621,6,FALSE))</f>
        <v>http://www.ninis2.nisra.gov.uk/public/SearchResults.aspx?sk=DC6603NI;</v>
      </c>
    </row>
    <row r="360" spans="1:7" ht="70" customHeight="1" x14ac:dyDescent="0.3">
      <c r="A360" s="23" t="str">
        <f>IF(ISNA(VLOOKUP((ROW(A362)-15),'List of tables'!$A$4:$H$621,2,FALSE))," ",VLOOKUP((ROW(A362)-15),'List of tables'!$A$4:$H$621,2,FALSE))</f>
        <v>DC6604NI</v>
      </c>
      <c r="B360" s="21" t="str">
        <f>IF(ISNA(VLOOKUP((ROW(B362)-15),'List of tables'!$A$4:$H$621,3,FALSE))," ",VLOOKUP((ROW(B362)-15),'List of tables'!$A$4:$H$621,3,FALSE))</f>
        <v>Industry by Employment Status by Hours Worked by Age by Sex</v>
      </c>
      <c r="C360" s="21" t="str">
        <f>IF(ISNA(VLOOKUP((ROW(H362)-15),'List of tables'!$A$4:$H$621,8,FALSE))," ",VLOOKUP((ROW(H362)-15),'List of tables'!$A$4:$H$621,8,FALSE))</f>
        <v>All usual residents aged 16 to 74 in employment</v>
      </c>
      <c r="D360" s="21" t="str">
        <f>IF(ISNA(VLOOKUP((ROW(D362)-15),'List of tables'!$A$4:$H$621,5,FALSE))," ",VLOOKUP((ROW(D362)-15),'List of tables'!$A$4:$H$621,5,FALSE))</f>
        <v>Northern Ireland</v>
      </c>
      <c r="E360" s="22" t="str">
        <f t="shared" si="4"/>
        <v>Link to files</v>
      </c>
      <c r="G360" s="18" t="str">
        <f>IF(ISNA(VLOOKUP((ROW(G362)-15),'List of tables'!$A$4:$H$621,6,FALSE))," ",VLOOKUP((ROW(G362)-15),'List of tables'!$A$4:$H$621,6,FALSE))</f>
        <v>http://www.ninis2.nisra.gov.uk/public/SearchResults.aspx?sk=DC6604NI;</v>
      </c>
    </row>
    <row r="361" spans="1:7" ht="70" customHeight="1" x14ac:dyDescent="0.3">
      <c r="A361" s="23" t="str">
        <f>IF(ISNA(VLOOKUP((ROW(A363)-15),'List of tables'!$A$4:$H$621,2,FALSE))," ",VLOOKUP((ROW(A363)-15),'List of tables'!$A$4:$H$621,2,FALSE))</f>
        <v>DC6605NI</v>
      </c>
      <c r="B361" s="21" t="str">
        <f>IF(ISNA(VLOOKUP((ROW(B363)-15),'List of tables'!$A$4:$H$621,3,FALSE))," ",VLOOKUP((ROW(B363)-15),'List of tables'!$A$4:$H$621,3,FALSE))</f>
        <v>Occupation by Industry</v>
      </c>
      <c r="C361" s="21" t="str">
        <f>IF(ISNA(VLOOKUP((ROW(H363)-15),'List of tables'!$A$4:$H$621,8,FALSE))," ",VLOOKUP((ROW(H363)-15),'List of tables'!$A$4:$H$621,8,FALSE))</f>
        <v>All usual residents aged 16 to 74 in employment</v>
      </c>
      <c r="D361" s="21" t="str">
        <f>IF(ISNA(VLOOKUP((ROW(D363)-15),'List of tables'!$A$4:$H$621,5,FALSE))," ",VLOOKUP((ROW(D363)-15),'List of tables'!$A$4:$H$621,5,FALSE))</f>
        <v>Local Government District, NUTS3, Education and Library Board, Health and Social Care Trust, Northern Ireland</v>
      </c>
      <c r="E361" s="22" t="str">
        <f t="shared" si="4"/>
        <v>Link to files</v>
      </c>
      <c r="G361" s="18" t="str">
        <f>IF(ISNA(VLOOKUP((ROW(G363)-15),'List of tables'!$A$4:$H$621,6,FALSE))," ",VLOOKUP((ROW(G363)-15),'List of tables'!$A$4:$H$621,6,FALSE))</f>
        <v>http://www.ninis2.nisra.gov.uk/public/SearchResults.aspx?sk=DC6605NI;</v>
      </c>
    </row>
    <row r="362" spans="1:7" ht="70" customHeight="1" x14ac:dyDescent="0.3">
      <c r="A362" s="23" t="str">
        <f>IF(ISNA(VLOOKUP((ROW(A364)-15),'List of tables'!$A$4:$H$621,2,FALSE))," ",VLOOKUP((ROW(A364)-15),'List of tables'!$A$4:$H$621,2,FALSE))</f>
        <v>DC6606NI</v>
      </c>
      <c r="B362" s="21" t="str">
        <f>IF(ISNA(VLOOKUP((ROW(B364)-15),'List of tables'!$A$4:$H$621,3,FALSE))," ",VLOOKUP((ROW(B364)-15),'List of tables'!$A$4:$H$621,3,FALSE))</f>
        <v>Occupation by Employment Status by Hours Worked by Age by Sex</v>
      </c>
      <c r="C362" s="21" t="str">
        <f>IF(ISNA(VLOOKUP((ROW(H364)-15),'List of tables'!$A$4:$H$621,8,FALSE))," ",VLOOKUP((ROW(H364)-15),'List of tables'!$A$4:$H$621,8,FALSE))</f>
        <v>All usual residents aged 16 to 74 in employment</v>
      </c>
      <c r="D362" s="21" t="str">
        <f>IF(ISNA(VLOOKUP((ROW(D364)-15),'List of tables'!$A$4:$H$621,5,FALSE))," ",VLOOKUP((ROW(D364)-15),'List of tables'!$A$4:$H$621,5,FALSE))</f>
        <v>Northern Ireland</v>
      </c>
      <c r="E362" s="22" t="str">
        <f t="shared" si="4"/>
        <v>Link to files</v>
      </c>
      <c r="G362" s="18" t="str">
        <f>IF(ISNA(VLOOKUP((ROW(G364)-15),'List of tables'!$A$4:$H$621,6,FALSE))," ",VLOOKUP((ROW(G364)-15),'List of tables'!$A$4:$H$621,6,FALSE))</f>
        <v>http://www.ninis2.nisra.gov.uk/public/SearchResults.aspx?sk=DC6606NI;</v>
      </c>
    </row>
    <row r="363" spans="1:7" ht="70" customHeight="1" x14ac:dyDescent="0.3">
      <c r="A363" s="23" t="str">
        <f>IF(ISNA(VLOOKUP((ROW(A365)-15),'List of tables'!$A$4:$H$621,2,FALSE))," ",VLOOKUP((ROW(A365)-15),'List of tables'!$A$4:$H$621,2,FALSE))</f>
        <v>DC6607NI</v>
      </c>
      <c r="B363" s="21" t="str">
        <f>IF(ISNA(VLOOKUP((ROW(B365)-15),'List of tables'!$A$4:$H$621,3,FALSE))," ",VLOOKUP((ROW(B365)-15),'List of tables'!$A$4:$H$621,3,FALSE))</f>
        <v>Economic Activity by Voluntary Work</v>
      </c>
      <c r="C363" s="21" t="str">
        <f>IF(ISNA(VLOOKUP((ROW(H365)-15),'List of tables'!$A$4:$H$621,8,FALSE))," ",VLOOKUP((ROW(H365)-15),'List of tables'!$A$4:$H$621,8,FALSE))</f>
        <v>All usual residents aged 16 to 74</v>
      </c>
      <c r="D363" s="21" t="str">
        <f>IF(ISNA(VLOOKUP((ROW(D365)-15),'List of tables'!$A$4:$H$621,5,FALSE))," ",VLOOKUP((ROW(D365)-15),'List of tables'!$A$4:$H$621,5,FALSE))</f>
        <v>Super Output Area, Electoral Ward, Local Government District, Assembly Area, NUTS3, Education and Library Board, Health and Social Care Trust, Northern Ireland</v>
      </c>
      <c r="E363" s="22" t="str">
        <f t="shared" si="4"/>
        <v>Link to files</v>
      </c>
      <c r="G363" s="18" t="str">
        <f>IF(ISNA(VLOOKUP((ROW(G365)-15),'List of tables'!$A$4:$H$621,6,FALSE))," ",VLOOKUP((ROW(G365)-15),'List of tables'!$A$4:$H$621,6,FALSE))</f>
        <v>http://www.ninis2.nisra.gov.uk/public/SearchResults.aspx?sk=DC6607NI;</v>
      </c>
    </row>
    <row r="364" spans="1:7" ht="70" customHeight="1" x14ac:dyDescent="0.3">
      <c r="A364" s="23" t="str">
        <f>IF(ISNA(VLOOKUP((ROW(A366)-15),'List of tables'!$A$4:$H$621,2,FALSE))," ",VLOOKUP((ROW(A366)-15),'List of tables'!$A$4:$H$621,2,FALSE))</f>
        <v>DC7101NI</v>
      </c>
      <c r="B364" s="21" t="str">
        <f>IF(ISNA(VLOOKUP((ROW(B366)-15),'List of tables'!$A$4:$H$621,3,FALSE))," ",VLOOKUP((ROW(B366)-15),'List of tables'!$A$4:$H$621,3,FALSE))</f>
        <v>Method of Travel to Work by Age by Sex</v>
      </c>
      <c r="C364" s="21" t="str">
        <f>IF(ISNA(VLOOKUP((ROW(H366)-15),'List of tables'!$A$4:$H$621,8,FALSE))," ",VLOOKUP((ROW(H366)-15),'List of tables'!$A$4:$H$621,8,FALSE))</f>
        <v>All usual residents aged 16 to 74 (excluding students) in employment and currently working</v>
      </c>
      <c r="D364" s="21" t="str">
        <f>IF(ISNA(VLOOKUP((ROW(D366)-15),'List of tables'!$A$4:$H$621,5,FALSE))," ",VLOOKUP((ROW(D366)-15),'List of tables'!$A$4:$H$621,5,FALSE))</f>
        <v>Local Government District, NUTS3, Education and Library Board, Health and Social Care Trust, Northern Ireland</v>
      </c>
      <c r="E364" s="22" t="str">
        <f t="shared" si="4"/>
        <v>Link to files</v>
      </c>
      <c r="G364" s="18" t="str">
        <f>IF(ISNA(VLOOKUP((ROW(G366)-15),'List of tables'!$A$4:$H$621,6,FALSE))," ",VLOOKUP((ROW(G366)-15),'List of tables'!$A$4:$H$621,6,FALSE))</f>
        <v>http://www.ninis2.nisra.gov.uk/public/SearchResults.aspx?sk=DC7101NI;</v>
      </c>
    </row>
    <row r="365" spans="1:7" ht="70" customHeight="1" x14ac:dyDescent="0.3">
      <c r="A365" s="23" t="str">
        <f>IF(ISNA(VLOOKUP((ROW(A367)-15),'List of tables'!$A$4:$H$621,2,FALSE))," ",VLOOKUP((ROW(A367)-15),'List of tables'!$A$4:$H$621,2,FALSE))</f>
        <v>DC7102NI</v>
      </c>
      <c r="B365" s="21" t="str">
        <f>IF(ISNA(VLOOKUP((ROW(B367)-15),'List of tables'!$A$4:$H$621,3,FALSE))," ",VLOOKUP((ROW(B367)-15),'List of tables'!$A$4:$H$621,3,FALSE))</f>
        <v>Distance Travelled to Work by Age by Sex</v>
      </c>
      <c r="C365" s="21" t="str">
        <f>IF(ISNA(VLOOKUP((ROW(H367)-15),'List of tables'!$A$4:$H$621,8,FALSE))," ",VLOOKUP((ROW(H367)-15),'List of tables'!$A$4:$H$621,8,FALSE))</f>
        <v>All usual residents aged 16 to 74 (excluding students) in employment and currently working</v>
      </c>
      <c r="D365" s="21" t="str">
        <f>IF(ISNA(VLOOKUP((ROW(D367)-15),'List of tables'!$A$4:$H$621,5,FALSE))," ",VLOOKUP((ROW(D367)-15),'List of tables'!$A$4:$H$621,5,FALSE))</f>
        <v>Local Government District, NUTS3, Education and Library Board, Health and Social Care Trust, Northern Ireland</v>
      </c>
      <c r="E365" s="22" t="str">
        <f t="shared" si="4"/>
        <v>Link to files</v>
      </c>
      <c r="G365" s="18" t="str">
        <f>IF(ISNA(VLOOKUP((ROW(G367)-15),'List of tables'!$A$4:$H$621,6,FALSE))," ",VLOOKUP((ROW(G367)-15),'List of tables'!$A$4:$H$621,6,FALSE))</f>
        <v>http://www.ninis2.nisra.gov.uk/public/SearchResults.aspx?sk=DC7102NI;</v>
      </c>
    </row>
    <row r="366" spans="1:7" ht="70" customHeight="1" x14ac:dyDescent="0.3">
      <c r="A366" s="23" t="str">
        <f>IF(ISNA(VLOOKUP((ROW(A368)-15),'List of tables'!$A$4:$H$621,2,FALSE))," ",VLOOKUP((ROW(A368)-15),'List of tables'!$A$4:$H$621,2,FALSE))</f>
        <v>DC7103NI</v>
      </c>
      <c r="B366" s="21" t="str">
        <f>IF(ISNA(VLOOKUP((ROW(B368)-15),'List of tables'!$A$4:$H$621,3,FALSE))," ",VLOOKUP((ROW(B368)-15),'List of tables'!$A$4:$H$621,3,FALSE))</f>
        <v>Method of Travel to Place of Study by Age by Sex</v>
      </c>
      <c r="C366" s="21" t="str">
        <f>IF(ISNA(VLOOKUP((ROW(H368)-15),'List of tables'!$A$4:$H$621,8,FALSE))," ",VLOOKUP((ROW(H368)-15),'List of tables'!$A$4:$H$621,8,FALSE))</f>
        <v>All usual residents of primary school age and over in full-time education</v>
      </c>
      <c r="D366" s="21" t="str">
        <f>IF(ISNA(VLOOKUP((ROW(D368)-15),'List of tables'!$A$4:$H$621,5,FALSE))," ",VLOOKUP((ROW(D368)-15),'List of tables'!$A$4:$H$621,5,FALSE))</f>
        <v>Local Government District, NUTS3, Education and Library Board, Health and Social Care Trust, Northern Ireland</v>
      </c>
      <c r="E366" s="22" t="str">
        <f t="shared" si="4"/>
        <v>Link to files</v>
      </c>
      <c r="G366" s="18" t="str">
        <f>IF(ISNA(VLOOKUP((ROW(G368)-15),'List of tables'!$A$4:$H$621,6,FALSE))," ",VLOOKUP((ROW(G368)-15),'List of tables'!$A$4:$H$621,6,FALSE))</f>
        <v>http://www.ninis2.nisra.gov.uk/public/SearchResults.aspx?sk=DC7103NI;</v>
      </c>
    </row>
    <row r="367" spans="1:7" ht="70" customHeight="1" x14ac:dyDescent="0.3">
      <c r="A367" s="23" t="str">
        <f>IF(ISNA(VLOOKUP((ROW(A369)-15),'List of tables'!$A$4:$H$621,2,FALSE))," ",VLOOKUP((ROW(A369)-15),'List of tables'!$A$4:$H$621,2,FALSE))</f>
        <v>DC7104NI</v>
      </c>
      <c r="B367" s="21" t="str">
        <f>IF(ISNA(VLOOKUP((ROW(B369)-15),'List of tables'!$A$4:$H$621,3,FALSE))," ",VLOOKUP((ROW(B369)-15),'List of tables'!$A$4:$H$621,3,FALSE))</f>
        <v>Distance Travelled to Place of Study by Age by Sex</v>
      </c>
      <c r="C367" s="21" t="str">
        <f>IF(ISNA(VLOOKUP((ROW(H369)-15),'List of tables'!$A$4:$H$621,8,FALSE))," ",VLOOKUP((ROW(H369)-15),'List of tables'!$A$4:$H$621,8,FALSE))</f>
        <v>All usual residents of primary school age and over in full-time education</v>
      </c>
      <c r="D367" s="21" t="str">
        <f>IF(ISNA(VLOOKUP((ROW(D369)-15),'List of tables'!$A$4:$H$621,5,FALSE))," ",VLOOKUP((ROW(D369)-15),'List of tables'!$A$4:$H$621,5,FALSE))</f>
        <v>Local Government District, NUTS3, Education and Library Board, Health and Social Care Trust, Northern Ireland</v>
      </c>
      <c r="E367" s="22" t="str">
        <f t="shared" si="4"/>
        <v>Link to files</v>
      </c>
      <c r="G367" s="18" t="str">
        <f>IF(ISNA(VLOOKUP((ROW(G369)-15),'List of tables'!$A$4:$H$621,6,FALSE))," ",VLOOKUP((ROW(G369)-15),'List of tables'!$A$4:$H$621,6,FALSE))</f>
        <v>http://www.ninis2.nisra.gov.uk/public/SearchResults.aspx?sk=DC7104NI;</v>
      </c>
    </row>
    <row r="368" spans="1:7" ht="70" customHeight="1" x14ac:dyDescent="0.3">
      <c r="A368" s="23" t="str">
        <f>IF(ISNA(VLOOKUP((ROW(A370)-15),'List of tables'!$A$4:$H$621,2,FALSE))," ",VLOOKUP((ROW(A370)-15),'List of tables'!$A$4:$H$621,2,FALSE))</f>
        <v>DC7201NI</v>
      </c>
      <c r="B368" s="21" t="str">
        <f>IF(ISNA(VLOOKUP((ROW(B370)-15),'List of tables'!$A$4:$H$621,3,FALSE))," ",VLOOKUP((ROW(B370)-15),'List of tables'!$A$4:$H$621,3,FALSE))</f>
        <v>Ethnic Group by Method of Travel to Work</v>
      </c>
      <c r="C368" s="21" t="str">
        <f>IF(ISNA(VLOOKUP((ROW(H370)-15),'List of tables'!$A$4:$H$621,8,FALSE))," ",VLOOKUP((ROW(H370)-15),'List of tables'!$A$4:$H$621,8,FALSE))</f>
        <v>All usual residents aged 16 to 74 (excluding full-time students) in employment and currently working</v>
      </c>
      <c r="D368" s="21" t="str">
        <f>IF(ISNA(VLOOKUP((ROW(D370)-15),'List of tables'!$A$4:$H$621,5,FALSE))," ",VLOOKUP((ROW(D370)-15),'List of tables'!$A$4:$H$621,5,FALSE))</f>
        <v>Northern Ireland</v>
      </c>
      <c r="E368" s="22" t="str">
        <f t="shared" si="4"/>
        <v>Link to files</v>
      </c>
      <c r="G368" s="18" t="str">
        <f>IF(ISNA(VLOOKUP((ROW(G370)-15),'List of tables'!$A$4:$H$621,6,FALSE))," ",VLOOKUP((ROW(G370)-15),'List of tables'!$A$4:$H$621,6,FALSE))</f>
        <v>http://www.ninis2.nisra.gov.uk/public/SearchResults.aspx?sk=DC7201NI;</v>
      </c>
    </row>
    <row r="369" spans="1:7" ht="70" customHeight="1" x14ac:dyDescent="0.3">
      <c r="A369" s="23" t="str">
        <f>IF(ISNA(VLOOKUP((ROW(A371)-15),'List of tables'!$A$4:$H$621,2,FALSE))," ",VLOOKUP((ROW(A371)-15),'List of tables'!$A$4:$H$621,2,FALSE))</f>
        <v>DC7202NI</v>
      </c>
      <c r="B369" s="21" t="str">
        <f>IF(ISNA(VLOOKUP((ROW(B371)-15),'List of tables'!$A$4:$H$621,3,FALSE))," ",VLOOKUP((ROW(B371)-15),'List of tables'!$A$4:$H$621,3,FALSE))</f>
        <v>Ethnic Group by Distance Travelled to Work</v>
      </c>
      <c r="C369" s="21" t="str">
        <f>IF(ISNA(VLOOKUP((ROW(H371)-15),'List of tables'!$A$4:$H$621,8,FALSE))," ",VLOOKUP((ROW(H371)-15),'List of tables'!$A$4:$H$621,8,FALSE))</f>
        <v>All usual residents aged 16 to 74 (excluding full-time students) in employment and currently working</v>
      </c>
      <c r="D369" s="21" t="str">
        <f>IF(ISNA(VLOOKUP((ROW(D371)-15),'List of tables'!$A$4:$H$621,5,FALSE))," ",VLOOKUP((ROW(D371)-15),'List of tables'!$A$4:$H$621,5,FALSE))</f>
        <v>Northern Ireland</v>
      </c>
      <c r="E369" s="22" t="str">
        <f t="shared" si="4"/>
        <v>Link to files</v>
      </c>
      <c r="G369" s="18" t="str">
        <f>IF(ISNA(VLOOKUP((ROW(G371)-15),'List of tables'!$A$4:$H$621,6,FALSE))," ",VLOOKUP((ROW(G371)-15),'List of tables'!$A$4:$H$621,6,FALSE))</f>
        <v>http://www.ninis2.nisra.gov.uk/public/SearchResults.aspx?sk=DC7202NI;</v>
      </c>
    </row>
    <row r="370" spans="1:7" ht="70" customHeight="1" x14ac:dyDescent="0.3">
      <c r="A370" s="23" t="str">
        <f>IF(ISNA(VLOOKUP((ROW(A372)-15),'List of tables'!$A$4:$H$621,2,FALSE))," ",VLOOKUP((ROW(A372)-15),'List of tables'!$A$4:$H$621,2,FALSE))</f>
        <v>DC7203NI</v>
      </c>
      <c r="B370" s="21" t="str">
        <f>IF(ISNA(VLOOKUP((ROW(B372)-15),'List of tables'!$A$4:$H$621,3,FALSE))," ",VLOOKUP((ROW(B372)-15),'List of tables'!$A$4:$H$621,3,FALSE))</f>
        <v>Religion by Distance Travelled to Work by Sex</v>
      </c>
      <c r="C370" s="21" t="str">
        <f>IF(ISNA(VLOOKUP((ROW(H372)-15),'List of tables'!$A$4:$H$621,8,FALSE))," ",VLOOKUP((ROW(H372)-15),'List of tables'!$A$4:$H$621,8,FALSE))</f>
        <v>All usual residents aged 16 to 74 (excluding full-time students) in employment and currently working</v>
      </c>
      <c r="D370" s="21" t="str">
        <f>IF(ISNA(VLOOKUP((ROW(D372)-15),'List of tables'!$A$4:$H$621,5,FALSE))," ",VLOOKUP((ROW(D372)-15),'List of tables'!$A$4:$H$621,5,FALSE))</f>
        <v>Local Government District, NUTS3, Education and Library Board, Health and Social Care Trust, Northern Ireland</v>
      </c>
      <c r="E370" s="22" t="str">
        <f t="shared" si="4"/>
        <v>Link to files</v>
      </c>
      <c r="G370" s="18" t="str">
        <f>IF(ISNA(VLOOKUP((ROW(G372)-15),'List of tables'!$A$4:$H$621,6,FALSE))," ",VLOOKUP((ROW(G372)-15),'List of tables'!$A$4:$H$621,6,FALSE))</f>
        <v>http://www.ninis2.nisra.gov.uk/public/SearchResults.aspx?sk=DC7203NI;</v>
      </c>
    </row>
    <row r="371" spans="1:7" ht="70" customHeight="1" x14ac:dyDescent="0.3">
      <c r="A371" s="23" t="str">
        <f>IF(ISNA(VLOOKUP((ROW(A373)-15),'List of tables'!$A$4:$H$621,2,FALSE))," ",VLOOKUP((ROW(A373)-15),'List of tables'!$A$4:$H$621,2,FALSE))</f>
        <v>DC7204NI</v>
      </c>
      <c r="B371" s="21" t="str">
        <f>IF(ISNA(VLOOKUP((ROW(B373)-15),'List of tables'!$A$4:$H$621,3,FALSE))," ",VLOOKUP((ROW(B373)-15),'List of tables'!$A$4:$H$621,3,FALSE))</f>
        <v>Religion or Religion Brought Up In by Distance Travelled to Work by Sex</v>
      </c>
      <c r="C371" s="21" t="str">
        <f>IF(ISNA(VLOOKUP((ROW(H373)-15),'List of tables'!$A$4:$H$621,8,FALSE))," ",VLOOKUP((ROW(H373)-15),'List of tables'!$A$4:$H$621,8,FALSE))</f>
        <v>All usual residents aged 16 to 74 (excluding students) in employment and currently working</v>
      </c>
      <c r="D371" s="21" t="str">
        <f>IF(ISNA(VLOOKUP((ROW(D373)-15),'List of tables'!$A$4:$H$621,5,FALSE))," ",VLOOKUP((ROW(D373)-15),'List of tables'!$A$4:$H$621,5,FALSE))</f>
        <v>Local Government District, NUTS3, Education and Library Board, Health and Social Care Trust, Northern Ireland</v>
      </c>
      <c r="E371" s="22" t="str">
        <f t="shared" si="4"/>
        <v>Link to files</v>
      </c>
      <c r="G371" s="18" t="str">
        <f>IF(ISNA(VLOOKUP((ROW(G373)-15),'List of tables'!$A$4:$H$621,6,FALSE))," ",VLOOKUP((ROW(G373)-15),'List of tables'!$A$4:$H$621,6,FALSE))</f>
        <v>http://www.ninis2.nisra.gov.uk/public/SearchResults.aspx?sk=DC7204NI;</v>
      </c>
    </row>
    <row r="372" spans="1:7" ht="70" customHeight="1" x14ac:dyDescent="0.3">
      <c r="A372" s="23" t="str">
        <f>IF(ISNA(VLOOKUP((ROW(A374)-15),'List of tables'!$A$4:$H$621,2,FALSE))," ",VLOOKUP((ROW(A374)-15),'List of tables'!$A$4:$H$621,2,FALSE))</f>
        <v>DC7205NI</v>
      </c>
      <c r="B372" s="21" t="str">
        <f>IF(ISNA(VLOOKUP((ROW(B374)-15),'List of tables'!$A$4:$H$621,3,FALSE))," ",VLOOKUP((ROW(B374)-15),'List of tables'!$A$4:$H$621,3,FALSE))</f>
        <v>Religion by Distance Travelled to Place of Study by Sex</v>
      </c>
      <c r="C372" s="21" t="str">
        <f>IF(ISNA(VLOOKUP((ROW(H374)-15),'List of tables'!$A$4:$H$621,8,FALSE))," ",VLOOKUP((ROW(H374)-15),'List of tables'!$A$4:$H$621,8,FALSE))</f>
        <v>All usual residents of primary school age and over in full-time education</v>
      </c>
      <c r="D372" s="21" t="str">
        <f>IF(ISNA(VLOOKUP((ROW(D374)-15),'List of tables'!$A$4:$H$621,5,FALSE))," ",VLOOKUP((ROW(D374)-15),'List of tables'!$A$4:$H$621,5,FALSE))</f>
        <v>Local Government District, NUTS3, Education and Library Board, Health and Social Care Trust, Northern Ireland</v>
      </c>
      <c r="E372" s="22" t="str">
        <f t="shared" si="4"/>
        <v>Link to files</v>
      </c>
      <c r="G372" s="18" t="str">
        <f>IF(ISNA(VLOOKUP((ROW(G374)-15),'List of tables'!$A$4:$H$621,6,FALSE))," ",VLOOKUP((ROW(G374)-15),'List of tables'!$A$4:$H$621,6,FALSE))</f>
        <v>http://www.ninis2.nisra.gov.uk/public/SearchResults.aspx?sk=DC7205NI;</v>
      </c>
    </row>
    <row r="373" spans="1:7" ht="70" customHeight="1" x14ac:dyDescent="0.3">
      <c r="A373" s="23" t="str">
        <f>IF(ISNA(VLOOKUP((ROW(A375)-15),'List of tables'!$A$4:$H$621,2,FALSE))," ",VLOOKUP((ROW(A375)-15),'List of tables'!$A$4:$H$621,2,FALSE))</f>
        <v>DC7206NI</v>
      </c>
      <c r="B373" s="21" t="str">
        <f>IF(ISNA(VLOOKUP((ROW(B375)-15),'List of tables'!$A$4:$H$621,3,FALSE))," ",VLOOKUP((ROW(B375)-15),'List of tables'!$A$4:$H$621,3,FALSE))</f>
        <v>Religion or Religion Brought Up in by Distance Travelled to Place of Study by Sex</v>
      </c>
      <c r="C373" s="21" t="str">
        <f>IF(ISNA(VLOOKUP((ROW(H375)-15),'List of tables'!$A$4:$H$621,8,FALSE))," ",VLOOKUP((ROW(H375)-15),'List of tables'!$A$4:$H$621,8,FALSE))</f>
        <v>All usual residents of primary school age and over in full-time education</v>
      </c>
      <c r="D373" s="21" t="str">
        <f>IF(ISNA(VLOOKUP((ROW(D375)-15),'List of tables'!$A$4:$H$621,5,FALSE))," ",VLOOKUP((ROW(D375)-15),'List of tables'!$A$4:$H$621,5,FALSE))</f>
        <v>Local Government District, NUTS3, Education and Library Board, Health and Social Care Trust, Northern Ireland</v>
      </c>
      <c r="E373" s="22" t="str">
        <f t="shared" si="4"/>
        <v>Link to files</v>
      </c>
      <c r="G373" s="18" t="str">
        <f>IF(ISNA(VLOOKUP((ROW(G375)-15),'List of tables'!$A$4:$H$621,6,FALSE))," ",VLOOKUP((ROW(G375)-15),'List of tables'!$A$4:$H$621,6,FALSE))</f>
        <v>http://www.ninis2.nisra.gov.uk/public/SearchResults.aspx?sk=DC7206NI;</v>
      </c>
    </row>
    <row r="374" spans="1:7" ht="70" customHeight="1" x14ac:dyDescent="0.3">
      <c r="A374" s="23" t="str">
        <f>IF(ISNA(VLOOKUP((ROW(A376)-15),'List of tables'!$A$4:$H$621,2,FALSE))," ",VLOOKUP((ROW(A376)-15),'List of tables'!$A$4:$H$621,2,FALSE))</f>
        <v>DC7301NI</v>
      </c>
      <c r="B374" s="21" t="str">
        <f>IF(ISNA(VLOOKUP((ROW(B376)-15),'List of tables'!$A$4:$H$621,3,FALSE))," ",VLOOKUP((ROW(B376)-15),'List of tables'!$A$4:$H$621,3,FALSE))</f>
        <v>Long-Term Health Problem or Disability by Method of Travel to Work</v>
      </c>
      <c r="C374" s="21" t="str">
        <f>IF(ISNA(VLOOKUP((ROW(H376)-15),'List of tables'!$A$4:$H$621,8,FALSE))," ",VLOOKUP((ROW(H376)-15),'List of tables'!$A$4:$H$621,8,FALSE))</f>
        <v>All usual residents aged 16 to 74 (excluding students) in employment and currently working</v>
      </c>
      <c r="D374" s="21" t="str">
        <f>IF(ISNA(VLOOKUP((ROW(D376)-15),'List of tables'!$A$4:$H$621,5,FALSE))," ",VLOOKUP((ROW(D376)-15),'List of tables'!$A$4:$H$621,5,FALSE))</f>
        <v>Local Government District, NUTS3, Education and Library Board, Health and Social Care Trust, Northern Ireland</v>
      </c>
      <c r="E374" s="22" t="str">
        <f t="shared" si="4"/>
        <v>Link to files</v>
      </c>
      <c r="G374" s="18" t="str">
        <f>IF(ISNA(VLOOKUP((ROW(G376)-15),'List of tables'!$A$4:$H$621,6,FALSE))," ",VLOOKUP((ROW(G376)-15),'List of tables'!$A$4:$H$621,6,FALSE))</f>
        <v>http://www.ninis2.nisra.gov.uk/public/SearchResults.aspx?sk=DC7301NI;</v>
      </c>
    </row>
    <row r="375" spans="1:7" ht="70" customHeight="1" x14ac:dyDescent="0.3">
      <c r="A375" s="23" t="str">
        <f>IF(ISNA(VLOOKUP((ROW(A377)-15),'List of tables'!$A$4:$H$621,2,FALSE))," ",VLOOKUP((ROW(A377)-15),'List of tables'!$A$4:$H$621,2,FALSE))</f>
        <v>DC7302NI</v>
      </c>
      <c r="B375" s="21" t="str">
        <f>IF(ISNA(VLOOKUP((ROW(B377)-15),'List of tables'!$A$4:$H$621,3,FALSE))," ",VLOOKUP((ROW(B377)-15),'List of tables'!$A$4:$H$621,3,FALSE))</f>
        <v>Long-Term Health Problem or Disability by Distance Travelled to Work</v>
      </c>
      <c r="C375" s="21" t="str">
        <f>IF(ISNA(VLOOKUP((ROW(H377)-15),'List of tables'!$A$4:$H$621,8,FALSE))," ",VLOOKUP((ROW(H377)-15),'List of tables'!$A$4:$H$621,8,FALSE))</f>
        <v>All usual residents aged 16 to 74 (excluding students) in employment and currently working</v>
      </c>
      <c r="D375" s="21" t="str">
        <f>IF(ISNA(VLOOKUP((ROW(D377)-15),'List of tables'!$A$4:$H$621,5,FALSE))," ",VLOOKUP((ROW(D377)-15),'List of tables'!$A$4:$H$621,5,FALSE))</f>
        <v>Local Government District, NUTS3, Education and Library Board, Health and Social Care Trust, Northern Ireland</v>
      </c>
      <c r="E375" s="22" t="str">
        <f t="shared" si="4"/>
        <v>Link to files</v>
      </c>
      <c r="G375" s="18" t="str">
        <f>IF(ISNA(VLOOKUP((ROW(G377)-15),'List of tables'!$A$4:$H$621,6,FALSE))," ",VLOOKUP((ROW(G377)-15),'List of tables'!$A$4:$H$621,6,FALSE))</f>
        <v>http://www.ninis2.nisra.gov.uk/public/SearchResults.aspx?sk=DC7302NI;</v>
      </c>
    </row>
    <row r="376" spans="1:7" ht="70" customHeight="1" x14ac:dyDescent="0.3">
      <c r="A376" s="23" t="str">
        <f>IF(ISNA(VLOOKUP((ROW(A378)-15),'List of tables'!$A$4:$H$621,2,FALSE))," ",VLOOKUP((ROW(A378)-15),'List of tables'!$A$4:$H$621,2,FALSE))</f>
        <v>DC7303NI</v>
      </c>
      <c r="B376" s="21" t="str">
        <f>IF(ISNA(VLOOKUP((ROW(B378)-15),'List of tables'!$A$4:$H$621,3,FALSE))," ",VLOOKUP((ROW(B378)-15),'List of tables'!$A$4:$H$621,3,FALSE))</f>
        <v>Long-Term Health Problem or Disability by Method of Travel to Place of Study</v>
      </c>
      <c r="C376" s="21" t="str">
        <f>IF(ISNA(VLOOKUP((ROW(H378)-15),'List of tables'!$A$4:$H$621,8,FALSE))," ",VLOOKUP((ROW(H378)-15),'List of tables'!$A$4:$H$621,8,FALSE))</f>
        <v>All usual residents of primary school age and over in full-time education</v>
      </c>
      <c r="D376" s="21" t="str">
        <f>IF(ISNA(VLOOKUP((ROW(D378)-15),'List of tables'!$A$4:$H$621,5,FALSE))," ",VLOOKUP((ROW(D378)-15),'List of tables'!$A$4:$H$621,5,FALSE))</f>
        <v>Local Government District, NUTS3, Education and Library Board, Health and Social Care Trust, Northern Ireland</v>
      </c>
      <c r="E376" s="22" t="str">
        <f t="shared" si="4"/>
        <v>Link to files</v>
      </c>
      <c r="G376" s="18" t="str">
        <f>IF(ISNA(VLOOKUP((ROW(G378)-15),'List of tables'!$A$4:$H$621,6,FALSE))," ",VLOOKUP((ROW(G378)-15),'List of tables'!$A$4:$H$621,6,FALSE))</f>
        <v>http://www.ninis2.nisra.gov.uk/public/SearchResults.aspx?sk=DC7303NI;</v>
      </c>
    </row>
    <row r="377" spans="1:7" ht="70" customHeight="1" x14ac:dyDescent="0.3">
      <c r="A377" s="23" t="str">
        <f>IF(ISNA(VLOOKUP((ROW(A379)-15),'List of tables'!$A$4:$H$621,2,FALSE))," ",VLOOKUP((ROW(A379)-15),'List of tables'!$A$4:$H$621,2,FALSE))</f>
        <v>DC7304NI</v>
      </c>
      <c r="B377" s="21" t="str">
        <f>IF(ISNA(VLOOKUP((ROW(B379)-15),'List of tables'!$A$4:$H$621,3,FALSE))," ",VLOOKUP((ROW(B379)-15),'List of tables'!$A$4:$H$621,3,FALSE))</f>
        <v>Long-Term Health Problem or Disability by Distance Travelled to Place of Study</v>
      </c>
      <c r="C377" s="21" t="str">
        <f>IF(ISNA(VLOOKUP((ROW(H379)-15),'List of tables'!$A$4:$H$621,8,FALSE))," ",VLOOKUP((ROW(H379)-15),'List of tables'!$A$4:$H$621,8,FALSE))</f>
        <v>All usual residents of primary school age and over in full-time education</v>
      </c>
      <c r="D377" s="21" t="str">
        <f>IF(ISNA(VLOOKUP((ROW(D379)-15),'List of tables'!$A$4:$H$621,5,FALSE))," ",VLOOKUP((ROW(D379)-15),'List of tables'!$A$4:$H$621,5,FALSE))</f>
        <v>Local Government District, NUTS3, Education and Library Board, Health and Social Care Trust, Northern Ireland</v>
      </c>
      <c r="E377" s="22" t="str">
        <f t="shared" si="4"/>
        <v>Link to files</v>
      </c>
      <c r="G377" s="18" t="str">
        <f>IF(ISNA(VLOOKUP((ROW(G379)-15),'List of tables'!$A$4:$H$621,6,FALSE))," ",VLOOKUP((ROW(G379)-15),'List of tables'!$A$4:$H$621,6,FALSE))</f>
        <v>http://www.ninis2.nisra.gov.uk/public/SearchResults.aspx?sk=DC7304NI;</v>
      </c>
    </row>
    <row r="378" spans="1:7" ht="70" customHeight="1" x14ac:dyDescent="0.3">
      <c r="A378" s="23" t="str">
        <f>IF(ISNA(VLOOKUP((ROW(A380)-15),'List of tables'!$A$4:$H$621,2,FALSE))," ",VLOOKUP((ROW(A380)-15),'List of tables'!$A$4:$H$621,2,FALSE))</f>
        <v>DC7401NI</v>
      </c>
      <c r="B378" s="21" t="str">
        <f>IF(ISNA(VLOOKUP((ROW(B380)-15),'List of tables'!$A$4:$H$621,3,FALSE))," ",VLOOKUP((ROW(B380)-15),'List of tables'!$A$4:$H$621,3,FALSE))</f>
        <v>Method of Travel to Work by Car or Van Availability</v>
      </c>
      <c r="C378" s="21" t="str">
        <f>IF(ISNA(VLOOKUP((ROW(H380)-15),'List of tables'!$A$4:$H$621,8,FALSE))," ",VLOOKUP((ROW(H380)-15),'List of tables'!$A$4:$H$621,8,FALSE))</f>
        <v>All usual residents aged 16 to 74 (excluding students) in households in employment and currently working</v>
      </c>
      <c r="D378" s="21" t="str">
        <f>IF(ISNA(VLOOKUP((ROW(D380)-15),'List of tables'!$A$4:$H$621,5,FALSE))," ",VLOOKUP((ROW(D380)-15),'List of tables'!$A$4:$H$621,5,FALSE))</f>
        <v>Local Government District, NUTS3, Education and Library Board, Health and Social Care Trust, Northern Ireland</v>
      </c>
      <c r="E378" s="22" t="str">
        <f t="shared" si="4"/>
        <v>Link to files</v>
      </c>
      <c r="G378" s="18" t="str">
        <f>IF(ISNA(VLOOKUP((ROW(G380)-15),'List of tables'!$A$4:$H$621,6,FALSE))," ",VLOOKUP((ROW(G380)-15),'List of tables'!$A$4:$H$621,6,FALSE))</f>
        <v>http://www.ninis2.nisra.gov.uk/public/SearchResults.aspx?sk=DC7401NI;</v>
      </c>
    </row>
    <row r="379" spans="1:7" ht="70" customHeight="1" x14ac:dyDescent="0.3">
      <c r="A379" s="23" t="str">
        <f>IF(ISNA(VLOOKUP((ROW(A381)-15),'List of tables'!$A$4:$H$621,2,FALSE))," ",VLOOKUP((ROW(A381)-15),'List of tables'!$A$4:$H$621,2,FALSE))</f>
        <v>DC7402NI</v>
      </c>
      <c r="B379" s="21" t="str">
        <f>IF(ISNA(VLOOKUP((ROW(B381)-15),'List of tables'!$A$4:$H$621,3,FALSE))," ",VLOOKUP((ROW(B381)-15),'List of tables'!$A$4:$H$621,3,FALSE))</f>
        <v>Distance Travelled to Work by Car or Van Availability</v>
      </c>
      <c r="C379" s="21" t="str">
        <f>IF(ISNA(VLOOKUP((ROW(H381)-15),'List of tables'!$A$4:$H$621,8,FALSE))," ",VLOOKUP((ROW(H381)-15),'List of tables'!$A$4:$H$621,8,FALSE))</f>
        <v>All usual residents aged 16 to 74 (excluding students) in households in employment and currently working</v>
      </c>
      <c r="D379" s="21" t="str">
        <f>IF(ISNA(VLOOKUP((ROW(D381)-15),'List of tables'!$A$4:$H$621,5,FALSE))," ",VLOOKUP((ROW(D381)-15),'List of tables'!$A$4:$H$621,5,FALSE))</f>
        <v>Local Government District, NUTS3, Education and Library Board, Health and Social Care Trust, Northern Ireland</v>
      </c>
      <c r="E379" s="22" t="str">
        <f t="shared" si="4"/>
        <v>Link to files</v>
      </c>
      <c r="G379" s="18" t="str">
        <f>IF(ISNA(VLOOKUP((ROW(G381)-15),'List of tables'!$A$4:$H$621,6,FALSE))," ",VLOOKUP((ROW(G381)-15),'List of tables'!$A$4:$H$621,6,FALSE))</f>
        <v>http://www.ninis2.nisra.gov.uk/public/SearchResults.aspx?sk=DC7402NI;</v>
      </c>
    </row>
    <row r="380" spans="1:7" ht="70" customHeight="1" x14ac:dyDescent="0.3">
      <c r="A380" s="23" t="str">
        <f>IF(ISNA(VLOOKUP((ROW(A382)-15),'List of tables'!$A$4:$H$621,2,FALSE))," ",VLOOKUP((ROW(A382)-15),'List of tables'!$A$4:$H$621,2,FALSE))</f>
        <v>DC7403NI</v>
      </c>
      <c r="B380" s="21" t="str">
        <f>IF(ISNA(VLOOKUP((ROW(B382)-15),'List of tables'!$A$4:$H$621,3,FALSE))," ",VLOOKUP((ROW(B382)-15),'List of tables'!$A$4:$H$621,3,FALSE))</f>
        <v>Method of Travel to Place of Study by Car or Van Availability</v>
      </c>
      <c r="C380" s="21" t="str">
        <f>IF(ISNA(VLOOKUP((ROW(H382)-15),'List of tables'!$A$4:$H$621,8,FALSE))," ",VLOOKUP((ROW(H382)-15),'List of tables'!$A$4:$H$621,8,FALSE))</f>
        <v>All usual residents of primary school age and over living in households in full-time education</v>
      </c>
      <c r="D380" s="21" t="str">
        <f>IF(ISNA(VLOOKUP((ROW(D382)-15),'List of tables'!$A$4:$H$621,5,FALSE))," ",VLOOKUP((ROW(D382)-15),'List of tables'!$A$4:$H$621,5,FALSE))</f>
        <v>Local Government District, NUTS3, Education and Library Board, Health and Social Care Trust, Northern Ireland</v>
      </c>
      <c r="E380" s="22" t="str">
        <f t="shared" si="4"/>
        <v>Link to files</v>
      </c>
      <c r="G380" s="18" t="str">
        <f>IF(ISNA(VLOOKUP((ROW(G382)-15),'List of tables'!$A$4:$H$621,6,FALSE))," ",VLOOKUP((ROW(G382)-15),'List of tables'!$A$4:$H$621,6,FALSE))</f>
        <v>http://www.ninis2.nisra.gov.uk/public/SearchResults.aspx?sk=DC7403NI;</v>
      </c>
    </row>
    <row r="381" spans="1:7" ht="70" customHeight="1" x14ac:dyDescent="0.3">
      <c r="A381" s="23" t="str">
        <f>IF(ISNA(VLOOKUP((ROW(A383)-15),'List of tables'!$A$4:$H$621,2,FALSE))," ",VLOOKUP((ROW(A383)-15),'List of tables'!$A$4:$H$621,2,FALSE))</f>
        <v>DC7404NI</v>
      </c>
      <c r="B381" s="21" t="str">
        <f>IF(ISNA(VLOOKUP((ROW(B383)-15),'List of tables'!$A$4:$H$621,3,FALSE))," ",VLOOKUP((ROW(B383)-15),'List of tables'!$A$4:$H$621,3,FALSE))</f>
        <v>Distance Travelled to Place of Study by Car or Van Availability</v>
      </c>
      <c r="C381" s="21" t="str">
        <f>IF(ISNA(VLOOKUP((ROW(H383)-15),'List of tables'!$A$4:$H$621,8,FALSE))," ",VLOOKUP((ROW(H383)-15),'List of tables'!$A$4:$H$621,8,FALSE))</f>
        <v>All usual residents of primary school age and over living in households in full-time education</v>
      </c>
      <c r="D381" s="21" t="str">
        <f>IF(ISNA(VLOOKUP((ROW(D383)-15),'List of tables'!$A$4:$H$621,5,FALSE))," ",VLOOKUP((ROW(D383)-15),'List of tables'!$A$4:$H$621,5,FALSE))</f>
        <v>Local Government District, NUTS3, Education and Library Board, Health and Social Care Trust, Northern Ireland</v>
      </c>
      <c r="E381" s="22" t="str">
        <f t="shared" si="4"/>
        <v>Link to files</v>
      </c>
      <c r="G381" s="18" t="str">
        <f>IF(ISNA(VLOOKUP((ROW(G383)-15),'List of tables'!$A$4:$H$621,6,FALSE))," ",VLOOKUP((ROW(G383)-15),'List of tables'!$A$4:$H$621,6,FALSE))</f>
        <v>http://www.ninis2.nisra.gov.uk/public/SearchResults.aspx?sk=DC7404NI;</v>
      </c>
    </row>
    <row r="382" spans="1:7" ht="70" customHeight="1" x14ac:dyDescent="0.3">
      <c r="A382" s="23" t="str">
        <f>IF(ISNA(VLOOKUP((ROW(A384)-15),'List of tables'!$A$4:$H$621,2,FALSE))," ",VLOOKUP((ROW(A384)-15),'List of tables'!$A$4:$H$621,2,FALSE))</f>
        <v>DC7501NI</v>
      </c>
      <c r="B382" s="21" t="str">
        <f>IF(ISNA(VLOOKUP((ROW(B384)-15),'List of tables'!$A$4:$H$621,3,FALSE))," ",VLOOKUP((ROW(B384)-15),'List of tables'!$A$4:$H$621,3,FALSE))</f>
        <v>Method of Travel to Work by Highest Level of Qualification by Sex</v>
      </c>
      <c r="C382" s="21" t="str">
        <f>IF(ISNA(VLOOKUP((ROW(H384)-15),'List of tables'!$A$4:$H$621,8,FALSE))," ",VLOOKUP((ROW(H384)-15),'List of tables'!$A$4:$H$621,8,FALSE))</f>
        <v>All usual residents aged 16 to 74 (excluding students) in employment and currently working</v>
      </c>
      <c r="D382" s="21" t="str">
        <f>IF(ISNA(VLOOKUP((ROW(D384)-15),'List of tables'!$A$4:$H$621,5,FALSE))," ",VLOOKUP((ROW(D384)-15),'List of tables'!$A$4:$H$621,5,FALSE))</f>
        <v>Local Government District, NUTS3, Education and Library Board, Health and Social Care Trust, Northern Ireland</v>
      </c>
      <c r="E382" s="22" t="str">
        <f t="shared" si="4"/>
        <v>Link to files</v>
      </c>
      <c r="G382" s="18" t="str">
        <f>IF(ISNA(VLOOKUP((ROW(G384)-15),'List of tables'!$A$4:$H$621,6,FALSE))," ",VLOOKUP((ROW(G384)-15),'List of tables'!$A$4:$H$621,6,FALSE))</f>
        <v>http://www.ninis2.nisra.gov.uk/public/SearchResults.aspx?sk=DC7501NI;</v>
      </c>
    </row>
    <row r="383" spans="1:7" ht="70" customHeight="1" x14ac:dyDescent="0.3">
      <c r="A383" s="23" t="str">
        <f>IF(ISNA(VLOOKUP((ROW(A385)-15),'List of tables'!$A$4:$H$621,2,FALSE))," ",VLOOKUP((ROW(A385)-15),'List of tables'!$A$4:$H$621,2,FALSE))</f>
        <v>DC7502NI</v>
      </c>
      <c r="B383" s="21" t="str">
        <f>IF(ISNA(VLOOKUP((ROW(B385)-15),'List of tables'!$A$4:$H$621,3,FALSE))," ",VLOOKUP((ROW(B385)-15),'List of tables'!$A$4:$H$621,3,FALSE))</f>
        <v>Distance Travelled to Work by Highest Level of Qualification by Sex</v>
      </c>
      <c r="C383" s="21" t="str">
        <f>IF(ISNA(VLOOKUP((ROW(H385)-15),'List of tables'!$A$4:$H$621,8,FALSE))," ",VLOOKUP((ROW(H385)-15),'List of tables'!$A$4:$H$621,8,FALSE))</f>
        <v>All usual residents aged 16 to 74 (excluding students) in employment and currently working</v>
      </c>
      <c r="D383" s="21" t="str">
        <f>IF(ISNA(VLOOKUP((ROW(D385)-15),'List of tables'!$A$4:$H$621,5,FALSE))," ",VLOOKUP((ROW(D385)-15),'List of tables'!$A$4:$H$621,5,FALSE))</f>
        <v>Local Government District, NUTS3, Education and Library Board, Health and Social Care Trust, Northern Ireland</v>
      </c>
      <c r="E383" s="22" t="str">
        <f t="shared" si="4"/>
        <v>Link to files</v>
      </c>
      <c r="G383" s="18" t="str">
        <f>IF(ISNA(VLOOKUP((ROW(G385)-15),'List of tables'!$A$4:$H$621,6,FALSE))," ",VLOOKUP((ROW(G385)-15),'List of tables'!$A$4:$H$621,6,FALSE))</f>
        <v>http://www.ninis2.nisra.gov.uk/public/SearchResults.aspx?sk=DC7502NI;</v>
      </c>
    </row>
    <row r="384" spans="1:7" ht="70" customHeight="1" x14ac:dyDescent="0.3">
      <c r="A384" s="23" t="str">
        <f>IF(ISNA(VLOOKUP((ROW(A386)-15),'List of tables'!$A$4:$H$621,2,FALSE))," ",VLOOKUP((ROW(A386)-15),'List of tables'!$A$4:$H$621,2,FALSE))</f>
        <v>DC7601NI</v>
      </c>
      <c r="B384" s="21" t="str">
        <f>IF(ISNA(VLOOKUP((ROW(B386)-15),'List of tables'!$A$4:$H$621,3,FALSE))," ",VLOOKUP((ROW(B386)-15),'List of tables'!$A$4:$H$621,3,FALSE))</f>
        <v>Hours Worked by Method of Travel to Work by Sex</v>
      </c>
      <c r="C384" s="21" t="str">
        <f>IF(ISNA(VLOOKUP((ROW(H386)-15),'List of tables'!$A$4:$H$621,8,FALSE))," ",VLOOKUP((ROW(H386)-15),'List of tables'!$A$4:$H$621,8,FALSE))</f>
        <v>All usual residents aged 16 to 74 (excluding students) in employment and currently working</v>
      </c>
      <c r="D384" s="21" t="str">
        <f>IF(ISNA(VLOOKUP((ROW(D386)-15),'List of tables'!$A$4:$H$621,5,FALSE))," ",VLOOKUP((ROW(D386)-15),'List of tables'!$A$4:$H$621,5,FALSE))</f>
        <v>Local Government District, NUTS3, Education and Library Board, Health and Social Care Trust, Northern Ireland</v>
      </c>
      <c r="E384" s="22" t="str">
        <f t="shared" si="4"/>
        <v>Link to files</v>
      </c>
      <c r="G384" s="18" t="str">
        <f>IF(ISNA(VLOOKUP((ROW(G386)-15),'List of tables'!$A$4:$H$621,6,FALSE))," ",VLOOKUP((ROW(G386)-15),'List of tables'!$A$4:$H$621,6,FALSE))</f>
        <v>http://www.ninis2.nisra.gov.uk/public/SearchResults.aspx?sk=DC7601NI;</v>
      </c>
    </row>
    <row r="385" spans="1:7" ht="70" customHeight="1" x14ac:dyDescent="0.3">
      <c r="A385" s="23" t="str">
        <f>IF(ISNA(VLOOKUP((ROW(A387)-15),'List of tables'!$A$4:$H$621,2,FALSE))," ",VLOOKUP((ROW(A387)-15),'List of tables'!$A$4:$H$621,2,FALSE))</f>
        <v>DC7602NI</v>
      </c>
      <c r="B385" s="21" t="str">
        <f>IF(ISNA(VLOOKUP((ROW(B387)-15),'List of tables'!$A$4:$H$621,3,FALSE))," ",VLOOKUP((ROW(B387)-15),'List of tables'!$A$4:$H$621,3,FALSE))</f>
        <v>Hours Worked by Distance Travelled to Work by Sex</v>
      </c>
      <c r="C385" s="21" t="str">
        <f>IF(ISNA(VLOOKUP((ROW(H387)-15),'List of tables'!$A$4:$H$621,8,FALSE))," ",VLOOKUP((ROW(H387)-15),'List of tables'!$A$4:$H$621,8,FALSE))</f>
        <v>All usual residents aged 16 to 74 (excluding students) in employment and currently working</v>
      </c>
      <c r="D385" s="21" t="str">
        <f>IF(ISNA(VLOOKUP((ROW(D387)-15),'List of tables'!$A$4:$H$621,5,FALSE))," ",VLOOKUP((ROW(D387)-15),'List of tables'!$A$4:$H$621,5,FALSE))</f>
        <v>Local Government District, NUTS3, Education and Library Board, Health and Social Care Trust, Northern Ireland</v>
      </c>
      <c r="E385" s="22" t="str">
        <f t="shared" si="4"/>
        <v>Link to files</v>
      </c>
      <c r="G385" s="18" t="str">
        <f>IF(ISNA(VLOOKUP((ROW(G387)-15),'List of tables'!$A$4:$H$621,6,FALSE))," ",VLOOKUP((ROW(G387)-15),'List of tables'!$A$4:$H$621,6,FALSE))</f>
        <v>http://www.ninis2.nisra.gov.uk/public/SearchResults.aspx?sk=DC7602NI;</v>
      </c>
    </row>
    <row r="386" spans="1:7" ht="70" customHeight="1" x14ac:dyDescent="0.3">
      <c r="A386" s="23" t="str">
        <f>IF(ISNA(VLOOKUP((ROW(A388)-15),'List of tables'!$A$4:$H$621,2,FALSE))," ",VLOOKUP((ROW(A388)-15),'List of tables'!$A$4:$H$621,2,FALSE))</f>
        <v>DC7603NI</v>
      </c>
      <c r="B386" s="21" t="str">
        <f>IF(ISNA(VLOOKUP((ROW(B388)-15),'List of tables'!$A$4:$H$621,3,FALSE))," ",VLOOKUP((ROW(B388)-15),'List of tables'!$A$4:$H$621,3,FALSE))</f>
        <v>Industry by Method of Travel to Work</v>
      </c>
      <c r="C386" s="21" t="str">
        <f>IF(ISNA(VLOOKUP((ROW(H388)-15),'List of tables'!$A$4:$H$621,8,FALSE))," ",VLOOKUP((ROW(H388)-15),'List of tables'!$A$4:$H$621,8,FALSE))</f>
        <v>All usual residents aged 16 to 74 (excluding students) in employment and currently working</v>
      </c>
      <c r="D386" s="21" t="str">
        <f>IF(ISNA(VLOOKUP((ROW(D388)-15),'List of tables'!$A$4:$H$621,5,FALSE))," ",VLOOKUP((ROW(D388)-15),'List of tables'!$A$4:$H$621,5,FALSE))</f>
        <v>Local Government District, NUTS3, Education and Library Board, Health and Social Care Trust, Northern Ireland</v>
      </c>
      <c r="E386" s="22" t="str">
        <f t="shared" si="4"/>
        <v>Link to files</v>
      </c>
      <c r="G386" s="18" t="str">
        <f>IF(ISNA(VLOOKUP((ROW(G388)-15),'List of tables'!$A$4:$H$621,6,FALSE))," ",VLOOKUP((ROW(G388)-15),'List of tables'!$A$4:$H$621,6,FALSE))</f>
        <v>http://www.ninis2.nisra.gov.uk/public/SearchResults.aspx?sk=DC7603NI;</v>
      </c>
    </row>
    <row r="387" spans="1:7" ht="70" customHeight="1" x14ac:dyDescent="0.3">
      <c r="A387" s="23" t="str">
        <f>IF(ISNA(VLOOKUP((ROW(A389)-15),'List of tables'!$A$4:$H$621,2,FALSE))," ",VLOOKUP((ROW(A389)-15),'List of tables'!$A$4:$H$621,2,FALSE))</f>
        <v>DC7604NI</v>
      </c>
      <c r="B387" s="21" t="str">
        <f>IF(ISNA(VLOOKUP((ROW(B389)-15),'List of tables'!$A$4:$H$621,3,FALSE))," ",VLOOKUP((ROW(B389)-15),'List of tables'!$A$4:$H$621,3,FALSE))</f>
        <v>Industry by Distance Travelled to Work</v>
      </c>
      <c r="C387" s="21" t="str">
        <f>IF(ISNA(VLOOKUP((ROW(H389)-15),'List of tables'!$A$4:$H$621,8,FALSE))," ",VLOOKUP((ROW(H389)-15),'List of tables'!$A$4:$H$621,8,FALSE))</f>
        <v>All usual residents aged 16 to 74 (excluding students) in employment and currently working</v>
      </c>
      <c r="D387" s="21" t="str">
        <f>IF(ISNA(VLOOKUP((ROW(D389)-15),'List of tables'!$A$4:$H$621,5,FALSE))," ",VLOOKUP((ROW(D389)-15),'List of tables'!$A$4:$H$621,5,FALSE))</f>
        <v>Local Government District, NUTS3, Education and Library Board, Health and Social Care Trust, Northern Ireland</v>
      </c>
      <c r="E387" s="22" t="str">
        <f t="shared" si="4"/>
        <v>Link to files</v>
      </c>
      <c r="G387" s="18" t="str">
        <f>IF(ISNA(VLOOKUP((ROW(G389)-15),'List of tables'!$A$4:$H$621,6,FALSE))," ",VLOOKUP((ROW(G389)-15),'List of tables'!$A$4:$H$621,6,FALSE))</f>
        <v>http://www.ninis2.nisra.gov.uk/public/SearchResults.aspx?sk=DC7604NI;</v>
      </c>
    </row>
    <row r="388" spans="1:7" ht="70" customHeight="1" x14ac:dyDescent="0.3">
      <c r="A388" s="23" t="str">
        <f>IF(ISNA(VLOOKUP((ROW(A390)-15),'List of tables'!$A$4:$H$621,2,FALSE))," ",VLOOKUP((ROW(A390)-15),'List of tables'!$A$4:$H$621,2,FALSE))</f>
        <v>DC7605NI</v>
      </c>
      <c r="B388" s="21" t="str">
        <f>IF(ISNA(VLOOKUP((ROW(B390)-15),'List of tables'!$A$4:$H$621,3,FALSE))," ",VLOOKUP((ROW(B390)-15),'List of tables'!$A$4:$H$621,3,FALSE))</f>
        <v>Method of Travel to Work by Occupation by Sex</v>
      </c>
      <c r="C388" s="21" t="str">
        <f>IF(ISNA(VLOOKUP((ROW(H390)-15),'List of tables'!$A$4:$H$621,8,FALSE))," ",VLOOKUP((ROW(H390)-15),'List of tables'!$A$4:$H$621,8,FALSE))</f>
        <v>All usual residents aged 16 to 74 (excluding students) in employment and currently working</v>
      </c>
      <c r="D388" s="21" t="str">
        <f>IF(ISNA(VLOOKUP((ROW(D390)-15),'List of tables'!$A$4:$H$621,5,FALSE))," ",VLOOKUP((ROW(D390)-15),'List of tables'!$A$4:$H$621,5,FALSE))</f>
        <v>Local Government District, NUTS3, Education and Library Board, Health and Social Care Trust, Northern Ireland</v>
      </c>
      <c r="E388" s="22" t="str">
        <f t="shared" si="4"/>
        <v>Link to files</v>
      </c>
      <c r="G388" s="18" t="str">
        <f>IF(ISNA(VLOOKUP((ROW(G390)-15),'List of tables'!$A$4:$H$621,6,FALSE))," ",VLOOKUP((ROW(G390)-15),'List of tables'!$A$4:$H$621,6,FALSE))</f>
        <v>http://www.ninis2.nisra.gov.uk/public/SearchResults.aspx?sk=DC7605NI;</v>
      </c>
    </row>
    <row r="389" spans="1:7" ht="70" customHeight="1" x14ac:dyDescent="0.3">
      <c r="A389" s="23" t="str">
        <f>IF(ISNA(VLOOKUP((ROW(A391)-15),'List of tables'!$A$4:$H$621,2,FALSE))," ",VLOOKUP((ROW(A391)-15),'List of tables'!$A$4:$H$621,2,FALSE))</f>
        <v>DC7606NI</v>
      </c>
      <c r="B389" s="21" t="str">
        <f>IF(ISNA(VLOOKUP((ROW(B391)-15),'List of tables'!$A$4:$H$621,3,FALSE))," ",VLOOKUP((ROW(B391)-15),'List of tables'!$A$4:$H$621,3,FALSE))</f>
        <v>Occupation by Distance Travelled to Work by Sex</v>
      </c>
      <c r="C389" s="21" t="str">
        <f>IF(ISNA(VLOOKUP((ROW(H391)-15),'List of tables'!$A$4:$H$621,8,FALSE))," ",VLOOKUP((ROW(H391)-15),'List of tables'!$A$4:$H$621,8,FALSE))</f>
        <v>All usual residents aged 16 to 74 (excluding students) in employment and currently working</v>
      </c>
      <c r="D389" s="21" t="str">
        <f>IF(ISNA(VLOOKUP((ROW(D391)-15),'List of tables'!$A$4:$H$621,5,FALSE))," ",VLOOKUP((ROW(D391)-15),'List of tables'!$A$4:$H$621,5,FALSE))</f>
        <v>Local Government District, NUTS3, Education and Library Board, Health and Social Care Trust, Northern Ireland</v>
      </c>
      <c r="E389" s="22" t="str">
        <f t="shared" si="4"/>
        <v>Link to files</v>
      </c>
      <c r="G389" s="18" t="str">
        <f>IF(ISNA(VLOOKUP((ROW(G391)-15),'List of tables'!$A$4:$H$621,6,FALSE))," ",VLOOKUP((ROW(G391)-15),'List of tables'!$A$4:$H$621,6,FALSE))</f>
        <v>http://www.ninis2.nisra.gov.uk/public/SearchResults.aspx?sk=DC7606NI;</v>
      </c>
    </row>
    <row r="390" spans="1:7" ht="70" customHeight="1" x14ac:dyDescent="0.3">
      <c r="A390" s="23" t="str">
        <f>IF(ISNA(VLOOKUP((ROW(A392)-15),'List of tables'!$A$4:$H$621,2,FALSE))," ",VLOOKUP((ROW(A392)-15),'List of tables'!$A$4:$H$621,2,FALSE))</f>
        <v>DC7607NI</v>
      </c>
      <c r="B390" s="21" t="str">
        <f>IF(ISNA(VLOOKUP((ROW(B392)-15),'List of tables'!$A$4:$H$621,3,FALSE))," ",VLOOKUP((ROW(B392)-15),'List of tables'!$A$4:$H$621,3,FALSE))</f>
        <v>NS-SeC by Method of Travel to Work by Sex</v>
      </c>
      <c r="C390" s="21" t="str">
        <f>IF(ISNA(VLOOKUP((ROW(H392)-15),'List of tables'!$A$4:$H$621,8,FALSE))," ",VLOOKUP((ROW(H392)-15),'List of tables'!$A$4:$H$621,8,FALSE))</f>
        <v>All usual residents aged 16 to 74 (excluding students) in employment and currently working</v>
      </c>
      <c r="D390" s="21" t="str">
        <f>IF(ISNA(VLOOKUP((ROW(D392)-15),'List of tables'!$A$4:$H$621,5,FALSE))," ",VLOOKUP((ROW(D392)-15),'List of tables'!$A$4:$H$621,5,FALSE))</f>
        <v>Local Government District, NUTS3, Education and Library Board, Health and Social Care Trust, Northern Ireland</v>
      </c>
      <c r="E390" s="22" t="str">
        <f t="shared" si="4"/>
        <v>Link to files</v>
      </c>
      <c r="G390" s="18" t="str">
        <f>IF(ISNA(VLOOKUP((ROW(G392)-15),'List of tables'!$A$4:$H$621,6,FALSE))," ",VLOOKUP((ROW(G392)-15),'List of tables'!$A$4:$H$621,6,FALSE))</f>
        <v>http://www.ninis2.nisra.gov.uk/public/SearchResults.aspx?sk=DC7607NI;</v>
      </c>
    </row>
    <row r="391" spans="1:7" ht="70" customHeight="1" x14ac:dyDescent="0.3">
      <c r="A391" s="23" t="str">
        <f>IF(ISNA(VLOOKUP((ROW(A393)-15),'List of tables'!$A$4:$H$621,2,FALSE))," ",VLOOKUP((ROW(A393)-15),'List of tables'!$A$4:$H$621,2,FALSE))</f>
        <v>DC7608NI</v>
      </c>
      <c r="B391" s="21" t="str">
        <f>IF(ISNA(VLOOKUP((ROW(B393)-15),'List of tables'!$A$4:$H$621,3,FALSE))," ",VLOOKUP((ROW(B393)-15),'List of tables'!$A$4:$H$621,3,FALSE))</f>
        <v>NS-SeC by Distance Travelled to Work by Sex</v>
      </c>
      <c r="C391" s="21" t="str">
        <f>IF(ISNA(VLOOKUP((ROW(H393)-15),'List of tables'!$A$4:$H$621,8,FALSE))," ",VLOOKUP((ROW(H393)-15),'List of tables'!$A$4:$H$621,8,FALSE))</f>
        <v>All usual residents aged 16 to 74 (excluding students) in employment and currently working</v>
      </c>
      <c r="D391" s="21" t="str">
        <f>IF(ISNA(VLOOKUP((ROW(D393)-15),'List of tables'!$A$4:$H$621,5,FALSE))," ",VLOOKUP((ROW(D393)-15),'List of tables'!$A$4:$H$621,5,FALSE))</f>
        <v>Local Government District, NUTS3, Education and Library Board, Health and Social Care Trust, Northern Ireland</v>
      </c>
      <c r="E391" s="22" t="str">
        <f t="shared" si="4"/>
        <v>Link to files</v>
      </c>
      <c r="G391" s="18" t="str">
        <f>IF(ISNA(VLOOKUP((ROW(G393)-15),'List of tables'!$A$4:$H$621,6,FALSE))," ",VLOOKUP((ROW(G393)-15),'List of tables'!$A$4:$H$621,6,FALSE))</f>
        <v>http://www.ninis2.nisra.gov.uk/public/SearchResults.aspx?sk=DC7608NI;</v>
      </c>
    </row>
    <row r="392" spans="1:7" ht="70" customHeight="1" x14ac:dyDescent="0.3">
      <c r="A392" s="23" t="str">
        <f>IF(ISNA(VLOOKUP((ROW(A394)-15),'List of tables'!$A$4:$H$621,2,FALSE))," ",VLOOKUP((ROW(A394)-15),'List of tables'!$A$4:$H$621,2,FALSE))</f>
        <v>DC7609NI</v>
      </c>
      <c r="B392" s="21" t="str">
        <f>IF(ISNA(VLOOKUP((ROW(B394)-15),'List of tables'!$A$4:$H$621,3,FALSE))," ",VLOOKUP((ROW(B394)-15),'List of tables'!$A$4:$H$621,3,FALSE))</f>
        <v>Employment Status by Distance Travelled to Work by Sex</v>
      </c>
      <c r="C392" s="21" t="str">
        <f>IF(ISNA(VLOOKUP((ROW(H394)-15),'List of tables'!$A$4:$H$621,8,FALSE))," ",VLOOKUP((ROW(H394)-15),'List of tables'!$A$4:$H$621,8,FALSE))</f>
        <v>All usual residents aged 16 to 74 (excluding students) in employment and currently working</v>
      </c>
      <c r="D392" s="21" t="str">
        <f>IF(ISNA(VLOOKUP((ROW(D394)-15),'List of tables'!$A$4:$H$621,5,FALSE))," ",VLOOKUP((ROW(D394)-15),'List of tables'!$A$4:$H$621,5,FALSE))</f>
        <v>Local Government District, NUTS3, Education and Library Board, Health and Social Care Trust, Northern Ireland</v>
      </c>
      <c r="E392" s="22" t="str">
        <f t="shared" si="4"/>
        <v>Link to files</v>
      </c>
      <c r="G392" s="18" t="str">
        <f>IF(ISNA(VLOOKUP((ROW(G394)-15),'List of tables'!$A$4:$H$621,6,FALSE))," ",VLOOKUP((ROW(G394)-15),'List of tables'!$A$4:$H$621,6,FALSE))</f>
        <v>http://www.ninis2.nisra.gov.uk/public/SearchResults.aspx?sk=DC7609NI;</v>
      </c>
    </row>
    <row r="393" spans="1:7" ht="70" customHeight="1" x14ac:dyDescent="0.3">
      <c r="A393" s="23" t="str">
        <f>IF(ISNA(VLOOKUP((ROW(A395)-15),'List of tables'!$A$4:$H$621,2,FALSE))," ",VLOOKUP((ROW(A395)-15),'List of tables'!$A$4:$H$621,2,FALSE))</f>
        <v>DC7701NI</v>
      </c>
      <c r="B393" s="21" t="str">
        <f>IF(ISNA(VLOOKUP((ROW(B395)-15),'List of tables'!$A$4:$H$621,3,FALSE))," ",VLOOKUP((ROW(B395)-15),'List of tables'!$A$4:$H$621,3,FALSE))</f>
        <v>Method of Travel to Work by Distance Travelled to Work</v>
      </c>
      <c r="C393" s="21" t="str">
        <f>IF(ISNA(VLOOKUP((ROW(H395)-15),'List of tables'!$A$4:$H$621,8,FALSE))," ",VLOOKUP((ROW(H395)-15),'List of tables'!$A$4:$H$621,8,FALSE))</f>
        <v>All usual residents aged 16 to 74 (excluding students) in employment and currently working</v>
      </c>
      <c r="D393" s="21" t="str">
        <f>IF(ISNA(VLOOKUP((ROW(D395)-15),'List of tables'!$A$4:$H$621,5,FALSE))," ",VLOOKUP((ROW(D395)-15),'List of tables'!$A$4:$H$621,5,FALSE))</f>
        <v>Local Government District, NUTS3, Education and Library Board, Health and Social Care Trust, Northern Ireland</v>
      </c>
      <c r="E393" s="22" t="str">
        <f t="shared" si="4"/>
        <v>Link to files</v>
      </c>
      <c r="G393" s="18" t="str">
        <f>IF(ISNA(VLOOKUP((ROW(G395)-15),'List of tables'!$A$4:$H$621,6,FALSE))," ",VLOOKUP((ROW(G395)-15),'List of tables'!$A$4:$H$621,6,FALSE))</f>
        <v>http://www.ninis2.nisra.gov.uk/public/SearchResults.aspx?sk=DC7701NI;</v>
      </c>
    </row>
    <row r="394" spans="1:7" ht="70" customHeight="1" x14ac:dyDescent="0.3">
      <c r="A394" s="23" t="str">
        <f>IF(ISNA(VLOOKUP((ROW(A396)-15),'List of tables'!$A$4:$H$621,2,FALSE))," ",VLOOKUP((ROW(A396)-15),'List of tables'!$A$4:$H$621,2,FALSE))</f>
        <v>DC7702NI</v>
      </c>
      <c r="B394" s="21" t="str">
        <f>IF(ISNA(VLOOKUP((ROW(B396)-15),'List of tables'!$A$4:$H$621,3,FALSE))," ",VLOOKUP((ROW(B396)-15),'List of tables'!$A$4:$H$621,3,FALSE))</f>
        <v>Method of Travel to Place of Study by Distance Travelled to Place of Study</v>
      </c>
      <c r="C394" s="21" t="str">
        <f>IF(ISNA(VLOOKUP((ROW(H396)-15),'List of tables'!$A$4:$H$621,8,FALSE))," ",VLOOKUP((ROW(H396)-15),'List of tables'!$A$4:$H$621,8,FALSE))</f>
        <v>All usual residents of primary school age and over in full-time education</v>
      </c>
      <c r="D394" s="21" t="str">
        <f>IF(ISNA(VLOOKUP((ROW(D396)-15),'List of tables'!$A$4:$H$621,5,FALSE))," ",VLOOKUP((ROW(D396)-15),'List of tables'!$A$4:$H$621,5,FALSE))</f>
        <v>Local Government District, NUTS3, Education and Library Board, Health and Social Care Trust, Northern Ireland</v>
      </c>
      <c r="E394" s="22" t="str">
        <f t="shared" si="4"/>
        <v>Link to files</v>
      </c>
      <c r="G394" s="18" t="str">
        <f>IF(ISNA(VLOOKUP((ROW(G396)-15),'List of tables'!$A$4:$H$621,6,FALSE))," ",VLOOKUP((ROW(G396)-15),'List of tables'!$A$4:$H$621,6,FALSE))</f>
        <v>http://www.ninis2.nisra.gov.uk/public/SearchResults.aspx?sk=DC7702NI;</v>
      </c>
    </row>
    <row r="395" spans="1:7" ht="70" customHeight="1" x14ac:dyDescent="0.3">
      <c r="A395" s="23" t="str">
        <f>IF(ISNA(VLOOKUP((ROW(A397)-15),'List of tables'!$A$4:$H$621,2,FALSE))," ",VLOOKUP((ROW(A397)-15),'List of tables'!$A$4:$H$621,2,FALSE))</f>
        <v>DC8101NI</v>
      </c>
      <c r="B395" s="21" t="str">
        <f>IF(ISNA(VLOOKUP((ROW(B397)-15),'List of tables'!$A$4:$H$621,3,FALSE))," ",VLOOKUP((ROW(B397)-15),'List of tables'!$A$4:$H$621,3,FALSE))</f>
        <v>Country of Birth by Year of Most Recent Arrival in Northern Ireland by Age (Born outside Northern Ireland)</v>
      </c>
      <c r="C395" s="21" t="str">
        <f>IF(ISNA(VLOOKUP((ROW(H397)-15),'List of tables'!$A$4:$H$621,8,FALSE))," ",VLOOKUP((ROW(H397)-15),'List of tables'!$A$4:$H$621,8,FALSE))</f>
        <v>All usual residents born outside Northern Ireland</v>
      </c>
      <c r="D395" s="21" t="str">
        <f>IF(ISNA(VLOOKUP((ROW(D397)-15),'List of tables'!$A$4:$H$621,5,FALSE))," ",VLOOKUP((ROW(D397)-15),'List of tables'!$A$4:$H$621,5,FALSE))</f>
        <v>Northern Ireland</v>
      </c>
      <c r="E395" s="22" t="str">
        <f t="shared" si="4"/>
        <v>Link to files</v>
      </c>
      <c r="G395" s="18" t="str">
        <f>IF(ISNA(VLOOKUP((ROW(G397)-15),'List of tables'!$A$4:$H$621,6,FALSE))," ",VLOOKUP((ROW(G397)-15),'List of tables'!$A$4:$H$621,6,FALSE))</f>
        <v>http://www.ninis2.nisra.gov.uk/public/SearchResults.aspx?sk=DC8101NI;</v>
      </c>
    </row>
    <row r="396" spans="1:7" ht="70" customHeight="1" x14ac:dyDescent="0.3">
      <c r="A396" s="23" t="str">
        <f>IF(ISNA(VLOOKUP((ROW(A398)-15),'List of tables'!$A$4:$H$621,2,FALSE))," ",VLOOKUP((ROW(A398)-15),'List of tables'!$A$4:$H$621,2,FALSE))</f>
        <v>DC8102NI</v>
      </c>
      <c r="B396" s="21" t="str">
        <f>IF(ISNA(VLOOKUP((ROW(B398)-15),'List of tables'!$A$4:$H$621,3,FALSE))," ",VLOOKUP((ROW(B398)-15),'List of tables'!$A$4:$H$621,3,FALSE))</f>
        <v>Year of Most Recent Arrival in Northern Ireland by Age by Sex (Born in Northern Ireland)</v>
      </c>
      <c r="C396" s="21" t="str">
        <f>IF(ISNA(VLOOKUP((ROW(H398)-15),'List of tables'!$A$4:$H$621,8,FALSE))," ",VLOOKUP((ROW(H398)-15),'List of tables'!$A$4:$H$621,8,FALSE))</f>
        <v>All usual residents born in Northern Ireland and who have lived outside Northern Ireland.</v>
      </c>
      <c r="D396" s="21" t="str">
        <f>IF(ISNA(VLOOKUP((ROW(D398)-15),'List of tables'!$A$4:$H$621,5,FALSE))," ",VLOOKUP((ROW(D398)-15),'List of tables'!$A$4:$H$621,5,FALSE))</f>
        <v>Northern Ireland</v>
      </c>
      <c r="E396" s="22" t="str">
        <f t="shared" si="4"/>
        <v>Link to files</v>
      </c>
      <c r="G396" s="18" t="str">
        <f>IF(ISNA(VLOOKUP((ROW(G398)-15),'List of tables'!$A$4:$H$621,6,FALSE))," ",VLOOKUP((ROW(G398)-15),'List of tables'!$A$4:$H$621,6,FALSE))</f>
        <v>http://www.ninis2.nisra.gov.uk/public/SearchResults.aspx?sk=DC8102NI;</v>
      </c>
    </row>
    <row r="397" spans="1:7" ht="70" customHeight="1" x14ac:dyDescent="0.3">
      <c r="A397" s="23" t="str">
        <f>IF(ISNA(VLOOKUP((ROW(A399)-15),'List of tables'!$A$4:$H$621,2,FALSE))," ",VLOOKUP((ROW(A399)-15),'List of tables'!$A$4:$H$621,2,FALSE))</f>
        <v>DC8201NI</v>
      </c>
      <c r="B397" s="21" t="str">
        <f>IF(ISNA(VLOOKUP((ROW(B399)-15),'List of tables'!$A$4:$H$621,3,FALSE))," ",VLOOKUP((ROW(B399)-15),'List of tables'!$A$4:$H$621,3,FALSE))</f>
        <v>Country of Birth by Ethnic Group by Year of Most Recent Arrival in Northern Ireland (Born outside Northern Ireland)</v>
      </c>
      <c r="C397" s="21" t="str">
        <f>IF(ISNA(VLOOKUP((ROW(H399)-15),'List of tables'!$A$4:$H$621,8,FALSE))," ",VLOOKUP((ROW(H399)-15),'List of tables'!$A$4:$H$621,8,FALSE))</f>
        <v>All usual residents born outside Northern Ireland</v>
      </c>
      <c r="D397" s="21" t="str">
        <f>IF(ISNA(VLOOKUP((ROW(D399)-15),'List of tables'!$A$4:$H$621,5,FALSE))," ",VLOOKUP((ROW(D399)-15),'List of tables'!$A$4:$H$621,5,FALSE))</f>
        <v>Northern Ireland</v>
      </c>
      <c r="E397" s="22" t="str">
        <f t="shared" si="4"/>
        <v>Link to files</v>
      </c>
      <c r="G397" s="18" t="str">
        <f>IF(ISNA(VLOOKUP((ROW(G399)-15),'List of tables'!$A$4:$H$621,6,FALSE))," ",VLOOKUP((ROW(G399)-15),'List of tables'!$A$4:$H$621,6,FALSE))</f>
        <v>http://www.ninis2.nisra.gov.uk/public/SearchResults.aspx?sk=DC8201NI;</v>
      </c>
    </row>
    <row r="398" spans="1:7" ht="70" customHeight="1" x14ac:dyDescent="0.3">
      <c r="A398" s="23" t="str">
        <f>IF(ISNA(VLOOKUP((ROW(A400)-15),'List of tables'!$A$4:$H$621,2,FALSE))," ",VLOOKUP((ROW(A400)-15),'List of tables'!$A$4:$H$621,2,FALSE))</f>
        <v>DC8202NI</v>
      </c>
      <c r="B398" s="21" t="str">
        <f>IF(ISNA(VLOOKUP((ROW(B400)-15),'List of tables'!$A$4:$H$621,3,FALSE))," ",VLOOKUP((ROW(B400)-15),'List of tables'!$A$4:$H$621,3,FALSE))</f>
        <v>Country of Birth by Year of Most Recent Arrival in Northern Ireland (Born outside Northern Ireland)</v>
      </c>
      <c r="C398" s="21" t="str">
        <f>IF(ISNA(VLOOKUP((ROW(H400)-15),'List of tables'!$A$4:$H$621,8,FALSE))," ",VLOOKUP((ROW(H400)-15),'List of tables'!$A$4:$H$621,8,FALSE))</f>
        <v>All usual residents born outside Northern Ireland</v>
      </c>
      <c r="D398" s="21" t="str">
        <f>IF(ISNA(VLOOKUP((ROW(D400)-15),'List of tables'!$A$4:$H$621,5,FALSE))," ",VLOOKUP((ROW(D400)-15),'List of tables'!$A$4:$H$621,5,FALSE))</f>
        <v>Northern Ireland</v>
      </c>
      <c r="E398" s="22" t="str">
        <f t="shared" si="4"/>
        <v>Link to files</v>
      </c>
      <c r="G398" s="18" t="str">
        <f>IF(ISNA(VLOOKUP((ROW(G400)-15),'List of tables'!$A$4:$H$621,6,FALSE))," ",VLOOKUP((ROW(G400)-15),'List of tables'!$A$4:$H$621,6,FALSE))</f>
        <v>http://www.ninis2.nisra.gov.uk/public/SearchResults.aspx?sk=DC8202NI;</v>
      </c>
    </row>
    <row r="399" spans="1:7" ht="70" customHeight="1" x14ac:dyDescent="0.3">
      <c r="A399" s="23" t="str">
        <f>IF(ISNA(VLOOKUP((ROW(A401)-15),'List of tables'!$A$4:$H$621,2,FALSE))," ",VLOOKUP((ROW(A401)-15),'List of tables'!$A$4:$H$621,2,FALSE))</f>
        <v>DC8203NI</v>
      </c>
      <c r="B399" s="21" t="str">
        <f>IF(ISNA(VLOOKUP((ROW(B401)-15),'List of tables'!$A$4:$H$621,3,FALSE))," ",VLOOKUP((ROW(B401)-15),'List of tables'!$A$4:$H$621,3,FALSE))</f>
        <v>Country of Birth by Proficiency in English by Year of Most Recent Arrival in Northern Ireland (Born outside Northern Ireland)</v>
      </c>
      <c r="C399" s="21" t="str">
        <f>IF(ISNA(VLOOKUP((ROW(H401)-15),'List of tables'!$A$4:$H$621,8,FALSE))," ",VLOOKUP((ROW(H401)-15),'List of tables'!$A$4:$H$621,8,FALSE))</f>
        <v>All usual residents born outside Northern Ireland</v>
      </c>
      <c r="D399" s="21" t="str">
        <f>IF(ISNA(VLOOKUP((ROW(D401)-15),'List of tables'!$A$4:$H$621,5,FALSE))," ",VLOOKUP((ROW(D401)-15),'List of tables'!$A$4:$H$621,5,FALSE))</f>
        <v>Northern Ireland</v>
      </c>
      <c r="E399" s="22" t="str">
        <f t="shared" ref="E399:E462" si="5">IF(LEN(G399)&lt;10,"",HYPERLINK(G399,"Link to files"))</f>
        <v>Link to files</v>
      </c>
      <c r="G399" s="18" t="str">
        <f>IF(ISNA(VLOOKUP((ROW(G401)-15),'List of tables'!$A$4:$H$621,6,FALSE))," ",VLOOKUP((ROW(G401)-15),'List of tables'!$A$4:$H$621,6,FALSE))</f>
        <v>http://www.ninis2.nisra.gov.uk/public/SearchResults.aspx?sk=DC8203NI;</v>
      </c>
    </row>
    <row r="400" spans="1:7" ht="70" customHeight="1" x14ac:dyDescent="0.3">
      <c r="A400" s="23" t="str">
        <f>IF(ISNA(VLOOKUP((ROW(A402)-15),'List of tables'!$A$4:$H$621,2,FALSE))," ",VLOOKUP((ROW(A402)-15),'List of tables'!$A$4:$H$621,2,FALSE))</f>
        <v>DC8204NI</v>
      </c>
      <c r="B400" s="21" t="str">
        <f>IF(ISNA(VLOOKUP((ROW(B402)-15),'List of tables'!$A$4:$H$621,3,FALSE))," ",VLOOKUP((ROW(B402)-15),'List of tables'!$A$4:$H$621,3,FALSE))</f>
        <v>Religion by Migration</v>
      </c>
      <c r="C400" s="21" t="str">
        <f>IF(ISNA(VLOOKUP((ROW(H402)-15),'List of tables'!$A$4:$H$621,8,FALSE))," ",VLOOKUP((ROW(H402)-15),'List of tables'!$A$4:$H$621,8,FALSE))</f>
        <v>All usual residents in the area and those who have moved from the area in the past year within Northern Ireland</v>
      </c>
      <c r="D400" s="21" t="str">
        <f>IF(ISNA(VLOOKUP((ROW(D402)-15),'List of tables'!$A$4:$H$621,5,FALSE))," ",VLOOKUP((ROW(D402)-15),'List of tables'!$A$4:$H$621,5,FALSE))</f>
        <v>Super Output Area, Electoral Ward, Local Government District</v>
      </c>
      <c r="E400" s="22" t="str">
        <f t="shared" si="5"/>
        <v>Link to files</v>
      </c>
      <c r="G400" s="18" t="str">
        <f>IF(ISNA(VLOOKUP((ROW(G402)-15),'List of tables'!$A$4:$H$621,6,FALSE))," ",VLOOKUP((ROW(G402)-15),'List of tables'!$A$4:$H$621,6,FALSE))</f>
        <v>http://www.ninis2.nisra.gov.uk/public/SearchResults.aspx?sk=DC8204NI;</v>
      </c>
    </row>
    <row r="401" spans="1:7" ht="70" customHeight="1" x14ac:dyDescent="0.3">
      <c r="A401" s="23" t="str">
        <f>IF(ISNA(VLOOKUP((ROW(A403)-15),'List of tables'!$A$4:$H$621,2,FALSE))," ",VLOOKUP((ROW(A403)-15),'List of tables'!$A$4:$H$621,2,FALSE))</f>
        <v>DC8205NI</v>
      </c>
      <c r="B401" s="21" t="str">
        <f>IF(ISNA(VLOOKUP((ROW(B403)-15),'List of tables'!$A$4:$H$621,3,FALSE))," ",VLOOKUP((ROW(B403)-15),'List of tables'!$A$4:$H$621,3,FALSE))</f>
        <v>Religion or Religion Brought Up In by Migration</v>
      </c>
      <c r="C401" s="21" t="str">
        <f>IF(ISNA(VLOOKUP((ROW(H403)-15),'List of tables'!$A$4:$H$621,8,FALSE))," ",VLOOKUP((ROW(H403)-15),'List of tables'!$A$4:$H$621,8,FALSE))</f>
        <v>All usual residents in the area and those who have moved from the area in the past year within Northern Ireland</v>
      </c>
      <c r="D401" s="21" t="str">
        <f>IF(ISNA(VLOOKUP((ROW(D403)-15),'List of tables'!$A$4:$H$621,5,FALSE))," ",VLOOKUP((ROW(D403)-15),'List of tables'!$A$4:$H$621,5,FALSE))</f>
        <v>Super Output Area, Electoral Ward, Local Government District</v>
      </c>
      <c r="E401" s="22" t="str">
        <f t="shared" si="5"/>
        <v>Link to files</v>
      </c>
      <c r="G401" s="18" t="str">
        <f>IF(ISNA(VLOOKUP((ROW(G403)-15),'List of tables'!$A$4:$H$621,6,FALSE))," ",VLOOKUP((ROW(G403)-15),'List of tables'!$A$4:$H$621,6,FALSE))</f>
        <v>http://www.ninis2.nisra.gov.uk/public/SearchResults.aspx?sk=DC8205NI;</v>
      </c>
    </row>
    <row r="402" spans="1:7" ht="70" customHeight="1" x14ac:dyDescent="0.3">
      <c r="A402" s="23" t="str">
        <f>IF(ISNA(VLOOKUP((ROW(A404)-15),'List of tables'!$A$4:$H$621,2,FALSE))," ",VLOOKUP((ROW(A404)-15),'List of tables'!$A$4:$H$621,2,FALSE))</f>
        <v>DC8501NI</v>
      </c>
      <c r="B402" s="21" t="str">
        <f>IF(ISNA(VLOOKUP((ROW(B404)-15),'List of tables'!$A$4:$H$621,3,FALSE))," ",VLOOKUP((ROW(B404)-15),'List of tables'!$A$4:$H$621,3,FALSE))</f>
        <v>Country of Birth by Highest Level of Qualification by Year of Most Recent Arrival in Northern Ireland (Born outside Northern Ireland)</v>
      </c>
      <c r="C402" s="21" t="str">
        <f>IF(ISNA(VLOOKUP((ROW(H404)-15),'List of tables'!$A$4:$H$621,8,FALSE))," ",VLOOKUP((ROW(H404)-15),'List of tables'!$A$4:$H$621,8,FALSE))</f>
        <v>All usual residents aged 16 and over born outside Northern Ireland</v>
      </c>
      <c r="D402" s="21" t="str">
        <f>IF(ISNA(VLOOKUP((ROW(D404)-15),'List of tables'!$A$4:$H$621,5,FALSE))," ",VLOOKUP((ROW(D404)-15),'List of tables'!$A$4:$H$621,5,FALSE))</f>
        <v>Northern Ireland</v>
      </c>
      <c r="E402" s="22" t="str">
        <f t="shared" si="5"/>
        <v>Link to files</v>
      </c>
      <c r="G402" s="18" t="str">
        <f>IF(ISNA(VLOOKUP((ROW(G404)-15),'List of tables'!$A$4:$H$621,6,FALSE))," ",VLOOKUP((ROW(G404)-15),'List of tables'!$A$4:$H$621,6,FALSE))</f>
        <v>http://www.ninis2.nisra.gov.uk/public/SearchResults.aspx?sk=DC8501NI;</v>
      </c>
    </row>
    <row r="403" spans="1:7" ht="70" customHeight="1" x14ac:dyDescent="0.3">
      <c r="A403" s="23" t="str">
        <f>IF(ISNA(VLOOKUP((ROW(A405)-15),'List of tables'!$A$4:$H$621,2,FALSE))," ",VLOOKUP((ROW(A405)-15),'List of tables'!$A$4:$H$621,2,FALSE))</f>
        <v>DC8502NI</v>
      </c>
      <c r="B403" s="21" t="str">
        <f>IF(ISNA(VLOOKUP((ROW(B405)-15),'List of tables'!$A$4:$H$621,3,FALSE))," ",VLOOKUP((ROW(B405)-15),'List of tables'!$A$4:$H$621,3,FALSE))</f>
        <v>Highest Level of Qualification by Year of Most Recent Arrival in Northern Ireland (Born in Northern Ireland)</v>
      </c>
      <c r="C403" s="21" t="str">
        <f>IF(ISNA(VLOOKUP((ROW(H405)-15),'List of tables'!$A$4:$H$621,8,FALSE))," ",VLOOKUP((ROW(H405)-15),'List of tables'!$A$4:$H$621,8,FALSE))</f>
        <v>All usual residents aged 16 and over born in Northern Ireland and who have lived outside Northern Ireland.</v>
      </c>
      <c r="D403" s="21" t="str">
        <f>IF(ISNA(VLOOKUP((ROW(D405)-15),'List of tables'!$A$4:$H$621,5,FALSE))," ",VLOOKUP((ROW(D405)-15),'List of tables'!$A$4:$H$621,5,FALSE))</f>
        <v>Northern Ireland</v>
      </c>
      <c r="E403" s="22" t="str">
        <f t="shared" si="5"/>
        <v>Link to files</v>
      </c>
      <c r="G403" s="18" t="str">
        <f>IF(ISNA(VLOOKUP((ROW(G405)-15),'List of tables'!$A$4:$H$621,6,FALSE))," ",VLOOKUP((ROW(G405)-15),'List of tables'!$A$4:$H$621,6,FALSE))</f>
        <v>http://www.ninis2.nisra.gov.uk/public/SearchResults.aspx?sk=DC8502NI;</v>
      </c>
    </row>
    <row r="404" spans="1:7" ht="70" customHeight="1" x14ac:dyDescent="0.3">
      <c r="A404" s="23" t="str">
        <f>IF(ISNA(VLOOKUP((ROW(A406)-15),'List of tables'!$A$4:$H$621,2,FALSE))," ",VLOOKUP((ROW(A406)-15),'List of tables'!$A$4:$H$621,2,FALSE))</f>
        <v>DC8503NI</v>
      </c>
      <c r="B404" s="21" t="str">
        <f>IF(ISNA(VLOOKUP((ROW(B406)-15),'List of tables'!$A$4:$H$621,3,FALSE))," ",VLOOKUP((ROW(B406)-15),'List of tables'!$A$4:$H$621,3,FALSE))</f>
        <v>Highest Level of Qualification by Migration</v>
      </c>
      <c r="C404" s="21" t="str">
        <f>IF(ISNA(VLOOKUP((ROW(H406)-15),'List of tables'!$A$4:$H$621,8,FALSE))," ",VLOOKUP((ROW(H406)-15),'List of tables'!$A$4:$H$621,8,FALSE))</f>
        <v>All usual residents aged 16 and over in the area and those who have moved from the area in the past year within Northern Ireland</v>
      </c>
      <c r="D404" s="21" t="str">
        <f>IF(ISNA(VLOOKUP((ROW(D406)-15),'List of tables'!$A$4:$H$621,5,FALSE))," ",VLOOKUP((ROW(D406)-15),'List of tables'!$A$4:$H$621,5,FALSE))</f>
        <v>Super Output Area, Electoral Ward, Local Government District</v>
      </c>
      <c r="E404" s="22" t="str">
        <f t="shared" si="5"/>
        <v>Link to files</v>
      </c>
      <c r="G404" s="18" t="str">
        <f>IF(ISNA(VLOOKUP((ROW(G406)-15),'List of tables'!$A$4:$H$621,6,FALSE))," ",VLOOKUP((ROW(G406)-15),'List of tables'!$A$4:$H$621,6,FALSE))</f>
        <v>http://www.ninis2.nisra.gov.uk/public/SearchResults.aspx?sk=DC8503NI;</v>
      </c>
    </row>
    <row r="405" spans="1:7" ht="70" customHeight="1" x14ac:dyDescent="0.3">
      <c r="A405" s="23" t="str">
        <f>IF(ISNA(VLOOKUP((ROW(A407)-15),'List of tables'!$A$4:$H$621,2,FALSE))," ",VLOOKUP((ROW(A407)-15),'List of tables'!$A$4:$H$621,2,FALSE))</f>
        <v>DC8601NI</v>
      </c>
      <c r="B405" s="21" t="str">
        <f>IF(ISNA(VLOOKUP((ROW(B407)-15),'List of tables'!$A$4:$H$621,3,FALSE))," ",VLOOKUP((ROW(B407)-15),'List of tables'!$A$4:$H$621,3,FALSE))</f>
        <v>Country of Birth by Economic Activity by Year of Most Recent Arrival in Northern Ireland (Born outside Northern Ireland)</v>
      </c>
      <c r="C405" s="21" t="str">
        <f>IF(ISNA(VLOOKUP((ROW(H407)-15),'List of tables'!$A$4:$H$621,8,FALSE))," ",VLOOKUP((ROW(H407)-15),'List of tables'!$A$4:$H$621,8,FALSE))</f>
        <v>All usual residents aged 16 to 74 born outside Northern Ireland</v>
      </c>
      <c r="D405" s="21" t="str">
        <f>IF(ISNA(VLOOKUP((ROW(D407)-15),'List of tables'!$A$4:$H$621,5,FALSE))," ",VLOOKUP((ROW(D407)-15),'List of tables'!$A$4:$H$621,5,FALSE))</f>
        <v>Northern Ireland</v>
      </c>
      <c r="E405" s="22" t="str">
        <f t="shared" si="5"/>
        <v>Link to files</v>
      </c>
      <c r="G405" s="18" t="str">
        <f>IF(ISNA(VLOOKUP((ROW(G407)-15),'List of tables'!$A$4:$H$621,6,FALSE))," ",VLOOKUP((ROW(G407)-15),'List of tables'!$A$4:$H$621,6,FALSE))</f>
        <v>http://www.ninis2.nisra.gov.uk/public/SearchResults.aspx?sk=DC8601NI;</v>
      </c>
    </row>
    <row r="406" spans="1:7" ht="70" customHeight="1" x14ac:dyDescent="0.3">
      <c r="A406" s="23" t="str">
        <f>IF(ISNA(VLOOKUP((ROW(A408)-15),'List of tables'!$A$4:$H$621,2,FALSE))," ",VLOOKUP((ROW(A408)-15),'List of tables'!$A$4:$H$621,2,FALSE))</f>
        <v>DC8602NI</v>
      </c>
      <c r="B406" s="21" t="str">
        <f>IF(ISNA(VLOOKUP((ROW(B408)-15),'List of tables'!$A$4:$H$621,3,FALSE))," ",VLOOKUP((ROW(B408)-15),'List of tables'!$A$4:$H$621,3,FALSE))</f>
        <v>Economic Activity by Year of Most Recent Arrival in Northern Ireland (Born in Northern Ireland)</v>
      </c>
      <c r="C406" s="21" t="str">
        <f>IF(ISNA(VLOOKUP((ROW(H408)-15),'List of tables'!$A$4:$H$621,8,FALSE))," ",VLOOKUP((ROW(H408)-15),'List of tables'!$A$4:$H$621,8,FALSE))</f>
        <v>All usual residents aged 16 to 74 born in Northern Ireland and who have lived outside Northern Ireland.</v>
      </c>
      <c r="D406" s="21" t="str">
        <f>IF(ISNA(VLOOKUP((ROW(D408)-15),'List of tables'!$A$4:$H$621,5,FALSE))," ",VLOOKUP((ROW(D408)-15),'List of tables'!$A$4:$H$621,5,FALSE))</f>
        <v>Northern Ireland</v>
      </c>
      <c r="E406" s="22" t="str">
        <f t="shared" si="5"/>
        <v>Link to files</v>
      </c>
      <c r="G406" s="18" t="str">
        <f>IF(ISNA(VLOOKUP((ROW(G408)-15),'List of tables'!$A$4:$H$621,6,FALSE))," ",VLOOKUP((ROW(G408)-15),'List of tables'!$A$4:$H$621,6,FALSE))</f>
        <v>http://www.ninis2.nisra.gov.uk/public/SearchResults.aspx?sk=DC8602NI;</v>
      </c>
    </row>
    <row r="407" spans="1:7" ht="70" customHeight="1" x14ac:dyDescent="0.3">
      <c r="A407" s="23" t="str">
        <f>IF(ISNA(VLOOKUP((ROW(A409)-15),'List of tables'!$A$4:$H$621,2,FALSE))," ",VLOOKUP((ROW(A409)-15),'List of tables'!$A$4:$H$621,2,FALSE))</f>
        <v>DC8801NI</v>
      </c>
      <c r="B407" s="21" t="str">
        <f>IF(ISNA(VLOOKUP((ROW(B409)-15),'List of tables'!$A$4:$H$621,3,FALSE))," ",VLOOKUP((ROW(B409)-15),'List of tables'!$A$4:$H$621,3,FALSE))</f>
        <v>Year of Most Recent Arrival in Northern Ireland by Age of Most Recent Arrival in Northern Ireland (Born outside Northern Ireland)</v>
      </c>
      <c r="C407" s="21" t="str">
        <f>IF(ISNA(VLOOKUP((ROW(H409)-15),'List of tables'!$A$4:$H$621,8,FALSE))," ",VLOOKUP((ROW(H409)-15),'List of tables'!$A$4:$H$621,8,FALSE))</f>
        <v>All usual residents who were born and have lived outside Northern Ireland</v>
      </c>
      <c r="D407" s="21" t="str">
        <f>IF(ISNA(VLOOKUP((ROW(D409)-15),'List of tables'!$A$4:$H$621,5,FALSE))," ",VLOOKUP((ROW(D409)-15),'List of tables'!$A$4:$H$621,5,FALSE))</f>
        <v>Northern Ireland</v>
      </c>
      <c r="E407" s="22" t="str">
        <f t="shared" si="5"/>
        <v>Link to files</v>
      </c>
      <c r="G407" s="18" t="str">
        <f>IF(ISNA(VLOOKUP((ROW(G409)-15),'List of tables'!$A$4:$H$621,6,FALSE))," ",VLOOKUP((ROW(G409)-15),'List of tables'!$A$4:$H$621,6,FALSE))</f>
        <v>http://www.ninis2.nisra.gov.uk/public/SearchResults.aspx?sk=DC8801NI;</v>
      </c>
    </row>
    <row r="408" spans="1:7" ht="70" customHeight="1" x14ac:dyDescent="0.3">
      <c r="A408" s="23" t="str">
        <f>IF(ISNA(VLOOKUP((ROW(A410)-15),'List of tables'!$A$4:$H$621,2,FALSE))," ",VLOOKUP((ROW(A410)-15),'List of tables'!$A$4:$H$621,2,FALSE))</f>
        <v>-</v>
      </c>
      <c r="B408" s="21" t="str">
        <f>IF(ISNA(VLOOKUP((ROW(B410)-15),'List of tables'!$A$4:$H$621,3,FALSE))," ",VLOOKUP((ROW(B410)-15),'List of tables'!$A$4:$H$621,3,FALSE))</f>
        <v>Headcount and Household Estimates for Postcodes</v>
      </c>
      <c r="C408" s="21" t="str">
        <f>IF(ISNA(VLOOKUP((ROW(H410)-15),'List of tables'!$A$4:$H$621,8,FALSE))," ",VLOOKUP((ROW(H410)-15),'List of tables'!$A$4:$H$621,8,FALSE))</f>
        <v>All usual residents and households</v>
      </c>
      <c r="D408" s="21" t="str">
        <f>IF(ISNA(VLOOKUP((ROW(D410)-15),'List of tables'!$A$4:$H$621,5,FALSE))," ",VLOOKUP((ROW(D410)-15),'List of tables'!$A$4:$H$621,5,FALSE))</f>
        <v>Postcodes</v>
      </c>
      <c r="E408" s="22" t="str">
        <f t="shared" si="5"/>
        <v>Link to files</v>
      </c>
      <c r="G408" s="18" t="str">
        <f>IF(ISNA(VLOOKUP((ROW(G410)-15),'List of tables'!$A$4:$H$621,6,FALSE))," ",VLOOKUP((ROW(G410)-15),'List of tables'!$A$4:$H$621,6,FALSE))</f>
        <v>http://www.ninis2.nisra.gov.uk/public/SearchResults.aspx?sk=Postcodes;</v>
      </c>
    </row>
    <row r="409" spans="1:7" ht="70" customHeight="1" x14ac:dyDescent="0.3">
      <c r="A409" s="23" t="str">
        <f>IF(ISNA(VLOOKUP((ROW(A411)-15),'List of tables'!$A$4:$H$621,2,FALSE))," ",VLOOKUP((ROW(A411)-15),'List of tables'!$A$4:$H$621,2,FALSE))</f>
        <v>LC1101NI</v>
      </c>
      <c r="B409" s="21" t="str">
        <f>IF(ISNA(VLOOKUP((ROW(B411)-15),'List of tables'!$A$4:$H$621,3,FALSE))," ",VLOOKUP((ROW(B411)-15),'List of tables'!$A$4:$H$621,3,FALSE))</f>
        <v>Marital and Civil Partnership Status by Age</v>
      </c>
      <c r="C409" s="21" t="str">
        <f>IF(ISNA(VLOOKUP((ROW(H411)-15),'List of tables'!$A$4:$H$621,8,FALSE))," ",VLOOKUP((ROW(H411)-15),'List of tables'!$A$4:$H$621,8,FALSE))</f>
        <v>All usual residents aged 16 and over</v>
      </c>
      <c r="D409" s="21" t="str">
        <f>IF(ISNA(VLOOKUP((ROW(D411)-15),'List of tables'!$A$4:$H$621,5,FALSE))," ",VLOOKUP((ROW(D411)-15),'List of tables'!$A$4:$H$621,5,FALSE))</f>
        <v>Small Area, Super Output Area, Electoral Ward, Local Government District, Assembly Area, NUTS3, Education and Library Board, Health and Social Care Trust, Northern Ireland</v>
      </c>
      <c r="E409" s="22" t="str">
        <f t="shared" si="5"/>
        <v>Link to files</v>
      </c>
      <c r="G409" s="18" t="str">
        <f>IF(ISNA(VLOOKUP((ROW(G411)-15),'List of tables'!$A$4:$H$621,6,FALSE))," ",VLOOKUP((ROW(G411)-15),'List of tables'!$A$4:$H$621,6,FALSE))</f>
        <v>http://www.ninis2.nisra.gov.uk/public/SearchResults.aspx?sk=LC1101NI;</v>
      </c>
    </row>
    <row r="410" spans="1:7" ht="70" customHeight="1" x14ac:dyDescent="0.3">
      <c r="A410" s="23" t="str">
        <f>IF(ISNA(VLOOKUP((ROW(A412)-15),'List of tables'!$A$4:$H$621,2,FALSE))," ",VLOOKUP((ROW(A412)-15),'List of tables'!$A$4:$H$621,2,FALSE))</f>
        <v>LC1102NI</v>
      </c>
      <c r="B410" s="21" t="str">
        <f>IF(ISNA(VLOOKUP((ROW(B412)-15),'List of tables'!$A$4:$H$621,3,FALSE))," ",VLOOKUP((ROW(B412)-15),'List of tables'!$A$4:$H$621,3,FALSE))</f>
        <v>Marital and Civil Partnership Status by Sex</v>
      </c>
      <c r="C410" s="21" t="str">
        <f>IF(ISNA(VLOOKUP((ROW(H412)-15),'List of tables'!$A$4:$H$621,8,FALSE))," ",VLOOKUP((ROW(H412)-15),'List of tables'!$A$4:$H$621,8,FALSE))</f>
        <v>All usual residents aged 16 and over</v>
      </c>
      <c r="D410" s="21" t="str">
        <f>IF(ISNA(VLOOKUP((ROW(D412)-15),'List of tables'!$A$4:$H$621,5,FALSE))," ",VLOOKUP((ROW(D412)-15),'List of tables'!$A$4:$H$621,5,FALSE))</f>
        <v>Small Area, Super Output Area, Electoral Ward, Local Government District, Assembly Area, NUTS3, Education and Library Board, Health and Social Care Trust, Northern Ireland</v>
      </c>
      <c r="E410" s="22" t="str">
        <f t="shared" si="5"/>
        <v>Link to files</v>
      </c>
      <c r="G410" s="18" t="str">
        <f>IF(ISNA(VLOOKUP((ROW(G412)-15),'List of tables'!$A$4:$H$621,6,FALSE))," ",VLOOKUP((ROW(G412)-15),'List of tables'!$A$4:$H$621,6,FALSE))</f>
        <v>http://www.ninis2.nisra.gov.uk/public/SearchResults.aspx?sk=LC1102NI;</v>
      </c>
    </row>
    <row r="411" spans="1:7" ht="70" customHeight="1" x14ac:dyDescent="0.3">
      <c r="A411" s="23" t="str">
        <f>IF(ISNA(VLOOKUP((ROW(A413)-15),'List of tables'!$A$4:$H$621,2,FALSE))," ",VLOOKUP((ROW(A413)-15),'List of tables'!$A$4:$H$621,2,FALSE))</f>
        <v>LC1103NI</v>
      </c>
      <c r="B411" s="21" t="str">
        <f>IF(ISNA(VLOOKUP((ROW(B413)-15),'List of tables'!$A$4:$H$621,3,FALSE))," ",VLOOKUP((ROW(B413)-15),'List of tables'!$A$4:$H$621,3,FALSE))</f>
        <v>Marital and Civil Partnership Status by Age by Sex of HRP</v>
      </c>
      <c r="C411" s="21" t="str">
        <f>IF(ISNA(VLOOKUP((ROW(H413)-15),'List of tables'!$A$4:$H$621,8,FALSE))," ",VLOOKUP((ROW(H413)-15),'List of tables'!$A$4:$H$621,8,FALSE))</f>
        <v>All Household Reference Persons (HRPs)</v>
      </c>
      <c r="D411" s="21" t="str">
        <f>IF(ISNA(VLOOKUP((ROW(D413)-15),'List of tables'!$A$4:$H$621,5,FALSE))," ",VLOOKUP((ROW(D413)-15),'List of tables'!$A$4:$H$621,5,FALSE))</f>
        <v>Small Area, Super Output Area, Electoral Ward, Local Government District, Assembly Area, NUTS3, Education and Library Board, Health and Social Care Trust, Northern Ireland</v>
      </c>
      <c r="E411" s="22" t="str">
        <f t="shared" si="5"/>
        <v>Link to files</v>
      </c>
      <c r="G411" s="18" t="str">
        <f>IF(ISNA(VLOOKUP((ROW(G413)-15),'List of tables'!$A$4:$H$621,6,FALSE))," ",VLOOKUP((ROW(G413)-15),'List of tables'!$A$4:$H$621,6,FALSE))</f>
        <v>http://www.ninis2.nisra.gov.uk/public/SearchResults.aspx?sk=LC1103NI;</v>
      </c>
    </row>
    <row r="412" spans="1:7" ht="70" customHeight="1" x14ac:dyDescent="0.3">
      <c r="A412" s="23" t="str">
        <f>IF(ISNA(VLOOKUP((ROW(A414)-15),'List of tables'!$A$4:$H$621,2,FALSE))," ",VLOOKUP((ROW(A414)-15),'List of tables'!$A$4:$H$621,2,FALSE))</f>
        <v>LC1104NI</v>
      </c>
      <c r="B412" s="21" t="str">
        <f>IF(ISNA(VLOOKUP((ROW(B414)-15),'List of tables'!$A$4:$H$621,3,FALSE))," ",VLOOKUP((ROW(B414)-15),'List of tables'!$A$4:$H$621,3,FALSE))</f>
        <v>Living Arrangements by Age by Sex</v>
      </c>
      <c r="C412" s="21" t="str">
        <f>IF(ISNA(VLOOKUP((ROW(H414)-15),'List of tables'!$A$4:$H$621,8,FALSE))," ",VLOOKUP((ROW(H414)-15),'List of tables'!$A$4:$H$621,8,FALSE))</f>
        <v>All usual residents aged 16 and over in households</v>
      </c>
      <c r="D412" s="21" t="str">
        <f>IF(ISNA(VLOOKUP((ROW(D414)-15),'List of tables'!$A$4:$H$621,5,FALSE))," ",VLOOKUP((ROW(D414)-15),'List of tables'!$A$4:$H$621,5,FALSE))</f>
        <v>Small Area, Super Output Area, Electoral Ward, Local Government District, Assembly Area, NUTS3, Education and Library Board, Health and Social Care Trust, Northern Ireland</v>
      </c>
      <c r="E412" s="22" t="str">
        <f t="shared" si="5"/>
        <v>Link to files</v>
      </c>
      <c r="G412" s="18" t="str">
        <f>IF(ISNA(VLOOKUP((ROW(G414)-15),'List of tables'!$A$4:$H$621,6,FALSE))," ",VLOOKUP((ROW(G414)-15),'List of tables'!$A$4:$H$621,6,FALSE))</f>
        <v>http://www.ninis2.nisra.gov.uk/public/SearchResults.aspx?sk=LC1104NI;</v>
      </c>
    </row>
    <row r="413" spans="1:7" ht="70" customHeight="1" x14ac:dyDescent="0.3">
      <c r="A413" s="23" t="str">
        <f>IF(ISNA(VLOOKUP((ROW(A415)-15),'List of tables'!$A$4:$H$621,2,FALSE))," ",VLOOKUP((ROW(A415)-15),'List of tables'!$A$4:$H$621,2,FALSE))</f>
        <v>LC1105NI</v>
      </c>
      <c r="B413" s="21" t="str">
        <f>IF(ISNA(VLOOKUP((ROW(B415)-15),'List of tables'!$A$4:$H$621,3,FALSE))," ",VLOOKUP((ROW(B415)-15),'List of tables'!$A$4:$H$621,3,FALSE))</f>
        <v>Living Arrangements by Age by Sex of HRP</v>
      </c>
      <c r="C413" s="21" t="str">
        <f>IF(ISNA(VLOOKUP((ROW(H415)-15),'List of tables'!$A$4:$H$621,8,FALSE))," ",VLOOKUP((ROW(H415)-15),'List of tables'!$A$4:$H$621,8,FALSE))</f>
        <v>All Household Reference Persons (HRPs)</v>
      </c>
      <c r="D413" s="21" t="str">
        <f>IF(ISNA(VLOOKUP((ROW(D415)-15),'List of tables'!$A$4:$H$621,5,FALSE))," ",VLOOKUP((ROW(D415)-15),'List of tables'!$A$4:$H$621,5,FALSE))</f>
        <v>Small Area, Super Output Area, Electoral Ward, Local Government District, Assembly Area, NUTS3, Education and Library Board, Health and Social Care Trust, Northern Ireland</v>
      </c>
      <c r="E413" s="22" t="str">
        <f t="shared" si="5"/>
        <v>Link to files</v>
      </c>
      <c r="G413" s="18" t="str">
        <f>IF(ISNA(VLOOKUP((ROW(G415)-15),'List of tables'!$A$4:$H$621,6,FALSE))," ",VLOOKUP((ROW(G415)-15),'List of tables'!$A$4:$H$621,6,FALSE))</f>
        <v>http://www.ninis2.nisra.gov.uk/public/SearchResults.aspx?sk=LC1105NI;</v>
      </c>
    </row>
    <row r="414" spans="1:7" ht="70" customHeight="1" x14ac:dyDescent="0.3">
      <c r="A414" s="23" t="str">
        <f>IF(ISNA(VLOOKUP((ROW(A416)-15),'List of tables'!$A$4:$H$621,2,FALSE))," ",VLOOKUP((ROW(A416)-15),'List of tables'!$A$4:$H$621,2,FALSE))</f>
        <v>LC2101NI</v>
      </c>
      <c r="B414" s="21" t="str">
        <f>IF(ISNA(VLOOKUP((ROW(B416)-15),'List of tables'!$A$4:$H$621,3,FALSE))," ",VLOOKUP((ROW(B416)-15),'List of tables'!$A$4:$H$621,3,FALSE))</f>
        <v>National Identity (Classification 1) by Age</v>
      </c>
      <c r="C414" s="21" t="str">
        <f>IF(ISNA(VLOOKUP((ROW(H416)-15),'List of tables'!$A$4:$H$621,8,FALSE))," ",VLOOKUP((ROW(H416)-15),'List of tables'!$A$4:$H$621,8,FALSE))</f>
        <v>All usual residents</v>
      </c>
      <c r="D414" s="21" t="str">
        <f>IF(ISNA(VLOOKUP((ROW(D416)-15),'List of tables'!$A$4:$H$621,5,FALSE))," ",VLOOKUP((ROW(D416)-15),'List of tables'!$A$4:$H$621,5,FALSE))</f>
        <v>Small Area, Super Output Area, Electoral Ward, Local Government District, Assembly Area, NUTS3, Education and Library Board, Health and Social Care Trust, Northern Ireland</v>
      </c>
      <c r="E414" s="22" t="str">
        <f t="shared" si="5"/>
        <v>Link to files</v>
      </c>
      <c r="G414" s="18" t="str">
        <f>IF(ISNA(VLOOKUP((ROW(G416)-15),'List of tables'!$A$4:$H$621,6,FALSE))," ",VLOOKUP((ROW(G416)-15),'List of tables'!$A$4:$H$621,6,FALSE))</f>
        <v>http://www.ninis2.nisra.gov.uk/public/SearchResults.aspx?sk=LC2101NI;</v>
      </c>
    </row>
    <row r="415" spans="1:7" ht="70" customHeight="1" x14ac:dyDescent="0.3">
      <c r="A415" s="23" t="str">
        <f>IF(ISNA(VLOOKUP((ROW(A417)-15),'List of tables'!$A$4:$H$621,2,FALSE))," ",VLOOKUP((ROW(A417)-15),'List of tables'!$A$4:$H$621,2,FALSE))</f>
        <v>LC2102NI</v>
      </c>
      <c r="B415" s="21" t="str">
        <f>IF(ISNA(VLOOKUP((ROW(B417)-15),'List of tables'!$A$4:$H$621,3,FALSE))," ",VLOOKUP((ROW(B417)-15),'List of tables'!$A$4:$H$621,3,FALSE))</f>
        <v>National Identity (Classification 1) by Sex</v>
      </c>
      <c r="C415" s="21" t="str">
        <f>IF(ISNA(VLOOKUP((ROW(H417)-15),'List of tables'!$A$4:$H$621,8,FALSE))," ",VLOOKUP((ROW(H417)-15),'List of tables'!$A$4:$H$621,8,FALSE))</f>
        <v>All usual residents</v>
      </c>
      <c r="D415" s="21" t="str">
        <f>IF(ISNA(VLOOKUP((ROW(D417)-15),'List of tables'!$A$4:$H$621,5,FALSE))," ",VLOOKUP((ROW(D417)-15),'List of tables'!$A$4:$H$621,5,FALSE))</f>
        <v>Small Area, Super Output Area, Electoral Ward, Local Government District, Assembly Area, NUTS3, Education and Library Board, Health and Social Care Trust, Northern Ireland</v>
      </c>
      <c r="E415" s="22" t="str">
        <f t="shared" si="5"/>
        <v>Link to files</v>
      </c>
      <c r="G415" s="18" t="str">
        <f>IF(ISNA(VLOOKUP((ROW(G417)-15),'List of tables'!$A$4:$H$621,6,FALSE))," ",VLOOKUP((ROW(G417)-15),'List of tables'!$A$4:$H$621,6,FALSE))</f>
        <v>http://www.ninis2.nisra.gov.uk/public/SearchResults.aspx?sk=LC2102NI;</v>
      </c>
    </row>
    <row r="416" spans="1:7" ht="70" customHeight="1" x14ac:dyDescent="0.3">
      <c r="A416" s="23" t="str">
        <f>IF(ISNA(VLOOKUP((ROW(A418)-15),'List of tables'!$A$4:$H$621,2,FALSE))," ",VLOOKUP((ROW(A418)-15),'List of tables'!$A$4:$H$621,2,FALSE))</f>
        <v>LC2103NI</v>
      </c>
      <c r="B416" s="21" t="str">
        <f>IF(ISNA(VLOOKUP((ROW(B418)-15),'List of tables'!$A$4:$H$621,3,FALSE))," ",VLOOKUP((ROW(B418)-15),'List of tables'!$A$4:$H$621,3,FALSE))</f>
        <v>Country of Birth by Age</v>
      </c>
      <c r="C416" s="21" t="str">
        <f>IF(ISNA(VLOOKUP((ROW(H418)-15),'List of tables'!$A$4:$H$621,8,FALSE))," ",VLOOKUP((ROW(H418)-15),'List of tables'!$A$4:$H$621,8,FALSE))</f>
        <v>All usual residents</v>
      </c>
      <c r="D416" s="21" t="str">
        <f>IF(ISNA(VLOOKUP((ROW(D418)-15),'List of tables'!$A$4:$H$621,5,FALSE))," ",VLOOKUP((ROW(D418)-15),'List of tables'!$A$4:$H$621,5,FALSE))</f>
        <v>Small Area, Super Output Area, Electoral Ward, Local Government District, Assembly Area, NUTS3, Education and Library Board, Health and Social Care Trust, Northern Ireland</v>
      </c>
      <c r="E416" s="22" t="str">
        <f t="shared" si="5"/>
        <v>Link to files</v>
      </c>
      <c r="G416" s="18" t="str">
        <f>IF(ISNA(VLOOKUP((ROW(G418)-15),'List of tables'!$A$4:$H$621,6,FALSE))," ",VLOOKUP((ROW(G418)-15),'List of tables'!$A$4:$H$621,6,FALSE))</f>
        <v>http://www.ninis2.nisra.gov.uk/public/SearchResults.aspx?sk=LC2103NI;</v>
      </c>
    </row>
    <row r="417" spans="1:7" ht="70" customHeight="1" x14ac:dyDescent="0.3">
      <c r="A417" s="23" t="str">
        <f>IF(ISNA(VLOOKUP((ROW(A419)-15),'List of tables'!$A$4:$H$621,2,FALSE))," ",VLOOKUP((ROW(A419)-15),'List of tables'!$A$4:$H$621,2,FALSE))</f>
        <v>LC2104NI</v>
      </c>
      <c r="B417" s="21" t="str">
        <f>IF(ISNA(VLOOKUP((ROW(B419)-15),'List of tables'!$A$4:$H$621,3,FALSE))," ",VLOOKUP((ROW(B419)-15),'List of tables'!$A$4:$H$621,3,FALSE))</f>
        <v>Country of Birth by Sex</v>
      </c>
      <c r="C417" s="21" t="str">
        <f>IF(ISNA(VLOOKUP((ROW(H419)-15),'List of tables'!$A$4:$H$621,8,FALSE))," ",VLOOKUP((ROW(H419)-15),'List of tables'!$A$4:$H$621,8,FALSE))</f>
        <v>All usual residents</v>
      </c>
      <c r="D417" s="21" t="str">
        <f>IF(ISNA(VLOOKUP((ROW(D419)-15),'List of tables'!$A$4:$H$621,5,FALSE))," ",VLOOKUP((ROW(D419)-15),'List of tables'!$A$4:$H$621,5,FALSE))</f>
        <v>Small Area, Super Output Area, Electoral Ward, Local Government District, Assembly Area, NUTS3, Education and Library Board, Health and Social Care Trust, Northern Ireland</v>
      </c>
      <c r="E417" s="22" t="str">
        <f t="shared" si="5"/>
        <v>Link to files</v>
      </c>
      <c r="G417" s="18" t="str">
        <f>IF(ISNA(VLOOKUP((ROW(G419)-15),'List of tables'!$A$4:$H$621,6,FALSE))," ",VLOOKUP((ROW(G419)-15),'List of tables'!$A$4:$H$621,6,FALSE))</f>
        <v>http://www.ninis2.nisra.gov.uk/public/SearchResults.aspx?sk=LC2104NI;</v>
      </c>
    </row>
    <row r="418" spans="1:7" ht="70" customHeight="1" x14ac:dyDescent="0.3">
      <c r="A418" s="23" t="str">
        <f>IF(ISNA(VLOOKUP((ROW(A420)-15),'List of tables'!$A$4:$H$621,2,FALSE))," ",VLOOKUP((ROW(A420)-15),'List of tables'!$A$4:$H$621,2,FALSE))</f>
        <v>LC2105NI</v>
      </c>
      <c r="B418" s="21" t="str">
        <f>IF(ISNA(VLOOKUP((ROW(B420)-15),'List of tables'!$A$4:$H$621,3,FALSE))," ",VLOOKUP((ROW(B420)-15),'List of tables'!$A$4:$H$621,3,FALSE))</f>
        <v>Passports Held (Classification 1) by Age</v>
      </c>
      <c r="C418" s="21" t="str">
        <f>IF(ISNA(VLOOKUP((ROW(H420)-15),'List of tables'!$A$4:$H$621,8,FALSE))," ",VLOOKUP((ROW(H420)-15),'List of tables'!$A$4:$H$621,8,FALSE))</f>
        <v>All usual residents</v>
      </c>
      <c r="D418" s="21" t="str">
        <f>IF(ISNA(VLOOKUP((ROW(D420)-15),'List of tables'!$A$4:$H$621,5,FALSE))," ",VLOOKUP((ROW(D420)-15),'List of tables'!$A$4:$H$621,5,FALSE))</f>
        <v>Small Area, Super Output Area, Electoral Ward, Local Government District, Assembly Area, NUTS3, Education and Library Board, Health and Social Care Trust, Northern Ireland</v>
      </c>
      <c r="E418" s="22" t="str">
        <f t="shared" si="5"/>
        <v>Link to files</v>
      </c>
      <c r="G418" s="18" t="str">
        <f>IF(ISNA(VLOOKUP((ROW(G420)-15),'List of tables'!$A$4:$H$621,6,FALSE))," ",VLOOKUP((ROW(G420)-15),'List of tables'!$A$4:$H$621,6,FALSE))</f>
        <v>http://www.ninis2.nisra.gov.uk/public/SearchResults.aspx?sk=LC2105NI;</v>
      </c>
    </row>
    <row r="419" spans="1:7" ht="70" customHeight="1" x14ac:dyDescent="0.3">
      <c r="A419" s="23" t="str">
        <f>IF(ISNA(VLOOKUP((ROW(A421)-15),'List of tables'!$A$4:$H$621,2,FALSE))," ",VLOOKUP((ROW(A421)-15),'List of tables'!$A$4:$H$621,2,FALSE))</f>
        <v>LC2106NI</v>
      </c>
      <c r="B419" s="21" t="str">
        <f>IF(ISNA(VLOOKUP((ROW(B421)-15),'List of tables'!$A$4:$H$621,3,FALSE))," ",VLOOKUP((ROW(B421)-15),'List of tables'!$A$4:$H$621,3,FALSE))</f>
        <v>Passports Held (Classification 1) by Sex</v>
      </c>
      <c r="C419" s="21" t="str">
        <f>IF(ISNA(VLOOKUP((ROW(H421)-15),'List of tables'!$A$4:$H$621,8,FALSE))," ",VLOOKUP((ROW(H421)-15),'List of tables'!$A$4:$H$621,8,FALSE))</f>
        <v>All usual residents</v>
      </c>
      <c r="D419" s="21" t="str">
        <f>IF(ISNA(VLOOKUP((ROW(D421)-15),'List of tables'!$A$4:$H$621,5,FALSE))," ",VLOOKUP((ROW(D421)-15),'List of tables'!$A$4:$H$621,5,FALSE))</f>
        <v>Small Area, Super Output Area, Electoral Ward, Local Government District, Assembly Area, NUTS3, Education and Library Board, Health and Social Care Trust, Northern Ireland</v>
      </c>
      <c r="E419" s="22" t="str">
        <f t="shared" si="5"/>
        <v>Link to files</v>
      </c>
      <c r="G419" s="18" t="str">
        <f>IF(ISNA(VLOOKUP((ROW(G421)-15),'List of tables'!$A$4:$H$621,6,FALSE))," ",VLOOKUP((ROW(G421)-15),'List of tables'!$A$4:$H$621,6,FALSE))</f>
        <v>http://www.ninis2.nisra.gov.uk/public/SearchResults.aspx?sk=LC2106NI;</v>
      </c>
    </row>
    <row r="420" spans="1:7" ht="70" customHeight="1" x14ac:dyDescent="0.3">
      <c r="A420" s="23" t="str">
        <f>IF(ISNA(VLOOKUP((ROW(A422)-15),'List of tables'!$A$4:$H$621,2,FALSE))," ",VLOOKUP((ROW(A422)-15),'List of tables'!$A$4:$H$621,2,FALSE))</f>
        <v>LC2107NI</v>
      </c>
      <c r="B420" s="21" t="str">
        <f>IF(ISNA(VLOOKUP((ROW(B422)-15),'List of tables'!$A$4:$H$621,3,FALSE))," ",VLOOKUP((ROW(B422)-15),'List of tables'!$A$4:$H$621,3,FALSE))</f>
        <v>Main Language by Age</v>
      </c>
      <c r="C420" s="21" t="str">
        <f>IF(ISNA(VLOOKUP((ROW(H422)-15),'List of tables'!$A$4:$H$621,8,FALSE))," ",VLOOKUP((ROW(H422)-15),'List of tables'!$A$4:$H$621,8,FALSE))</f>
        <v>All usual residents aged 3 and over</v>
      </c>
      <c r="D420" s="21" t="str">
        <f>IF(ISNA(VLOOKUP((ROW(D422)-15),'List of tables'!$A$4:$H$621,5,FALSE))," ",VLOOKUP((ROW(D422)-15),'List of tables'!$A$4:$H$621,5,FALSE))</f>
        <v>Small Area, Super Output Area, Electoral Ward, Local Government District, Assembly Area, NUTS3, Education and Library Board, Health and Social Care Trust, Northern Ireland</v>
      </c>
      <c r="E420" s="22" t="str">
        <f t="shared" si="5"/>
        <v>Link to files</v>
      </c>
      <c r="G420" s="18" t="str">
        <f>IF(ISNA(VLOOKUP((ROW(G422)-15),'List of tables'!$A$4:$H$621,6,FALSE))," ",VLOOKUP((ROW(G422)-15),'List of tables'!$A$4:$H$621,6,FALSE))</f>
        <v>http://www.ninis2.nisra.gov.uk/public/SearchResults.aspx?sk=LC2107NI;</v>
      </c>
    </row>
    <row r="421" spans="1:7" ht="70" customHeight="1" x14ac:dyDescent="0.3">
      <c r="A421" s="23" t="str">
        <f>IF(ISNA(VLOOKUP((ROW(A423)-15),'List of tables'!$A$4:$H$621,2,FALSE))," ",VLOOKUP((ROW(A423)-15),'List of tables'!$A$4:$H$621,2,FALSE))</f>
        <v>LC2108NI</v>
      </c>
      <c r="B421" s="21" t="str">
        <f>IF(ISNA(VLOOKUP((ROW(B423)-15),'List of tables'!$A$4:$H$621,3,FALSE))," ",VLOOKUP((ROW(B423)-15),'List of tables'!$A$4:$H$621,3,FALSE))</f>
        <v>Main Language by Sex</v>
      </c>
      <c r="C421" s="21" t="str">
        <f>IF(ISNA(VLOOKUP((ROW(H423)-15),'List of tables'!$A$4:$H$621,8,FALSE))," ",VLOOKUP((ROW(H423)-15),'List of tables'!$A$4:$H$621,8,FALSE))</f>
        <v>All usual residents aged 3 and over</v>
      </c>
      <c r="D421" s="21" t="str">
        <f>IF(ISNA(VLOOKUP((ROW(D423)-15),'List of tables'!$A$4:$H$621,5,FALSE))," ",VLOOKUP((ROW(D423)-15),'List of tables'!$A$4:$H$621,5,FALSE))</f>
        <v>Small Area, Super Output Area, Electoral Ward, Local Government District, Assembly Area, NUTS3, Education and Library Board, Health and Social Care Trust, Northern Ireland</v>
      </c>
      <c r="E421" s="22" t="str">
        <f t="shared" si="5"/>
        <v>Link to files</v>
      </c>
      <c r="G421" s="18" t="str">
        <f>IF(ISNA(VLOOKUP((ROW(G423)-15),'List of tables'!$A$4:$H$621,6,FALSE))," ",VLOOKUP((ROW(G423)-15),'List of tables'!$A$4:$H$621,6,FALSE))</f>
        <v>http://www.ninis2.nisra.gov.uk/public/SearchResults.aspx?sk=LC2108NI;</v>
      </c>
    </row>
    <row r="422" spans="1:7" ht="70" customHeight="1" x14ac:dyDescent="0.3">
      <c r="A422" s="23" t="str">
        <f>IF(ISNA(VLOOKUP((ROW(A424)-15),'List of tables'!$A$4:$H$621,2,FALSE))," ",VLOOKUP((ROW(A424)-15),'List of tables'!$A$4:$H$621,2,FALSE))</f>
        <v>LC2109NI</v>
      </c>
      <c r="B422" s="21" t="str">
        <f>IF(ISNA(VLOOKUP((ROW(B424)-15),'List of tables'!$A$4:$H$621,3,FALSE))," ",VLOOKUP((ROW(B424)-15),'List of tables'!$A$4:$H$621,3,FALSE))</f>
        <v>Religion by Age</v>
      </c>
      <c r="C422" s="21" t="str">
        <f>IF(ISNA(VLOOKUP((ROW(H424)-15),'List of tables'!$A$4:$H$621,8,FALSE))," ",VLOOKUP((ROW(H424)-15),'List of tables'!$A$4:$H$621,8,FALSE))</f>
        <v xml:space="preserve">All usual residents </v>
      </c>
      <c r="D422" s="21" t="str">
        <f>IF(ISNA(VLOOKUP((ROW(D424)-15),'List of tables'!$A$4:$H$621,5,FALSE))," ",VLOOKUP((ROW(D424)-15),'List of tables'!$A$4:$H$621,5,FALSE))</f>
        <v>Small Area, Super Output Area, Electoral Ward, Local Government District, Assembly Area, NUTS3, Education and Library Board, Health and Social Care Trust, Northern Ireland</v>
      </c>
      <c r="E422" s="22" t="str">
        <f t="shared" si="5"/>
        <v>Link to files</v>
      </c>
      <c r="G422" s="18" t="str">
        <f>IF(ISNA(VLOOKUP((ROW(G424)-15),'List of tables'!$A$4:$H$621,6,FALSE))," ",VLOOKUP((ROW(G424)-15),'List of tables'!$A$4:$H$621,6,FALSE))</f>
        <v>http://www.ninis2.nisra.gov.uk/public/SearchResults.aspx?sk=LC2109NI;</v>
      </c>
    </row>
    <row r="423" spans="1:7" ht="70" customHeight="1" x14ac:dyDescent="0.3">
      <c r="A423" s="23" t="str">
        <f>IF(ISNA(VLOOKUP((ROW(A425)-15),'List of tables'!$A$4:$H$621,2,FALSE))," ",VLOOKUP((ROW(A425)-15),'List of tables'!$A$4:$H$621,2,FALSE))</f>
        <v>LC2110NI</v>
      </c>
      <c r="B423" s="21" t="str">
        <f>IF(ISNA(VLOOKUP((ROW(B425)-15),'List of tables'!$A$4:$H$621,3,FALSE))," ",VLOOKUP((ROW(B425)-15),'List of tables'!$A$4:$H$621,3,FALSE))</f>
        <v>Religion or Religion Brought Up In by Age</v>
      </c>
      <c r="C423" s="21" t="str">
        <f>IF(ISNA(VLOOKUP((ROW(H425)-15),'List of tables'!$A$4:$H$621,8,FALSE))," ",VLOOKUP((ROW(H425)-15),'List of tables'!$A$4:$H$621,8,FALSE))</f>
        <v xml:space="preserve">All usual residents </v>
      </c>
      <c r="D423" s="21" t="str">
        <f>IF(ISNA(VLOOKUP((ROW(D425)-15),'List of tables'!$A$4:$H$621,5,FALSE))," ",VLOOKUP((ROW(D425)-15),'List of tables'!$A$4:$H$621,5,FALSE))</f>
        <v>Small Area, Super Output Area, Electoral Ward, Local Government District, Assembly Area, NUTS3, Education and Library Board, Health and Social Care Trust, Northern Ireland</v>
      </c>
      <c r="E423" s="22" t="str">
        <f t="shared" si="5"/>
        <v>Link to files</v>
      </c>
      <c r="G423" s="18" t="str">
        <f>IF(ISNA(VLOOKUP((ROW(G425)-15),'List of tables'!$A$4:$H$621,6,FALSE))," ",VLOOKUP((ROW(G425)-15),'List of tables'!$A$4:$H$621,6,FALSE))</f>
        <v>http://www.ninis2.nisra.gov.uk/public/SearchResults.aspx?sk=LC2110NI;</v>
      </c>
    </row>
    <row r="424" spans="1:7" ht="70" customHeight="1" x14ac:dyDescent="0.3">
      <c r="A424" s="23" t="str">
        <f>IF(ISNA(VLOOKUP((ROW(A426)-15),'List of tables'!$A$4:$H$621,2,FALSE))," ",VLOOKUP((ROW(A426)-15),'List of tables'!$A$4:$H$621,2,FALSE))</f>
        <v>LC2111NI</v>
      </c>
      <c r="B424" s="21" t="str">
        <f>IF(ISNA(VLOOKUP((ROW(B426)-15),'List of tables'!$A$4:$H$621,3,FALSE))," ",VLOOKUP((ROW(B426)-15),'List of tables'!$A$4:$H$621,3,FALSE))</f>
        <v>Religion by Sex</v>
      </c>
      <c r="C424" s="21" t="str">
        <f>IF(ISNA(VLOOKUP((ROW(H426)-15),'List of tables'!$A$4:$H$621,8,FALSE))," ",VLOOKUP((ROW(H426)-15),'List of tables'!$A$4:$H$621,8,FALSE))</f>
        <v xml:space="preserve">All usual residents </v>
      </c>
      <c r="D424" s="21" t="str">
        <f>IF(ISNA(VLOOKUP((ROW(D426)-15),'List of tables'!$A$4:$H$621,5,FALSE))," ",VLOOKUP((ROW(D426)-15),'List of tables'!$A$4:$H$621,5,FALSE))</f>
        <v>Small Area, Super Output Area, Electoral Ward, Local Government District, Assembly Area, NUTS3, Education and Library Board, Health and Social Care Trust, Northern Ireland</v>
      </c>
      <c r="E424" s="22" t="str">
        <f t="shared" si="5"/>
        <v>Link to files</v>
      </c>
      <c r="G424" s="18" t="str">
        <f>IF(ISNA(VLOOKUP((ROW(G426)-15),'List of tables'!$A$4:$H$621,6,FALSE))," ",VLOOKUP((ROW(G426)-15),'List of tables'!$A$4:$H$621,6,FALSE))</f>
        <v>http://www.ninis2.nisra.gov.uk/public/SearchResults.aspx?sk=LC2111NI;</v>
      </c>
    </row>
    <row r="425" spans="1:7" ht="70" customHeight="1" x14ac:dyDescent="0.3">
      <c r="A425" s="23" t="str">
        <f>IF(ISNA(VLOOKUP((ROW(A427)-15),'List of tables'!$A$4:$H$621,2,FALSE))," ",VLOOKUP((ROW(A427)-15),'List of tables'!$A$4:$H$621,2,FALSE))</f>
        <v>LC2112NI</v>
      </c>
      <c r="B425" s="21" t="str">
        <f>IF(ISNA(VLOOKUP((ROW(B427)-15),'List of tables'!$A$4:$H$621,3,FALSE))," ",VLOOKUP((ROW(B427)-15),'List of tables'!$A$4:$H$621,3,FALSE))</f>
        <v>Religion or Religion Brought Up In by Sex</v>
      </c>
      <c r="C425" s="21" t="str">
        <f>IF(ISNA(VLOOKUP((ROW(H427)-15),'List of tables'!$A$4:$H$621,8,FALSE))," ",VLOOKUP((ROW(H427)-15),'List of tables'!$A$4:$H$621,8,FALSE))</f>
        <v xml:space="preserve">All usual residents </v>
      </c>
      <c r="D425" s="21" t="str">
        <f>IF(ISNA(VLOOKUP((ROW(D427)-15),'List of tables'!$A$4:$H$621,5,FALSE))," ",VLOOKUP((ROW(D427)-15),'List of tables'!$A$4:$H$621,5,FALSE))</f>
        <v>Small Area, Super Output Area, Electoral Ward, Local Government District, Assembly Area, NUTS3, Education and Library Board, Health and Social Care Trust, Northern Ireland</v>
      </c>
      <c r="E425" s="22" t="str">
        <f t="shared" si="5"/>
        <v>Link to files</v>
      </c>
      <c r="G425" s="18" t="str">
        <f>IF(ISNA(VLOOKUP((ROW(G427)-15),'List of tables'!$A$4:$H$621,6,FALSE))," ",VLOOKUP((ROW(G427)-15),'List of tables'!$A$4:$H$621,6,FALSE))</f>
        <v>http://www.ninis2.nisra.gov.uk/public/SearchResults.aspx?sk=LC2112NI;</v>
      </c>
    </row>
    <row r="426" spans="1:7" ht="70" customHeight="1" x14ac:dyDescent="0.3">
      <c r="A426" s="23" t="str">
        <f>IF(ISNA(VLOOKUP((ROW(A428)-15),'List of tables'!$A$4:$H$621,2,FALSE))," ",VLOOKUP((ROW(A428)-15),'List of tables'!$A$4:$H$621,2,FALSE))</f>
        <v>LC2113NI</v>
      </c>
      <c r="B426" s="21" t="str">
        <f>IF(ISNA(VLOOKUP((ROW(B428)-15),'List of tables'!$A$4:$H$621,3,FALSE))," ",VLOOKUP((ROW(B428)-15),'List of tables'!$A$4:$H$621,3,FALSE))</f>
        <v>Knowledge of Irish by Age</v>
      </c>
      <c r="C426" s="21" t="str">
        <f>IF(ISNA(VLOOKUP((ROW(H428)-15),'List of tables'!$A$4:$H$621,8,FALSE))," ",VLOOKUP((ROW(H428)-15),'List of tables'!$A$4:$H$621,8,FALSE))</f>
        <v>All usual residents aged 3 and over</v>
      </c>
      <c r="D426" s="21" t="str">
        <f>IF(ISNA(VLOOKUP((ROW(D428)-15),'List of tables'!$A$4:$H$621,5,FALSE))," ",VLOOKUP((ROW(D428)-15),'List of tables'!$A$4:$H$621,5,FALSE))</f>
        <v>Small Area, Super Output Area, Electoral Ward, Local Government District, Assembly Area, NUTS3, Education and Library Board, Health and Social Care Trust, Northern Ireland</v>
      </c>
      <c r="E426" s="22" t="str">
        <f t="shared" si="5"/>
        <v>Link to files</v>
      </c>
      <c r="G426" s="18" t="str">
        <f>IF(ISNA(VLOOKUP((ROW(G428)-15),'List of tables'!$A$4:$H$621,6,FALSE))," ",VLOOKUP((ROW(G428)-15),'List of tables'!$A$4:$H$621,6,FALSE))</f>
        <v>http://www.ninis2.nisra.gov.uk/public/SearchResults.aspx?sk=LC2113NI;</v>
      </c>
    </row>
    <row r="427" spans="1:7" ht="70" customHeight="1" x14ac:dyDescent="0.3">
      <c r="A427" s="23" t="str">
        <f>IF(ISNA(VLOOKUP((ROW(A429)-15),'List of tables'!$A$4:$H$621,2,FALSE))," ",VLOOKUP((ROW(A429)-15),'List of tables'!$A$4:$H$621,2,FALSE))</f>
        <v>LC2114NI</v>
      </c>
      <c r="B427" s="21" t="str">
        <f>IF(ISNA(VLOOKUP((ROW(B429)-15),'List of tables'!$A$4:$H$621,3,FALSE))," ",VLOOKUP((ROW(B429)-15),'List of tables'!$A$4:$H$621,3,FALSE))</f>
        <v>Knowledge of Ulster-Scots by Age</v>
      </c>
      <c r="C427" s="21" t="str">
        <f>IF(ISNA(VLOOKUP((ROW(H429)-15),'List of tables'!$A$4:$H$621,8,FALSE))," ",VLOOKUP((ROW(H429)-15),'List of tables'!$A$4:$H$621,8,FALSE))</f>
        <v>All usual residents aged 3 and over</v>
      </c>
      <c r="D427" s="21" t="str">
        <f>IF(ISNA(VLOOKUP((ROW(D429)-15),'List of tables'!$A$4:$H$621,5,FALSE))," ",VLOOKUP((ROW(D429)-15),'List of tables'!$A$4:$H$621,5,FALSE))</f>
        <v>Small Area, Super Output Area, Electoral Ward, Local Government District, Assembly Area, NUTS3, Education and Library Board, Health and Social Care Trust, Northern Ireland</v>
      </c>
      <c r="E427" s="22" t="str">
        <f t="shared" si="5"/>
        <v>Link to files</v>
      </c>
      <c r="G427" s="18" t="str">
        <f>IF(ISNA(VLOOKUP((ROW(G429)-15),'List of tables'!$A$4:$H$621,6,FALSE))," ",VLOOKUP((ROW(G429)-15),'List of tables'!$A$4:$H$621,6,FALSE))</f>
        <v>http://www.ninis2.nisra.gov.uk/public/SearchResults.aspx?sk=LC2114NI;</v>
      </c>
    </row>
    <row r="428" spans="1:7" ht="70" customHeight="1" x14ac:dyDescent="0.3">
      <c r="A428" s="23" t="str">
        <f>IF(ISNA(VLOOKUP((ROW(A430)-15),'List of tables'!$A$4:$H$621,2,FALSE))," ",VLOOKUP((ROW(A430)-15),'List of tables'!$A$4:$H$621,2,FALSE))</f>
        <v>LC2115NI</v>
      </c>
      <c r="B428" s="21" t="str">
        <f>IF(ISNA(VLOOKUP((ROW(B430)-15),'List of tables'!$A$4:$H$621,3,FALSE))," ",VLOOKUP((ROW(B430)-15),'List of tables'!$A$4:$H$621,3,FALSE))</f>
        <v>Knowledge of Irish by Sex</v>
      </c>
      <c r="C428" s="21" t="str">
        <f>IF(ISNA(VLOOKUP((ROW(H430)-15),'List of tables'!$A$4:$H$621,8,FALSE))," ",VLOOKUP((ROW(H430)-15),'List of tables'!$A$4:$H$621,8,FALSE))</f>
        <v>All usual residents aged 3 and over</v>
      </c>
      <c r="D428" s="21" t="str">
        <f>IF(ISNA(VLOOKUP((ROW(D430)-15),'List of tables'!$A$4:$H$621,5,FALSE))," ",VLOOKUP((ROW(D430)-15),'List of tables'!$A$4:$H$621,5,FALSE))</f>
        <v>Small Area, Super Output Area, Electoral Ward, Local Government District, Assembly Area, NUTS3, Education and Library Board, Health and Social Care Trust, Northern Ireland</v>
      </c>
      <c r="E428" s="22" t="str">
        <f t="shared" si="5"/>
        <v>Link to files</v>
      </c>
      <c r="G428" s="18" t="str">
        <f>IF(ISNA(VLOOKUP((ROW(G430)-15),'List of tables'!$A$4:$H$621,6,FALSE))," ",VLOOKUP((ROW(G430)-15),'List of tables'!$A$4:$H$621,6,FALSE))</f>
        <v>http://www.ninis2.nisra.gov.uk/public/SearchResults.aspx?sk=LC2115NI;</v>
      </c>
    </row>
    <row r="429" spans="1:7" ht="70" customHeight="1" x14ac:dyDescent="0.3">
      <c r="A429" s="23" t="str">
        <f>IF(ISNA(VLOOKUP((ROW(A431)-15),'List of tables'!$A$4:$H$621,2,FALSE))," ",VLOOKUP((ROW(A431)-15),'List of tables'!$A$4:$H$621,2,FALSE))</f>
        <v>LC2116NI</v>
      </c>
      <c r="B429" s="21" t="str">
        <f>IF(ISNA(VLOOKUP((ROW(B431)-15),'List of tables'!$A$4:$H$621,3,FALSE))," ",VLOOKUP((ROW(B431)-15),'List of tables'!$A$4:$H$621,3,FALSE))</f>
        <v>Knowledge of Ulster-Scots by Sex</v>
      </c>
      <c r="C429" s="21" t="str">
        <f>IF(ISNA(VLOOKUP((ROW(H431)-15),'List of tables'!$A$4:$H$621,8,FALSE))," ",VLOOKUP((ROW(H431)-15),'List of tables'!$A$4:$H$621,8,FALSE))</f>
        <v>All usual residents aged 3 and over</v>
      </c>
      <c r="D429" s="21" t="str">
        <f>IF(ISNA(VLOOKUP((ROW(D431)-15),'List of tables'!$A$4:$H$621,5,FALSE))," ",VLOOKUP((ROW(D431)-15),'List of tables'!$A$4:$H$621,5,FALSE))</f>
        <v>Small Area, Super Output Area, Electoral Ward, Local Government District, Assembly Area, NUTS3, Education and Library Board, Health and Social Care Trust, Northern Ireland</v>
      </c>
      <c r="E429" s="22" t="str">
        <f t="shared" si="5"/>
        <v>Link to files</v>
      </c>
      <c r="G429" s="18" t="str">
        <f>IF(ISNA(VLOOKUP((ROW(G431)-15),'List of tables'!$A$4:$H$621,6,FALSE))," ",VLOOKUP((ROW(G431)-15),'List of tables'!$A$4:$H$621,6,FALSE))</f>
        <v>http://www.ninis2.nisra.gov.uk/public/SearchResults.aspx?sk=LC2116NI;</v>
      </c>
    </row>
    <row r="430" spans="1:7" ht="70" customHeight="1" x14ac:dyDescent="0.3">
      <c r="A430" s="23" t="str">
        <f>IF(ISNA(VLOOKUP((ROW(A432)-15),'List of tables'!$A$4:$H$621,2,FALSE))," ",VLOOKUP((ROW(A432)-15),'List of tables'!$A$4:$H$621,2,FALSE))</f>
        <v>LC2117NI</v>
      </c>
      <c r="B430" s="21" t="str">
        <f>IF(ISNA(VLOOKUP((ROW(B432)-15),'List of tables'!$A$4:$H$621,3,FALSE))," ",VLOOKUP((ROW(B432)-15),'List of tables'!$A$4:$H$621,3,FALSE))</f>
        <v>Household Composition by Religion of HRP</v>
      </c>
      <c r="C430" s="21" t="str">
        <f>IF(ISNA(VLOOKUP((ROW(H432)-15),'List of tables'!$A$4:$H$621,8,FALSE))," ",VLOOKUP((ROW(H432)-15),'List of tables'!$A$4:$H$621,8,FALSE))</f>
        <v>All Household Reference Persons (HRPs)</v>
      </c>
      <c r="D430" s="21" t="str">
        <f>IF(ISNA(VLOOKUP((ROW(D432)-15),'List of tables'!$A$4:$H$621,5,FALSE))," ",VLOOKUP((ROW(D432)-15),'List of tables'!$A$4:$H$621,5,FALSE))</f>
        <v>Small Area, Super Output Area, Electoral Ward, Local Government District, Assembly Area, NUTS3, Education and Library Board, Health and Social Care Trust, Northern Ireland</v>
      </c>
      <c r="E430" s="22" t="str">
        <f t="shared" si="5"/>
        <v>Link to files</v>
      </c>
      <c r="G430" s="18" t="str">
        <f>IF(ISNA(VLOOKUP((ROW(G432)-15),'List of tables'!$A$4:$H$621,6,FALSE))," ",VLOOKUP((ROW(G432)-15),'List of tables'!$A$4:$H$621,6,FALSE))</f>
        <v>http://www.ninis2.nisra.gov.uk/public/SearchResults.aspx?sk=LC2117NI;</v>
      </c>
    </row>
    <row r="431" spans="1:7" ht="70" customHeight="1" x14ac:dyDescent="0.3">
      <c r="A431" s="23" t="str">
        <f>IF(ISNA(VLOOKUP((ROW(A433)-15),'List of tables'!$A$4:$H$621,2,FALSE))," ",VLOOKUP((ROW(A433)-15),'List of tables'!$A$4:$H$621,2,FALSE))</f>
        <v>LC2118NI</v>
      </c>
      <c r="B431" s="21" t="str">
        <f>IF(ISNA(VLOOKUP((ROW(B433)-15),'List of tables'!$A$4:$H$621,3,FALSE))," ",VLOOKUP((ROW(B433)-15),'List of tables'!$A$4:$H$621,3,FALSE))</f>
        <v>Household Composition by Religion or Religion Brought Up In of HRP</v>
      </c>
      <c r="C431" s="21" t="str">
        <f>IF(ISNA(VLOOKUP((ROW(H433)-15),'List of tables'!$A$4:$H$621,8,FALSE))," ",VLOOKUP((ROW(H433)-15),'List of tables'!$A$4:$H$621,8,FALSE))</f>
        <v>All households</v>
      </c>
      <c r="D431" s="21" t="str">
        <f>IF(ISNA(VLOOKUP((ROW(D433)-15),'List of tables'!$A$4:$H$621,5,FALSE))," ",VLOOKUP((ROW(D433)-15),'List of tables'!$A$4:$H$621,5,FALSE))</f>
        <v>Small Area, Super Output Area, Electoral Ward, Local Government District, Assembly Area, NUTS3, Education and Library Board, Health and Social Care Trust, Northern Ireland</v>
      </c>
      <c r="E431" s="22" t="str">
        <f t="shared" si="5"/>
        <v>Link to files</v>
      </c>
      <c r="G431" s="18" t="str">
        <f>IF(ISNA(VLOOKUP((ROW(G433)-15),'List of tables'!$A$4:$H$621,6,FALSE))," ",VLOOKUP((ROW(G433)-15),'List of tables'!$A$4:$H$621,6,FALSE))</f>
        <v>http://www.ninis2.nisra.gov.uk/public/SearchResults.aspx?sk=LC2118NI;</v>
      </c>
    </row>
    <row r="432" spans="1:7" ht="70" customHeight="1" x14ac:dyDescent="0.3">
      <c r="A432" s="23" t="str">
        <f>IF(ISNA(VLOOKUP((ROW(A434)-15),'List of tables'!$A$4:$H$621,2,FALSE))," ",VLOOKUP((ROW(A434)-15),'List of tables'!$A$4:$H$621,2,FALSE))</f>
        <v>LC2119NI</v>
      </c>
      <c r="B432" s="21" t="str">
        <f>IF(ISNA(VLOOKUP((ROW(B434)-15),'List of tables'!$A$4:$H$621,3,FALSE))," ",VLOOKUP((ROW(B434)-15),'List of tables'!$A$4:$H$621,3,FALSE))</f>
        <v>Living Arrangements by Religion by Sex</v>
      </c>
      <c r="C432" s="21" t="str">
        <f>IF(ISNA(VLOOKUP((ROW(H434)-15),'List of tables'!$A$4:$H$621,8,FALSE))," ",VLOOKUP((ROW(H434)-15),'List of tables'!$A$4:$H$621,8,FALSE))</f>
        <v>All usual residents aged 16 and over in households</v>
      </c>
      <c r="D432" s="21" t="str">
        <f>IF(ISNA(VLOOKUP((ROW(D434)-15),'List of tables'!$A$4:$H$621,5,FALSE))," ",VLOOKUP((ROW(D434)-15),'List of tables'!$A$4:$H$621,5,FALSE))</f>
        <v>Small Area, Super Output Area, Electoral Ward, Local Government District, Assembly Area, NUTS3, Education and Library Board, Health and Social Care Trust, Northern Ireland</v>
      </c>
      <c r="E432" s="22" t="str">
        <f t="shared" si="5"/>
        <v>Link to files</v>
      </c>
      <c r="G432" s="18" t="str">
        <f>IF(ISNA(VLOOKUP((ROW(G434)-15),'List of tables'!$A$4:$H$621,6,FALSE))," ",VLOOKUP((ROW(G434)-15),'List of tables'!$A$4:$H$621,6,FALSE))</f>
        <v>http://www.ninis2.nisra.gov.uk/public/SearchResults.aspx?sk=LC2119NI;</v>
      </c>
    </row>
    <row r="433" spans="1:7" ht="70" customHeight="1" x14ac:dyDescent="0.3">
      <c r="A433" s="23" t="str">
        <f>IF(ISNA(VLOOKUP((ROW(A435)-15),'List of tables'!$A$4:$H$621,2,FALSE))," ",VLOOKUP((ROW(A435)-15),'List of tables'!$A$4:$H$621,2,FALSE))</f>
        <v>LC2120NI</v>
      </c>
      <c r="B433" s="21" t="str">
        <f>IF(ISNA(VLOOKUP((ROW(B435)-15),'List of tables'!$A$4:$H$621,3,FALSE))," ",VLOOKUP((ROW(B435)-15),'List of tables'!$A$4:$H$621,3,FALSE))</f>
        <v>Living Arrangements by Religion or Religion Brought Up In by Sex</v>
      </c>
      <c r="C433" s="21" t="str">
        <f>IF(ISNA(VLOOKUP((ROW(H435)-15),'List of tables'!$A$4:$H$621,8,FALSE))," ",VLOOKUP((ROW(H435)-15),'List of tables'!$A$4:$H$621,8,FALSE))</f>
        <v>All usual residents aged 16 and over in households</v>
      </c>
      <c r="D433" s="21" t="str">
        <f>IF(ISNA(VLOOKUP((ROW(D435)-15),'List of tables'!$A$4:$H$621,5,FALSE))," ",VLOOKUP((ROW(D435)-15),'List of tables'!$A$4:$H$621,5,FALSE))</f>
        <v>Small Area, Super Output Area, Electoral Ward, Local Government District, Assembly Area, NUTS3, Education and Library Board, Health and Social Care Trust, Northern Ireland</v>
      </c>
      <c r="E433" s="22" t="str">
        <f t="shared" si="5"/>
        <v>Link to files</v>
      </c>
      <c r="G433" s="18" t="str">
        <f>IF(ISNA(VLOOKUP((ROW(G435)-15),'List of tables'!$A$4:$H$621,6,FALSE))," ",VLOOKUP((ROW(G435)-15),'List of tables'!$A$4:$H$621,6,FALSE))</f>
        <v>http://www.ninis2.nisra.gov.uk/public/SearchResults.aspx?sk=LC2120NI;</v>
      </c>
    </row>
    <row r="434" spans="1:7" ht="70" customHeight="1" x14ac:dyDescent="0.3">
      <c r="A434" s="23" t="str">
        <f>IF(ISNA(VLOOKUP((ROW(A436)-15),'List of tables'!$A$4:$H$621,2,FALSE))," ",VLOOKUP((ROW(A436)-15),'List of tables'!$A$4:$H$621,2,FALSE))</f>
        <v>LC2201NI</v>
      </c>
      <c r="B434" s="21" t="str">
        <f>IF(ISNA(VLOOKUP((ROW(B436)-15),'List of tables'!$A$4:$H$621,3,FALSE))," ",VLOOKUP((ROW(B436)-15),'List of tables'!$A$4:$H$621,3,FALSE))</f>
        <v>National Identity (Classification 1) by Religion</v>
      </c>
      <c r="C434" s="21" t="str">
        <f>IF(ISNA(VLOOKUP((ROW(H436)-15),'List of tables'!$A$4:$H$621,8,FALSE))," ",VLOOKUP((ROW(H436)-15),'List of tables'!$A$4:$H$621,8,FALSE))</f>
        <v>All usual residents</v>
      </c>
      <c r="D434" s="21" t="str">
        <f>IF(ISNA(VLOOKUP((ROW(D436)-15),'List of tables'!$A$4:$H$621,5,FALSE))," ",VLOOKUP((ROW(D436)-15),'List of tables'!$A$4:$H$621,5,FALSE))</f>
        <v>Small Area, Super Output Area, Electoral Ward, Local Government District, Assembly Area, NUTS3, Education and Library Board, Health and Social Care Trust, Northern Ireland</v>
      </c>
      <c r="E434" s="22" t="str">
        <f t="shared" si="5"/>
        <v>Link to files</v>
      </c>
      <c r="G434" s="18" t="str">
        <f>IF(ISNA(VLOOKUP((ROW(G436)-15),'List of tables'!$A$4:$H$621,6,FALSE))," ",VLOOKUP((ROW(G436)-15),'List of tables'!$A$4:$H$621,6,FALSE))</f>
        <v>http://www.ninis2.nisra.gov.uk/public/SearchResults.aspx?sk=LC2201NI;</v>
      </c>
    </row>
    <row r="435" spans="1:7" ht="70" customHeight="1" x14ac:dyDescent="0.3">
      <c r="A435" s="23" t="str">
        <f>IF(ISNA(VLOOKUP((ROW(A437)-15),'List of tables'!$A$4:$H$621,2,FALSE))," ",VLOOKUP((ROW(A437)-15),'List of tables'!$A$4:$H$621,2,FALSE))</f>
        <v>LC2202NI</v>
      </c>
      <c r="B435" s="21" t="str">
        <f>IF(ISNA(VLOOKUP((ROW(B437)-15),'List of tables'!$A$4:$H$621,3,FALSE))," ",VLOOKUP((ROW(B437)-15),'List of tables'!$A$4:$H$621,3,FALSE))</f>
        <v>Country of Birth by Religion</v>
      </c>
      <c r="C435" s="21" t="str">
        <f>IF(ISNA(VLOOKUP((ROW(H437)-15),'List of tables'!$A$4:$H$621,8,FALSE))," ",VLOOKUP((ROW(H437)-15),'List of tables'!$A$4:$H$621,8,FALSE))</f>
        <v xml:space="preserve">All usual residents </v>
      </c>
      <c r="D435" s="21" t="str">
        <f>IF(ISNA(VLOOKUP((ROW(D437)-15),'List of tables'!$A$4:$H$621,5,FALSE))," ",VLOOKUP((ROW(D437)-15),'List of tables'!$A$4:$H$621,5,FALSE))</f>
        <v>Small Area, Super Output Area, Electoral Ward, Local Government District, Assembly Area, NUTS3, Education and Library Board, Health and Social Care Trust, Northern Ireland</v>
      </c>
      <c r="E435" s="22" t="str">
        <f t="shared" si="5"/>
        <v>Link to files</v>
      </c>
      <c r="G435" s="18" t="str">
        <f>IF(ISNA(VLOOKUP((ROW(G437)-15),'List of tables'!$A$4:$H$621,6,FALSE))," ",VLOOKUP((ROW(G437)-15),'List of tables'!$A$4:$H$621,6,FALSE))</f>
        <v>http://www.ninis2.nisra.gov.uk/public/SearchResults.aspx?sk=LC2202NI;</v>
      </c>
    </row>
    <row r="436" spans="1:7" ht="70" customHeight="1" x14ac:dyDescent="0.3">
      <c r="A436" s="23" t="str">
        <f>IF(ISNA(VLOOKUP((ROW(A438)-15),'List of tables'!$A$4:$H$621,2,FALSE))," ",VLOOKUP((ROW(A438)-15),'List of tables'!$A$4:$H$621,2,FALSE))</f>
        <v>LC2203NI</v>
      </c>
      <c r="B436" s="21" t="str">
        <f>IF(ISNA(VLOOKUP((ROW(B438)-15),'List of tables'!$A$4:$H$621,3,FALSE))," ",VLOOKUP((ROW(B438)-15),'List of tables'!$A$4:$H$621,3,FALSE))</f>
        <v>Country of Birth by Religion or Religion Brought Up In</v>
      </c>
      <c r="C436" s="21" t="str">
        <f>IF(ISNA(VLOOKUP((ROW(H438)-15),'List of tables'!$A$4:$H$621,8,FALSE))," ",VLOOKUP((ROW(H438)-15),'List of tables'!$A$4:$H$621,8,FALSE))</f>
        <v xml:space="preserve">All usual residents </v>
      </c>
      <c r="D436" s="21" t="str">
        <f>IF(ISNA(VLOOKUP((ROW(D438)-15),'List of tables'!$A$4:$H$621,5,FALSE))," ",VLOOKUP((ROW(D438)-15),'List of tables'!$A$4:$H$621,5,FALSE))</f>
        <v>Small Area, Super Output Area, Electoral Ward, Local Government District, Assembly Area, NUTS3, Education and Library Board, Health and Social Care Trust, Northern Ireland</v>
      </c>
      <c r="E436" s="22" t="str">
        <f t="shared" si="5"/>
        <v>Link to files</v>
      </c>
      <c r="G436" s="18" t="str">
        <f>IF(ISNA(VLOOKUP((ROW(G438)-15),'List of tables'!$A$4:$H$621,6,FALSE))," ",VLOOKUP((ROW(G438)-15),'List of tables'!$A$4:$H$621,6,FALSE))</f>
        <v>http://www.ninis2.nisra.gov.uk/public/SearchResults.aspx?sk=LC2203NI;</v>
      </c>
    </row>
    <row r="437" spans="1:7" ht="70" customHeight="1" x14ac:dyDescent="0.3">
      <c r="A437" s="23" t="str">
        <f>IF(ISNA(VLOOKUP((ROW(A439)-15),'List of tables'!$A$4:$H$621,2,FALSE))," ",VLOOKUP((ROW(A439)-15),'List of tables'!$A$4:$H$621,2,FALSE))</f>
        <v>LC2204NI</v>
      </c>
      <c r="B437" s="21" t="str">
        <f>IF(ISNA(VLOOKUP((ROW(B439)-15),'List of tables'!$A$4:$H$621,3,FALSE))," ",VLOOKUP((ROW(B439)-15),'List of tables'!$A$4:$H$621,3,FALSE))</f>
        <v>Knowledge of Irish by Religion</v>
      </c>
      <c r="C437" s="21" t="str">
        <f>IF(ISNA(VLOOKUP((ROW(H439)-15),'List of tables'!$A$4:$H$621,8,FALSE))," ",VLOOKUP((ROW(H439)-15),'List of tables'!$A$4:$H$621,8,FALSE))</f>
        <v>All usual residents aged 3 and over</v>
      </c>
      <c r="D437" s="21" t="str">
        <f>IF(ISNA(VLOOKUP((ROW(D439)-15),'List of tables'!$A$4:$H$621,5,FALSE))," ",VLOOKUP((ROW(D439)-15),'List of tables'!$A$4:$H$621,5,FALSE))</f>
        <v>Small Area, Super Output Area, Electoral Ward, Local Government District, Assembly Area, NUTS3, Education and Library Board, Health and Social Care Trust, Northern Ireland</v>
      </c>
      <c r="E437" s="22" t="str">
        <f t="shared" si="5"/>
        <v>Link to files</v>
      </c>
      <c r="G437" s="18" t="str">
        <f>IF(ISNA(VLOOKUP((ROW(G439)-15),'List of tables'!$A$4:$H$621,6,FALSE))," ",VLOOKUP((ROW(G439)-15),'List of tables'!$A$4:$H$621,6,FALSE))</f>
        <v>http://www.ninis2.nisra.gov.uk/public/SearchResults.aspx?sk=LC2204NI;</v>
      </c>
    </row>
    <row r="438" spans="1:7" ht="70" customHeight="1" x14ac:dyDescent="0.3">
      <c r="A438" s="23" t="str">
        <f>IF(ISNA(VLOOKUP((ROW(A440)-15),'List of tables'!$A$4:$H$621,2,FALSE))," ",VLOOKUP((ROW(A440)-15),'List of tables'!$A$4:$H$621,2,FALSE))</f>
        <v>LC2205NI</v>
      </c>
      <c r="B438" s="21" t="str">
        <f>IF(ISNA(VLOOKUP((ROW(B440)-15),'List of tables'!$A$4:$H$621,3,FALSE))," ",VLOOKUP((ROW(B440)-15),'List of tables'!$A$4:$H$621,3,FALSE))</f>
        <v>Knowledge of Ulster-Scots by Religion</v>
      </c>
      <c r="C438" s="21" t="str">
        <f>IF(ISNA(VLOOKUP((ROW(H440)-15),'List of tables'!$A$4:$H$621,8,FALSE))," ",VLOOKUP((ROW(H440)-15),'List of tables'!$A$4:$H$621,8,FALSE))</f>
        <v>All usual residents aged 3 and over</v>
      </c>
      <c r="D438" s="21" t="str">
        <f>IF(ISNA(VLOOKUP((ROW(D440)-15),'List of tables'!$A$4:$H$621,5,FALSE))," ",VLOOKUP((ROW(D440)-15),'List of tables'!$A$4:$H$621,5,FALSE))</f>
        <v>Small Area, Super Output Area, Electoral Ward, Local Government District, Assembly Area, NUTS3, Education and Library Board, Health and Social Care Trust, Northern Ireland</v>
      </c>
      <c r="E438" s="22" t="str">
        <f t="shared" si="5"/>
        <v>Link to files</v>
      </c>
      <c r="G438" s="18" t="str">
        <f>IF(ISNA(VLOOKUP((ROW(G440)-15),'List of tables'!$A$4:$H$621,6,FALSE))," ",VLOOKUP((ROW(G440)-15),'List of tables'!$A$4:$H$621,6,FALSE))</f>
        <v>http://www.ninis2.nisra.gov.uk/public/SearchResults.aspx?sk=LC2205NI;</v>
      </c>
    </row>
    <row r="439" spans="1:7" ht="70" customHeight="1" x14ac:dyDescent="0.3">
      <c r="A439" s="23" t="str">
        <f>IF(ISNA(VLOOKUP((ROW(A441)-15),'List of tables'!$A$4:$H$621,2,FALSE))," ",VLOOKUP((ROW(A441)-15),'List of tables'!$A$4:$H$621,2,FALSE))</f>
        <v>LC2206NI</v>
      </c>
      <c r="B439" s="21" t="str">
        <f>IF(ISNA(VLOOKUP((ROW(B441)-15),'List of tables'!$A$4:$H$621,3,FALSE))," ",VLOOKUP((ROW(B441)-15),'List of tables'!$A$4:$H$621,3,FALSE))</f>
        <v>Knowledge of Irish by National Identity (Classification 1)</v>
      </c>
      <c r="C439" s="21" t="str">
        <f>IF(ISNA(VLOOKUP((ROW(H441)-15),'List of tables'!$A$4:$H$621,8,FALSE))," ",VLOOKUP((ROW(H441)-15),'List of tables'!$A$4:$H$621,8,FALSE))</f>
        <v>All usual residents aged 3 and over</v>
      </c>
      <c r="D439" s="21" t="str">
        <f>IF(ISNA(VLOOKUP((ROW(D441)-15),'List of tables'!$A$4:$H$621,5,FALSE))," ",VLOOKUP((ROW(D441)-15),'List of tables'!$A$4:$H$621,5,FALSE))</f>
        <v>Small Area, Super Output Area, Electoral Ward, Local Government District, Assembly Area, NUTS3, Education and Library Board, Health and Social Care Trust, Northern Ireland</v>
      </c>
      <c r="E439" s="22" t="str">
        <f t="shared" si="5"/>
        <v>Link to files</v>
      </c>
      <c r="G439" s="18" t="str">
        <f>IF(ISNA(VLOOKUP((ROW(G441)-15),'List of tables'!$A$4:$H$621,6,FALSE))," ",VLOOKUP((ROW(G441)-15),'List of tables'!$A$4:$H$621,6,FALSE))</f>
        <v>http://www.ninis2.nisra.gov.uk/public/SearchResults.aspx?sk=LC2206NI;</v>
      </c>
    </row>
    <row r="440" spans="1:7" ht="70" customHeight="1" x14ac:dyDescent="0.3">
      <c r="A440" s="23" t="str">
        <f>IF(ISNA(VLOOKUP((ROW(A442)-15),'List of tables'!$A$4:$H$621,2,FALSE))," ",VLOOKUP((ROW(A442)-15),'List of tables'!$A$4:$H$621,2,FALSE))</f>
        <v>LC2207NI</v>
      </c>
      <c r="B440" s="21" t="str">
        <f>IF(ISNA(VLOOKUP((ROW(B442)-15),'List of tables'!$A$4:$H$621,3,FALSE))," ",VLOOKUP((ROW(B442)-15),'List of tables'!$A$4:$H$621,3,FALSE))</f>
        <v>Knowledge of Ulster-Scots by National Identity (Classification 1)</v>
      </c>
      <c r="C440" s="21" t="str">
        <f>IF(ISNA(VLOOKUP((ROW(H442)-15),'List of tables'!$A$4:$H$621,8,FALSE))," ",VLOOKUP((ROW(H442)-15),'List of tables'!$A$4:$H$621,8,FALSE))</f>
        <v>All usual residents aged 3 and over</v>
      </c>
      <c r="D440" s="21" t="str">
        <f>IF(ISNA(VLOOKUP((ROW(D442)-15),'List of tables'!$A$4:$H$621,5,FALSE))," ",VLOOKUP((ROW(D442)-15),'List of tables'!$A$4:$H$621,5,FALSE))</f>
        <v>Small Area, Super Output Area, Electoral Ward, Local Government District, Assembly Area, NUTS3, Education and Library Board, Health and Social Care Trust, Northern Ireland</v>
      </c>
      <c r="E440" s="22" t="str">
        <f t="shared" si="5"/>
        <v>Link to files</v>
      </c>
      <c r="G440" s="18" t="str">
        <f>IF(ISNA(VLOOKUP((ROW(G442)-15),'List of tables'!$A$4:$H$621,6,FALSE))," ",VLOOKUP((ROW(G442)-15),'List of tables'!$A$4:$H$621,6,FALSE))</f>
        <v>http://www.ninis2.nisra.gov.uk/public/SearchResults.aspx?sk=LC2207NI;</v>
      </c>
    </row>
    <row r="441" spans="1:7" ht="70" customHeight="1" x14ac:dyDescent="0.3">
      <c r="A441" s="23" t="str">
        <f>IF(ISNA(VLOOKUP((ROW(A443)-15),'List of tables'!$A$4:$H$621,2,FALSE))," ",VLOOKUP((ROW(A443)-15),'List of tables'!$A$4:$H$621,2,FALSE))</f>
        <v>LC2208NI</v>
      </c>
      <c r="B441" s="21" t="str">
        <f>IF(ISNA(VLOOKUP((ROW(B443)-15),'List of tables'!$A$4:$H$621,3,FALSE))," ",VLOOKUP((ROW(B443)-15),'List of tables'!$A$4:$H$621,3,FALSE))</f>
        <v>Knowledge of Irish by Passports Held (Classification 1)</v>
      </c>
      <c r="C441" s="21" t="str">
        <f>IF(ISNA(VLOOKUP((ROW(H443)-15),'List of tables'!$A$4:$H$621,8,FALSE))," ",VLOOKUP((ROW(H443)-15),'List of tables'!$A$4:$H$621,8,FALSE))</f>
        <v>All usual residents aged 3 and over</v>
      </c>
      <c r="D441" s="21" t="str">
        <f>IF(ISNA(VLOOKUP((ROW(D443)-15),'List of tables'!$A$4:$H$621,5,FALSE))," ",VLOOKUP((ROW(D443)-15),'List of tables'!$A$4:$H$621,5,FALSE))</f>
        <v>Small Area, Super Output Area, Electoral Ward, Local Government District, Assembly Area, NUTS3, Education and Library Board, Health and Social Care Trust, Northern Ireland</v>
      </c>
      <c r="E441" s="22" t="str">
        <f t="shared" si="5"/>
        <v>Link to files</v>
      </c>
      <c r="G441" s="18" t="str">
        <f>IF(ISNA(VLOOKUP((ROW(G443)-15),'List of tables'!$A$4:$H$621,6,FALSE))," ",VLOOKUP((ROW(G443)-15),'List of tables'!$A$4:$H$621,6,FALSE))</f>
        <v>http://www.ninis2.nisra.gov.uk/public/SearchResults.aspx?sk=LC2208NI;</v>
      </c>
    </row>
    <row r="442" spans="1:7" ht="70" customHeight="1" x14ac:dyDescent="0.3">
      <c r="A442" s="23" t="str">
        <f>IF(ISNA(VLOOKUP((ROW(A444)-15),'List of tables'!$A$4:$H$621,2,FALSE))," ",VLOOKUP((ROW(A444)-15),'List of tables'!$A$4:$H$621,2,FALSE))</f>
        <v>LC2209NI</v>
      </c>
      <c r="B442" s="21" t="str">
        <f>IF(ISNA(VLOOKUP((ROW(B444)-15),'List of tables'!$A$4:$H$621,3,FALSE))," ",VLOOKUP((ROW(B444)-15),'List of tables'!$A$4:$H$621,3,FALSE))</f>
        <v>Knowledge of Ulster-Scots by Passports Held (Classification 1)</v>
      </c>
      <c r="C442" s="21" t="str">
        <f>IF(ISNA(VLOOKUP((ROW(H444)-15),'List of tables'!$A$4:$H$621,8,FALSE))," ",VLOOKUP((ROW(H444)-15),'List of tables'!$A$4:$H$621,8,FALSE))</f>
        <v>All usual residents aged 3 and over</v>
      </c>
      <c r="D442" s="21" t="str">
        <f>IF(ISNA(VLOOKUP((ROW(D444)-15),'List of tables'!$A$4:$H$621,5,FALSE))," ",VLOOKUP((ROW(D444)-15),'List of tables'!$A$4:$H$621,5,FALSE))</f>
        <v>Small Area, Super Output Area, Electoral Ward, Local Government District, Assembly Area, NUTS3, Education and Library Board, Health and Social Care Trust, Northern Ireland</v>
      </c>
      <c r="E442" s="22" t="str">
        <f t="shared" si="5"/>
        <v>Link to files</v>
      </c>
      <c r="G442" s="18" t="str">
        <f>IF(ISNA(VLOOKUP((ROW(G444)-15),'List of tables'!$A$4:$H$621,6,FALSE))," ",VLOOKUP((ROW(G444)-15),'List of tables'!$A$4:$H$621,6,FALSE))</f>
        <v>http://www.ninis2.nisra.gov.uk/public/SearchResults.aspx?sk=LC2209NI;</v>
      </c>
    </row>
    <row r="443" spans="1:7" ht="70" customHeight="1" x14ac:dyDescent="0.3">
      <c r="A443" s="23" t="str">
        <f>IF(ISNA(VLOOKUP((ROW(A445)-15),'List of tables'!$A$4:$H$621,2,FALSE))," ",VLOOKUP((ROW(A445)-15),'List of tables'!$A$4:$H$621,2,FALSE))</f>
        <v>LC2210NI</v>
      </c>
      <c r="B443" s="21" t="str">
        <f>IF(ISNA(VLOOKUP((ROW(B445)-15),'List of tables'!$A$4:$H$621,3,FALSE))," ",VLOOKUP((ROW(B445)-15),'List of tables'!$A$4:$H$621,3,FALSE))</f>
        <v>National Identity (Classification 1) by Religion or Religion Brought Up In</v>
      </c>
      <c r="C443" s="21" t="str">
        <f>IF(ISNA(VLOOKUP((ROW(H445)-15),'List of tables'!$A$4:$H$621,8,FALSE))," ",VLOOKUP((ROW(H445)-15),'List of tables'!$A$4:$H$621,8,FALSE))</f>
        <v>All usual residents</v>
      </c>
      <c r="D443" s="21" t="str">
        <f>IF(ISNA(VLOOKUP((ROW(D445)-15),'List of tables'!$A$4:$H$621,5,FALSE))," ",VLOOKUP((ROW(D445)-15),'List of tables'!$A$4:$H$621,5,FALSE))</f>
        <v>Small Area, Super Output Area, Electoral Ward, Local Government District, Assembly Area, NUTS3, Education and Library Board, Health and Social Care Trust, Northern Ireland</v>
      </c>
      <c r="E443" s="22" t="str">
        <f t="shared" si="5"/>
        <v>Link to files</v>
      </c>
      <c r="G443" s="18" t="str">
        <f>IF(ISNA(VLOOKUP((ROW(G445)-15),'List of tables'!$A$4:$H$621,6,FALSE))," ",VLOOKUP((ROW(G445)-15),'List of tables'!$A$4:$H$621,6,FALSE))</f>
        <v>http://www.ninis2.nisra.gov.uk/public/SearchResults.aspx?sk=LC2210NI;</v>
      </c>
    </row>
    <row r="444" spans="1:7" ht="70" customHeight="1" x14ac:dyDescent="0.3">
      <c r="A444" s="23" t="str">
        <f>IF(ISNA(VLOOKUP((ROW(A446)-15),'List of tables'!$A$4:$H$621,2,FALSE))," ",VLOOKUP((ROW(A446)-15),'List of tables'!$A$4:$H$621,2,FALSE))</f>
        <v>LC2211NI</v>
      </c>
      <c r="B444" s="21" t="str">
        <f>IF(ISNA(VLOOKUP((ROW(B446)-15),'List of tables'!$A$4:$H$621,3,FALSE))," ",VLOOKUP((ROW(B446)-15),'List of tables'!$A$4:$H$621,3,FALSE))</f>
        <v>Knowledge of Irish by Religion or Religion Brought Up In</v>
      </c>
      <c r="C444" s="21" t="str">
        <f>IF(ISNA(VLOOKUP((ROW(H446)-15),'List of tables'!$A$4:$H$621,8,FALSE))," ",VLOOKUP((ROW(H446)-15),'List of tables'!$A$4:$H$621,8,FALSE))</f>
        <v>All usual residents aged 3 and over</v>
      </c>
      <c r="D444" s="21" t="str">
        <f>IF(ISNA(VLOOKUP((ROW(D446)-15),'List of tables'!$A$4:$H$621,5,FALSE))," ",VLOOKUP((ROW(D446)-15),'List of tables'!$A$4:$H$621,5,FALSE))</f>
        <v>Small Area, Super Output Area, Electoral Ward, Local Government District, Assembly Area, NUTS3, Education and Library Board, Health and Social Care Trust, Northern Ireland</v>
      </c>
      <c r="E444" s="22" t="str">
        <f t="shared" si="5"/>
        <v>Link to files</v>
      </c>
      <c r="G444" s="18" t="str">
        <f>IF(ISNA(VLOOKUP((ROW(G446)-15),'List of tables'!$A$4:$H$621,6,FALSE))," ",VLOOKUP((ROW(G446)-15),'List of tables'!$A$4:$H$621,6,FALSE))</f>
        <v>http://www.ninis2.nisra.gov.uk/public/SearchResults.aspx?sk=LC2211NI;</v>
      </c>
    </row>
    <row r="445" spans="1:7" ht="70" customHeight="1" x14ac:dyDescent="0.3">
      <c r="A445" s="23" t="str">
        <f>IF(ISNA(VLOOKUP((ROW(A447)-15),'List of tables'!$A$4:$H$621,2,FALSE))," ",VLOOKUP((ROW(A447)-15),'List of tables'!$A$4:$H$621,2,FALSE))</f>
        <v>LC2212NI</v>
      </c>
      <c r="B445" s="21" t="str">
        <f>IF(ISNA(VLOOKUP((ROW(B447)-15),'List of tables'!$A$4:$H$621,3,FALSE))," ",VLOOKUP((ROW(B447)-15),'List of tables'!$A$4:$H$621,3,FALSE))</f>
        <v>Knowledge of Ulster-Scots by Religion or Religion Brought Up In</v>
      </c>
      <c r="C445" s="21" t="str">
        <f>IF(ISNA(VLOOKUP((ROW(H447)-15),'List of tables'!$A$4:$H$621,8,FALSE))," ",VLOOKUP((ROW(H447)-15),'List of tables'!$A$4:$H$621,8,FALSE))</f>
        <v>All usual residents aged 3 and over</v>
      </c>
      <c r="D445" s="21" t="str">
        <f>IF(ISNA(VLOOKUP((ROW(D447)-15),'List of tables'!$A$4:$H$621,5,FALSE))," ",VLOOKUP((ROW(D447)-15),'List of tables'!$A$4:$H$621,5,FALSE))</f>
        <v>Small Area, Super Output Area, Electoral Ward, Local Government District, Assembly Area, NUTS3, Education and Library Board, Health and Social Care Trust, Northern Ireland</v>
      </c>
      <c r="E445" s="22" t="str">
        <f t="shared" si="5"/>
        <v>Link to files</v>
      </c>
      <c r="G445" s="18" t="str">
        <f>IF(ISNA(VLOOKUP((ROW(G447)-15),'List of tables'!$A$4:$H$621,6,FALSE))," ",VLOOKUP((ROW(G447)-15),'List of tables'!$A$4:$H$621,6,FALSE))</f>
        <v>http://www.ninis2.nisra.gov.uk/public/SearchResults.aspx?sk=LC2212NI;</v>
      </c>
    </row>
    <row r="446" spans="1:7" ht="70" customHeight="1" x14ac:dyDescent="0.3">
      <c r="A446" s="23" t="str">
        <f>IF(ISNA(VLOOKUP((ROW(A448)-15),'List of tables'!$A$4:$H$621,2,FALSE))," ",VLOOKUP((ROW(A448)-15),'List of tables'!$A$4:$H$621,2,FALSE))</f>
        <v>LC2213NI</v>
      </c>
      <c r="B446" s="21" t="str">
        <f>IF(ISNA(VLOOKUP((ROW(B448)-15),'List of tables'!$A$4:$H$621,3,FALSE))," ",VLOOKUP((ROW(B448)-15),'List of tables'!$A$4:$H$621,3,FALSE))</f>
        <v>Passports Held (Classification 1) by Religion</v>
      </c>
      <c r="C446" s="21" t="str">
        <f>IF(ISNA(VLOOKUP((ROW(H448)-15),'List of tables'!$A$4:$H$621,8,FALSE))," ",VLOOKUP((ROW(H448)-15),'List of tables'!$A$4:$H$621,8,FALSE))</f>
        <v>All usual residents</v>
      </c>
      <c r="D446" s="21" t="str">
        <f>IF(ISNA(VLOOKUP((ROW(D448)-15),'List of tables'!$A$4:$H$621,5,FALSE))," ",VLOOKUP((ROW(D448)-15),'List of tables'!$A$4:$H$621,5,FALSE))</f>
        <v>Small Area, Super Output Area, Electoral Ward, Local Government District, Assembly Area, NUTS3, Education and Library Board, Health and Social Care Trust, Northern Ireland</v>
      </c>
      <c r="E446" s="22" t="str">
        <f t="shared" si="5"/>
        <v>Link to files</v>
      </c>
      <c r="G446" s="18" t="str">
        <f>IF(ISNA(VLOOKUP((ROW(G448)-15),'List of tables'!$A$4:$H$621,6,FALSE))," ",VLOOKUP((ROW(G448)-15),'List of tables'!$A$4:$H$621,6,FALSE))</f>
        <v>http://www.ninis2.nisra.gov.uk/public/SearchResults.aspx?sk=LC2213NI;</v>
      </c>
    </row>
    <row r="447" spans="1:7" ht="70" customHeight="1" x14ac:dyDescent="0.3">
      <c r="A447" s="23" t="str">
        <f>IF(ISNA(VLOOKUP((ROW(A449)-15),'List of tables'!$A$4:$H$621,2,FALSE))," ",VLOOKUP((ROW(A449)-15),'List of tables'!$A$4:$H$621,2,FALSE))</f>
        <v>LC2214NI</v>
      </c>
      <c r="B447" s="21" t="str">
        <f>IF(ISNA(VLOOKUP((ROW(B449)-15),'List of tables'!$A$4:$H$621,3,FALSE))," ",VLOOKUP((ROW(B449)-15),'List of tables'!$A$4:$H$621,3,FALSE))</f>
        <v>Passports Held (Classification 1) by Religion or Religion Brought Up In</v>
      </c>
      <c r="C447" s="21" t="str">
        <f>IF(ISNA(VLOOKUP((ROW(H449)-15),'List of tables'!$A$4:$H$621,8,FALSE))," ",VLOOKUP((ROW(H449)-15),'List of tables'!$A$4:$H$621,8,FALSE))</f>
        <v>All usual residents</v>
      </c>
      <c r="D447" s="21" t="str">
        <f>IF(ISNA(VLOOKUP((ROW(D449)-15),'List of tables'!$A$4:$H$621,5,FALSE))," ",VLOOKUP((ROW(D449)-15),'List of tables'!$A$4:$H$621,5,FALSE))</f>
        <v>Small Area, Super Output Area, Electoral Ward, Local Government District, Assembly Area, NUTS3, Education and Library Board, Health and Social Care Trust, Northern Ireland</v>
      </c>
      <c r="E447" s="22" t="str">
        <f t="shared" si="5"/>
        <v>Link to files</v>
      </c>
      <c r="G447" s="18" t="str">
        <f>IF(ISNA(VLOOKUP((ROW(G449)-15),'List of tables'!$A$4:$H$621,6,FALSE))," ",VLOOKUP((ROW(G449)-15),'List of tables'!$A$4:$H$621,6,FALSE))</f>
        <v>http://www.ninis2.nisra.gov.uk/public/SearchResults.aspx?sk=LC2214NI;</v>
      </c>
    </row>
    <row r="448" spans="1:7" ht="70" customHeight="1" x14ac:dyDescent="0.3">
      <c r="A448" s="23" t="str">
        <f>IF(ISNA(VLOOKUP((ROW(A450)-15),'List of tables'!$A$4:$H$621,2,FALSE))," ",VLOOKUP((ROW(A450)-15),'List of tables'!$A$4:$H$621,2,FALSE))</f>
        <v>LC2215NI</v>
      </c>
      <c r="B448" s="21" t="str">
        <f>IF(ISNA(VLOOKUP((ROW(B450)-15),'List of tables'!$A$4:$H$621,3,FALSE))," ",VLOOKUP((ROW(B450)-15),'List of tables'!$A$4:$H$621,3,FALSE))</f>
        <v>Country of Birth by National Identity (Classification 1)</v>
      </c>
      <c r="C448" s="21" t="str">
        <f>IF(ISNA(VLOOKUP((ROW(H450)-15),'List of tables'!$A$4:$H$621,8,FALSE))," ",VLOOKUP((ROW(H450)-15),'List of tables'!$A$4:$H$621,8,FALSE))</f>
        <v>All usual residents</v>
      </c>
      <c r="D448" s="21" t="str">
        <f>IF(ISNA(VLOOKUP((ROW(D450)-15),'List of tables'!$A$4:$H$621,5,FALSE))," ",VLOOKUP((ROW(D450)-15),'List of tables'!$A$4:$H$621,5,FALSE))</f>
        <v>Small Area, Super Output Area, Electoral Ward, Local Government District, Assembly Area, NUTS3, Education and Library Board, Health and Social Care Trust, Northern Ireland</v>
      </c>
      <c r="E448" s="22" t="str">
        <f t="shared" si="5"/>
        <v>Link to files</v>
      </c>
      <c r="G448" s="18" t="str">
        <f>IF(ISNA(VLOOKUP((ROW(G450)-15),'List of tables'!$A$4:$H$621,6,FALSE))," ",VLOOKUP((ROW(G450)-15),'List of tables'!$A$4:$H$621,6,FALSE))</f>
        <v>http://www.ninis2.nisra.gov.uk/public/SearchResults.aspx?sk=LC2215NI;</v>
      </c>
    </row>
    <row r="449" spans="1:7" ht="70" customHeight="1" x14ac:dyDescent="0.3">
      <c r="A449" s="23" t="str">
        <f>IF(ISNA(VLOOKUP((ROW(A451)-15),'List of tables'!$A$4:$H$621,2,FALSE))," ",VLOOKUP((ROW(A451)-15),'List of tables'!$A$4:$H$621,2,FALSE))</f>
        <v>LC2301NI</v>
      </c>
      <c r="B449" s="21" t="str">
        <f>IF(ISNA(VLOOKUP((ROW(B451)-15),'List of tables'!$A$4:$H$621,3,FALSE))," ",VLOOKUP((ROW(B451)-15),'List of tables'!$A$4:$H$621,3,FALSE))</f>
        <v>General Health by Religion</v>
      </c>
      <c r="C449" s="21" t="str">
        <f>IF(ISNA(VLOOKUP((ROW(H451)-15),'List of tables'!$A$4:$H$621,8,FALSE))," ",VLOOKUP((ROW(H451)-15),'List of tables'!$A$4:$H$621,8,FALSE))</f>
        <v>All usual residents</v>
      </c>
      <c r="D449" s="21" t="str">
        <f>IF(ISNA(VLOOKUP((ROW(D451)-15),'List of tables'!$A$4:$H$621,5,FALSE))," ",VLOOKUP((ROW(D451)-15),'List of tables'!$A$4:$H$621,5,FALSE))</f>
        <v>Small Area, Super Output Area, Electoral Ward, Local Government District, Assembly Area, NUTS3, Education and Library Board, Health and Social Care Trust, Northern Ireland</v>
      </c>
      <c r="E449" s="22" t="str">
        <f t="shared" si="5"/>
        <v>Link to files</v>
      </c>
      <c r="G449" s="18" t="str">
        <f>IF(ISNA(VLOOKUP((ROW(G451)-15),'List of tables'!$A$4:$H$621,6,FALSE))," ",VLOOKUP((ROW(G451)-15),'List of tables'!$A$4:$H$621,6,FALSE))</f>
        <v>http://www.ninis2.nisra.gov.uk/public/SearchResults.aspx?sk=LC2301NI;</v>
      </c>
    </row>
    <row r="450" spans="1:7" ht="70" customHeight="1" x14ac:dyDescent="0.3">
      <c r="A450" s="23" t="str">
        <f>IF(ISNA(VLOOKUP((ROW(A452)-15),'List of tables'!$A$4:$H$621,2,FALSE))," ",VLOOKUP((ROW(A452)-15),'List of tables'!$A$4:$H$621,2,FALSE))</f>
        <v>LC2302NI</v>
      </c>
      <c r="B450" s="21" t="str">
        <f>IF(ISNA(VLOOKUP((ROW(B452)-15),'List of tables'!$A$4:$H$621,3,FALSE))," ",VLOOKUP((ROW(B452)-15),'List of tables'!$A$4:$H$621,3,FALSE))</f>
        <v>General Health by Religion or Religion Brought Up In</v>
      </c>
      <c r="C450" s="21" t="str">
        <f>IF(ISNA(VLOOKUP((ROW(H452)-15),'List of tables'!$A$4:$H$621,8,FALSE))," ",VLOOKUP((ROW(H452)-15),'List of tables'!$A$4:$H$621,8,FALSE))</f>
        <v>All usual residents</v>
      </c>
      <c r="D450" s="21" t="str">
        <f>IF(ISNA(VLOOKUP((ROW(D452)-15),'List of tables'!$A$4:$H$621,5,FALSE))," ",VLOOKUP((ROW(D452)-15),'List of tables'!$A$4:$H$621,5,FALSE))</f>
        <v>Small Area, Super Output Area, Electoral Ward, Local Government District, Assembly Area, NUTS3, Education and Library Board, Health and Social Care Trust, Northern Ireland</v>
      </c>
      <c r="E450" s="22" t="str">
        <f t="shared" si="5"/>
        <v>Link to files</v>
      </c>
      <c r="G450" s="18" t="str">
        <f>IF(ISNA(VLOOKUP((ROW(G452)-15),'List of tables'!$A$4:$H$621,6,FALSE))," ",VLOOKUP((ROW(G452)-15),'List of tables'!$A$4:$H$621,6,FALSE))</f>
        <v>http://www.ninis2.nisra.gov.uk/public/SearchResults.aspx?sk=LC2302NI;</v>
      </c>
    </row>
    <row r="451" spans="1:7" ht="70" customHeight="1" x14ac:dyDescent="0.3">
      <c r="A451" s="23" t="str">
        <f>IF(ISNA(VLOOKUP((ROW(A453)-15),'List of tables'!$A$4:$H$621,2,FALSE))," ",VLOOKUP((ROW(A453)-15),'List of tables'!$A$4:$H$621,2,FALSE))</f>
        <v>LC2303NI</v>
      </c>
      <c r="B451" s="21" t="str">
        <f>IF(ISNA(VLOOKUP((ROW(B453)-15),'List of tables'!$A$4:$H$621,3,FALSE))," ",VLOOKUP((ROW(B453)-15),'List of tables'!$A$4:$H$621,3,FALSE))</f>
        <v>Long-Term Health Problem or Disability by Religion</v>
      </c>
      <c r="C451" s="21" t="str">
        <f>IF(ISNA(VLOOKUP((ROW(H453)-15),'List of tables'!$A$4:$H$621,8,FALSE))," ",VLOOKUP((ROW(H453)-15),'List of tables'!$A$4:$H$621,8,FALSE))</f>
        <v>All usual residents</v>
      </c>
      <c r="D451" s="21" t="str">
        <f>IF(ISNA(VLOOKUP((ROW(D453)-15),'List of tables'!$A$4:$H$621,5,FALSE))," ",VLOOKUP((ROW(D453)-15),'List of tables'!$A$4:$H$621,5,FALSE))</f>
        <v>Small Area, Super Output Area, Electoral Ward, Local Government District, Assembly Area, NUTS3, Education and Library Board, Health and Social Care Trust, Northern Ireland</v>
      </c>
      <c r="E451" s="22" t="str">
        <f t="shared" si="5"/>
        <v>Link to files</v>
      </c>
      <c r="G451" s="18" t="str">
        <f>IF(ISNA(VLOOKUP((ROW(G453)-15),'List of tables'!$A$4:$H$621,6,FALSE))," ",VLOOKUP((ROW(G453)-15),'List of tables'!$A$4:$H$621,6,FALSE))</f>
        <v>http://www.ninis2.nisra.gov.uk/public/SearchResults.aspx?sk=LC2303NI;</v>
      </c>
    </row>
    <row r="452" spans="1:7" ht="70" customHeight="1" x14ac:dyDescent="0.3">
      <c r="A452" s="23" t="str">
        <f>IF(ISNA(VLOOKUP((ROW(A454)-15),'List of tables'!$A$4:$H$621,2,FALSE))," ",VLOOKUP((ROW(A454)-15),'List of tables'!$A$4:$H$621,2,FALSE))</f>
        <v>LC2304NI</v>
      </c>
      <c r="B452" s="21" t="str">
        <f>IF(ISNA(VLOOKUP((ROW(B454)-15),'List of tables'!$A$4:$H$621,3,FALSE))," ",VLOOKUP((ROW(B454)-15),'List of tables'!$A$4:$H$621,3,FALSE))</f>
        <v>Long-Term Health Problem or Disability by Religion or Religion Brought Up In</v>
      </c>
      <c r="C452" s="21" t="str">
        <f>IF(ISNA(VLOOKUP((ROW(H454)-15),'List of tables'!$A$4:$H$621,8,FALSE))," ",VLOOKUP((ROW(H454)-15),'List of tables'!$A$4:$H$621,8,FALSE))</f>
        <v>All usual residents</v>
      </c>
      <c r="D452" s="21" t="str">
        <f>IF(ISNA(VLOOKUP((ROW(D454)-15),'List of tables'!$A$4:$H$621,5,FALSE))," ",VLOOKUP((ROW(D454)-15),'List of tables'!$A$4:$H$621,5,FALSE))</f>
        <v>Small Area, Super Output Area, Electoral Ward, Local Government District, Assembly Area, NUTS3, Education and Library Board, Health and Social Care Trust, Northern Ireland</v>
      </c>
      <c r="E452" s="22" t="str">
        <f t="shared" si="5"/>
        <v>Link to files</v>
      </c>
      <c r="G452" s="18" t="str">
        <f>IF(ISNA(VLOOKUP((ROW(G454)-15),'List of tables'!$A$4:$H$621,6,FALSE))," ",VLOOKUP((ROW(G454)-15),'List of tables'!$A$4:$H$621,6,FALSE))</f>
        <v>http://www.ninis2.nisra.gov.uk/public/SearchResults.aspx?sk=LC2304NI;</v>
      </c>
    </row>
    <row r="453" spans="1:7" ht="70" customHeight="1" x14ac:dyDescent="0.3">
      <c r="A453" s="23" t="str">
        <f>IF(ISNA(VLOOKUP((ROW(A455)-15),'List of tables'!$A$4:$H$621,2,FALSE))," ",VLOOKUP((ROW(A455)-15),'List of tables'!$A$4:$H$621,2,FALSE))</f>
        <v>LC2401NI</v>
      </c>
      <c r="B453" s="21" t="str">
        <f>IF(ISNA(VLOOKUP((ROW(B455)-15),'List of tables'!$A$4:$H$621,3,FALSE))," ",VLOOKUP((ROW(B455)-15),'List of tables'!$A$4:$H$621,3,FALSE))</f>
        <v>Tenure by Religion</v>
      </c>
      <c r="C453" s="21" t="str">
        <f>IF(ISNA(VLOOKUP((ROW(H455)-15),'List of tables'!$A$4:$H$621,8,FALSE))," ",VLOOKUP((ROW(H455)-15),'List of tables'!$A$4:$H$621,8,FALSE))</f>
        <v xml:space="preserve">All usual residents </v>
      </c>
      <c r="D453" s="21" t="str">
        <f>IF(ISNA(VLOOKUP((ROW(D455)-15),'List of tables'!$A$4:$H$621,5,FALSE))," ",VLOOKUP((ROW(D455)-15),'List of tables'!$A$4:$H$621,5,FALSE))</f>
        <v>Small Area, Super Output Area, Electoral Ward, Local Government District, Assembly Area, NUTS3, Education and Library Board, Health and Social Care Trust, Northern Ireland</v>
      </c>
      <c r="E453" s="22" t="str">
        <f t="shared" si="5"/>
        <v>Link to files</v>
      </c>
      <c r="G453" s="18" t="str">
        <f>IF(ISNA(VLOOKUP((ROW(G455)-15),'List of tables'!$A$4:$H$621,6,FALSE))," ",VLOOKUP((ROW(G455)-15),'List of tables'!$A$4:$H$621,6,FALSE))</f>
        <v>http://www.ninis2.nisra.gov.uk/public/SearchResults.aspx?sk=LC2401NI;</v>
      </c>
    </row>
    <row r="454" spans="1:7" ht="70" customHeight="1" x14ac:dyDescent="0.3">
      <c r="A454" s="23" t="str">
        <f>IF(ISNA(VLOOKUP((ROW(A456)-15),'List of tables'!$A$4:$H$621,2,FALSE))," ",VLOOKUP((ROW(A456)-15),'List of tables'!$A$4:$H$621,2,FALSE))</f>
        <v>LC2402NI</v>
      </c>
      <c r="B454" s="21" t="str">
        <f>IF(ISNA(VLOOKUP((ROW(B456)-15),'List of tables'!$A$4:$H$621,3,FALSE))," ",VLOOKUP((ROW(B456)-15),'List of tables'!$A$4:$H$621,3,FALSE))</f>
        <v>Tenure by Religion or Religion Brought Up In</v>
      </c>
      <c r="C454" s="21" t="str">
        <f>IF(ISNA(VLOOKUP((ROW(H456)-15),'List of tables'!$A$4:$H$621,8,FALSE))," ",VLOOKUP((ROW(H456)-15),'List of tables'!$A$4:$H$621,8,FALSE))</f>
        <v xml:space="preserve">All usual residents </v>
      </c>
      <c r="D454" s="21" t="str">
        <f>IF(ISNA(VLOOKUP((ROW(D456)-15),'List of tables'!$A$4:$H$621,5,FALSE))," ",VLOOKUP((ROW(D456)-15),'List of tables'!$A$4:$H$621,5,FALSE))</f>
        <v>Small Area, Super Output Area, Electoral Ward, Local Government District, Assembly Area, NUTS3, Education and Library Board, Health and Social Care Trust, Northern Ireland</v>
      </c>
      <c r="E454" s="22" t="str">
        <f t="shared" si="5"/>
        <v>Link to files</v>
      </c>
      <c r="G454" s="18" t="str">
        <f>IF(ISNA(VLOOKUP((ROW(G456)-15),'List of tables'!$A$4:$H$621,6,FALSE))," ",VLOOKUP((ROW(G456)-15),'List of tables'!$A$4:$H$621,6,FALSE))</f>
        <v>http://www.ninis2.nisra.gov.uk/public/SearchResults.aspx?sk=LC2402NI;</v>
      </c>
    </row>
    <row r="455" spans="1:7" ht="70" customHeight="1" x14ac:dyDescent="0.3">
      <c r="A455" s="23" t="str">
        <f>IF(ISNA(VLOOKUP((ROW(A457)-15),'List of tables'!$A$4:$H$621,2,FALSE))," ",VLOOKUP((ROW(A457)-15),'List of tables'!$A$4:$H$621,2,FALSE))</f>
        <v>LC2403NI</v>
      </c>
      <c r="B455" s="21" t="str">
        <f>IF(ISNA(VLOOKUP((ROW(B457)-15),'List of tables'!$A$4:$H$621,3,FALSE))," ",VLOOKUP((ROW(B457)-15),'List of tables'!$A$4:$H$621,3,FALSE))</f>
        <v>Tenure by Religion of HRP</v>
      </c>
      <c r="C455" s="21" t="str">
        <f>IF(ISNA(VLOOKUP((ROW(H457)-15),'List of tables'!$A$4:$H$621,8,FALSE))," ",VLOOKUP((ROW(H457)-15),'List of tables'!$A$4:$H$621,8,FALSE))</f>
        <v>All Household Reference Persons (HRPs)</v>
      </c>
      <c r="D455" s="21" t="str">
        <f>IF(ISNA(VLOOKUP((ROW(D457)-15),'List of tables'!$A$4:$H$621,5,FALSE))," ",VLOOKUP((ROW(D457)-15),'List of tables'!$A$4:$H$621,5,FALSE))</f>
        <v>Small Area, Super Output Area, Electoral Ward, Local Government District, Assembly Area, NUTS3, Education and Library Board, Health and Social Care Trust, Northern Ireland</v>
      </c>
      <c r="E455" s="22" t="str">
        <f t="shared" si="5"/>
        <v>Link to files</v>
      </c>
      <c r="G455" s="18" t="str">
        <f>IF(ISNA(VLOOKUP((ROW(G457)-15),'List of tables'!$A$4:$H$621,6,FALSE))," ",VLOOKUP((ROW(G457)-15),'List of tables'!$A$4:$H$621,6,FALSE))</f>
        <v>http://www.ninis2.nisra.gov.uk/public/SearchResults.aspx?sk=LC2403NI;</v>
      </c>
    </row>
    <row r="456" spans="1:7" ht="70" customHeight="1" x14ac:dyDescent="0.3">
      <c r="A456" s="23" t="str">
        <f>IF(ISNA(VLOOKUP((ROW(A458)-15),'List of tables'!$A$4:$H$621,2,FALSE))," ",VLOOKUP((ROW(A458)-15),'List of tables'!$A$4:$H$621,2,FALSE))</f>
        <v>LC2404NI</v>
      </c>
      <c r="B456" s="21" t="str">
        <f>IF(ISNA(VLOOKUP((ROW(B458)-15),'List of tables'!$A$4:$H$621,3,FALSE))," ",VLOOKUP((ROW(B458)-15),'List of tables'!$A$4:$H$621,3,FALSE))</f>
        <v>Household Size by Religion of HRP</v>
      </c>
      <c r="C456" s="21" t="str">
        <f>IF(ISNA(VLOOKUP((ROW(H458)-15),'List of tables'!$A$4:$H$621,8,FALSE))," ",VLOOKUP((ROW(H458)-15),'List of tables'!$A$4:$H$621,8,FALSE))</f>
        <v>All households</v>
      </c>
      <c r="D456" s="21" t="str">
        <f>IF(ISNA(VLOOKUP((ROW(D458)-15),'List of tables'!$A$4:$H$621,5,FALSE))," ",VLOOKUP((ROW(D458)-15),'List of tables'!$A$4:$H$621,5,FALSE))</f>
        <v>Small Area, Super Output Area, Electoral Ward, Local Government District, Assembly Area, NUTS3, Education and Library Board, Health and Social Care Trust, Northern Ireland</v>
      </c>
      <c r="E456" s="22" t="str">
        <f t="shared" si="5"/>
        <v>Link to files</v>
      </c>
      <c r="G456" s="18" t="str">
        <f>IF(ISNA(VLOOKUP((ROW(G458)-15),'List of tables'!$A$4:$H$621,6,FALSE))," ",VLOOKUP((ROW(G458)-15),'List of tables'!$A$4:$H$621,6,FALSE))</f>
        <v>http://www.ninis2.nisra.gov.uk/public/SearchResults.aspx?sk=LC2404NI;</v>
      </c>
    </row>
    <row r="457" spans="1:7" ht="70" customHeight="1" x14ac:dyDescent="0.3">
      <c r="A457" s="23" t="str">
        <f>IF(ISNA(VLOOKUP((ROW(A459)-15),'List of tables'!$A$4:$H$621,2,FALSE))," ",VLOOKUP((ROW(A459)-15),'List of tables'!$A$4:$H$621,2,FALSE))</f>
        <v>LC2405NI</v>
      </c>
      <c r="B457" s="21" t="str">
        <f>IF(ISNA(VLOOKUP((ROW(B459)-15),'List of tables'!$A$4:$H$621,3,FALSE))," ",VLOOKUP((ROW(B459)-15),'List of tables'!$A$4:$H$621,3,FALSE))</f>
        <v>Household Size by Religion or Religion Brought Up in of HRP</v>
      </c>
      <c r="C457" s="21" t="str">
        <f>IF(ISNA(VLOOKUP((ROW(H459)-15),'List of tables'!$A$4:$H$621,8,FALSE))," ",VLOOKUP((ROW(H459)-15),'List of tables'!$A$4:$H$621,8,FALSE))</f>
        <v>All households</v>
      </c>
      <c r="D457" s="21" t="str">
        <f>IF(ISNA(VLOOKUP((ROW(D459)-15),'List of tables'!$A$4:$H$621,5,FALSE))," ",VLOOKUP((ROW(D459)-15),'List of tables'!$A$4:$H$621,5,FALSE))</f>
        <v>Small Area, Super Output Area, Electoral Ward, Local Government District, Assembly Area, NUTS3, Education and Library Board, Health and Social Care Trust, Northern Ireland</v>
      </c>
      <c r="E457" s="22" t="str">
        <f t="shared" si="5"/>
        <v>Link to files</v>
      </c>
      <c r="G457" s="18" t="str">
        <f>IF(ISNA(VLOOKUP((ROW(G459)-15),'List of tables'!$A$4:$H$621,6,FALSE))," ",VLOOKUP((ROW(G459)-15),'List of tables'!$A$4:$H$621,6,FALSE))</f>
        <v>http://www.ninis2.nisra.gov.uk/public/SearchResults.aspx?sk=LC2405NI;</v>
      </c>
    </row>
    <row r="458" spans="1:7" ht="70" customHeight="1" x14ac:dyDescent="0.3">
      <c r="A458" s="23" t="str">
        <f>IF(ISNA(VLOOKUP((ROW(A460)-15),'List of tables'!$A$4:$H$621,2,FALSE))," ",VLOOKUP((ROW(A460)-15),'List of tables'!$A$4:$H$621,2,FALSE))</f>
        <v>LC2406NI</v>
      </c>
      <c r="B458" s="21" t="str">
        <f>IF(ISNA(VLOOKUP((ROW(B460)-15),'List of tables'!$A$4:$H$621,3,FALSE))," ",VLOOKUP((ROW(B460)-15),'List of tables'!$A$4:$H$621,3,FALSE))</f>
        <v>Tenure by Religion or Religion Brought Up In of HRP</v>
      </c>
      <c r="C458" s="21" t="str">
        <f>IF(ISNA(VLOOKUP((ROW(H460)-15),'List of tables'!$A$4:$H$621,8,FALSE))," ",VLOOKUP((ROW(H460)-15),'List of tables'!$A$4:$H$621,8,FALSE))</f>
        <v>All Household Reference Persons (HRPs)</v>
      </c>
      <c r="D458" s="21" t="str">
        <f>IF(ISNA(VLOOKUP((ROW(D460)-15),'List of tables'!$A$4:$H$621,5,FALSE))," ",VLOOKUP((ROW(D460)-15),'List of tables'!$A$4:$H$621,5,FALSE))</f>
        <v>Small Area, Super Output Area, Electoral Ward, Local Government District, Assembly Area, NUTS3, Education and Library Board, Health and Social Care Trust, Northern Ireland</v>
      </c>
      <c r="E458" s="22" t="str">
        <f t="shared" si="5"/>
        <v>Link to files</v>
      </c>
      <c r="G458" s="18" t="str">
        <f>IF(ISNA(VLOOKUP((ROW(G460)-15),'List of tables'!$A$4:$H$621,6,FALSE))," ",VLOOKUP((ROW(G460)-15),'List of tables'!$A$4:$H$621,6,FALSE))</f>
        <v>http://www.ninis2.nisra.gov.uk/public/SearchResults.aspx?sk=LC2406NI;</v>
      </c>
    </row>
    <row r="459" spans="1:7" ht="70" customHeight="1" x14ac:dyDescent="0.3">
      <c r="A459" s="23" t="str">
        <f>IF(ISNA(VLOOKUP((ROW(A461)-15),'List of tables'!$A$4:$H$621,2,FALSE))," ",VLOOKUP((ROW(A461)-15),'List of tables'!$A$4:$H$621,2,FALSE))</f>
        <v>LC2407NI</v>
      </c>
      <c r="B459" s="21" t="str">
        <f>IF(ISNA(VLOOKUP((ROW(B461)-15),'List of tables'!$A$4:$H$621,3,FALSE))," ",VLOOKUP((ROW(B461)-15),'List of tables'!$A$4:$H$621,3,FALSE))</f>
        <v>Number of Cars or Vans by Religion of HRP</v>
      </c>
      <c r="C459" s="21" t="str">
        <f>IF(ISNA(VLOOKUP((ROW(H461)-15),'List of tables'!$A$4:$H$621,8,FALSE))," ",VLOOKUP((ROW(H461)-15),'List of tables'!$A$4:$H$621,8,FALSE))</f>
        <v>All Household Reference Persons (HRPs)</v>
      </c>
      <c r="D459" s="21" t="str">
        <f>IF(ISNA(VLOOKUP((ROW(D461)-15),'List of tables'!$A$4:$H$621,5,FALSE))," ",VLOOKUP((ROW(D461)-15),'List of tables'!$A$4:$H$621,5,FALSE))</f>
        <v>Small Area, Super Output Area, Electoral Ward, Local Government District, Assembly Area, NUTS3, Education and Library Board, Health and Social Care Trust, Northern Ireland</v>
      </c>
      <c r="E459" s="22" t="str">
        <f t="shared" si="5"/>
        <v>Link to files</v>
      </c>
      <c r="G459" s="18" t="str">
        <f>IF(ISNA(VLOOKUP((ROW(G461)-15),'List of tables'!$A$4:$H$621,6,FALSE))," ",VLOOKUP((ROW(G461)-15),'List of tables'!$A$4:$H$621,6,FALSE))</f>
        <v>http://www.ninis2.nisra.gov.uk/public/SearchResults.aspx?sk=LC2407NI;</v>
      </c>
    </row>
    <row r="460" spans="1:7" ht="70" customHeight="1" x14ac:dyDescent="0.3">
      <c r="A460" s="23" t="str">
        <f>IF(ISNA(VLOOKUP((ROW(A462)-15),'List of tables'!$A$4:$H$621,2,FALSE))," ",VLOOKUP((ROW(A462)-15),'List of tables'!$A$4:$H$621,2,FALSE))</f>
        <v>LC2408NI</v>
      </c>
      <c r="B460" s="21" t="str">
        <f>IF(ISNA(VLOOKUP((ROW(B462)-15),'List of tables'!$A$4:$H$621,3,FALSE))," ",VLOOKUP((ROW(B462)-15),'List of tables'!$A$4:$H$621,3,FALSE))</f>
        <v>Number of Cars or Vans by Religion or Religion Brought Up In of HRP</v>
      </c>
      <c r="C460" s="21" t="str">
        <f>IF(ISNA(VLOOKUP((ROW(H462)-15),'List of tables'!$A$4:$H$621,8,FALSE))," ",VLOOKUP((ROW(H462)-15),'List of tables'!$A$4:$H$621,8,FALSE))</f>
        <v>All Household Reference Persons (HRPs)</v>
      </c>
      <c r="D460" s="21" t="str">
        <f>IF(ISNA(VLOOKUP((ROW(D462)-15),'List of tables'!$A$4:$H$621,5,FALSE))," ",VLOOKUP((ROW(D462)-15),'List of tables'!$A$4:$H$621,5,FALSE))</f>
        <v>Small Area, Super Output Area, Electoral Ward, Local Government District, Assembly Area, NUTS3, Education and Library Board, Health and Social Care Trust, Northern Ireland</v>
      </c>
      <c r="E460" s="22" t="str">
        <f t="shared" si="5"/>
        <v>Link to files</v>
      </c>
      <c r="G460" s="18" t="str">
        <f>IF(ISNA(VLOOKUP((ROW(G462)-15),'List of tables'!$A$4:$H$621,6,FALSE))," ",VLOOKUP((ROW(G462)-15),'List of tables'!$A$4:$H$621,6,FALSE))</f>
        <v>http://www.ninis2.nisra.gov.uk/public/SearchResults.aspx?sk=LC2408NI;</v>
      </c>
    </row>
    <row r="461" spans="1:7" ht="70" customHeight="1" x14ac:dyDescent="0.3">
      <c r="A461" s="23" t="str">
        <f>IF(ISNA(VLOOKUP((ROW(A463)-15),'List of tables'!$A$4:$H$621,2,FALSE))," ",VLOOKUP((ROW(A463)-15),'List of tables'!$A$4:$H$621,2,FALSE))</f>
        <v>LC2409NI</v>
      </c>
      <c r="B461" s="21" t="str">
        <f>IF(ISNA(VLOOKUP((ROW(B463)-15),'List of tables'!$A$4:$H$621,3,FALSE))," ",VLOOKUP((ROW(B463)-15),'List of tables'!$A$4:$H$621,3,FALSE))</f>
        <v>Country of Birth of HRP by Household Size</v>
      </c>
      <c r="C461" s="21" t="str">
        <f>IF(ISNA(VLOOKUP((ROW(H463)-15),'List of tables'!$A$4:$H$621,8,FALSE))," ",VLOOKUP((ROW(H463)-15),'List of tables'!$A$4:$H$621,8,FALSE))</f>
        <v>All households</v>
      </c>
      <c r="D461" s="21" t="str">
        <f>IF(ISNA(VLOOKUP((ROW(D463)-15),'List of tables'!$A$4:$H$621,5,FALSE))," ",VLOOKUP((ROW(D463)-15),'List of tables'!$A$4:$H$621,5,FALSE))</f>
        <v>Small Area, Super Output Area, Electoral Ward, Local Government District, Assembly Area, NUTS3, Education and Library Board, Health and Social Care Trust, Northern Ireland</v>
      </c>
      <c r="E461" s="22" t="str">
        <f t="shared" si="5"/>
        <v>Link to files</v>
      </c>
      <c r="G461" s="18" t="str">
        <f>IF(ISNA(VLOOKUP((ROW(G463)-15),'List of tables'!$A$4:$H$621,6,FALSE))," ",VLOOKUP((ROW(G463)-15),'List of tables'!$A$4:$H$621,6,FALSE))</f>
        <v>http://www.ninis2.nisra.gov.uk/public/SearchResults.aspx?sk=LC2409NI;</v>
      </c>
    </row>
    <row r="462" spans="1:7" ht="70" customHeight="1" x14ac:dyDescent="0.3">
      <c r="A462" s="23" t="str">
        <f>IF(ISNA(VLOOKUP((ROW(A464)-15),'List of tables'!$A$4:$H$621,2,FALSE))," ",VLOOKUP((ROW(A464)-15),'List of tables'!$A$4:$H$621,2,FALSE))</f>
        <v>LC2501NI</v>
      </c>
      <c r="B462" s="21" t="str">
        <f>IF(ISNA(VLOOKUP((ROW(B464)-15),'List of tables'!$A$4:$H$621,3,FALSE))," ",VLOOKUP((ROW(B464)-15),'List of tables'!$A$4:$H$621,3,FALSE))</f>
        <v>Country of Birth by Highest Level of Qualification</v>
      </c>
      <c r="C462" s="21" t="str">
        <f>IF(ISNA(VLOOKUP((ROW(H464)-15),'List of tables'!$A$4:$H$621,8,FALSE))," ",VLOOKUP((ROW(H464)-15),'List of tables'!$A$4:$H$621,8,FALSE))</f>
        <v>All usual residents aged 16 and over</v>
      </c>
      <c r="D462" s="21" t="str">
        <f>IF(ISNA(VLOOKUP((ROW(D464)-15),'List of tables'!$A$4:$H$621,5,FALSE))," ",VLOOKUP((ROW(D464)-15),'List of tables'!$A$4:$H$621,5,FALSE))</f>
        <v>Small Area, Super Output Area, Electoral Ward, Local Government District, Assembly Area, NUTS3, Education and Library Board, Health and Social Care Trust, Northern Ireland</v>
      </c>
      <c r="E462" s="22" t="str">
        <f t="shared" si="5"/>
        <v>Link to files</v>
      </c>
      <c r="G462" s="18" t="str">
        <f>IF(ISNA(VLOOKUP((ROW(G464)-15),'List of tables'!$A$4:$H$621,6,FALSE))," ",VLOOKUP((ROW(G464)-15),'List of tables'!$A$4:$H$621,6,FALSE))</f>
        <v>http://www.ninis2.nisra.gov.uk/public/SearchResults.aspx?sk=LC2501NI;</v>
      </c>
    </row>
    <row r="463" spans="1:7" ht="70" customHeight="1" x14ac:dyDescent="0.3">
      <c r="A463" s="23" t="str">
        <f>IF(ISNA(VLOOKUP((ROW(A465)-15),'List of tables'!$A$4:$H$621,2,FALSE))," ",VLOOKUP((ROW(A465)-15),'List of tables'!$A$4:$H$621,2,FALSE))</f>
        <v>LC2502NI</v>
      </c>
      <c r="B463" s="21" t="str">
        <f>IF(ISNA(VLOOKUP((ROW(B465)-15),'List of tables'!$A$4:$H$621,3,FALSE))," ",VLOOKUP((ROW(B465)-15),'List of tables'!$A$4:$H$621,3,FALSE))</f>
        <v>Highest Level of Qualification by Religion</v>
      </c>
      <c r="C463" s="21" t="str">
        <f>IF(ISNA(VLOOKUP((ROW(H465)-15),'List of tables'!$A$4:$H$621,8,FALSE))," ",VLOOKUP((ROW(H465)-15),'List of tables'!$A$4:$H$621,8,FALSE))</f>
        <v>All usual residents aged 16 and over</v>
      </c>
      <c r="D463" s="21" t="str">
        <f>IF(ISNA(VLOOKUP((ROW(D465)-15),'List of tables'!$A$4:$H$621,5,FALSE))," ",VLOOKUP((ROW(D465)-15),'List of tables'!$A$4:$H$621,5,FALSE))</f>
        <v>Small Area, Super Output Area, Electoral Ward, Local Government District, Assembly Area, NUTS3, Education and Library Board, Health and Social Care Trust, Northern Ireland</v>
      </c>
      <c r="E463" s="22" t="str">
        <f t="shared" ref="E463:E526" si="6">IF(LEN(G463)&lt;10,"",HYPERLINK(G463,"Link to files"))</f>
        <v>Link to files</v>
      </c>
      <c r="G463" s="18" t="str">
        <f>IF(ISNA(VLOOKUP((ROW(G465)-15),'List of tables'!$A$4:$H$621,6,FALSE))," ",VLOOKUP((ROW(G465)-15),'List of tables'!$A$4:$H$621,6,FALSE))</f>
        <v>http://www.ninis2.nisra.gov.uk/public/SearchResults.aspx?sk=LC2502NI;</v>
      </c>
    </row>
    <row r="464" spans="1:7" ht="70" customHeight="1" x14ac:dyDescent="0.3">
      <c r="A464" s="23" t="str">
        <f>IF(ISNA(VLOOKUP((ROW(A466)-15),'List of tables'!$A$4:$H$621,2,FALSE))," ",VLOOKUP((ROW(A466)-15),'List of tables'!$A$4:$H$621,2,FALSE))</f>
        <v>LC2503NI</v>
      </c>
      <c r="B464" s="21" t="str">
        <f>IF(ISNA(VLOOKUP((ROW(B466)-15),'List of tables'!$A$4:$H$621,3,FALSE))," ",VLOOKUP((ROW(B466)-15),'List of tables'!$A$4:$H$621,3,FALSE))</f>
        <v>Highest Level of Qualification by Religion or Religion Brought Up In</v>
      </c>
      <c r="C464" s="21" t="str">
        <f>IF(ISNA(VLOOKUP((ROW(H466)-15),'List of tables'!$A$4:$H$621,8,FALSE))," ",VLOOKUP((ROW(H466)-15),'List of tables'!$A$4:$H$621,8,FALSE))</f>
        <v>All usual residents aged 16 and over</v>
      </c>
      <c r="D464" s="21" t="str">
        <f>IF(ISNA(VLOOKUP((ROW(D466)-15),'List of tables'!$A$4:$H$621,5,FALSE))," ",VLOOKUP((ROW(D466)-15),'List of tables'!$A$4:$H$621,5,FALSE))</f>
        <v>Small Area, Super Output Area, Electoral Ward, Local Government District, Assembly Area, NUTS3, Education and Library Board, Health and Social Care Trust, Northern Ireland</v>
      </c>
      <c r="E464" s="22" t="str">
        <f t="shared" si="6"/>
        <v>Link to files</v>
      </c>
      <c r="G464" s="18" t="str">
        <f>IF(ISNA(VLOOKUP((ROW(G466)-15),'List of tables'!$A$4:$H$621,6,FALSE))," ",VLOOKUP((ROW(G466)-15),'List of tables'!$A$4:$H$621,6,FALSE))</f>
        <v>http://www.ninis2.nisra.gov.uk/public/SearchResults.aspx?sk=LC2503NI;</v>
      </c>
    </row>
    <row r="465" spans="1:7" ht="70" customHeight="1" x14ac:dyDescent="0.3">
      <c r="A465" s="23" t="str">
        <f>IF(ISNA(VLOOKUP((ROW(A467)-15),'List of tables'!$A$4:$H$621,2,FALSE))," ",VLOOKUP((ROW(A467)-15),'List of tables'!$A$4:$H$621,2,FALSE))</f>
        <v>LC2601NI</v>
      </c>
      <c r="B465" s="21" t="str">
        <f>IF(ISNA(VLOOKUP((ROW(B467)-15),'List of tables'!$A$4:$H$621,3,FALSE))," ",VLOOKUP((ROW(B467)-15),'List of tables'!$A$4:$H$621,3,FALSE))</f>
        <v>Economic Activity by Country of Birth by Age</v>
      </c>
      <c r="C465" s="21" t="str">
        <f>IF(ISNA(VLOOKUP((ROW(H467)-15),'List of tables'!$A$4:$H$621,8,FALSE))," ",VLOOKUP((ROW(H467)-15),'List of tables'!$A$4:$H$621,8,FALSE))</f>
        <v>All usual residents</v>
      </c>
      <c r="D465" s="21" t="str">
        <f>IF(ISNA(VLOOKUP((ROW(D467)-15),'List of tables'!$A$4:$H$621,5,FALSE))," ",VLOOKUP((ROW(D467)-15),'List of tables'!$A$4:$H$621,5,FALSE))</f>
        <v>Small Area, Super Output Area, Electoral Ward, Local Government District, Assembly Area, NUTS3, Education and Library Board, Health and Social Care Trust, Northern Ireland</v>
      </c>
      <c r="E465" s="22" t="str">
        <f t="shared" si="6"/>
        <v>Link to files</v>
      </c>
      <c r="G465" s="18" t="str">
        <f>IF(ISNA(VLOOKUP((ROW(G467)-15),'List of tables'!$A$4:$H$621,6,FALSE))," ",VLOOKUP((ROW(G467)-15),'List of tables'!$A$4:$H$621,6,FALSE))</f>
        <v>http://www.ninis2.nisra.gov.uk/public/SearchResults.aspx?sk=LC2601NI;</v>
      </c>
    </row>
    <row r="466" spans="1:7" ht="70" customHeight="1" x14ac:dyDescent="0.3">
      <c r="A466" s="23" t="str">
        <f>IF(ISNA(VLOOKUP((ROW(A468)-15),'List of tables'!$A$4:$H$621,2,FALSE))," ",VLOOKUP((ROW(A468)-15),'List of tables'!$A$4:$H$621,2,FALSE))</f>
        <v>LC2602NI</v>
      </c>
      <c r="B466" s="21" t="str">
        <f>IF(ISNA(VLOOKUP((ROW(B468)-15),'List of tables'!$A$4:$H$621,3,FALSE))," ",VLOOKUP((ROW(B468)-15),'List of tables'!$A$4:$H$621,3,FALSE))</f>
        <v>Economic Activity by Country of Birth by Sex</v>
      </c>
      <c r="C466" s="21" t="str">
        <f>IF(ISNA(VLOOKUP((ROW(H468)-15),'List of tables'!$A$4:$H$621,8,FALSE))," ",VLOOKUP((ROW(H468)-15),'List of tables'!$A$4:$H$621,8,FALSE))</f>
        <v>All usual residents aged 16 to 74</v>
      </c>
      <c r="D466" s="21" t="str">
        <f>IF(ISNA(VLOOKUP((ROW(D468)-15),'List of tables'!$A$4:$H$621,5,FALSE))," ",VLOOKUP((ROW(D468)-15),'List of tables'!$A$4:$H$621,5,FALSE))</f>
        <v>Small Area, Super Output Area, Electoral Ward, Local Government District, Assembly Area, NUTS3, Education and Library Board, Health and Social Care Trust, Northern Ireland</v>
      </c>
      <c r="E466" s="22" t="str">
        <f t="shared" si="6"/>
        <v>Link to files</v>
      </c>
      <c r="G466" s="18" t="str">
        <f>IF(ISNA(VLOOKUP((ROW(G468)-15),'List of tables'!$A$4:$H$621,6,FALSE))," ",VLOOKUP((ROW(G468)-15),'List of tables'!$A$4:$H$621,6,FALSE))</f>
        <v>http://www.ninis2.nisra.gov.uk/public/SearchResults.aspx?sk=LC2602NI;</v>
      </c>
    </row>
    <row r="467" spans="1:7" ht="70" customHeight="1" x14ac:dyDescent="0.3">
      <c r="A467" s="23" t="str">
        <f>IF(ISNA(VLOOKUP((ROW(A469)-15),'List of tables'!$A$4:$H$621,2,FALSE))," ",VLOOKUP((ROW(A469)-15),'List of tables'!$A$4:$H$621,2,FALSE))</f>
        <v>LC2603NI</v>
      </c>
      <c r="B467" s="21" t="str">
        <f>IF(ISNA(VLOOKUP((ROW(B469)-15),'List of tables'!$A$4:$H$621,3,FALSE))," ",VLOOKUP((ROW(B469)-15),'List of tables'!$A$4:$H$621,3,FALSE))</f>
        <v>Economic Activity by Passports Held (Classification 1)</v>
      </c>
      <c r="C467" s="21" t="str">
        <f>IF(ISNA(VLOOKUP((ROW(H469)-15),'List of tables'!$A$4:$H$621,8,FALSE))," ",VLOOKUP((ROW(H469)-15),'List of tables'!$A$4:$H$621,8,FALSE))</f>
        <v>All usual residents aged 16 to 74</v>
      </c>
      <c r="D467" s="21" t="str">
        <f>IF(ISNA(VLOOKUP((ROW(D469)-15),'List of tables'!$A$4:$H$621,5,FALSE))," ",VLOOKUP((ROW(D469)-15),'List of tables'!$A$4:$H$621,5,FALSE))</f>
        <v>Small Area, Super Output Area, Electoral Ward, Local Government District, Assembly Area, NUTS3, Education and Library Board, Health and Social Care Trust, Northern Ireland</v>
      </c>
      <c r="E467" s="22" t="str">
        <f t="shared" si="6"/>
        <v>Link to files</v>
      </c>
      <c r="G467" s="18" t="str">
        <f>IF(ISNA(VLOOKUP((ROW(G469)-15),'List of tables'!$A$4:$H$621,6,FALSE))," ",VLOOKUP((ROW(G469)-15),'List of tables'!$A$4:$H$621,6,FALSE))</f>
        <v>http://www.ninis2.nisra.gov.uk/public/SearchResults.aspx?sk=LC2603NI;</v>
      </c>
    </row>
    <row r="468" spans="1:7" ht="70" customHeight="1" x14ac:dyDescent="0.3">
      <c r="A468" s="23" t="str">
        <f>IF(ISNA(VLOOKUP((ROW(A470)-15),'List of tables'!$A$4:$H$621,2,FALSE))," ",VLOOKUP((ROW(A470)-15),'List of tables'!$A$4:$H$621,2,FALSE))</f>
        <v>LC2604NI</v>
      </c>
      <c r="B468" s="21" t="str">
        <f>IF(ISNA(VLOOKUP((ROW(B470)-15),'List of tables'!$A$4:$H$621,3,FALSE))," ",VLOOKUP((ROW(B470)-15),'List of tables'!$A$4:$H$621,3,FALSE))</f>
        <v>NS-SeC by Religion</v>
      </c>
      <c r="C468" s="21" t="str">
        <f>IF(ISNA(VLOOKUP((ROW(H470)-15),'List of tables'!$A$4:$H$621,8,FALSE))," ",VLOOKUP((ROW(H470)-15),'List of tables'!$A$4:$H$621,8,FALSE))</f>
        <v>All usual residents aged 16 to 74</v>
      </c>
      <c r="D468" s="21" t="str">
        <f>IF(ISNA(VLOOKUP((ROW(D470)-15),'List of tables'!$A$4:$H$621,5,FALSE))," ",VLOOKUP((ROW(D470)-15),'List of tables'!$A$4:$H$621,5,FALSE))</f>
        <v>Small Area, Super Output Area, Electoral Ward, Local Government District, Assembly Area, NUTS3, Education and Library Board, Health and Social Care Trust, Northern Ireland</v>
      </c>
      <c r="E468" s="22" t="str">
        <f t="shared" si="6"/>
        <v>Link to files</v>
      </c>
      <c r="G468" s="18" t="str">
        <f>IF(ISNA(VLOOKUP((ROW(G470)-15),'List of tables'!$A$4:$H$621,6,FALSE))," ",VLOOKUP((ROW(G470)-15),'List of tables'!$A$4:$H$621,6,FALSE))</f>
        <v>http://www.ninis2.nisra.gov.uk/public/SearchResults.aspx?sk=LC2604NI;</v>
      </c>
    </row>
    <row r="469" spans="1:7" ht="70" customHeight="1" x14ac:dyDescent="0.3">
      <c r="A469" s="23" t="str">
        <f>IF(ISNA(VLOOKUP((ROW(A471)-15),'List of tables'!$A$4:$H$621,2,FALSE))," ",VLOOKUP((ROW(A471)-15),'List of tables'!$A$4:$H$621,2,FALSE))</f>
        <v>LC2605NI</v>
      </c>
      <c r="B469" s="21" t="str">
        <f>IF(ISNA(VLOOKUP((ROW(B471)-15),'List of tables'!$A$4:$H$621,3,FALSE))," ",VLOOKUP((ROW(B471)-15),'List of tables'!$A$4:$H$621,3,FALSE))</f>
        <v>Country of Birth by Occupation</v>
      </c>
      <c r="C469" s="21" t="str">
        <f>IF(ISNA(VLOOKUP((ROW(H471)-15),'List of tables'!$A$4:$H$621,8,FALSE))," ",VLOOKUP((ROW(H471)-15),'List of tables'!$A$4:$H$621,8,FALSE))</f>
        <v>All usual residents aged 16 to 74</v>
      </c>
      <c r="D469" s="21" t="str">
        <f>IF(ISNA(VLOOKUP((ROW(D471)-15),'List of tables'!$A$4:$H$621,5,FALSE))," ",VLOOKUP((ROW(D471)-15),'List of tables'!$A$4:$H$621,5,FALSE))</f>
        <v>Small Area, Super Output Area, Electoral Ward, Local Government District, Assembly Area, NUTS3, Education and Library Board, Health and Social Care Trust, Northern Ireland</v>
      </c>
      <c r="E469" s="22" t="str">
        <f t="shared" si="6"/>
        <v>Link to files</v>
      </c>
      <c r="G469" s="18" t="str">
        <f>IF(ISNA(VLOOKUP((ROW(G471)-15),'List of tables'!$A$4:$H$621,6,FALSE))," ",VLOOKUP((ROW(G471)-15),'List of tables'!$A$4:$H$621,6,FALSE))</f>
        <v>http://www.ninis2.nisra.gov.uk/public/SearchResults.aspx?sk=LC2605NI;</v>
      </c>
    </row>
    <row r="470" spans="1:7" ht="70" customHeight="1" x14ac:dyDescent="0.3">
      <c r="A470" s="23" t="str">
        <f>IF(ISNA(VLOOKUP((ROW(A472)-15),'List of tables'!$A$4:$H$621,2,FALSE))," ",VLOOKUP((ROW(A472)-15),'List of tables'!$A$4:$H$621,2,FALSE))</f>
        <v>LC2606NI</v>
      </c>
      <c r="B470" s="21" t="str">
        <f>IF(ISNA(VLOOKUP((ROW(B472)-15),'List of tables'!$A$4:$H$621,3,FALSE))," ",VLOOKUP((ROW(B472)-15),'List of tables'!$A$4:$H$621,3,FALSE))</f>
        <v>Economic Activity by Religion</v>
      </c>
      <c r="C470" s="21" t="str">
        <f>IF(ISNA(VLOOKUP((ROW(H472)-15),'List of tables'!$A$4:$H$621,8,FALSE))," ",VLOOKUP((ROW(H472)-15),'List of tables'!$A$4:$H$621,8,FALSE))</f>
        <v>All usual residents aged 16 to 74</v>
      </c>
      <c r="D470" s="21" t="str">
        <f>IF(ISNA(VLOOKUP((ROW(D472)-15),'List of tables'!$A$4:$H$621,5,FALSE))," ",VLOOKUP((ROW(D472)-15),'List of tables'!$A$4:$H$621,5,FALSE))</f>
        <v>Small Area, Super Output Area, Electoral Ward, Local Government District, Assembly Area, NUTS3, Education and Library Board, Health and Social Care Trust, Northern Ireland</v>
      </c>
      <c r="E470" s="22" t="str">
        <f t="shared" si="6"/>
        <v>Link to files</v>
      </c>
      <c r="G470" s="18" t="str">
        <f>IF(ISNA(VLOOKUP((ROW(G472)-15),'List of tables'!$A$4:$H$621,6,FALSE))," ",VLOOKUP((ROW(G472)-15),'List of tables'!$A$4:$H$621,6,FALSE))</f>
        <v>http://www.ninis2.nisra.gov.uk/public/SearchResults.aspx?sk=LC2606NI;</v>
      </c>
    </row>
    <row r="471" spans="1:7" ht="70" customHeight="1" x14ac:dyDescent="0.3">
      <c r="A471" s="23" t="str">
        <f>IF(ISNA(VLOOKUP((ROW(A473)-15),'List of tables'!$A$4:$H$621,2,FALSE))," ",VLOOKUP((ROW(A473)-15),'List of tables'!$A$4:$H$621,2,FALSE))</f>
        <v>LC2607NI</v>
      </c>
      <c r="B471" s="21" t="str">
        <f>IF(ISNA(VLOOKUP((ROW(B473)-15),'List of tables'!$A$4:$H$621,3,FALSE))," ",VLOOKUP((ROW(B473)-15),'List of tables'!$A$4:$H$621,3,FALSE))</f>
        <v>Economic Activity by Religion or Religion Brought Up In</v>
      </c>
      <c r="C471" s="21" t="str">
        <f>IF(ISNA(VLOOKUP((ROW(H473)-15),'List of tables'!$A$4:$H$621,8,FALSE))," ",VLOOKUP((ROW(H473)-15),'List of tables'!$A$4:$H$621,8,FALSE))</f>
        <v>All usual residents aged 16 to 74</v>
      </c>
      <c r="D471" s="21" t="str">
        <f>IF(ISNA(VLOOKUP((ROW(D473)-15),'List of tables'!$A$4:$H$621,5,FALSE))," ",VLOOKUP((ROW(D473)-15),'List of tables'!$A$4:$H$621,5,FALSE))</f>
        <v>Small Area, Super Output Area, Electoral Ward, Local Government District, Assembly Area, NUTS3, Education and Library Board, Health and Social Care Trust, Northern Ireland</v>
      </c>
      <c r="E471" s="22" t="str">
        <f t="shared" si="6"/>
        <v>Link to files</v>
      </c>
      <c r="G471" s="18" t="str">
        <f>IF(ISNA(VLOOKUP((ROW(G473)-15),'List of tables'!$A$4:$H$621,6,FALSE))," ",VLOOKUP((ROW(G473)-15),'List of tables'!$A$4:$H$621,6,FALSE))</f>
        <v>http://www.ninis2.nisra.gov.uk/public/SearchResults.aspx?sk=LC2607NI;</v>
      </c>
    </row>
    <row r="472" spans="1:7" ht="70" customHeight="1" x14ac:dyDescent="0.3">
      <c r="A472" s="23" t="str">
        <f>IF(ISNA(VLOOKUP((ROW(A474)-15),'List of tables'!$A$4:$H$621,2,FALSE))," ",VLOOKUP((ROW(A474)-15),'List of tables'!$A$4:$H$621,2,FALSE))</f>
        <v>LC2608NI</v>
      </c>
      <c r="B472" s="21" t="str">
        <f>IF(ISNA(VLOOKUP((ROW(B474)-15),'List of tables'!$A$4:$H$621,3,FALSE))," ",VLOOKUP((ROW(B474)-15),'List of tables'!$A$4:$H$621,3,FALSE))</f>
        <v>NS-SeC by Religion or Religion Brought Up In</v>
      </c>
      <c r="C472" s="21" t="str">
        <f>IF(ISNA(VLOOKUP((ROW(H474)-15),'List of tables'!$A$4:$H$621,8,FALSE))," ",VLOOKUP((ROW(H474)-15),'List of tables'!$A$4:$H$621,8,FALSE))</f>
        <v>All usual residents aged 16 to 74</v>
      </c>
      <c r="D472" s="21" t="str">
        <f>IF(ISNA(VLOOKUP((ROW(D474)-15),'List of tables'!$A$4:$H$621,5,FALSE))," ",VLOOKUP((ROW(D474)-15),'List of tables'!$A$4:$H$621,5,FALSE))</f>
        <v>Small Area, Super Output Area, Electoral Ward, Local Government District, Assembly Area, NUTS3, Education and Library Board, Health and Social Care Trust, Northern Ireland</v>
      </c>
      <c r="E472" s="22" t="str">
        <f t="shared" si="6"/>
        <v>Link to files</v>
      </c>
      <c r="G472" s="18" t="str">
        <f>IF(ISNA(VLOOKUP((ROW(G474)-15),'List of tables'!$A$4:$H$621,6,FALSE))," ",VLOOKUP((ROW(G474)-15),'List of tables'!$A$4:$H$621,6,FALSE))</f>
        <v>http://www.ninis2.nisra.gov.uk/public/SearchResults.aspx?sk=LC2608NI;</v>
      </c>
    </row>
    <row r="473" spans="1:7" ht="70" customHeight="1" x14ac:dyDescent="0.3">
      <c r="A473" s="23" t="str">
        <f>IF(ISNA(VLOOKUP((ROW(A475)-15),'List of tables'!$A$4:$H$621,2,FALSE))," ",VLOOKUP((ROW(A475)-15),'List of tables'!$A$4:$H$621,2,FALSE))</f>
        <v>LC2609NI</v>
      </c>
      <c r="B473" s="21" t="str">
        <f>IF(ISNA(VLOOKUP((ROW(B475)-15),'List of tables'!$A$4:$H$621,3,FALSE))," ",VLOOKUP((ROW(B475)-15),'List of tables'!$A$4:$H$621,3,FALSE))</f>
        <v>Occupation by Religion</v>
      </c>
      <c r="C473" s="21" t="str">
        <f>IF(ISNA(VLOOKUP((ROW(H475)-15),'List of tables'!$A$4:$H$621,8,FALSE))," ",VLOOKUP((ROW(H475)-15),'List of tables'!$A$4:$H$621,8,FALSE))</f>
        <v xml:space="preserve">All usual residents aged 16 to 74 in employment </v>
      </c>
      <c r="D473" s="21" t="str">
        <f>IF(ISNA(VLOOKUP((ROW(D475)-15),'List of tables'!$A$4:$H$621,5,FALSE))," ",VLOOKUP((ROW(D475)-15),'List of tables'!$A$4:$H$621,5,FALSE))</f>
        <v>Small Area, Super Output Area, Electoral Ward, Local Government District, Assembly Area, NUTS3, Education and Library Board, Health and Social Care Trust, Northern Ireland</v>
      </c>
      <c r="E473" s="22" t="str">
        <f t="shared" si="6"/>
        <v>Link to files</v>
      </c>
      <c r="G473" s="18" t="str">
        <f>IF(ISNA(VLOOKUP((ROW(G475)-15),'List of tables'!$A$4:$H$621,6,FALSE))," ",VLOOKUP((ROW(G475)-15),'List of tables'!$A$4:$H$621,6,FALSE))</f>
        <v>http://www.ninis2.nisra.gov.uk/public/SearchResults.aspx?sk=LC2609NI;</v>
      </c>
    </row>
    <row r="474" spans="1:7" ht="70" customHeight="1" x14ac:dyDescent="0.3">
      <c r="A474" s="23" t="str">
        <f>IF(ISNA(VLOOKUP((ROW(A476)-15),'List of tables'!$A$4:$H$621,2,FALSE))," ",VLOOKUP((ROW(A476)-15),'List of tables'!$A$4:$H$621,2,FALSE))</f>
        <v>LC2610NI</v>
      </c>
      <c r="B474" s="21" t="str">
        <f>IF(ISNA(VLOOKUP((ROW(B476)-15),'List of tables'!$A$4:$H$621,3,FALSE))," ",VLOOKUP((ROW(B476)-15),'List of tables'!$A$4:$H$621,3,FALSE))</f>
        <v>Occupation by Religion or Religion Brought Up In</v>
      </c>
      <c r="C474" s="21" t="str">
        <f>IF(ISNA(VLOOKUP((ROW(H476)-15),'List of tables'!$A$4:$H$621,8,FALSE))," ",VLOOKUP((ROW(H476)-15),'List of tables'!$A$4:$H$621,8,FALSE))</f>
        <v xml:space="preserve">All usual residents aged 16 to 74 in employment </v>
      </c>
      <c r="D474" s="21" t="str">
        <f>IF(ISNA(VLOOKUP((ROW(D476)-15),'List of tables'!$A$4:$H$621,5,FALSE))," ",VLOOKUP((ROW(D476)-15),'List of tables'!$A$4:$H$621,5,FALSE))</f>
        <v>Small Area, Super Output Area, Electoral Ward, Local Government District, Assembly Area, NUTS3, Education and Library Board, Health and Social Care Trust, Northern Ireland</v>
      </c>
      <c r="E474" s="22" t="str">
        <f t="shared" si="6"/>
        <v>Link to files</v>
      </c>
      <c r="G474" s="18" t="str">
        <f>IF(ISNA(VLOOKUP((ROW(G476)-15),'List of tables'!$A$4:$H$621,6,FALSE))," ",VLOOKUP((ROW(G476)-15),'List of tables'!$A$4:$H$621,6,FALSE))</f>
        <v>http://www.ninis2.nisra.gov.uk/public/SearchResults.aspx?sk=LC2610NI;</v>
      </c>
    </row>
    <row r="475" spans="1:7" ht="70" customHeight="1" x14ac:dyDescent="0.3">
      <c r="A475" s="23" t="str">
        <f>IF(ISNA(VLOOKUP((ROW(A477)-15),'List of tables'!$A$4:$H$621,2,FALSE))," ",VLOOKUP((ROW(A477)-15),'List of tables'!$A$4:$H$621,2,FALSE))</f>
        <v>LC3101NI</v>
      </c>
      <c r="B475" s="21" t="str">
        <f>IF(ISNA(VLOOKUP((ROW(B477)-15),'List of tables'!$A$4:$H$621,3,FALSE))," ",VLOOKUP((ROW(B477)-15),'List of tables'!$A$4:$H$621,3,FALSE))</f>
        <v>Provision of Unpaid Care by Age</v>
      </c>
      <c r="C475" s="21" t="str">
        <f>IF(ISNA(VLOOKUP((ROW(H477)-15),'List of tables'!$A$4:$H$621,8,FALSE))," ",VLOOKUP((ROW(H477)-15),'List of tables'!$A$4:$H$621,8,FALSE))</f>
        <v>All usual residents in households</v>
      </c>
      <c r="D475" s="21" t="str">
        <f>IF(ISNA(VLOOKUP((ROW(D477)-15),'List of tables'!$A$4:$H$621,5,FALSE))," ",VLOOKUP((ROW(D477)-15),'List of tables'!$A$4:$H$621,5,FALSE))</f>
        <v>Small Area, Super Output Area, Electoral Ward, Local Government District, Assembly Area, NUTS3, Education and Library Board, Health and Social Care Trust, Northern Ireland</v>
      </c>
      <c r="E475" s="22" t="str">
        <f t="shared" si="6"/>
        <v>Link to files</v>
      </c>
      <c r="G475" s="18" t="str">
        <f>IF(ISNA(VLOOKUP((ROW(G477)-15),'List of tables'!$A$4:$H$621,6,FALSE))," ",VLOOKUP((ROW(G477)-15),'List of tables'!$A$4:$H$621,6,FALSE))</f>
        <v>http://www.ninis2.nisra.gov.uk/public/SearchResults.aspx?sk=LC3101NI;</v>
      </c>
    </row>
    <row r="476" spans="1:7" ht="70" customHeight="1" x14ac:dyDescent="0.3">
      <c r="A476" s="23" t="str">
        <f>IF(ISNA(VLOOKUP((ROW(A478)-15),'List of tables'!$A$4:$H$621,2,FALSE))," ",VLOOKUP((ROW(A478)-15),'List of tables'!$A$4:$H$621,2,FALSE))</f>
        <v>LC3102NI</v>
      </c>
      <c r="B476" s="21" t="str">
        <f>IF(ISNA(VLOOKUP((ROW(B478)-15),'List of tables'!$A$4:$H$621,3,FALSE))," ",VLOOKUP((ROW(B478)-15),'List of tables'!$A$4:$H$621,3,FALSE))</f>
        <v>Provision of Unpaid Care by Sex</v>
      </c>
      <c r="C476" s="21" t="str">
        <f>IF(ISNA(VLOOKUP((ROW(H478)-15),'List of tables'!$A$4:$H$621,8,FALSE))," ",VLOOKUP((ROW(H478)-15),'List of tables'!$A$4:$H$621,8,FALSE))</f>
        <v>All usual residents in households</v>
      </c>
      <c r="D476" s="21" t="str">
        <f>IF(ISNA(VLOOKUP((ROW(D478)-15),'List of tables'!$A$4:$H$621,5,FALSE))," ",VLOOKUP((ROW(D478)-15),'List of tables'!$A$4:$H$621,5,FALSE))</f>
        <v>Small Area, Super Output Area, Electoral Ward, Local Government District, Assembly Area, NUTS3, Education and Library Board, Health and Social Care Trust, Northern Ireland</v>
      </c>
      <c r="E476" s="22" t="str">
        <f t="shared" si="6"/>
        <v>Link to files</v>
      </c>
      <c r="G476" s="18" t="str">
        <f>IF(ISNA(VLOOKUP((ROW(G478)-15),'List of tables'!$A$4:$H$621,6,FALSE))," ",VLOOKUP((ROW(G478)-15),'List of tables'!$A$4:$H$621,6,FALSE))</f>
        <v>http://www.ninis2.nisra.gov.uk/public/SearchResults.aspx?sk=LC3102NI;</v>
      </c>
    </row>
    <row r="477" spans="1:7" ht="70" customHeight="1" x14ac:dyDescent="0.3">
      <c r="A477" s="23" t="str">
        <f>IF(ISNA(VLOOKUP((ROW(A479)-15),'List of tables'!$A$4:$H$621,2,FALSE))," ",VLOOKUP((ROW(A479)-15),'List of tables'!$A$4:$H$621,2,FALSE))</f>
        <v>LC3103NI</v>
      </c>
      <c r="B477" s="21" t="str">
        <f>IF(ISNA(VLOOKUP((ROW(B479)-15),'List of tables'!$A$4:$H$621,3,FALSE))," ",VLOOKUP((ROW(B479)-15),'List of tables'!$A$4:$H$621,3,FALSE))</f>
        <v>General Health by Age</v>
      </c>
      <c r="C477" s="21" t="str">
        <f>IF(ISNA(VLOOKUP((ROW(H479)-15),'List of tables'!$A$4:$H$621,8,FALSE))," ",VLOOKUP((ROW(H479)-15),'List of tables'!$A$4:$H$621,8,FALSE))</f>
        <v>All usual residents in households</v>
      </c>
      <c r="D477" s="21" t="str">
        <f>IF(ISNA(VLOOKUP((ROW(D479)-15),'List of tables'!$A$4:$H$621,5,FALSE))," ",VLOOKUP((ROW(D479)-15),'List of tables'!$A$4:$H$621,5,FALSE))</f>
        <v>Small Area, Super Output Area, Electoral Ward, Local Government District, Assembly Area, NUTS3, Education and Library Board, Health and Social Care Trust, Northern Ireland</v>
      </c>
      <c r="E477" s="22" t="str">
        <f t="shared" si="6"/>
        <v>Link to files</v>
      </c>
      <c r="G477" s="18" t="str">
        <f>IF(ISNA(VLOOKUP((ROW(G479)-15),'List of tables'!$A$4:$H$621,6,FALSE))," ",VLOOKUP((ROW(G479)-15),'List of tables'!$A$4:$H$621,6,FALSE))</f>
        <v>http://www.ninis2.nisra.gov.uk/public/SearchResults.aspx?sk=LC3103NI;</v>
      </c>
    </row>
    <row r="478" spans="1:7" ht="70" customHeight="1" x14ac:dyDescent="0.3">
      <c r="A478" s="23" t="str">
        <f>IF(ISNA(VLOOKUP((ROW(A480)-15),'List of tables'!$A$4:$H$621,2,FALSE))," ",VLOOKUP((ROW(A480)-15),'List of tables'!$A$4:$H$621,2,FALSE))</f>
        <v>LC3104NI</v>
      </c>
      <c r="B478" s="21" t="str">
        <f>IF(ISNA(VLOOKUP((ROW(B480)-15),'List of tables'!$A$4:$H$621,3,FALSE))," ",VLOOKUP((ROW(B480)-15),'List of tables'!$A$4:$H$621,3,FALSE))</f>
        <v>General Health by Sex</v>
      </c>
      <c r="C478" s="21" t="str">
        <f>IF(ISNA(VLOOKUP((ROW(H480)-15),'List of tables'!$A$4:$H$621,8,FALSE))," ",VLOOKUP((ROW(H480)-15),'List of tables'!$A$4:$H$621,8,FALSE))</f>
        <v>All usual residents in households</v>
      </c>
      <c r="D478" s="21" t="str">
        <f>IF(ISNA(VLOOKUP((ROW(D480)-15),'List of tables'!$A$4:$H$621,5,FALSE))," ",VLOOKUP((ROW(D480)-15),'List of tables'!$A$4:$H$621,5,FALSE))</f>
        <v>Small Area, Super Output Area, Electoral Ward, Local Government District, Assembly Area, NUTS3, Education and Library Board, Health and Social Care Trust, Northern Ireland</v>
      </c>
      <c r="E478" s="22" t="str">
        <f t="shared" si="6"/>
        <v>Link to files</v>
      </c>
      <c r="G478" s="18" t="str">
        <f>IF(ISNA(VLOOKUP((ROW(G480)-15),'List of tables'!$A$4:$H$621,6,FALSE))," ",VLOOKUP((ROW(G480)-15),'List of tables'!$A$4:$H$621,6,FALSE))</f>
        <v>http://www.ninis2.nisra.gov.uk/public/SearchResults.aspx?sk=LC3104NI;</v>
      </c>
    </row>
    <row r="479" spans="1:7" ht="70" customHeight="1" x14ac:dyDescent="0.3">
      <c r="A479" s="23" t="str">
        <f>IF(ISNA(VLOOKUP((ROW(A481)-15),'List of tables'!$A$4:$H$621,2,FALSE))," ",VLOOKUP((ROW(A481)-15),'List of tables'!$A$4:$H$621,2,FALSE))</f>
        <v>LC3105NI</v>
      </c>
      <c r="B479" s="21" t="str">
        <f>IF(ISNA(VLOOKUP((ROW(B481)-15),'List of tables'!$A$4:$H$621,3,FALSE))," ",VLOOKUP((ROW(B481)-15),'List of tables'!$A$4:$H$621,3,FALSE))</f>
        <v>Long-Term Health Problem or Disability by Age</v>
      </c>
      <c r="C479" s="21" t="str">
        <f>IF(ISNA(VLOOKUP((ROW(H481)-15),'List of tables'!$A$4:$H$621,8,FALSE))," ",VLOOKUP((ROW(H481)-15),'List of tables'!$A$4:$H$621,8,FALSE))</f>
        <v>All usual residents in households</v>
      </c>
      <c r="D479" s="21" t="str">
        <f>IF(ISNA(VLOOKUP((ROW(D481)-15),'List of tables'!$A$4:$H$621,5,FALSE))," ",VLOOKUP((ROW(D481)-15),'List of tables'!$A$4:$H$621,5,FALSE))</f>
        <v>Small Area, Super Output Area, Electoral Ward, Local Government District, Assembly Area, NUTS3, Education and Library Board, Health and Social Care Trust, Northern Ireland</v>
      </c>
      <c r="E479" s="22" t="str">
        <f t="shared" si="6"/>
        <v>Link to files</v>
      </c>
      <c r="G479" s="18" t="str">
        <f>IF(ISNA(VLOOKUP((ROW(G481)-15),'List of tables'!$A$4:$H$621,6,FALSE))," ",VLOOKUP((ROW(G481)-15),'List of tables'!$A$4:$H$621,6,FALSE))</f>
        <v>http://www.ninis2.nisra.gov.uk/public/SearchResults.aspx?sk=LC3105NI;</v>
      </c>
    </row>
    <row r="480" spans="1:7" ht="70" customHeight="1" x14ac:dyDescent="0.3">
      <c r="A480" s="23" t="str">
        <f>IF(ISNA(VLOOKUP((ROW(A482)-15),'List of tables'!$A$4:$H$621,2,FALSE))," ",VLOOKUP((ROW(A482)-15),'List of tables'!$A$4:$H$621,2,FALSE))</f>
        <v>LC3106NI</v>
      </c>
      <c r="B480" s="21" t="str">
        <f>IF(ISNA(VLOOKUP((ROW(B482)-15),'List of tables'!$A$4:$H$621,3,FALSE))," ",VLOOKUP((ROW(B482)-15),'List of tables'!$A$4:$H$621,3,FALSE))</f>
        <v>Long-Term Health Problem or Disability by Sex</v>
      </c>
      <c r="C480" s="21" t="str">
        <f>IF(ISNA(VLOOKUP((ROW(H482)-15),'List of tables'!$A$4:$H$621,8,FALSE))," ",VLOOKUP((ROW(H482)-15),'List of tables'!$A$4:$H$621,8,FALSE))</f>
        <v>All usual residents in households</v>
      </c>
      <c r="D480" s="21" t="str">
        <f>IF(ISNA(VLOOKUP((ROW(D482)-15),'List of tables'!$A$4:$H$621,5,FALSE))," ",VLOOKUP((ROW(D482)-15),'List of tables'!$A$4:$H$621,5,FALSE))</f>
        <v>Small Area, Super Output Area, Electoral Ward, Local Government District, Assembly Area, NUTS3, Education and Library Board, Health and Social Care Trust, Northern Ireland</v>
      </c>
      <c r="E480" s="22" t="str">
        <f t="shared" si="6"/>
        <v>Link to files</v>
      </c>
      <c r="G480" s="18" t="str">
        <f>IF(ISNA(VLOOKUP((ROW(G482)-15),'List of tables'!$A$4:$H$621,6,FALSE))," ",VLOOKUP((ROW(G482)-15),'List of tables'!$A$4:$H$621,6,FALSE))</f>
        <v>http://www.ninis2.nisra.gov.uk/public/SearchResults.aspx?sk=LC3106NI;</v>
      </c>
    </row>
    <row r="481" spans="1:7" ht="70" customHeight="1" x14ac:dyDescent="0.3">
      <c r="A481" s="23" t="str">
        <f>IF(ISNA(VLOOKUP((ROW(A483)-15),'List of tables'!$A$4:$H$621,2,FALSE))," ",VLOOKUP((ROW(A483)-15),'List of tables'!$A$4:$H$621,2,FALSE))</f>
        <v>LC3301NI</v>
      </c>
      <c r="B481" s="21" t="str">
        <f>IF(ISNA(VLOOKUP((ROW(B483)-15),'List of tables'!$A$4:$H$621,3,FALSE))," ",VLOOKUP((ROW(B483)-15),'List of tables'!$A$4:$H$621,3,FALSE))</f>
        <v>Long-Term Health Problem or Disability by General Health</v>
      </c>
      <c r="C481" s="21" t="str">
        <f>IF(ISNA(VLOOKUP((ROW(H483)-15),'List of tables'!$A$4:$H$621,8,FALSE))," ",VLOOKUP((ROW(H483)-15),'List of tables'!$A$4:$H$621,8,FALSE))</f>
        <v>All usual residents in households</v>
      </c>
      <c r="D481" s="21" t="str">
        <f>IF(ISNA(VLOOKUP((ROW(D483)-15),'List of tables'!$A$4:$H$621,5,FALSE))," ",VLOOKUP((ROW(D483)-15),'List of tables'!$A$4:$H$621,5,FALSE))</f>
        <v>Small Area, Super Output Area, Electoral Ward, Local Government District, Assembly Area, NUTS3, Education and Library Board, Health and Social Care Trust, Northern Ireland</v>
      </c>
      <c r="E481" s="22" t="str">
        <f t="shared" si="6"/>
        <v>Link to files</v>
      </c>
      <c r="G481" s="18" t="str">
        <f>IF(ISNA(VLOOKUP((ROW(G483)-15),'List of tables'!$A$4:$H$621,6,FALSE))," ",VLOOKUP((ROW(G483)-15),'List of tables'!$A$4:$H$621,6,FALSE))</f>
        <v>http://www.ninis2.nisra.gov.uk/public/SearchResults.aspx?sk=LC3301NI;</v>
      </c>
    </row>
    <row r="482" spans="1:7" ht="70" customHeight="1" x14ac:dyDescent="0.3">
      <c r="A482" s="23" t="str">
        <f>IF(ISNA(VLOOKUP((ROW(A484)-15),'List of tables'!$A$4:$H$621,2,FALSE))," ",VLOOKUP((ROW(A484)-15),'List of tables'!$A$4:$H$621,2,FALSE))</f>
        <v>LC3302NI</v>
      </c>
      <c r="B482" s="21" t="str">
        <f>IF(ISNA(VLOOKUP((ROW(B484)-15),'List of tables'!$A$4:$H$621,3,FALSE))," ",VLOOKUP((ROW(B484)-15),'List of tables'!$A$4:$H$621,3,FALSE))</f>
        <v>Long-Term Health Problem or Disability by Provision of Unpaid Care</v>
      </c>
      <c r="C482" s="21" t="str">
        <f>IF(ISNA(VLOOKUP((ROW(H484)-15),'List of tables'!$A$4:$H$621,8,FALSE))," ",VLOOKUP((ROW(H484)-15),'List of tables'!$A$4:$H$621,8,FALSE))</f>
        <v>All usual residents</v>
      </c>
      <c r="D482" s="21" t="str">
        <f>IF(ISNA(VLOOKUP((ROW(D484)-15),'List of tables'!$A$4:$H$621,5,FALSE))," ",VLOOKUP((ROW(D484)-15),'List of tables'!$A$4:$H$621,5,FALSE))</f>
        <v>Small Area, Super Output Area, Electoral Ward, Local Government District, Assembly Area, NUTS3, Education and Library Board, Health and Social Care Trust, Northern Ireland</v>
      </c>
      <c r="E482" s="22" t="str">
        <f t="shared" si="6"/>
        <v>Link to files</v>
      </c>
      <c r="G482" s="18" t="str">
        <f>IF(ISNA(VLOOKUP((ROW(G484)-15),'List of tables'!$A$4:$H$621,6,FALSE))," ",VLOOKUP((ROW(G484)-15),'List of tables'!$A$4:$H$621,6,FALSE))</f>
        <v>http://www.ninis2.nisra.gov.uk/public/SearchResults.aspx?sk=LC3302NI;</v>
      </c>
    </row>
    <row r="483" spans="1:7" ht="70" customHeight="1" x14ac:dyDescent="0.3">
      <c r="A483" s="23" t="str">
        <f>IF(ISNA(VLOOKUP((ROW(A485)-15),'List of tables'!$A$4:$H$621,2,FALSE))," ",VLOOKUP((ROW(A485)-15),'List of tables'!$A$4:$H$621,2,FALSE))</f>
        <v>LC3303NI</v>
      </c>
      <c r="B483" s="21" t="str">
        <f>IF(ISNA(VLOOKUP((ROW(B485)-15),'List of tables'!$A$4:$H$621,3,FALSE))," ",VLOOKUP((ROW(B485)-15),'List of tables'!$A$4:$H$621,3,FALSE))</f>
        <v>General Health by Long-Term Health Problem or Disability by Number of Cars of Vans</v>
      </c>
      <c r="C483" s="21" t="str">
        <f>IF(ISNA(VLOOKUP((ROW(H485)-15),'List of tables'!$A$4:$H$621,8,FALSE))," ",VLOOKUP((ROW(H485)-15),'List of tables'!$A$4:$H$621,8,FALSE))</f>
        <v>All usual residents in households</v>
      </c>
      <c r="D483" s="21" t="str">
        <f>IF(ISNA(VLOOKUP((ROW(D485)-15),'List of tables'!$A$4:$H$621,5,FALSE))," ",VLOOKUP((ROW(D485)-15),'List of tables'!$A$4:$H$621,5,FALSE))</f>
        <v>Small Area, Super Output Area, Electoral Ward, Local Government District, Assembly Area, NUTS3, Education and Library Board, Health and Social Care Trust, Northern Ireland</v>
      </c>
      <c r="E483" s="22" t="str">
        <f t="shared" si="6"/>
        <v>Link to files</v>
      </c>
      <c r="G483" s="18" t="str">
        <f>IF(ISNA(VLOOKUP((ROW(G485)-15),'List of tables'!$A$4:$H$621,6,FALSE))," ",VLOOKUP((ROW(G485)-15),'List of tables'!$A$4:$H$621,6,FALSE))</f>
        <v>http://www.ninis2.nisra.gov.uk/public/SearchResults.aspx?sk=LC3303NI;</v>
      </c>
    </row>
    <row r="484" spans="1:7" ht="70" customHeight="1" x14ac:dyDescent="0.3">
      <c r="A484" s="23" t="str">
        <f>IF(ISNA(VLOOKUP((ROW(A486)-15),'List of tables'!$A$4:$H$621,2,FALSE))," ",VLOOKUP((ROW(A486)-15),'List of tables'!$A$4:$H$621,2,FALSE))</f>
        <v>LC3401NI</v>
      </c>
      <c r="B484" s="21" t="str">
        <f>IF(ISNA(VLOOKUP((ROW(B486)-15),'List of tables'!$A$4:$H$621,3,FALSE))," ",VLOOKUP((ROW(B486)-15),'List of tables'!$A$4:$H$621,3,FALSE))</f>
        <v>Occupancy Rating by General Health</v>
      </c>
      <c r="C484" s="21" t="str">
        <f>IF(ISNA(VLOOKUP((ROW(H486)-15),'List of tables'!$A$4:$H$621,8,FALSE))," ",VLOOKUP((ROW(H486)-15),'List of tables'!$A$4:$H$621,8,FALSE))</f>
        <v>All usual residents in households</v>
      </c>
      <c r="D484" s="21" t="str">
        <f>IF(ISNA(VLOOKUP((ROW(D486)-15),'List of tables'!$A$4:$H$621,5,FALSE))," ",VLOOKUP((ROW(D486)-15),'List of tables'!$A$4:$H$621,5,FALSE))</f>
        <v>Small Area, Super Output Area, Electoral Ward, Local Government District, Assembly Area, NUTS3, Education and Library Board, Health and Social Care Trust, Northern Ireland</v>
      </c>
      <c r="E484" s="22" t="str">
        <f t="shared" si="6"/>
        <v>Link to files</v>
      </c>
      <c r="G484" s="18" t="str">
        <f>IF(ISNA(VLOOKUP((ROW(G486)-15),'List of tables'!$A$4:$H$621,6,FALSE))," ",VLOOKUP((ROW(G486)-15),'List of tables'!$A$4:$H$621,6,FALSE))</f>
        <v>http://www.ninis2.nisra.gov.uk/public/SearchResults.aspx?sk=LC3401NI;</v>
      </c>
    </row>
    <row r="485" spans="1:7" ht="70" customHeight="1" x14ac:dyDescent="0.3">
      <c r="A485" s="23" t="str">
        <f>IF(ISNA(VLOOKUP((ROW(A487)-15),'List of tables'!$A$4:$H$621,2,FALSE))," ",VLOOKUP((ROW(A487)-15),'List of tables'!$A$4:$H$621,2,FALSE))</f>
        <v>LC3402NI</v>
      </c>
      <c r="B485" s="21" t="str">
        <f>IF(ISNA(VLOOKUP((ROW(B487)-15),'List of tables'!$A$4:$H$621,3,FALSE))," ",VLOOKUP((ROW(B487)-15),'List of tables'!$A$4:$H$621,3,FALSE))</f>
        <v>Occupancy Rating by Long-Term Health Problem or Disability</v>
      </c>
      <c r="C485" s="21" t="str">
        <f>IF(ISNA(VLOOKUP((ROW(H487)-15),'List of tables'!$A$4:$H$621,8,FALSE))," ",VLOOKUP((ROW(H487)-15),'List of tables'!$A$4:$H$621,8,FALSE))</f>
        <v>All usual residents in households</v>
      </c>
      <c r="D485" s="21" t="str">
        <f>IF(ISNA(VLOOKUP((ROW(D487)-15),'List of tables'!$A$4:$H$621,5,FALSE))," ",VLOOKUP((ROW(D487)-15),'List of tables'!$A$4:$H$621,5,FALSE))</f>
        <v>Small Area, Super Output Area, Electoral Ward, Local Government District, Assembly Area, NUTS3, Education and Library Board, Health and Social Care Trust, Northern Ireland</v>
      </c>
      <c r="E485" s="22" t="str">
        <f t="shared" si="6"/>
        <v>Link to files</v>
      </c>
      <c r="G485" s="18" t="str">
        <f>IF(ISNA(VLOOKUP((ROW(G487)-15),'List of tables'!$A$4:$H$621,6,FALSE))," ",VLOOKUP((ROW(G487)-15),'List of tables'!$A$4:$H$621,6,FALSE))</f>
        <v>http://www.ninis2.nisra.gov.uk/public/SearchResults.aspx?sk=LC3402NI;</v>
      </c>
    </row>
    <row r="486" spans="1:7" ht="70" customHeight="1" x14ac:dyDescent="0.3">
      <c r="A486" s="23" t="str">
        <f>IF(ISNA(VLOOKUP((ROW(A488)-15),'List of tables'!$A$4:$H$621,2,FALSE))," ",VLOOKUP((ROW(A488)-15),'List of tables'!$A$4:$H$621,2,FALSE))</f>
        <v>LC3601NI</v>
      </c>
      <c r="B486" s="21" t="str">
        <f>IF(ISNA(VLOOKUP((ROW(B488)-15),'List of tables'!$A$4:$H$621,3,FALSE))," ",VLOOKUP((ROW(B488)-15),'List of tables'!$A$4:$H$621,3,FALSE))</f>
        <v>General Health by NS-SeC by Sex</v>
      </c>
      <c r="C486" s="21" t="str">
        <f>IF(ISNA(VLOOKUP((ROW(H488)-15),'List of tables'!$A$4:$H$621,8,FALSE))," ",VLOOKUP((ROW(H488)-15),'List of tables'!$A$4:$H$621,8,FALSE))</f>
        <v>All usual residents aged 16 to 74</v>
      </c>
      <c r="D486" s="21" t="str">
        <f>IF(ISNA(VLOOKUP((ROW(D488)-15),'List of tables'!$A$4:$H$621,5,FALSE))," ",VLOOKUP((ROW(D488)-15),'List of tables'!$A$4:$H$621,5,FALSE))</f>
        <v>Small Area, Super Output Area, Electoral Ward, Local Government District, Assembly Area, NUTS3, Education and Library Board, Health and Social Care Trust, Northern Ireland</v>
      </c>
      <c r="E486" s="22" t="str">
        <f t="shared" si="6"/>
        <v>Link to files</v>
      </c>
      <c r="G486" s="18" t="str">
        <f>IF(ISNA(VLOOKUP((ROW(G488)-15),'List of tables'!$A$4:$H$621,6,FALSE))," ",VLOOKUP((ROW(G488)-15),'List of tables'!$A$4:$H$621,6,FALSE))</f>
        <v>http://www.ninis2.nisra.gov.uk/public/SearchResults.aspx?sk=LC3601NI;</v>
      </c>
    </row>
    <row r="487" spans="1:7" ht="70" customHeight="1" x14ac:dyDescent="0.3">
      <c r="A487" s="23" t="str">
        <f>IF(ISNA(VLOOKUP((ROW(A489)-15),'List of tables'!$A$4:$H$621,2,FALSE))," ",VLOOKUP((ROW(A489)-15),'List of tables'!$A$4:$H$621,2,FALSE))</f>
        <v>LC3602NI</v>
      </c>
      <c r="B487" s="21" t="str">
        <f>IF(ISNA(VLOOKUP((ROW(B489)-15),'List of tables'!$A$4:$H$621,3,FALSE))," ",VLOOKUP((ROW(B489)-15),'List of tables'!$A$4:$H$621,3,FALSE))</f>
        <v>Long-Term Health Problem or Disability by NS-SeC by Sex</v>
      </c>
      <c r="C487" s="21" t="str">
        <f>IF(ISNA(VLOOKUP((ROW(H489)-15),'List of tables'!$A$4:$H$621,8,FALSE))," ",VLOOKUP((ROW(H489)-15),'List of tables'!$A$4:$H$621,8,FALSE))</f>
        <v>All usual residents aged 16 to 74</v>
      </c>
      <c r="D487" s="21" t="str">
        <f>IF(ISNA(VLOOKUP((ROW(D489)-15),'List of tables'!$A$4:$H$621,5,FALSE))," ",VLOOKUP((ROW(D489)-15),'List of tables'!$A$4:$H$621,5,FALSE))</f>
        <v>Small Area, Super Output Area, Electoral Ward, Local Government District, Assembly Area, NUTS3, Education and Library Board, Health and Social Care Trust, Northern Ireland</v>
      </c>
      <c r="E487" s="22" t="str">
        <f t="shared" si="6"/>
        <v>Link to files</v>
      </c>
      <c r="G487" s="18" t="str">
        <f>IF(ISNA(VLOOKUP((ROW(G489)-15),'List of tables'!$A$4:$H$621,6,FALSE))," ",VLOOKUP((ROW(G489)-15),'List of tables'!$A$4:$H$621,6,FALSE))</f>
        <v>http://www.ninis2.nisra.gov.uk/public/SearchResults.aspx?sk=LC3602NI;</v>
      </c>
    </row>
    <row r="488" spans="1:7" ht="70" customHeight="1" x14ac:dyDescent="0.3">
      <c r="A488" s="23" t="str">
        <f>IF(ISNA(VLOOKUP((ROW(A490)-15),'List of tables'!$A$4:$H$621,2,FALSE))," ",VLOOKUP((ROW(A490)-15),'List of tables'!$A$4:$H$621,2,FALSE))</f>
        <v>LC3603NI</v>
      </c>
      <c r="B488" s="21" t="str">
        <f>IF(ISNA(VLOOKUP((ROW(B490)-15),'List of tables'!$A$4:$H$621,3,FALSE))," ",VLOOKUP((ROW(B490)-15),'List of tables'!$A$4:$H$621,3,FALSE))</f>
        <v>Economic Activity by General Health</v>
      </c>
      <c r="C488" s="21" t="str">
        <f>IF(ISNA(VLOOKUP((ROW(H490)-15),'List of tables'!$A$4:$H$621,8,FALSE))," ",VLOOKUP((ROW(H490)-15),'List of tables'!$A$4:$H$621,8,FALSE))</f>
        <v>All usual residents aged 16 to 74</v>
      </c>
      <c r="D488" s="21" t="str">
        <f>IF(ISNA(VLOOKUP((ROW(D490)-15),'List of tables'!$A$4:$H$621,5,FALSE))," ",VLOOKUP((ROW(D490)-15),'List of tables'!$A$4:$H$621,5,FALSE))</f>
        <v>Small Area, Super Output Area, Electoral Ward, Local Government District, Assembly Area, NUTS3, Education and Library Board, Health and Social Care Trust, Northern Ireland</v>
      </c>
      <c r="E488" s="22" t="str">
        <f t="shared" si="6"/>
        <v>Link to files</v>
      </c>
      <c r="G488" s="18" t="str">
        <f>IF(ISNA(VLOOKUP((ROW(G490)-15),'List of tables'!$A$4:$H$621,6,FALSE))," ",VLOOKUP((ROW(G490)-15),'List of tables'!$A$4:$H$621,6,FALSE))</f>
        <v>http://www.ninis2.nisra.gov.uk/public/SearchResults.aspx?sk=LC3603NI;</v>
      </c>
    </row>
    <row r="489" spans="1:7" ht="70" customHeight="1" x14ac:dyDescent="0.3">
      <c r="A489" s="23" t="str">
        <f>IF(ISNA(VLOOKUP((ROW(A491)-15),'List of tables'!$A$4:$H$621,2,FALSE))," ",VLOOKUP((ROW(A491)-15),'List of tables'!$A$4:$H$621,2,FALSE))</f>
        <v>LC3604NI</v>
      </c>
      <c r="B489" s="21" t="str">
        <f>IF(ISNA(VLOOKUP((ROW(B491)-15),'List of tables'!$A$4:$H$621,3,FALSE))," ",VLOOKUP((ROW(B491)-15),'List of tables'!$A$4:$H$621,3,FALSE))</f>
        <v>Economic Activity by Provision of Unpaid Care</v>
      </c>
      <c r="C489" s="21" t="str">
        <f>IF(ISNA(VLOOKUP((ROW(H491)-15),'List of tables'!$A$4:$H$621,8,FALSE))," ",VLOOKUP((ROW(H491)-15),'List of tables'!$A$4:$H$621,8,FALSE))</f>
        <v>All usual residents aged 16 to 74</v>
      </c>
      <c r="D489" s="21" t="str">
        <f>IF(ISNA(VLOOKUP((ROW(D491)-15),'List of tables'!$A$4:$H$621,5,FALSE))," ",VLOOKUP((ROW(D491)-15),'List of tables'!$A$4:$H$621,5,FALSE))</f>
        <v>Small Area, Super Output Area, Electoral Ward, Local Government District, Assembly Area, NUTS3, Education and Library Board, Health and Social Care Trust, Northern Ireland</v>
      </c>
      <c r="E489" s="22" t="str">
        <f t="shared" si="6"/>
        <v>Link to files</v>
      </c>
      <c r="G489" s="18" t="str">
        <f>IF(ISNA(VLOOKUP((ROW(G491)-15),'List of tables'!$A$4:$H$621,6,FALSE))," ",VLOOKUP((ROW(G491)-15),'List of tables'!$A$4:$H$621,6,FALSE))</f>
        <v>http://www.ninis2.nisra.gov.uk/public/SearchResults.aspx?sk=LC3604NI;</v>
      </c>
    </row>
    <row r="490" spans="1:7" ht="70" customHeight="1" x14ac:dyDescent="0.3">
      <c r="A490" s="23" t="str">
        <f>IF(ISNA(VLOOKUP((ROW(A492)-15),'List of tables'!$A$4:$H$621,2,FALSE))," ",VLOOKUP((ROW(A492)-15),'List of tables'!$A$4:$H$621,2,FALSE))</f>
        <v>LC3605NI</v>
      </c>
      <c r="B490" s="21" t="str">
        <f>IF(ISNA(VLOOKUP((ROW(B492)-15),'List of tables'!$A$4:$H$621,3,FALSE))," ",VLOOKUP((ROW(B492)-15),'List of tables'!$A$4:$H$621,3,FALSE))</f>
        <v>Economic Activity by Long-Term Health Problem or Disability</v>
      </c>
      <c r="C490" s="21" t="str">
        <f>IF(ISNA(VLOOKUP((ROW(H492)-15),'List of tables'!$A$4:$H$621,8,FALSE))," ",VLOOKUP((ROW(H492)-15),'List of tables'!$A$4:$H$621,8,FALSE))</f>
        <v>All usual residents aged 16 to 74</v>
      </c>
      <c r="D490" s="21" t="str">
        <f>IF(ISNA(VLOOKUP((ROW(D492)-15),'List of tables'!$A$4:$H$621,5,FALSE))," ",VLOOKUP((ROW(D492)-15),'List of tables'!$A$4:$H$621,5,FALSE))</f>
        <v>Small Area, Super Output Area, Electoral Ward, Local Government District, Assembly Area, NUTS3, Education and Library Board, Health and Social Care Trust, Northern Ireland</v>
      </c>
      <c r="E490" s="22" t="str">
        <f t="shared" si="6"/>
        <v>Link to files</v>
      </c>
      <c r="G490" s="18" t="str">
        <f>IF(ISNA(VLOOKUP((ROW(G492)-15),'List of tables'!$A$4:$H$621,6,FALSE))," ",VLOOKUP((ROW(G492)-15),'List of tables'!$A$4:$H$621,6,FALSE))</f>
        <v>http://www.ninis2.nisra.gov.uk/public/SearchResults.aspx?sk=LC3605NI;</v>
      </c>
    </row>
    <row r="491" spans="1:7" ht="70" customHeight="1" x14ac:dyDescent="0.3">
      <c r="A491" s="23" t="str">
        <f>IF(ISNA(VLOOKUP((ROW(A493)-15),'List of tables'!$A$4:$H$621,2,FALSE))," ",VLOOKUP((ROW(A493)-15),'List of tables'!$A$4:$H$621,2,FALSE))</f>
        <v>LC3606NI</v>
      </c>
      <c r="B491" s="21" t="str">
        <f>IF(ISNA(VLOOKUP((ROW(B493)-15),'List of tables'!$A$4:$H$621,3,FALSE))," ",VLOOKUP((ROW(B493)-15),'List of tables'!$A$4:$H$621,3,FALSE))</f>
        <v>Provision of Unpaid Care by Hours Worked</v>
      </c>
      <c r="C491" s="21" t="str">
        <f>IF(ISNA(VLOOKUP((ROW(H493)-15),'List of tables'!$A$4:$H$621,8,FALSE))," ",VLOOKUP((ROW(H493)-15),'List of tables'!$A$4:$H$621,8,FALSE))</f>
        <v>All usual residents aged 16 to 74 in employment</v>
      </c>
      <c r="D491" s="21" t="str">
        <f>IF(ISNA(VLOOKUP((ROW(D493)-15),'List of tables'!$A$4:$H$621,5,FALSE))," ",VLOOKUP((ROW(D493)-15),'List of tables'!$A$4:$H$621,5,FALSE))</f>
        <v>Small Area, Super Output Area, Electoral Ward, Local Government District, Assembly Area, NUTS3, Education and Library Board, Health and Social Care Trust, Northern Ireland</v>
      </c>
      <c r="E491" s="22" t="str">
        <f t="shared" si="6"/>
        <v>Link to files</v>
      </c>
      <c r="G491" s="18" t="str">
        <f>IF(ISNA(VLOOKUP((ROW(G493)-15),'List of tables'!$A$4:$H$621,6,FALSE))," ",VLOOKUP((ROW(G493)-15),'List of tables'!$A$4:$H$621,6,FALSE))</f>
        <v>http://www.ninis2.nisra.gov.uk/public/SearchResults.aspx?sk=LC3606NI;</v>
      </c>
    </row>
    <row r="492" spans="1:7" ht="70" customHeight="1" x14ac:dyDescent="0.3">
      <c r="A492" s="23" t="str">
        <f>IF(ISNA(VLOOKUP((ROW(A494)-15),'List of tables'!$A$4:$H$621,2,FALSE))," ",VLOOKUP((ROW(A494)-15),'List of tables'!$A$4:$H$621,2,FALSE))</f>
        <v>LC4101NI</v>
      </c>
      <c r="B492" s="21" t="str">
        <f>IF(ISNA(VLOOKUP((ROW(B494)-15),'List of tables'!$A$4:$H$621,3,FALSE))," ",VLOOKUP((ROW(B494)-15),'List of tables'!$A$4:$H$621,3,FALSE))</f>
        <v>Tenure by Age of HRP</v>
      </c>
      <c r="C492" s="21" t="str">
        <f>IF(ISNA(VLOOKUP((ROW(H494)-15),'List of tables'!$A$4:$H$621,8,FALSE))," ",VLOOKUP((ROW(H494)-15),'List of tables'!$A$4:$H$621,8,FALSE))</f>
        <v>All Household Reference Persons (HRPs)</v>
      </c>
      <c r="D492" s="21" t="str">
        <f>IF(ISNA(VLOOKUP((ROW(D494)-15),'List of tables'!$A$4:$H$621,5,FALSE))," ",VLOOKUP((ROW(D494)-15),'List of tables'!$A$4:$H$621,5,FALSE))</f>
        <v>Small Area, Super Output Area, Electoral Ward, Local Government District, Assembly Area, NUTS3, Education and Library Board, Health and Social Care Trust, Northern Ireland</v>
      </c>
      <c r="E492" s="22" t="str">
        <f t="shared" si="6"/>
        <v>Link to files</v>
      </c>
      <c r="G492" s="18" t="str">
        <f>IF(ISNA(VLOOKUP((ROW(G494)-15),'List of tables'!$A$4:$H$621,6,FALSE))," ",VLOOKUP((ROW(G494)-15),'List of tables'!$A$4:$H$621,6,FALSE))</f>
        <v>http://www.ninis2.nisra.gov.uk/public/SearchResults.aspx?sk=LC4101NI;</v>
      </c>
    </row>
    <row r="493" spans="1:7" ht="70" customHeight="1" x14ac:dyDescent="0.3">
      <c r="A493" s="23" t="str">
        <f>IF(ISNA(VLOOKUP((ROW(A495)-15),'List of tables'!$A$4:$H$621,2,FALSE))," ",VLOOKUP((ROW(A495)-15),'List of tables'!$A$4:$H$621,2,FALSE))</f>
        <v>LC4102NI</v>
      </c>
      <c r="B493" s="21" t="str">
        <f>IF(ISNA(VLOOKUP((ROW(B495)-15),'List of tables'!$A$4:$H$621,3,FALSE))," ",VLOOKUP((ROW(B495)-15),'List of tables'!$A$4:$H$621,3,FALSE))</f>
        <v>Household Composition by Tenure</v>
      </c>
      <c r="C493" s="21" t="str">
        <f>IF(ISNA(VLOOKUP((ROW(H495)-15),'List of tables'!$A$4:$H$621,8,FALSE))," ",VLOOKUP((ROW(H495)-15),'List of tables'!$A$4:$H$621,8,FALSE))</f>
        <v>All households</v>
      </c>
      <c r="D493" s="21" t="str">
        <f>IF(ISNA(VLOOKUP((ROW(D495)-15),'List of tables'!$A$4:$H$621,5,FALSE))," ",VLOOKUP((ROW(D495)-15),'List of tables'!$A$4:$H$621,5,FALSE))</f>
        <v>Small Area, Super Output Area, Electoral Ward, Local Government District, Assembly Area, NUTS3, Education and Library Board, Health and Social Care Trust, Northern Ireland</v>
      </c>
      <c r="E493" s="22" t="str">
        <f t="shared" si="6"/>
        <v>Link to files</v>
      </c>
      <c r="G493" s="18" t="str">
        <f>IF(ISNA(VLOOKUP((ROW(G495)-15),'List of tables'!$A$4:$H$621,6,FALSE))," ",VLOOKUP((ROW(G495)-15),'List of tables'!$A$4:$H$621,6,FALSE))</f>
        <v>http://www.ninis2.nisra.gov.uk/public/SearchResults.aspx?sk=LC4102NI;</v>
      </c>
    </row>
    <row r="494" spans="1:7" ht="70" customHeight="1" x14ac:dyDescent="0.3">
      <c r="A494" s="23" t="str">
        <f>IF(ISNA(VLOOKUP((ROW(A496)-15),'List of tables'!$A$4:$H$621,2,FALSE))," ",VLOOKUP((ROW(A496)-15),'List of tables'!$A$4:$H$621,2,FALSE))</f>
        <v>LC4103NI</v>
      </c>
      <c r="B494" s="21" t="str">
        <f>IF(ISNA(VLOOKUP((ROW(B496)-15),'List of tables'!$A$4:$H$621,3,FALSE))," ",VLOOKUP((ROW(B496)-15),'List of tables'!$A$4:$H$621,3,FALSE))</f>
        <v>Tenure by Age of HRP</v>
      </c>
      <c r="C494" s="21" t="str">
        <f>IF(ISNA(VLOOKUP((ROW(H496)-15),'List of tables'!$A$4:$H$621,8,FALSE))," ",VLOOKUP((ROW(H496)-15),'List of tables'!$A$4:$H$621,8,FALSE))</f>
        <v>All usual residents</v>
      </c>
      <c r="D494" s="21" t="str">
        <f>IF(ISNA(VLOOKUP((ROW(D496)-15),'List of tables'!$A$4:$H$621,5,FALSE))," ",VLOOKUP((ROW(D496)-15),'List of tables'!$A$4:$H$621,5,FALSE))</f>
        <v>Small Area, Super Output Area, Electoral Ward, Local Government District, Assembly Area, NUTS3, Education and Library Board, Health and Social Care Trust, Northern Ireland</v>
      </c>
      <c r="E494" s="22" t="str">
        <f t="shared" si="6"/>
        <v>Link to files</v>
      </c>
      <c r="G494" s="18" t="str">
        <f>IF(ISNA(VLOOKUP((ROW(G496)-15),'List of tables'!$A$4:$H$621,6,FALSE))," ",VLOOKUP((ROW(G496)-15),'List of tables'!$A$4:$H$621,6,FALSE))</f>
        <v>http://www.ninis2.nisra.gov.uk/public/SearchResults.aspx?sk=LC4103NI;</v>
      </c>
    </row>
    <row r="495" spans="1:7" ht="70" customHeight="1" x14ac:dyDescent="0.3">
      <c r="A495" s="23" t="str">
        <f>IF(ISNA(VLOOKUP((ROW(A497)-15),'List of tables'!$A$4:$H$621,2,FALSE))," ",VLOOKUP((ROW(A497)-15),'List of tables'!$A$4:$H$621,2,FALSE))</f>
        <v>LC4104NI</v>
      </c>
      <c r="B495" s="21" t="str">
        <f>IF(ISNA(VLOOKUP((ROW(B497)-15),'List of tables'!$A$4:$H$621,3,FALSE))," ",VLOOKUP((ROW(B497)-15),'List of tables'!$A$4:$H$621,3,FALSE))</f>
        <v>Household Composition by Number of Cars or Vans Available</v>
      </c>
      <c r="C495" s="21" t="str">
        <f>IF(ISNA(VLOOKUP((ROW(H497)-15),'List of tables'!$A$4:$H$621,8,FALSE))," ",VLOOKUP((ROW(H497)-15),'List of tables'!$A$4:$H$621,8,FALSE))</f>
        <v>All households</v>
      </c>
      <c r="D495" s="21" t="str">
        <f>IF(ISNA(VLOOKUP((ROW(D497)-15),'List of tables'!$A$4:$H$621,5,FALSE))," ",VLOOKUP((ROW(D497)-15),'List of tables'!$A$4:$H$621,5,FALSE))</f>
        <v>Small Area, Super Output Area, Electoral Ward, Local Government District, Assembly Area, NUTS3, Education and Library Board, Health and Social Care Trust, Northern Ireland</v>
      </c>
      <c r="E495" s="22" t="str">
        <f t="shared" si="6"/>
        <v>Link to files</v>
      </c>
      <c r="G495" s="18" t="str">
        <f>IF(ISNA(VLOOKUP((ROW(G497)-15),'List of tables'!$A$4:$H$621,6,FALSE))," ",VLOOKUP((ROW(G497)-15),'List of tables'!$A$4:$H$621,6,FALSE))</f>
        <v>http://www.ninis2.nisra.gov.uk/public/SearchResults.aspx?sk=LC4104NI;</v>
      </c>
    </row>
    <row r="496" spans="1:7" ht="70" customHeight="1" x14ac:dyDescent="0.3">
      <c r="A496" s="23" t="str">
        <f>IF(ISNA(VLOOKUP((ROW(A498)-15),'List of tables'!$A$4:$H$621,2,FALSE))," ",VLOOKUP((ROW(A498)-15),'List of tables'!$A$4:$H$621,2,FALSE))</f>
        <v>LC4301NI</v>
      </c>
      <c r="B496" s="21" t="str">
        <f>IF(ISNA(VLOOKUP((ROW(B498)-15),'List of tables'!$A$4:$H$621,3,FALSE))," ",VLOOKUP((ROW(B498)-15),'List of tables'!$A$4:$H$621,3,FALSE))</f>
        <v>Tenure by General Health</v>
      </c>
      <c r="C496" s="21" t="str">
        <f>IF(ISNA(VLOOKUP((ROW(H498)-15),'List of tables'!$A$4:$H$621,8,FALSE))," ",VLOOKUP((ROW(H498)-15),'List of tables'!$A$4:$H$621,8,FALSE))</f>
        <v>All usual residents in households</v>
      </c>
      <c r="D496" s="21" t="str">
        <f>IF(ISNA(VLOOKUP((ROW(D498)-15),'List of tables'!$A$4:$H$621,5,FALSE))," ",VLOOKUP((ROW(D498)-15),'List of tables'!$A$4:$H$621,5,FALSE))</f>
        <v>Small Area, Super Output Area, Electoral Ward, Local Government District, Assembly Area, NUTS3, Education and Library Board, Health and Social Care Trust, Northern Ireland</v>
      </c>
      <c r="E496" s="22" t="str">
        <f t="shared" si="6"/>
        <v>Link to files</v>
      </c>
      <c r="G496" s="18" t="str">
        <f>IF(ISNA(VLOOKUP((ROW(G498)-15),'List of tables'!$A$4:$H$621,6,FALSE))," ",VLOOKUP((ROW(G498)-15),'List of tables'!$A$4:$H$621,6,FALSE))</f>
        <v>http://www.ninis2.nisra.gov.uk/public/SearchResults.aspx?sk=LC4301NI;</v>
      </c>
    </row>
    <row r="497" spans="1:7" ht="70" customHeight="1" x14ac:dyDescent="0.3">
      <c r="A497" s="23" t="str">
        <f>IF(ISNA(VLOOKUP((ROW(A499)-15),'List of tables'!$A$4:$H$621,2,FALSE))," ",VLOOKUP((ROW(A499)-15),'List of tables'!$A$4:$H$621,2,FALSE))</f>
        <v>LC4302NI</v>
      </c>
      <c r="B497" s="21" t="str">
        <f>IF(ISNA(VLOOKUP((ROW(B499)-15),'List of tables'!$A$4:$H$621,3,FALSE))," ",VLOOKUP((ROW(B499)-15),'List of tables'!$A$4:$H$621,3,FALSE))</f>
        <v>Tenure by Long-Term Health Problem or Disability</v>
      </c>
      <c r="C497" s="21" t="str">
        <f>IF(ISNA(VLOOKUP((ROW(H499)-15),'List of tables'!$A$4:$H$621,8,FALSE))," ",VLOOKUP((ROW(H499)-15),'List of tables'!$A$4:$H$621,8,FALSE))</f>
        <v>All usual residents in households</v>
      </c>
      <c r="D497" s="21" t="str">
        <f>IF(ISNA(VLOOKUP((ROW(D499)-15),'List of tables'!$A$4:$H$621,5,FALSE))," ",VLOOKUP((ROW(D499)-15),'List of tables'!$A$4:$H$621,5,FALSE))</f>
        <v>Small Area, Super Output Area, Electoral Ward, Local Government District, Assembly Area, NUTS3, Education and Library Board, Health and Social Care Trust, Northern Ireland</v>
      </c>
      <c r="E497" s="22" t="str">
        <f t="shared" si="6"/>
        <v>Link to files</v>
      </c>
      <c r="G497" s="18" t="str">
        <f>IF(ISNA(VLOOKUP((ROW(G499)-15),'List of tables'!$A$4:$H$621,6,FALSE))," ",VLOOKUP((ROW(G499)-15),'List of tables'!$A$4:$H$621,6,FALSE))</f>
        <v>http://www.ninis2.nisra.gov.uk/public/SearchResults.aspx?sk=LC4302NI;</v>
      </c>
    </row>
    <row r="498" spans="1:7" ht="70" customHeight="1" x14ac:dyDescent="0.3">
      <c r="A498" s="23" t="str">
        <f>IF(ISNA(VLOOKUP((ROW(A500)-15),'List of tables'!$A$4:$H$621,2,FALSE))," ",VLOOKUP((ROW(A500)-15),'List of tables'!$A$4:$H$621,2,FALSE))</f>
        <v>LC4401NI</v>
      </c>
      <c r="B498" s="21" t="str">
        <f>IF(ISNA(VLOOKUP((ROW(B500)-15),'List of tables'!$A$4:$H$621,3,FALSE))," ",VLOOKUP((ROW(B500)-15),'List of tables'!$A$4:$H$621,3,FALSE))</f>
        <v>Tenure by Car or Van Availability by Number of Usual Residents Aged 17 or Over in the Household</v>
      </c>
      <c r="C498" s="21" t="str">
        <f>IF(ISNA(VLOOKUP((ROW(H500)-15),'List of tables'!$A$4:$H$621,8,FALSE))," ",VLOOKUP((ROW(H500)-15),'List of tables'!$A$4:$H$621,8,FALSE))</f>
        <v>All households</v>
      </c>
      <c r="D498" s="21" t="str">
        <f>IF(ISNA(VLOOKUP((ROW(D500)-15),'List of tables'!$A$4:$H$621,5,FALSE))," ",VLOOKUP((ROW(D500)-15),'List of tables'!$A$4:$H$621,5,FALSE))</f>
        <v>Small Area, Super Output Area, Electoral Ward, Local Government District, Assembly Area, NUTS3, Education and Library Board, Health and Social Care Trust, Northern Ireland</v>
      </c>
      <c r="E498" s="22" t="str">
        <f t="shared" si="6"/>
        <v>Link to files</v>
      </c>
      <c r="G498" s="18" t="str">
        <f>IF(ISNA(VLOOKUP((ROW(G500)-15),'List of tables'!$A$4:$H$621,6,FALSE))," ",VLOOKUP((ROW(G500)-15),'List of tables'!$A$4:$H$621,6,FALSE))</f>
        <v>http://www.ninis2.nisra.gov.uk/public/SearchResults.aspx?sk=LC4401NI;</v>
      </c>
    </row>
    <row r="499" spans="1:7" ht="70" customHeight="1" x14ac:dyDescent="0.3">
      <c r="A499" s="23" t="str">
        <f>IF(ISNA(VLOOKUP((ROW(A501)-15),'List of tables'!$A$4:$H$621,2,FALSE))," ",VLOOKUP((ROW(A501)-15),'List of tables'!$A$4:$H$621,2,FALSE))</f>
        <v>LC4402NI</v>
      </c>
      <c r="B499" s="21" t="str">
        <f>IF(ISNA(VLOOKUP((ROW(B501)-15),'List of tables'!$A$4:$H$621,3,FALSE))," ",VLOOKUP((ROW(B501)-15),'List of tables'!$A$4:$H$621,3,FALSE))</f>
        <v>Central Heating by Accommodation Type</v>
      </c>
      <c r="C499" s="21" t="str">
        <f>IF(ISNA(VLOOKUP((ROW(H501)-15),'List of tables'!$A$4:$H$621,8,FALSE))," ",VLOOKUP((ROW(H501)-15),'List of tables'!$A$4:$H$621,8,FALSE))</f>
        <v>All households</v>
      </c>
      <c r="D499" s="21" t="str">
        <f>IF(ISNA(VLOOKUP((ROW(D501)-15),'List of tables'!$A$4:$H$621,5,FALSE))," ",VLOOKUP((ROW(D501)-15),'List of tables'!$A$4:$H$621,5,FALSE))</f>
        <v>Small Area, Super Output Area, Electoral Ward, Local Government District, Assembly Area, NUTS3, Education and Library Board, Health and Social Care Trust, Northern Ireland</v>
      </c>
      <c r="E499" s="22" t="str">
        <f t="shared" si="6"/>
        <v>Link to files</v>
      </c>
      <c r="G499" s="18" t="str">
        <f>IF(ISNA(VLOOKUP((ROW(G501)-15),'List of tables'!$A$4:$H$621,6,FALSE))," ",VLOOKUP((ROW(G501)-15),'List of tables'!$A$4:$H$621,6,FALSE))</f>
        <v>http://www.ninis2.nisra.gov.uk/public/SearchResults.aspx?sk=LC4402NI;</v>
      </c>
    </row>
    <row r="500" spans="1:7" ht="70" customHeight="1" x14ac:dyDescent="0.3">
      <c r="A500" s="23" t="str">
        <f>IF(ISNA(VLOOKUP((ROW(A502)-15),'List of tables'!$A$4:$H$621,2,FALSE))," ",VLOOKUP((ROW(A502)-15),'List of tables'!$A$4:$H$621,2,FALSE))</f>
        <v>LC4403NI</v>
      </c>
      <c r="B500" s="21" t="str">
        <f>IF(ISNA(VLOOKUP((ROW(B502)-15),'List of tables'!$A$4:$H$621,3,FALSE))," ",VLOOKUP((ROW(B502)-15),'List of tables'!$A$4:$H$621,3,FALSE))</f>
        <v>Number of Rooms by Tenure</v>
      </c>
      <c r="C500" s="21" t="str">
        <f>IF(ISNA(VLOOKUP((ROW(H502)-15),'List of tables'!$A$4:$H$621,8,FALSE))," ",VLOOKUP((ROW(H502)-15),'List of tables'!$A$4:$H$621,8,FALSE))</f>
        <v xml:space="preserve">All usual residents in households </v>
      </c>
      <c r="D500" s="21" t="str">
        <f>IF(ISNA(VLOOKUP((ROW(D502)-15),'List of tables'!$A$4:$H$621,5,FALSE))," ",VLOOKUP((ROW(D502)-15),'List of tables'!$A$4:$H$621,5,FALSE))</f>
        <v>Small Area, Super Output Area, Electoral Ward, Local Government District, Assembly Area, NUTS3, Education and Library Board, Health and Social Care Trust, Northern Ireland</v>
      </c>
      <c r="E500" s="22" t="str">
        <f t="shared" si="6"/>
        <v>Link to files</v>
      </c>
      <c r="G500" s="18" t="str">
        <f>IF(ISNA(VLOOKUP((ROW(G502)-15),'List of tables'!$A$4:$H$621,6,FALSE))," ",VLOOKUP((ROW(G502)-15),'List of tables'!$A$4:$H$621,6,FALSE))</f>
        <v>http://www.ninis2.nisra.gov.uk/public/SearchResults.aspx?sk=LC4403NI;</v>
      </c>
    </row>
    <row r="501" spans="1:7" ht="70" customHeight="1" x14ac:dyDescent="0.3">
      <c r="A501" s="23" t="str">
        <f>IF(ISNA(VLOOKUP((ROW(A503)-15),'List of tables'!$A$4:$H$621,2,FALSE))," ",VLOOKUP((ROW(A503)-15),'List of tables'!$A$4:$H$621,2,FALSE))</f>
        <v>LC4404NI</v>
      </c>
      <c r="B501" s="21" t="str">
        <f>IF(ISNA(VLOOKUP((ROW(B503)-15),'List of tables'!$A$4:$H$621,3,FALSE))," ",VLOOKUP((ROW(B503)-15),'List of tables'!$A$4:$H$621,3,FALSE))</f>
        <v>Tenure by Persons per Room by Accommodation Type</v>
      </c>
      <c r="C501" s="21" t="str">
        <f>IF(ISNA(VLOOKUP((ROW(H503)-15),'List of tables'!$A$4:$H$621,8,FALSE))," ",VLOOKUP((ROW(H503)-15),'List of tables'!$A$4:$H$621,8,FALSE))</f>
        <v>All households</v>
      </c>
      <c r="D501" s="21" t="str">
        <f>IF(ISNA(VLOOKUP((ROW(D503)-15),'List of tables'!$A$4:$H$621,5,FALSE))," ",VLOOKUP((ROW(D503)-15),'List of tables'!$A$4:$H$621,5,FALSE))</f>
        <v>Small Area, Super Output Area, Electoral Ward, Local Government District, Assembly Area, NUTS3, Education and Library Board, Health and Social Care Trust, Northern Ireland</v>
      </c>
      <c r="E501" s="22" t="str">
        <f t="shared" si="6"/>
        <v>Link to files</v>
      </c>
      <c r="G501" s="18" t="str">
        <f>IF(ISNA(VLOOKUP((ROW(G503)-15),'List of tables'!$A$4:$H$621,6,FALSE))," ",VLOOKUP((ROW(G503)-15),'List of tables'!$A$4:$H$621,6,FALSE))</f>
        <v>http://www.ninis2.nisra.gov.uk/public/SearchResults.aspx?sk=LC4404NI;</v>
      </c>
    </row>
    <row r="502" spans="1:7" ht="70" customHeight="1" x14ac:dyDescent="0.3">
      <c r="A502" s="23" t="str">
        <f>IF(ISNA(VLOOKUP((ROW(A504)-15),'List of tables'!$A$4:$H$621,2,FALSE))," ",VLOOKUP((ROW(A504)-15),'List of tables'!$A$4:$H$621,2,FALSE))</f>
        <v>LC4406NI</v>
      </c>
      <c r="B502" s="21" t="str">
        <f>IF(ISNA(VLOOKUP((ROW(B504)-15),'List of tables'!$A$4:$H$621,3,FALSE))," ",VLOOKUP((ROW(B504)-15),'List of tables'!$A$4:$H$621,3,FALSE))</f>
        <v>Accommodation Type by Tenure</v>
      </c>
      <c r="C502" s="21" t="str">
        <f>IF(ISNA(VLOOKUP((ROW(H504)-15),'List of tables'!$A$4:$H$621,8,FALSE))," ",VLOOKUP((ROW(H504)-15),'List of tables'!$A$4:$H$621,8,FALSE))</f>
        <v xml:space="preserve">All usual residents in households </v>
      </c>
      <c r="D502" s="21" t="str">
        <f>IF(ISNA(VLOOKUP((ROW(D504)-15),'List of tables'!$A$4:$H$621,5,FALSE))," ",VLOOKUP((ROW(D504)-15),'List of tables'!$A$4:$H$621,5,FALSE))</f>
        <v>Small Area, Super Output Area, Electoral Ward, Local Government District, Assembly Area, NUTS3, Education and Library Board, Health and Social Care Trust, Northern Ireland</v>
      </c>
      <c r="E502" s="22" t="str">
        <f t="shared" si="6"/>
        <v>Link to files</v>
      </c>
      <c r="G502" s="18" t="str">
        <f>IF(ISNA(VLOOKUP((ROW(G504)-15),'List of tables'!$A$4:$H$621,6,FALSE))," ",VLOOKUP((ROW(G504)-15),'List of tables'!$A$4:$H$621,6,FALSE))</f>
        <v>http://www.ninis2.nisra.gov.uk/public/SearchResults.aspx?sk=LC4406NI;</v>
      </c>
    </row>
    <row r="503" spans="1:7" ht="70" customHeight="1" x14ac:dyDescent="0.3">
      <c r="A503" s="23" t="str">
        <f>IF(ISNA(VLOOKUP((ROW(A505)-15),'List of tables'!$A$4:$H$621,2,FALSE))," ",VLOOKUP((ROW(A505)-15),'List of tables'!$A$4:$H$621,2,FALSE))</f>
        <v>LC4407NI</v>
      </c>
      <c r="B503" s="21" t="str">
        <f>IF(ISNA(VLOOKUP((ROW(B505)-15),'List of tables'!$A$4:$H$621,3,FALSE))," ",VLOOKUP((ROW(B505)-15),'List of tables'!$A$4:$H$621,3,FALSE))</f>
        <v>Central Heating by Tenure</v>
      </c>
      <c r="C503" s="21" t="str">
        <f>IF(ISNA(VLOOKUP((ROW(H505)-15),'List of tables'!$A$4:$H$621,8,FALSE))," ",VLOOKUP((ROW(H505)-15),'List of tables'!$A$4:$H$621,8,FALSE))</f>
        <v>All households</v>
      </c>
      <c r="D503" s="21" t="str">
        <f>IF(ISNA(VLOOKUP((ROW(D505)-15),'List of tables'!$A$4:$H$621,5,FALSE))," ",VLOOKUP((ROW(D505)-15),'List of tables'!$A$4:$H$621,5,FALSE))</f>
        <v>Small Area, Super Output Area, Electoral Ward, Local Government District, Assembly Area, NUTS3, Education and Library Board, Health and Social Care Trust, Northern Ireland</v>
      </c>
      <c r="E503" s="22" t="str">
        <f t="shared" si="6"/>
        <v>Link to files</v>
      </c>
      <c r="G503" s="18" t="str">
        <f>IF(ISNA(VLOOKUP((ROW(G505)-15),'List of tables'!$A$4:$H$621,6,FALSE))," ",VLOOKUP((ROW(G505)-15),'List of tables'!$A$4:$H$621,6,FALSE))</f>
        <v>http://www.ninis2.nisra.gov.uk/public/SearchResults.aspx?sk=LC4407NI;</v>
      </c>
    </row>
    <row r="504" spans="1:7" ht="70" customHeight="1" x14ac:dyDescent="0.3">
      <c r="A504" s="23" t="str">
        <f>IF(ISNA(VLOOKUP((ROW(A506)-15),'List of tables'!$A$4:$H$621,2,FALSE))," ",VLOOKUP((ROW(A506)-15),'List of tables'!$A$4:$H$621,2,FALSE))</f>
        <v>LC4408NI</v>
      </c>
      <c r="B504" s="21" t="str">
        <f>IF(ISNA(VLOOKUP((ROW(B506)-15),'List of tables'!$A$4:$H$621,3,FALSE))," ",VLOOKUP((ROW(B506)-15),'List of tables'!$A$4:$H$621,3,FALSE))</f>
        <v>Household Size by Tenure</v>
      </c>
      <c r="C504" s="21" t="str">
        <f>IF(ISNA(VLOOKUP((ROW(H506)-15),'List of tables'!$A$4:$H$621,8,FALSE))," ",VLOOKUP((ROW(H506)-15),'List of tables'!$A$4:$H$621,8,FALSE))</f>
        <v xml:space="preserve">All households </v>
      </c>
      <c r="D504" s="21" t="str">
        <f>IF(ISNA(VLOOKUP((ROW(D506)-15),'List of tables'!$A$4:$H$621,5,FALSE))," ",VLOOKUP((ROW(D506)-15),'List of tables'!$A$4:$H$621,5,FALSE))</f>
        <v>Small Area, Super Output Area, Electoral Ward, Local Government District, Assembly Area, NUTS3, Education and Library Board, Health and Social Care Trust, Northern Ireland</v>
      </c>
      <c r="E504" s="22" t="str">
        <f t="shared" si="6"/>
        <v>Link to files</v>
      </c>
      <c r="G504" s="18" t="str">
        <f>IF(ISNA(VLOOKUP((ROW(G506)-15),'List of tables'!$A$4:$H$621,6,FALSE))," ",VLOOKUP((ROW(G506)-15),'List of tables'!$A$4:$H$621,6,FALSE))</f>
        <v>http://www.ninis2.nisra.gov.uk/public/SearchResults.aspx?sk=LC4408NI;</v>
      </c>
    </row>
    <row r="505" spans="1:7" ht="70" customHeight="1" x14ac:dyDescent="0.3">
      <c r="A505" s="23" t="str">
        <f>IF(ISNA(VLOOKUP((ROW(A507)-15),'List of tables'!$A$4:$H$621,2,FALSE))," ",VLOOKUP((ROW(A507)-15),'List of tables'!$A$4:$H$621,2,FALSE))</f>
        <v>LC4409NI</v>
      </c>
      <c r="B505" s="21" t="str">
        <f>IF(ISNA(VLOOKUP((ROW(B507)-15),'List of tables'!$A$4:$H$621,3,FALSE))," ",VLOOKUP((ROW(B507)-15),'List of tables'!$A$4:$H$621,3,FALSE))</f>
        <v>Household Size by Number of Rooms</v>
      </c>
      <c r="C505" s="21" t="str">
        <f>IF(ISNA(VLOOKUP((ROW(H507)-15),'List of tables'!$A$4:$H$621,8,FALSE))," ",VLOOKUP((ROW(H507)-15),'List of tables'!$A$4:$H$621,8,FALSE))</f>
        <v>All households</v>
      </c>
      <c r="D505" s="21" t="str">
        <f>IF(ISNA(VLOOKUP((ROW(D507)-15),'List of tables'!$A$4:$H$621,5,FALSE))," ",VLOOKUP((ROW(D507)-15),'List of tables'!$A$4:$H$621,5,FALSE))</f>
        <v>Small Area, Super Output Area, Electoral Ward, Local Government District, Assembly Area, NUTS3, Education and Library Board, Health and Social Care Trust, Northern Ireland</v>
      </c>
      <c r="E505" s="22" t="str">
        <f t="shared" si="6"/>
        <v>Link to files</v>
      </c>
      <c r="G505" s="18" t="str">
        <f>IF(ISNA(VLOOKUP((ROW(G507)-15),'List of tables'!$A$4:$H$621,6,FALSE))," ",VLOOKUP((ROW(G507)-15),'List of tables'!$A$4:$H$621,6,FALSE))</f>
        <v>http://www.ninis2.nisra.gov.uk/public/SearchResults.aspx?sk=LC4409NI;</v>
      </c>
    </row>
    <row r="506" spans="1:7" ht="70" customHeight="1" x14ac:dyDescent="0.3">
      <c r="A506" s="23" t="str">
        <f>IF(ISNA(VLOOKUP((ROW(A508)-15),'List of tables'!$A$4:$H$621,2,FALSE))," ",VLOOKUP((ROW(A508)-15),'List of tables'!$A$4:$H$621,2,FALSE))</f>
        <v>LC4410NI</v>
      </c>
      <c r="B506" s="21" t="str">
        <f>IF(ISNA(VLOOKUP((ROW(B508)-15),'List of tables'!$A$4:$H$621,3,FALSE))," ",VLOOKUP((ROW(B508)-15),'List of tables'!$A$4:$H$621,3,FALSE))</f>
        <v>Accommodation Type by Household Space Type</v>
      </c>
      <c r="C506" s="21" t="str">
        <f>IF(ISNA(VLOOKUP((ROW(H508)-15),'List of tables'!$A$4:$H$621,8,FALSE))," ",VLOOKUP((ROW(H508)-15),'List of tables'!$A$4:$H$621,8,FALSE))</f>
        <v>All household spaces</v>
      </c>
      <c r="D506" s="21" t="str">
        <f>IF(ISNA(VLOOKUP((ROW(D508)-15),'List of tables'!$A$4:$H$621,5,FALSE))," ",VLOOKUP((ROW(D508)-15),'List of tables'!$A$4:$H$621,5,FALSE))</f>
        <v>Small Area, Super Output Area, Electoral Ward, Local Government District, Assembly Area, NUTS3, Education and Library Board, Health and Social Care Trust, Northern Ireland</v>
      </c>
      <c r="E506" s="22" t="str">
        <f t="shared" si="6"/>
        <v>Link to files</v>
      </c>
      <c r="G506" s="18" t="str">
        <f>IF(ISNA(VLOOKUP((ROW(G508)-15),'List of tables'!$A$4:$H$621,6,FALSE))," ",VLOOKUP((ROW(G508)-15),'List of tables'!$A$4:$H$621,6,FALSE))</f>
        <v>http://www.ninis2.nisra.gov.uk/public/SearchResults.aspx?sk=LC4410NI;</v>
      </c>
    </row>
    <row r="507" spans="1:7" ht="70" customHeight="1" x14ac:dyDescent="0.3">
      <c r="A507" s="23" t="str">
        <f>IF(ISNA(VLOOKUP((ROW(A509)-15),'List of tables'!$A$4:$H$621,2,FALSE))," ",VLOOKUP((ROW(A509)-15),'List of tables'!$A$4:$H$621,2,FALSE))</f>
        <v>LC4411NI</v>
      </c>
      <c r="B507" s="21" t="str">
        <f>IF(ISNA(VLOOKUP((ROW(B509)-15),'List of tables'!$A$4:$H$621,3,FALSE))," ",VLOOKUP((ROW(B509)-15),'List of tables'!$A$4:$H$621,3,FALSE))</f>
        <v>Car or Van Availability by Accommodation Type</v>
      </c>
      <c r="C507" s="21" t="str">
        <f>IF(ISNA(VLOOKUP((ROW(H509)-15),'List of tables'!$A$4:$H$621,8,FALSE))," ",VLOOKUP((ROW(H509)-15),'List of tables'!$A$4:$H$621,8,FALSE))</f>
        <v>All households</v>
      </c>
      <c r="D507" s="21" t="str">
        <f>IF(ISNA(VLOOKUP((ROW(D509)-15),'List of tables'!$A$4:$H$621,5,FALSE))," ",VLOOKUP((ROW(D509)-15),'List of tables'!$A$4:$H$621,5,FALSE))</f>
        <v>Small Area, Super Output Area, Electoral Ward, Local Government District, Assembly Area, NUTS3, Education and Library Board, Health and Social Care Trust, Northern Ireland</v>
      </c>
      <c r="E507" s="22" t="str">
        <f t="shared" si="6"/>
        <v>Link to files</v>
      </c>
      <c r="G507" s="18" t="str">
        <f>IF(ISNA(VLOOKUP((ROW(G509)-15),'List of tables'!$A$4:$H$621,6,FALSE))," ",VLOOKUP((ROW(G509)-15),'List of tables'!$A$4:$H$621,6,FALSE))</f>
        <v>http://www.ninis2.nisra.gov.uk/public/SearchResults.aspx?sk=LC4411NI;</v>
      </c>
    </row>
    <row r="508" spans="1:7" ht="70" customHeight="1" x14ac:dyDescent="0.3">
      <c r="A508" s="23" t="str">
        <f>IF(ISNA(VLOOKUP((ROW(A510)-15),'List of tables'!$A$4:$H$621,2,FALSE))," ",VLOOKUP((ROW(A510)-15),'List of tables'!$A$4:$H$621,2,FALSE))</f>
        <v>LC5101NI</v>
      </c>
      <c r="B508" s="21" t="str">
        <f>IF(ISNA(VLOOKUP((ROW(B510)-15),'List of tables'!$A$4:$H$621,3,FALSE))," ",VLOOKUP((ROW(B510)-15),'List of tables'!$A$4:$H$621,3,FALSE))</f>
        <v>Highest Level of Qualification by Age</v>
      </c>
      <c r="C508" s="21" t="str">
        <f>IF(ISNA(VLOOKUP((ROW(H510)-15),'List of tables'!$A$4:$H$621,8,FALSE))," ",VLOOKUP((ROW(H510)-15),'List of tables'!$A$4:$H$621,8,FALSE))</f>
        <v>All usual residents aged 16 and over</v>
      </c>
      <c r="D508" s="21" t="str">
        <f>IF(ISNA(VLOOKUP((ROW(D510)-15),'List of tables'!$A$4:$H$621,5,FALSE))," ",VLOOKUP((ROW(D510)-15),'List of tables'!$A$4:$H$621,5,FALSE))</f>
        <v>Small Area, Super Output Area, Electoral Ward, Local Government District, Assembly Area, NUTS3, Education and Library Board, Health and Social Care Trust, Northern Ireland</v>
      </c>
      <c r="E508" s="22" t="str">
        <f t="shared" si="6"/>
        <v>Link to files</v>
      </c>
      <c r="G508" s="18" t="str">
        <f>IF(ISNA(VLOOKUP((ROW(G510)-15),'List of tables'!$A$4:$H$621,6,FALSE))," ",VLOOKUP((ROW(G510)-15),'List of tables'!$A$4:$H$621,6,FALSE))</f>
        <v>http://www.ninis2.nisra.gov.uk/public/SearchResults.aspx?sk=LC5101NI;</v>
      </c>
    </row>
    <row r="509" spans="1:7" ht="70" customHeight="1" x14ac:dyDescent="0.3">
      <c r="A509" s="23" t="str">
        <f>IF(ISNA(VLOOKUP((ROW(A511)-15),'List of tables'!$A$4:$H$621,2,FALSE))," ",VLOOKUP((ROW(A511)-15),'List of tables'!$A$4:$H$621,2,FALSE))</f>
        <v>LC5102NI</v>
      </c>
      <c r="B509" s="21" t="str">
        <f>IF(ISNA(VLOOKUP((ROW(B511)-15),'List of tables'!$A$4:$H$621,3,FALSE))," ",VLOOKUP((ROW(B511)-15),'List of tables'!$A$4:$H$621,3,FALSE))</f>
        <v>Highest Level of Qualification by Sex</v>
      </c>
      <c r="C509" s="21" t="str">
        <f>IF(ISNA(VLOOKUP((ROW(H511)-15),'List of tables'!$A$4:$H$621,8,FALSE))," ",VLOOKUP((ROW(H511)-15),'List of tables'!$A$4:$H$621,8,FALSE))</f>
        <v>All usual residents aged 16 and over</v>
      </c>
      <c r="D509" s="21" t="str">
        <f>IF(ISNA(VLOOKUP((ROW(D511)-15),'List of tables'!$A$4:$H$621,5,FALSE))," ",VLOOKUP((ROW(D511)-15),'List of tables'!$A$4:$H$621,5,FALSE))</f>
        <v>Small Area, Super Output Area, Electoral Ward, Local Government District, Assembly Area, NUTS3, Education and Library Board, Health and Social Care Trust, Northern Ireland</v>
      </c>
      <c r="E509" s="22" t="str">
        <f t="shared" si="6"/>
        <v>Link to files</v>
      </c>
      <c r="G509" s="18" t="str">
        <f>IF(ISNA(VLOOKUP((ROW(G511)-15),'List of tables'!$A$4:$H$621,6,FALSE))," ",VLOOKUP((ROW(G511)-15),'List of tables'!$A$4:$H$621,6,FALSE))</f>
        <v>http://www.ninis2.nisra.gov.uk/public/SearchResults.aspx?sk=LC5102NI;</v>
      </c>
    </row>
    <row r="510" spans="1:7" ht="70" customHeight="1" x14ac:dyDescent="0.3">
      <c r="A510" s="23" t="str">
        <f>IF(ISNA(VLOOKUP((ROW(A512)-15),'List of tables'!$A$4:$H$621,2,FALSE))," ",VLOOKUP((ROW(A512)-15),'List of tables'!$A$4:$H$621,2,FALSE))</f>
        <v>LC6101NI</v>
      </c>
      <c r="B510" s="21" t="str">
        <f>IF(ISNA(VLOOKUP((ROW(B512)-15),'List of tables'!$A$4:$H$621,3,FALSE))," ",VLOOKUP((ROW(B512)-15),'List of tables'!$A$4:$H$621,3,FALSE))</f>
        <v>Voluntary Work by Age by Sex</v>
      </c>
      <c r="C510" s="21" t="str">
        <f>IF(ISNA(VLOOKUP((ROW(H512)-15),'List of tables'!$A$4:$H$621,8,FALSE))," ",VLOOKUP((ROW(H512)-15),'List of tables'!$A$4:$H$621,8,FALSE))</f>
        <v>All usual residents aged 16 and over</v>
      </c>
      <c r="D510" s="21" t="str">
        <f>IF(ISNA(VLOOKUP((ROW(D512)-15),'List of tables'!$A$4:$H$621,5,FALSE))," ",VLOOKUP((ROW(D512)-15),'List of tables'!$A$4:$H$621,5,FALSE))</f>
        <v>Small Area, Super Output Area, Electoral Ward, Local Government District, Assembly Area, NUTS3, Education and Library Board, Health and Social Care Trust, Northern Ireland</v>
      </c>
      <c r="E510" s="22" t="str">
        <f t="shared" si="6"/>
        <v>Link to files</v>
      </c>
      <c r="G510" s="18" t="str">
        <f>IF(ISNA(VLOOKUP((ROW(G512)-15),'List of tables'!$A$4:$H$621,6,FALSE))," ",VLOOKUP((ROW(G512)-15),'List of tables'!$A$4:$H$621,6,FALSE))</f>
        <v>http://www.ninis2.nisra.gov.uk/public/SearchResults.aspx?sk=LC6101NI;</v>
      </c>
    </row>
    <row r="511" spans="1:7" ht="70" customHeight="1" x14ac:dyDescent="0.3">
      <c r="A511" s="23" t="str">
        <f>IF(ISNA(VLOOKUP((ROW(A513)-15),'List of tables'!$A$4:$H$621,2,FALSE))," ",VLOOKUP((ROW(A513)-15),'List of tables'!$A$4:$H$621,2,FALSE))</f>
        <v>LC6102NI</v>
      </c>
      <c r="B511" s="21" t="str">
        <f>IF(ISNA(VLOOKUP((ROW(B513)-15),'List of tables'!$A$4:$H$621,3,FALSE))," ",VLOOKUP((ROW(B513)-15),'List of tables'!$A$4:$H$621,3,FALSE))</f>
        <v>Industry by Age</v>
      </c>
      <c r="C511" s="21" t="str">
        <f>IF(ISNA(VLOOKUP((ROW(H513)-15),'List of tables'!$A$4:$H$621,8,FALSE))," ",VLOOKUP((ROW(H513)-15),'List of tables'!$A$4:$H$621,8,FALSE))</f>
        <v>All usual residents aged 16 to 74 in employment</v>
      </c>
      <c r="D511" s="21" t="str">
        <f>IF(ISNA(VLOOKUP((ROW(D513)-15),'List of tables'!$A$4:$H$621,5,FALSE))," ",VLOOKUP((ROW(D513)-15),'List of tables'!$A$4:$H$621,5,FALSE))</f>
        <v>Small Area, Super Output Area, Electoral Ward, Local Government District, Assembly Area, NUTS3, Education and Library Board, Health and Social Care Trust, Northern Ireland</v>
      </c>
      <c r="E511" s="22" t="str">
        <f t="shared" si="6"/>
        <v>Link to files</v>
      </c>
      <c r="G511" s="18" t="str">
        <f>IF(ISNA(VLOOKUP((ROW(G513)-15),'List of tables'!$A$4:$H$621,6,FALSE))," ",VLOOKUP((ROW(G513)-15),'List of tables'!$A$4:$H$621,6,FALSE))</f>
        <v>http://www.ninis2.nisra.gov.uk/public/SearchResults.aspx?sk=LC6102NI;</v>
      </c>
    </row>
    <row r="512" spans="1:7" ht="70" customHeight="1" x14ac:dyDescent="0.3">
      <c r="A512" s="23" t="str">
        <f>IF(ISNA(VLOOKUP((ROW(A514)-15),'List of tables'!$A$4:$H$621,2,FALSE))," ",VLOOKUP((ROW(A514)-15),'List of tables'!$A$4:$H$621,2,FALSE))</f>
        <v>LC6103NI</v>
      </c>
      <c r="B512" s="21" t="str">
        <f>IF(ISNA(VLOOKUP((ROW(B514)-15),'List of tables'!$A$4:$H$621,3,FALSE))," ",VLOOKUP((ROW(B514)-15),'List of tables'!$A$4:$H$621,3,FALSE))</f>
        <v>Occupation by Age</v>
      </c>
      <c r="C512" s="21" t="str">
        <f>IF(ISNA(VLOOKUP((ROW(H514)-15),'List of tables'!$A$4:$H$621,8,FALSE))," ",VLOOKUP((ROW(H514)-15),'List of tables'!$A$4:$H$621,8,FALSE))</f>
        <v>All usual residents aged 16 to 74 in employment</v>
      </c>
      <c r="D512" s="21" t="str">
        <f>IF(ISNA(VLOOKUP((ROW(D514)-15),'List of tables'!$A$4:$H$621,5,FALSE))," ",VLOOKUP((ROW(D514)-15),'List of tables'!$A$4:$H$621,5,FALSE))</f>
        <v>Small Area, Super Output Area, Electoral Ward, Local Government District, Assembly Area, NUTS3, Education and Library Board, Health and Social Care Trust, Northern Ireland</v>
      </c>
      <c r="E512" s="22" t="str">
        <f t="shared" si="6"/>
        <v>Link to files</v>
      </c>
      <c r="G512" s="18" t="str">
        <f>IF(ISNA(VLOOKUP((ROW(G514)-15),'List of tables'!$A$4:$H$621,6,FALSE))," ",VLOOKUP((ROW(G514)-15),'List of tables'!$A$4:$H$621,6,FALSE))</f>
        <v>http://www.ninis2.nisra.gov.uk/public/SearchResults.aspx?sk=LC6103NI;</v>
      </c>
    </row>
    <row r="513" spans="1:7" ht="70" customHeight="1" x14ac:dyDescent="0.3">
      <c r="A513" s="23" t="str">
        <f>IF(ISNA(VLOOKUP((ROW(A515)-15),'List of tables'!$A$4:$H$621,2,FALSE))," ",VLOOKUP((ROW(A515)-15),'List of tables'!$A$4:$H$621,2,FALSE))</f>
        <v>LC6104NI</v>
      </c>
      <c r="B513" s="21" t="str">
        <f>IF(ISNA(VLOOKUP((ROW(B515)-15),'List of tables'!$A$4:$H$621,3,FALSE))," ",VLOOKUP((ROW(B515)-15),'List of tables'!$A$4:$H$621,3,FALSE))</f>
        <v>Occupation by Sex</v>
      </c>
      <c r="C513" s="21" t="str">
        <f>IF(ISNA(VLOOKUP((ROW(H515)-15),'List of tables'!$A$4:$H$621,8,FALSE))," ",VLOOKUP((ROW(H515)-15),'List of tables'!$A$4:$H$621,8,FALSE))</f>
        <v>All usual residents aged 16 to 74 in employment</v>
      </c>
      <c r="D513" s="21" t="str">
        <f>IF(ISNA(VLOOKUP((ROW(D515)-15),'List of tables'!$A$4:$H$621,5,FALSE))," ",VLOOKUP((ROW(D515)-15),'List of tables'!$A$4:$H$621,5,FALSE))</f>
        <v>Small Area, Super Output Area, Electoral Ward, Local Government District, Assembly Area, NUTS3, Education and Library Board, Health and Social Care Trust, Northern Ireland</v>
      </c>
      <c r="E513" s="22" t="str">
        <f t="shared" si="6"/>
        <v>Link to files</v>
      </c>
      <c r="G513" s="18" t="str">
        <f>IF(ISNA(VLOOKUP((ROW(G515)-15),'List of tables'!$A$4:$H$621,6,FALSE))," ",VLOOKUP((ROW(G515)-15),'List of tables'!$A$4:$H$621,6,FALSE))</f>
        <v>http://www.ninis2.nisra.gov.uk/public/SearchResults.aspx?sk=LC6104NI;</v>
      </c>
    </row>
    <row r="514" spans="1:7" ht="70" customHeight="1" x14ac:dyDescent="0.3">
      <c r="A514" s="23" t="str">
        <f>IF(ISNA(VLOOKUP((ROW(A516)-15),'List of tables'!$A$4:$H$621,2,FALSE))," ",VLOOKUP((ROW(A516)-15),'List of tables'!$A$4:$H$621,2,FALSE))</f>
        <v>LC6105NI</v>
      </c>
      <c r="B514" s="21" t="str">
        <f>IF(ISNA(VLOOKUP((ROW(B516)-15),'List of tables'!$A$4:$H$621,3,FALSE))," ",VLOOKUP((ROW(B516)-15),'List of tables'!$A$4:$H$621,3,FALSE))</f>
        <v>NS-SeC by Age</v>
      </c>
      <c r="C514" s="21" t="str">
        <f>IF(ISNA(VLOOKUP((ROW(H516)-15),'List of tables'!$A$4:$H$621,8,FALSE))," ",VLOOKUP((ROW(H516)-15),'List of tables'!$A$4:$H$621,8,FALSE))</f>
        <v>All usual residents in households aged 16 to 74</v>
      </c>
      <c r="D514" s="21" t="str">
        <f>IF(ISNA(VLOOKUP((ROW(D516)-15),'List of tables'!$A$4:$H$621,5,FALSE))," ",VLOOKUP((ROW(D516)-15),'List of tables'!$A$4:$H$621,5,FALSE))</f>
        <v>Small Area, Super Output Area, Electoral Ward, Local Government District, Assembly Area, NUTS3, Education and Library Board, Health and Social Care Trust, Northern Ireland</v>
      </c>
      <c r="E514" s="22" t="str">
        <f t="shared" si="6"/>
        <v>Link to files</v>
      </c>
      <c r="G514" s="18" t="str">
        <f>IF(ISNA(VLOOKUP((ROW(G516)-15),'List of tables'!$A$4:$H$621,6,FALSE))," ",VLOOKUP((ROW(G516)-15),'List of tables'!$A$4:$H$621,6,FALSE))</f>
        <v>http://www.ninis2.nisra.gov.uk/public/SearchResults.aspx?sk=LC6105NI;</v>
      </c>
    </row>
    <row r="515" spans="1:7" ht="70" customHeight="1" x14ac:dyDescent="0.3">
      <c r="A515" s="23" t="str">
        <f>IF(ISNA(VLOOKUP((ROW(A517)-15),'List of tables'!$A$4:$H$621,2,FALSE))," ",VLOOKUP((ROW(A517)-15),'List of tables'!$A$4:$H$621,2,FALSE))</f>
        <v>LC6106NI</v>
      </c>
      <c r="B515" s="21" t="str">
        <f>IF(ISNA(VLOOKUP((ROW(B517)-15),'List of tables'!$A$4:$H$621,3,FALSE))," ",VLOOKUP((ROW(B517)-15),'List of tables'!$A$4:$H$621,3,FALSE))</f>
        <v>NS-SeC by Sex</v>
      </c>
      <c r="C515" s="21" t="str">
        <f>IF(ISNA(VLOOKUP((ROW(H517)-15),'List of tables'!$A$4:$H$621,8,FALSE))," ",VLOOKUP((ROW(H517)-15),'List of tables'!$A$4:$H$621,8,FALSE))</f>
        <v>All usual residents in households aged 16 to 74</v>
      </c>
      <c r="D515" s="21" t="str">
        <f>IF(ISNA(VLOOKUP((ROW(D517)-15),'List of tables'!$A$4:$H$621,5,FALSE))," ",VLOOKUP((ROW(D517)-15),'List of tables'!$A$4:$H$621,5,FALSE))</f>
        <v>Small Area, Super Output Area, Electoral Ward, Local Government District, Assembly Area, NUTS3, Education and Library Board, Health and Social Care Trust, Northern Ireland</v>
      </c>
      <c r="E515" s="22" t="str">
        <f t="shared" si="6"/>
        <v>Link to files</v>
      </c>
      <c r="G515" s="18" t="str">
        <f>IF(ISNA(VLOOKUP((ROW(G517)-15),'List of tables'!$A$4:$H$621,6,FALSE))," ",VLOOKUP((ROW(G517)-15),'List of tables'!$A$4:$H$621,6,FALSE))</f>
        <v>http://www.ninis2.nisra.gov.uk/public/SearchResults.aspx?sk=LC6106NI;</v>
      </c>
    </row>
    <row r="516" spans="1:7" ht="70" customHeight="1" x14ac:dyDescent="0.3">
      <c r="A516" s="23" t="str">
        <f>IF(ISNA(VLOOKUP((ROW(A518)-15),'List of tables'!$A$4:$H$621,2,FALSE))," ",VLOOKUP((ROW(A518)-15),'List of tables'!$A$4:$H$621,2,FALSE))</f>
        <v>LC6107NI</v>
      </c>
      <c r="B516" s="21" t="str">
        <f>IF(ISNA(VLOOKUP((ROW(B518)-15),'List of tables'!$A$4:$H$621,3,FALSE))," ",VLOOKUP((ROW(B518)-15),'List of tables'!$A$4:$H$621,3,FALSE))</f>
        <v>Economic Activity by Age</v>
      </c>
      <c r="C516" s="21" t="str">
        <f>IF(ISNA(VLOOKUP((ROW(H518)-15),'List of tables'!$A$4:$H$621,8,FALSE))," ",VLOOKUP((ROW(H518)-15),'List of tables'!$A$4:$H$621,8,FALSE))</f>
        <v>All usual residents aged 16 to 74</v>
      </c>
      <c r="D516" s="21" t="str">
        <f>IF(ISNA(VLOOKUP((ROW(D518)-15),'List of tables'!$A$4:$H$621,5,FALSE))," ",VLOOKUP((ROW(D518)-15),'List of tables'!$A$4:$H$621,5,FALSE))</f>
        <v>Small Area, Super Output Area, Electoral Ward, Local Government District, Assembly Area, NUTS3, Education and Library Board, Health and Social Care Trust, Northern Ireland</v>
      </c>
      <c r="E516" s="22" t="str">
        <f t="shared" si="6"/>
        <v>Link to files</v>
      </c>
      <c r="G516" s="18" t="str">
        <f>IF(ISNA(VLOOKUP((ROW(G518)-15),'List of tables'!$A$4:$H$621,6,FALSE))," ",VLOOKUP((ROW(G518)-15),'List of tables'!$A$4:$H$621,6,FALSE))</f>
        <v>http://www.ninis2.nisra.gov.uk/public/SearchResults.aspx?sk=LC6107NI;</v>
      </c>
    </row>
    <row r="517" spans="1:7" ht="70" customHeight="1" x14ac:dyDescent="0.3">
      <c r="A517" s="23" t="str">
        <f>IF(ISNA(VLOOKUP((ROW(A519)-15),'List of tables'!$A$4:$H$621,2,FALSE))," ",VLOOKUP((ROW(A519)-15),'List of tables'!$A$4:$H$621,2,FALSE))</f>
        <v>LC6108NI</v>
      </c>
      <c r="B517" s="21" t="str">
        <f>IF(ISNA(VLOOKUP((ROW(B519)-15),'List of tables'!$A$4:$H$621,3,FALSE))," ",VLOOKUP((ROW(B519)-15),'List of tables'!$A$4:$H$621,3,FALSE))</f>
        <v>Economic Activity by Sex</v>
      </c>
      <c r="C517" s="21" t="str">
        <f>IF(ISNA(VLOOKUP((ROW(H519)-15),'List of tables'!$A$4:$H$621,8,FALSE))," ",VLOOKUP((ROW(H519)-15),'List of tables'!$A$4:$H$621,8,FALSE))</f>
        <v>All usual residents aged 16 to 74</v>
      </c>
      <c r="D517" s="21" t="str">
        <f>IF(ISNA(VLOOKUP((ROW(D519)-15),'List of tables'!$A$4:$H$621,5,FALSE))," ",VLOOKUP((ROW(D519)-15),'List of tables'!$A$4:$H$621,5,FALSE))</f>
        <v>Small Area, Super Output Area, Electoral Ward, Local Government District, Assembly Area, NUTS3, Education and Library Board, Health and Social Care Trust, Northern Ireland</v>
      </c>
      <c r="E517" s="22" t="str">
        <f t="shared" si="6"/>
        <v>Link to files</v>
      </c>
      <c r="G517" s="18" t="str">
        <f>IF(ISNA(VLOOKUP((ROW(G519)-15),'List of tables'!$A$4:$H$621,6,FALSE))," ",VLOOKUP((ROW(G519)-15),'List of tables'!$A$4:$H$621,6,FALSE))</f>
        <v>http://www.ninis2.nisra.gov.uk/public/SearchResults.aspx?sk=LC6108NI;</v>
      </c>
    </row>
    <row r="518" spans="1:7" ht="70" customHeight="1" x14ac:dyDescent="0.3">
      <c r="A518" s="23" t="str">
        <f>IF(ISNA(VLOOKUP((ROW(A520)-15),'List of tables'!$A$4:$H$621,2,FALSE))," ",VLOOKUP((ROW(A520)-15),'List of tables'!$A$4:$H$621,2,FALSE))</f>
        <v>LC6109NI</v>
      </c>
      <c r="B518" s="21" t="str">
        <f>IF(ISNA(VLOOKUP((ROW(B520)-15),'List of tables'!$A$4:$H$621,3,FALSE))," ",VLOOKUP((ROW(B520)-15),'List of tables'!$A$4:$H$621,3,FALSE))</f>
        <v>Hours Worked by Age</v>
      </c>
      <c r="C518" s="21" t="str">
        <f>IF(ISNA(VLOOKUP((ROW(H520)-15),'List of tables'!$A$4:$H$621,8,FALSE))," ",VLOOKUP((ROW(H520)-15),'List of tables'!$A$4:$H$621,8,FALSE))</f>
        <v>All usual residents aged 16 to 74 in employment</v>
      </c>
      <c r="D518" s="21" t="str">
        <f>IF(ISNA(VLOOKUP((ROW(D520)-15),'List of tables'!$A$4:$H$621,5,FALSE))," ",VLOOKUP((ROW(D520)-15),'List of tables'!$A$4:$H$621,5,FALSE))</f>
        <v>Small Area, Super Output Area, Electoral Ward, Local Government District, Assembly Area, NUTS3, Education and Library Board, Health and Social Care Trust, Northern Ireland</v>
      </c>
      <c r="E518" s="22" t="str">
        <f t="shared" si="6"/>
        <v>Link to files</v>
      </c>
      <c r="G518" s="18" t="str">
        <f>IF(ISNA(VLOOKUP((ROW(G520)-15),'List of tables'!$A$4:$H$621,6,FALSE))," ",VLOOKUP((ROW(G520)-15),'List of tables'!$A$4:$H$621,6,FALSE))</f>
        <v>http://www.ninis2.nisra.gov.uk/public/SearchResults.aspx?sk=LC6109NI;</v>
      </c>
    </row>
    <row r="519" spans="1:7" ht="70" customHeight="1" x14ac:dyDescent="0.3">
      <c r="A519" s="23" t="str">
        <f>IF(ISNA(VLOOKUP((ROW(A521)-15),'List of tables'!$A$4:$H$621,2,FALSE))," ",VLOOKUP((ROW(A521)-15),'List of tables'!$A$4:$H$621,2,FALSE))</f>
        <v>LC6110NI</v>
      </c>
      <c r="B519" s="21" t="str">
        <f>IF(ISNA(VLOOKUP((ROW(B521)-15),'List of tables'!$A$4:$H$621,3,FALSE))," ",VLOOKUP((ROW(B521)-15),'List of tables'!$A$4:$H$621,3,FALSE))</f>
        <v>Hours Worked by Sex</v>
      </c>
      <c r="C519" s="21" t="str">
        <f>IF(ISNA(VLOOKUP((ROW(H521)-15),'List of tables'!$A$4:$H$621,8,FALSE))," ",VLOOKUP((ROW(H521)-15),'List of tables'!$A$4:$H$621,8,FALSE))</f>
        <v>All usual residents aged 16 to 74 in employment</v>
      </c>
      <c r="D519" s="21" t="str">
        <f>IF(ISNA(VLOOKUP((ROW(D521)-15),'List of tables'!$A$4:$H$621,5,FALSE))," ",VLOOKUP((ROW(D521)-15),'List of tables'!$A$4:$H$621,5,FALSE))</f>
        <v>Small Area, Super Output Area, Electoral Ward, Local Government District, Assembly Area, NUTS3, Education and Library Board, Health and Social Care Trust, Northern Ireland</v>
      </c>
      <c r="E519" s="22" t="str">
        <f t="shared" si="6"/>
        <v>Link to files</v>
      </c>
      <c r="G519" s="18" t="str">
        <f>IF(ISNA(VLOOKUP((ROW(G521)-15),'List of tables'!$A$4:$H$621,6,FALSE))," ",VLOOKUP((ROW(G521)-15),'List of tables'!$A$4:$H$621,6,FALSE))</f>
        <v>http://www.ninis2.nisra.gov.uk/public/SearchResults.aspx?sk=LC6110NI;</v>
      </c>
    </row>
    <row r="520" spans="1:7" ht="70" customHeight="1" x14ac:dyDescent="0.3">
      <c r="A520" s="23" t="str">
        <f>IF(ISNA(VLOOKUP((ROW(A522)-15),'List of tables'!$A$4:$H$621,2,FALSE))," ",VLOOKUP((ROW(A522)-15),'List of tables'!$A$4:$H$621,2,FALSE))</f>
        <v>LC6111NI</v>
      </c>
      <c r="B520" s="21" t="str">
        <f>IF(ISNA(VLOOKUP((ROW(B522)-15),'List of tables'!$A$4:$H$621,3,FALSE))," ",VLOOKUP((ROW(B522)-15),'List of tables'!$A$4:$H$621,3,FALSE))</f>
        <v>NS-SeC of HRP by Age</v>
      </c>
      <c r="C520" s="21" t="str">
        <f>IF(ISNA(VLOOKUP((ROW(H522)-15),'List of tables'!$A$4:$H$621,8,FALSE))," ",VLOOKUP((ROW(H522)-15),'List of tables'!$A$4:$H$621,8,FALSE))</f>
        <v>All HRPs aged 16 to 74</v>
      </c>
      <c r="D520" s="21" t="str">
        <f>IF(ISNA(VLOOKUP((ROW(D522)-15),'List of tables'!$A$4:$H$621,5,FALSE))," ",VLOOKUP((ROW(D522)-15),'List of tables'!$A$4:$H$621,5,FALSE))</f>
        <v>Small Area, Super Output Area, Electoral Ward, Local Government District, Assembly Area, NUTS3, Education and Library Board, Health and Social Care Trust, Northern Ireland</v>
      </c>
      <c r="E520" s="22" t="str">
        <f t="shared" si="6"/>
        <v>Link to files</v>
      </c>
      <c r="G520" s="18" t="str">
        <f>IF(ISNA(VLOOKUP((ROW(G522)-15),'List of tables'!$A$4:$H$621,6,FALSE))," ",VLOOKUP((ROW(G522)-15),'List of tables'!$A$4:$H$621,6,FALSE))</f>
        <v>http://www.ninis2.nisra.gov.uk/public/SearchResults.aspx?sk=LC6111NI;</v>
      </c>
    </row>
    <row r="521" spans="1:7" ht="70" customHeight="1" x14ac:dyDescent="0.3">
      <c r="A521" s="23" t="str">
        <f>IF(ISNA(VLOOKUP((ROW(A523)-15),'List of tables'!$A$4:$H$621,2,FALSE))," ",VLOOKUP((ROW(A523)-15),'List of tables'!$A$4:$H$621,2,FALSE))</f>
        <v>LC6112NI</v>
      </c>
      <c r="B521" s="21" t="str">
        <f>IF(ISNA(VLOOKUP((ROW(B523)-15),'List of tables'!$A$4:$H$621,3,FALSE))," ",VLOOKUP((ROW(B523)-15),'List of tables'!$A$4:$H$621,3,FALSE))</f>
        <v>NS-SeC of HRP by Sex</v>
      </c>
      <c r="C521" s="21" t="str">
        <f>IF(ISNA(VLOOKUP((ROW(H523)-15),'List of tables'!$A$4:$H$621,8,FALSE))," ",VLOOKUP((ROW(H523)-15),'List of tables'!$A$4:$H$621,8,FALSE))</f>
        <v>All HRPs aged 16 to 74</v>
      </c>
      <c r="D521" s="21" t="str">
        <f>IF(ISNA(VLOOKUP((ROW(D523)-15),'List of tables'!$A$4:$H$621,5,FALSE))," ",VLOOKUP((ROW(D523)-15),'List of tables'!$A$4:$H$621,5,FALSE))</f>
        <v>Small Area, Super Output Area, Electoral Ward, Local Government District, Assembly Area, NUTS3, Education and Library Board, Health and Social Care Trust, Northern Ireland</v>
      </c>
      <c r="E521" s="22" t="str">
        <f t="shared" si="6"/>
        <v>Link to files</v>
      </c>
      <c r="G521" s="18" t="str">
        <f>IF(ISNA(VLOOKUP((ROW(G523)-15),'List of tables'!$A$4:$H$621,6,FALSE))," ",VLOOKUP((ROW(G523)-15),'List of tables'!$A$4:$H$621,6,FALSE))</f>
        <v>http://www.ninis2.nisra.gov.uk/public/SearchResults.aspx?sk=LC6112NI;</v>
      </c>
    </row>
    <row r="522" spans="1:7" ht="70" customHeight="1" x14ac:dyDescent="0.3">
      <c r="A522" s="23" t="str">
        <f>IF(ISNA(VLOOKUP((ROW(A524)-15),'List of tables'!$A$4:$H$621,2,FALSE))," ",VLOOKUP((ROW(A524)-15),'List of tables'!$A$4:$H$621,2,FALSE))</f>
        <v>LC6113NI</v>
      </c>
      <c r="B522" s="21" t="str">
        <f>IF(ISNA(VLOOKUP((ROW(B524)-15),'List of tables'!$A$4:$H$621,3,FALSE))," ",VLOOKUP((ROW(B524)-15),'List of tables'!$A$4:$H$621,3,FALSE))</f>
        <v>Economic Activity by Living Arrangements</v>
      </c>
      <c r="C522" s="21" t="str">
        <f>IF(ISNA(VLOOKUP((ROW(H524)-15),'List of tables'!$A$4:$H$621,8,FALSE))," ",VLOOKUP((ROW(H524)-15),'List of tables'!$A$4:$H$621,8,FALSE))</f>
        <v>All usual residents aged 16 to 74</v>
      </c>
      <c r="D522" s="21" t="str">
        <f>IF(ISNA(VLOOKUP((ROW(D524)-15),'List of tables'!$A$4:$H$621,5,FALSE))," ",VLOOKUP((ROW(D524)-15),'List of tables'!$A$4:$H$621,5,FALSE))</f>
        <v>Small Area, Super Output Area, Electoral Ward, Local Government District, Assembly Area, NUTS3, Education and Library Board, Health and Social Care Trust, Northern Ireland</v>
      </c>
      <c r="E522" s="22" t="str">
        <f t="shared" si="6"/>
        <v>Link to files</v>
      </c>
      <c r="G522" s="18" t="str">
        <f>IF(ISNA(VLOOKUP((ROW(G524)-15),'List of tables'!$A$4:$H$621,6,FALSE))," ",VLOOKUP((ROW(G524)-15),'List of tables'!$A$4:$H$621,6,FALSE))</f>
        <v>http://www.ninis2.nisra.gov.uk/public/SearchResults.aspx?sk=LC6113NI;</v>
      </c>
    </row>
    <row r="523" spans="1:7" ht="70" customHeight="1" x14ac:dyDescent="0.3">
      <c r="A523" s="23" t="str">
        <f>IF(ISNA(VLOOKUP((ROW(A525)-15),'List of tables'!$A$4:$H$621,2,FALSE))," ",VLOOKUP((ROW(A525)-15),'List of tables'!$A$4:$H$621,2,FALSE))</f>
        <v>LC6114NI</v>
      </c>
      <c r="B523" s="21" t="str">
        <f>IF(ISNA(VLOOKUP((ROW(B525)-15),'List of tables'!$A$4:$H$621,3,FALSE))," ",VLOOKUP((ROW(B525)-15),'List of tables'!$A$4:$H$621,3,FALSE))</f>
        <v>Approximated Social Grade by Age by Sex</v>
      </c>
      <c r="C523" s="21" t="str">
        <f>IF(ISNA(VLOOKUP((ROW(H525)-15),'List of tables'!$A$4:$H$621,8,FALSE))," ",VLOOKUP((ROW(H525)-15),'List of tables'!$A$4:$H$621,8,FALSE))</f>
        <v>All usual residents aged 16 to 64 in households</v>
      </c>
      <c r="D523" s="21" t="str">
        <f>IF(ISNA(VLOOKUP((ROW(D525)-15),'List of tables'!$A$4:$H$621,5,FALSE))," ",VLOOKUP((ROW(D525)-15),'List of tables'!$A$4:$H$621,5,FALSE))</f>
        <v>Small Area, Super Output Area, Electoral Ward, Local Government District, Assembly Area, NUTS3, Education and Library Board, Health and Social Care Trust, Northern Ireland</v>
      </c>
      <c r="E523" s="22" t="str">
        <f t="shared" si="6"/>
        <v>Link to files</v>
      </c>
      <c r="G523" s="18" t="str">
        <f>IF(ISNA(VLOOKUP((ROW(G525)-15),'List of tables'!$A$4:$H$621,6,FALSE))," ",VLOOKUP((ROW(G525)-15),'List of tables'!$A$4:$H$621,6,FALSE))</f>
        <v>http://www.ninis2.nisra.gov.uk/public/SearchResults.aspx?sk=LC6114NI;</v>
      </c>
    </row>
    <row r="524" spans="1:7" ht="70" customHeight="1" x14ac:dyDescent="0.3">
      <c r="A524" s="23" t="str">
        <f>IF(ISNA(VLOOKUP((ROW(A526)-15),'List of tables'!$A$4:$H$621,2,FALSE))," ",VLOOKUP((ROW(A526)-15),'List of tables'!$A$4:$H$621,2,FALSE))</f>
        <v>LC6115NI</v>
      </c>
      <c r="B524" s="21" t="str">
        <f>IF(ISNA(VLOOKUP((ROW(B526)-15),'List of tables'!$A$4:$H$621,3,FALSE))," ",VLOOKUP((ROW(B526)-15),'List of tables'!$A$4:$H$621,3,FALSE))</f>
        <v>Approximated Social Grade by Adult Lifestage (Alternative Adult Definition)</v>
      </c>
      <c r="C524" s="21" t="str">
        <f>IF(ISNA(VLOOKUP((ROW(H526)-15),'List of tables'!$A$4:$H$621,8,FALSE))," ",VLOOKUP((ROW(H526)-15),'List of tables'!$A$4:$H$621,8,FALSE))</f>
        <v>All usual residents aged 16 to 64 in households</v>
      </c>
      <c r="D524" s="21" t="str">
        <f>IF(ISNA(VLOOKUP((ROW(D526)-15),'List of tables'!$A$4:$H$621,5,FALSE))," ",VLOOKUP((ROW(D526)-15),'List of tables'!$A$4:$H$621,5,FALSE))</f>
        <v>Small Area, Super Output Area, Electoral Ward, Local Government District, Assembly Area, NUTS3, Education and Library Board, Health and Social Care Trust, Northern Ireland</v>
      </c>
      <c r="E524" s="22" t="str">
        <f t="shared" si="6"/>
        <v>Link to files</v>
      </c>
      <c r="G524" s="18" t="str">
        <f>IF(ISNA(VLOOKUP((ROW(G526)-15),'List of tables'!$A$4:$H$621,6,FALSE))," ",VLOOKUP((ROW(G526)-15),'List of tables'!$A$4:$H$621,6,FALSE))</f>
        <v>http://www.ninis2.nisra.gov.uk/public/SearchResults.aspx?sk=LC6115NI;</v>
      </c>
    </row>
    <row r="525" spans="1:7" ht="70" customHeight="1" x14ac:dyDescent="0.3">
      <c r="A525" s="23" t="str">
        <f>IF(ISNA(VLOOKUP((ROW(A527)-15),'List of tables'!$A$4:$H$621,2,FALSE))," ",VLOOKUP((ROW(A527)-15),'List of tables'!$A$4:$H$621,2,FALSE))</f>
        <v>LC6301NI</v>
      </c>
      <c r="B525" s="21" t="str">
        <f>IF(ISNA(VLOOKUP((ROW(B527)-15),'List of tables'!$A$4:$H$621,3,FALSE))," ",VLOOKUP((ROW(B527)-15),'List of tables'!$A$4:$H$621,3,FALSE))</f>
        <v>Provision of Unpaid Care by Voluntary Work</v>
      </c>
      <c r="C525" s="21" t="str">
        <f>IF(ISNA(VLOOKUP((ROW(H527)-15),'List of tables'!$A$4:$H$621,8,FALSE))," ",VLOOKUP((ROW(H527)-15),'List of tables'!$A$4:$H$621,8,FALSE))</f>
        <v>All usual residents aged 16 and over</v>
      </c>
      <c r="D525" s="21" t="str">
        <f>IF(ISNA(VLOOKUP((ROW(D527)-15),'List of tables'!$A$4:$H$621,5,FALSE))," ",VLOOKUP((ROW(D527)-15),'List of tables'!$A$4:$H$621,5,FALSE))</f>
        <v>Small Area, Super Output Area, Electoral Ward, Local Government District, Assembly Area, NUTS3, Education and Library Board, Health and Social Care Trust, Northern Ireland</v>
      </c>
      <c r="E525" s="22" t="str">
        <f t="shared" si="6"/>
        <v>Link to files</v>
      </c>
      <c r="G525" s="18" t="str">
        <f>IF(ISNA(VLOOKUP((ROW(G527)-15),'List of tables'!$A$4:$H$621,6,FALSE))," ",VLOOKUP((ROW(G527)-15),'List of tables'!$A$4:$H$621,6,FALSE))</f>
        <v>http://www.ninis2.nisra.gov.uk/public/SearchResults.aspx?sk=LC6301NI;</v>
      </c>
    </row>
    <row r="526" spans="1:7" ht="70" customHeight="1" x14ac:dyDescent="0.3">
      <c r="A526" s="23" t="str">
        <f>IF(ISNA(VLOOKUP((ROW(A528)-15),'List of tables'!$A$4:$H$621,2,FALSE))," ",VLOOKUP((ROW(A528)-15),'List of tables'!$A$4:$H$621,2,FALSE))</f>
        <v>LC6302NI</v>
      </c>
      <c r="B526" s="21" t="str">
        <f>IF(ISNA(VLOOKUP((ROW(B528)-15),'List of tables'!$A$4:$H$621,3,FALSE))," ",VLOOKUP((ROW(B528)-15),'List of tables'!$A$4:$H$621,3,FALSE))</f>
        <v>Long-Term Health Problem or Disability by Voluntary Work</v>
      </c>
      <c r="C526" s="21" t="str">
        <f>IF(ISNA(VLOOKUP((ROW(H528)-15),'List of tables'!$A$4:$H$621,8,FALSE))," ",VLOOKUP((ROW(H528)-15),'List of tables'!$A$4:$H$621,8,FALSE))</f>
        <v>All usual residents aged 16 and over</v>
      </c>
      <c r="D526" s="21" t="str">
        <f>IF(ISNA(VLOOKUP((ROW(D528)-15),'List of tables'!$A$4:$H$621,5,FALSE))," ",VLOOKUP((ROW(D528)-15),'List of tables'!$A$4:$H$621,5,FALSE))</f>
        <v>Small Area, Super Output Area, Electoral Ward, Local Government District, Assembly Area, NUTS3, Education and Library Board, Health and Social Care Trust, Northern Ireland</v>
      </c>
      <c r="E526" s="22" t="str">
        <f t="shared" si="6"/>
        <v>Link to files</v>
      </c>
      <c r="G526" s="18" t="str">
        <f>IF(ISNA(VLOOKUP((ROW(G528)-15),'List of tables'!$A$4:$H$621,6,FALSE))," ",VLOOKUP((ROW(G528)-15),'List of tables'!$A$4:$H$621,6,FALSE))</f>
        <v>http://www.ninis2.nisra.gov.uk/public/SearchResults.aspx?sk=LC6302NI;</v>
      </c>
    </row>
    <row r="527" spans="1:7" ht="70" customHeight="1" x14ac:dyDescent="0.3">
      <c r="A527" s="23" t="str">
        <f>IF(ISNA(VLOOKUP((ROW(A529)-15),'List of tables'!$A$4:$H$621,2,FALSE))," ",VLOOKUP((ROW(A529)-15),'List of tables'!$A$4:$H$621,2,FALSE))</f>
        <v>LC6303NI</v>
      </c>
      <c r="B527" s="21" t="str">
        <f>IF(ISNA(VLOOKUP((ROW(B529)-15),'List of tables'!$A$4:$H$621,3,FALSE))," ",VLOOKUP((ROW(B529)-15),'List of tables'!$A$4:$H$621,3,FALSE))</f>
        <v>General Health by Voluntary Work</v>
      </c>
      <c r="C527" s="21" t="str">
        <f>IF(ISNA(VLOOKUP((ROW(H529)-15),'List of tables'!$A$4:$H$621,8,FALSE))," ",VLOOKUP((ROW(H529)-15),'List of tables'!$A$4:$H$621,8,FALSE))</f>
        <v>All usual residents aged 16 and over</v>
      </c>
      <c r="D527" s="21" t="str">
        <f>IF(ISNA(VLOOKUP((ROW(D529)-15),'List of tables'!$A$4:$H$621,5,FALSE))," ",VLOOKUP((ROW(D529)-15),'List of tables'!$A$4:$H$621,5,FALSE))</f>
        <v>Small Area, Super Output Area, Electoral Ward, Local Government District, Assembly Area, NUTS3, Education and Library Board, Health and Social Care Trust, Northern Ireland</v>
      </c>
      <c r="E527" s="22" t="str">
        <f t="shared" ref="E527:E590" si="7">IF(LEN(G527)&lt;10,"",HYPERLINK(G527,"Link to files"))</f>
        <v>Link to files</v>
      </c>
      <c r="G527" s="18" t="str">
        <f>IF(ISNA(VLOOKUP((ROW(G529)-15),'List of tables'!$A$4:$H$621,6,FALSE))," ",VLOOKUP((ROW(G529)-15),'List of tables'!$A$4:$H$621,6,FALSE))</f>
        <v>http://www.ninis2.nisra.gov.uk/public/SearchResults.aspx?sk=LC6303NI;</v>
      </c>
    </row>
    <row r="528" spans="1:7" ht="70" customHeight="1" x14ac:dyDescent="0.3">
      <c r="A528" s="23" t="str">
        <f>IF(ISNA(VLOOKUP((ROW(A530)-15),'List of tables'!$A$4:$H$621,2,FALSE))," ",VLOOKUP((ROW(A530)-15),'List of tables'!$A$4:$H$621,2,FALSE))</f>
        <v>LC6401NI</v>
      </c>
      <c r="B528" s="21" t="str">
        <f>IF(ISNA(VLOOKUP((ROW(B530)-15),'List of tables'!$A$4:$H$621,3,FALSE))," ",VLOOKUP((ROW(B530)-15),'List of tables'!$A$4:$H$621,3,FALSE))</f>
        <v>NS-SeC by Tenure</v>
      </c>
      <c r="C528" s="21" t="str">
        <f>IF(ISNA(VLOOKUP((ROW(H530)-15),'List of tables'!$A$4:$H$621,8,FALSE))," ",VLOOKUP((ROW(H530)-15),'List of tables'!$A$4:$H$621,8,FALSE))</f>
        <v>All usual residents in households aged 16 to 74</v>
      </c>
      <c r="D528" s="21" t="str">
        <f>IF(ISNA(VLOOKUP((ROW(D530)-15),'List of tables'!$A$4:$H$621,5,FALSE))," ",VLOOKUP((ROW(D530)-15),'List of tables'!$A$4:$H$621,5,FALSE))</f>
        <v>Small Area, Super Output Area, Electoral Ward, Local Government District, Assembly Area, NUTS3, Education and Library Board, Health and Social Care Trust, Northern Ireland</v>
      </c>
      <c r="E528" s="22" t="str">
        <f t="shared" si="7"/>
        <v>Link to files</v>
      </c>
      <c r="G528" s="18" t="str">
        <f>IF(ISNA(VLOOKUP((ROW(G530)-15),'List of tables'!$A$4:$H$621,6,FALSE))," ",VLOOKUP((ROW(G530)-15),'List of tables'!$A$4:$H$621,6,FALSE))</f>
        <v>http://www.ninis2.nisra.gov.uk/public/SearchResults.aspx?sk=LC6401NI;</v>
      </c>
    </row>
    <row r="529" spans="1:7" ht="70" customHeight="1" x14ac:dyDescent="0.3">
      <c r="A529" s="23" t="str">
        <f>IF(ISNA(VLOOKUP((ROW(A531)-15),'List of tables'!$A$4:$H$621,2,FALSE))," ",VLOOKUP((ROW(A531)-15),'List of tables'!$A$4:$H$621,2,FALSE))</f>
        <v>LC6402NI</v>
      </c>
      <c r="B529" s="21" t="str">
        <f>IF(ISNA(VLOOKUP((ROW(B531)-15),'List of tables'!$A$4:$H$621,3,FALSE))," ",VLOOKUP((ROW(B531)-15),'List of tables'!$A$4:$H$621,3,FALSE))</f>
        <v>Tenure by Economic Activity of HRP</v>
      </c>
      <c r="C529" s="21" t="str">
        <f>IF(ISNA(VLOOKUP((ROW(H531)-15),'List of tables'!$A$4:$H$621,8,FALSE))," ",VLOOKUP((ROW(H531)-15),'List of tables'!$A$4:$H$621,8,FALSE))</f>
        <v xml:space="preserve">All households with Household Reference Person (HRP) aged 16 to 74 </v>
      </c>
      <c r="D529" s="21" t="str">
        <f>IF(ISNA(VLOOKUP((ROW(D531)-15),'List of tables'!$A$4:$H$621,5,FALSE))," ",VLOOKUP((ROW(D531)-15),'List of tables'!$A$4:$H$621,5,FALSE))</f>
        <v>Small Area, Super Output Area, Electoral Ward, Local Government District, Assembly Area, NUTS3, Education and Library Board, Health and Social Care Trust, Northern Ireland</v>
      </c>
      <c r="E529" s="22" t="str">
        <f t="shared" si="7"/>
        <v>Link to files</v>
      </c>
      <c r="G529" s="18" t="str">
        <f>IF(ISNA(VLOOKUP((ROW(G531)-15),'List of tables'!$A$4:$H$621,6,FALSE))," ",VLOOKUP((ROW(G531)-15),'List of tables'!$A$4:$H$621,6,FALSE))</f>
        <v>http://www.ninis2.nisra.gov.uk/public/SearchResults.aspx?sk=LC6402NI;</v>
      </c>
    </row>
    <row r="530" spans="1:7" ht="70" customHeight="1" x14ac:dyDescent="0.3">
      <c r="A530" s="23" t="str">
        <f>IF(ISNA(VLOOKUP((ROW(A532)-15),'List of tables'!$A$4:$H$621,2,FALSE))," ",VLOOKUP((ROW(A532)-15),'List of tables'!$A$4:$H$621,2,FALSE))</f>
        <v>LC6403NI</v>
      </c>
      <c r="B530" s="21" t="str">
        <f>IF(ISNA(VLOOKUP((ROW(B532)-15),'List of tables'!$A$4:$H$621,3,FALSE))," ",VLOOKUP((ROW(B532)-15),'List of tables'!$A$4:$H$621,3,FALSE))</f>
        <v>NS-SeC of HRP by Tenure</v>
      </c>
      <c r="C530" s="21" t="str">
        <f>IF(ISNA(VLOOKUP((ROW(H532)-15),'List of tables'!$A$4:$H$621,8,FALSE))," ",VLOOKUP((ROW(H532)-15),'List of tables'!$A$4:$H$621,8,FALSE))</f>
        <v>All Household Reference Persons (HRPs) aged 16 to 74</v>
      </c>
      <c r="D530" s="21" t="str">
        <f>IF(ISNA(VLOOKUP((ROW(D532)-15),'List of tables'!$A$4:$H$621,5,FALSE))," ",VLOOKUP((ROW(D532)-15),'List of tables'!$A$4:$H$621,5,FALSE))</f>
        <v>Small Area, Super Output Area, Electoral Ward, Local Government District, Assembly Area, NUTS3, Education and Library Board, Health and Social Care Trust, Northern Ireland</v>
      </c>
      <c r="E530" s="22" t="str">
        <f t="shared" si="7"/>
        <v>Link to files</v>
      </c>
      <c r="G530" s="18" t="str">
        <f>IF(ISNA(VLOOKUP((ROW(G532)-15),'List of tables'!$A$4:$H$621,6,FALSE))," ",VLOOKUP((ROW(G532)-15),'List of tables'!$A$4:$H$621,6,FALSE))</f>
        <v>http://www.ninis2.nisra.gov.uk/public/SearchResults.aspx?sk=LC6403NI;</v>
      </c>
    </row>
    <row r="531" spans="1:7" ht="70" customHeight="1" x14ac:dyDescent="0.3">
      <c r="A531" s="23" t="str">
        <f>IF(ISNA(VLOOKUP((ROW(A533)-15),'List of tables'!$A$4:$H$621,2,FALSE))," ",VLOOKUP((ROW(A533)-15),'List of tables'!$A$4:$H$621,2,FALSE))</f>
        <v>LC6501NI</v>
      </c>
      <c r="B531" s="21" t="str">
        <f>IF(ISNA(VLOOKUP((ROW(B533)-15),'List of tables'!$A$4:$H$621,3,FALSE))," ",VLOOKUP((ROW(B533)-15),'List of tables'!$A$4:$H$621,3,FALSE))</f>
        <v>Highest Level of Qualification by Voluntary Work</v>
      </c>
      <c r="C531" s="21" t="str">
        <f>IF(ISNA(VLOOKUP((ROW(H533)-15),'List of tables'!$A$4:$H$621,8,FALSE))," ",VLOOKUP((ROW(H533)-15),'List of tables'!$A$4:$H$621,8,FALSE))</f>
        <v>All usual residents aged 16 and over</v>
      </c>
      <c r="D531" s="21" t="str">
        <f>IF(ISNA(VLOOKUP((ROW(D533)-15),'List of tables'!$A$4:$H$621,5,FALSE))," ",VLOOKUP((ROW(D533)-15),'List of tables'!$A$4:$H$621,5,FALSE))</f>
        <v>Small Area, Super Output Area, Electoral Ward, Local Government District, Assembly Area, NUTS3, Education and Library Board, Health and Social Care Trust, Northern Ireland</v>
      </c>
      <c r="E531" s="22" t="str">
        <f t="shared" si="7"/>
        <v>Link to files</v>
      </c>
      <c r="G531" s="18" t="str">
        <f>IF(ISNA(VLOOKUP((ROW(G533)-15),'List of tables'!$A$4:$H$621,6,FALSE))," ",VLOOKUP((ROW(G533)-15),'List of tables'!$A$4:$H$621,6,FALSE))</f>
        <v>http://www.ninis2.nisra.gov.uk/public/SearchResults.aspx?sk=LC6501NI;</v>
      </c>
    </row>
    <row r="532" spans="1:7" ht="70" customHeight="1" x14ac:dyDescent="0.3">
      <c r="A532" s="23" t="str">
        <f>IF(ISNA(VLOOKUP((ROW(A534)-15),'List of tables'!$A$4:$H$621,2,FALSE))," ",VLOOKUP((ROW(A534)-15),'List of tables'!$A$4:$H$621,2,FALSE))</f>
        <v>LC6502NI</v>
      </c>
      <c r="B532" s="21" t="str">
        <f>IF(ISNA(VLOOKUP((ROW(B534)-15),'List of tables'!$A$4:$H$621,3,FALSE))," ",VLOOKUP((ROW(B534)-15),'List of tables'!$A$4:$H$621,3,FALSE))</f>
        <v>NS-SeC by Highest Level of Qualification</v>
      </c>
      <c r="C532" s="21" t="str">
        <f>IF(ISNA(VLOOKUP((ROW(H534)-15),'List of tables'!$A$4:$H$621,8,FALSE))," ",VLOOKUP((ROW(H534)-15),'List of tables'!$A$4:$H$621,8,FALSE))</f>
        <v>All usual residents in households aged 16 to 74</v>
      </c>
      <c r="D532" s="21" t="str">
        <f>IF(ISNA(VLOOKUP((ROW(D534)-15),'List of tables'!$A$4:$H$621,5,FALSE))," ",VLOOKUP((ROW(D534)-15),'List of tables'!$A$4:$H$621,5,FALSE))</f>
        <v>Small Area, Super Output Area, Electoral Ward, Local Government District, Assembly Area, NUTS3, Education and Library Board, Health and Social Care Trust, Northern Ireland</v>
      </c>
      <c r="E532" s="22" t="str">
        <f t="shared" si="7"/>
        <v>Link to files</v>
      </c>
      <c r="G532" s="18" t="str">
        <f>IF(ISNA(VLOOKUP((ROW(G534)-15),'List of tables'!$A$4:$H$621,6,FALSE))," ",VLOOKUP((ROW(G534)-15),'List of tables'!$A$4:$H$621,6,FALSE))</f>
        <v>http://www.ninis2.nisra.gov.uk/public/SearchResults.aspx?sk=LC6502NI;</v>
      </c>
    </row>
    <row r="533" spans="1:7" ht="70" customHeight="1" x14ac:dyDescent="0.3">
      <c r="A533" s="23" t="str">
        <f>IF(ISNA(VLOOKUP((ROW(A535)-15),'List of tables'!$A$4:$H$621,2,FALSE))," ",VLOOKUP((ROW(A535)-15),'List of tables'!$A$4:$H$621,2,FALSE))</f>
        <v>LC6503NI</v>
      </c>
      <c r="B533" s="21" t="str">
        <f>IF(ISNA(VLOOKUP((ROW(B535)-15),'List of tables'!$A$4:$H$621,3,FALSE))," ",VLOOKUP((ROW(B535)-15),'List of tables'!$A$4:$H$621,3,FALSE))</f>
        <v>Highest Level of Qualification by Economic Activity by Age</v>
      </c>
      <c r="C533" s="21" t="str">
        <f>IF(ISNA(VLOOKUP((ROW(H535)-15),'List of tables'!$A$4:$H$621,8,FALSE))," ",VLOOKUP((ROW(H535)-15),'List of tables'!$A$4:$H$621,8,FALSE))</f>
        <v>All usual residents aged 16 to 74</v>
      </c>
      <c r="D533" s="21" t="str">
        <f>IF(ISNA(VLOOKUP((ROW(D535)-15),'List of tables'!$A$4:$H$621,5,FALSE))," ",VLOOKUP((ROW(D535)-15),'List of tables'!$A$4:$H$621,5,FALSE))</f>
        <v>Small Area, Super Output Area, Electoral Ward, Local Government District, Assembly Area, NUTS3, Education and Library Board, Health and Social Care Trust, Northern Ireland</v>
      </c>
      <c r="E533" s="22" t="str">
        <f t="shared" si="7"/>
        <v>Link to files</v>
      </c>
      <c r="G533" s="18" t="str">
        <f>IF(ISNA(VLOOKUP((ROW(G535)-15),'List of tables'!$A$4:$H$621,6,FALSE))," ",VLOOKUP((ROW(G535)-15),'List of tables'!$A$4:$H$621,6,FALSE))</f>
        <v>http://www.ninis2.nisra.gov.uk/public/SearchResults.aspx?sk=LC6503NI;</v>
      </c>
    </row>
    <row r="534" spans="1:7" ht="70" customHeight="1" x14ac:dyDescent="0.3">
      <c r="A534" s="23" t="str">
        <f>IF(ISNA(VLOOKUP((ROW(A536)-15),'List of tables'!$A$4:$H$621,2,FALSE))," ",VLOOKUP((ROW(A536)-15),'List of tables'!$A$4:$H$621,2,FALSE))</f>
        <v>LC6601NI</v>
      </c>
      <c r="B534" s="21" t="str">
        <f>IF(ISNA(VLOOKUP((ROW(B536)-15),'List of tables'!$A$4:$H$621,3,FALSE))," ",VLOOKUP((ROW(B536)-15),'List of tables'!$A$4:$H$621,3,FALSE))</f>
        <v>Economic Activity by Voluntary Work</v>
      </c>
      <c r="C534" s="21" t="str">
        <f>IF(ISNA(VLOOKUP((ROW(H536)-15),'List of tables'!$A$4:$H$621,8,FALSE))," ",VLOOKUP((ROW(H536)-15),'List of tables'!$A$4:$H$621,8,FALSE))</f>
        <v>All usual residents aged 16 to 74</v>
      </c>
      <c r="D534" s="21" t="str">
        <f>IF(ISNA(VLOOKUP((ROW(D536)-15),'List of tables'!$A$4:$H$621,5,FALSE))," ",VLOOKUP((ROW(D536)-15),'List of tables'!$A$4:$H$621,5,FALSE))</f>
        <v>Small Area, Super Output Area, Electoral Ward, Local Government District, Assembly Area, NUTS3, Education and Library Board, Health and Social Care Trust, Northern Ireland</v>
      </c>
      <c r="E534" s="22" t="str">
        <f t="shared" si="7"/>
        <v>Link to files</v>
      </c>
      <c r="G534" s="18" t="str">
        <f>IF(ISNA(VLOOKUP((ROW(G536)-15),'List of tables'!$A$4:$H$621,6,FALSE))," ",VLOOKUP((ROW(G536)-15),'List of tables'!$A$4:$H$621,6,FALSE))</f>
        <v>http://www.ninis2.nisra.gov.uk/public/SearchResults.aspx?sk=LC6601NI;</v>
      </c>
    </row>
    <row r="535" spans="1:7" ht="70" customHeight="1" x14ac:dyDescent="0.3">
      <c r="A535" s="23" t="str">
        <f>IF(ISNA(VLOOKUP((ROW(A537)-15),'List of tables'!$A$4:$H$621,2,FALSE))," ",VLOOKUP((ROW(A537)-15),'List of tables'!$A$4:$H$621,2,FALSE))</f>
        <v>LC6603NI</v>
      </c>
      <c r="B535" s="21" t="str">
        <f>IF(ISNA(VLOOKUP((ROW(B537)-15),'List of tables'!$A$4:$H$621,3,FALSE))," ",VLOOKUP((ROW(B537)-15),'List of tables'!$A$4:$H$621,3,FALSE))</f>
        <v>NS-SeC by Economic Activity by Sex</v>
      </c>
      <c r="C535" s="21" t="str">
        <f>IF(ISNA(VLOOKUP((ROW(H537)-15),'List of tables'!$A$4:$H$621,8,FALSE))," ",VLOOKUP((ROW(H537)-15),'List of tables'!$A$4:$H$621,8,FALSE))</f>
        <v>All usual residents aged 16 to 74</v>
      </c>
      <c r="D535" s="21" t="str">
        <f>IF(ISNA(VLOOKUP((ROW(D537)-15),'List of tables'!$A$4:$H$621,5,FALSE))," ",VLOOKUP((ROW(D537)-15),'List of tables'!$A$4:$H$621,5,FALSE))</f>
        <v>Small Area, Super Output Area, Electoral Ward, Local Government District, Assembly Area, NUTS3, Education and Library Board, Health and Social Care Trust, Northern Ireland</v>
      </c>
      <c r="E535" s="22" t="str">
        <f t="shared" si="7"/>
        <v>Link to files</v>
      </c>
      <c r="G535" s="18" t="str">
        <f>IF(ISNA(VLOOKUP((ROW(G537)-15),'List of tables'!$A$4:$H$621,6,FALSE))," ",VLOOKUP((ROW(G537)-15),'List of tables'!$A$4:$H$621,6,FALSE))</f>
        <v>http://www.ninis2.nisra.gov.uk/public/SearchResults.aspx?sk=LC6603NI;</v>
      </c>
    </row>
    <row r="536" spans="1:7" ht="70" customHeight="1" x14ac:dyDescent="0.3">
      <c r="A536" s="23" t="str">
        <f>IF(ISNA(VLOOKUP((ROW(A538)-15),'List of tables'!$A$4:$H$621,2,FALSE))," ",VLOOKUP((ROW(A538)-15),'List of tables'!$A$4:$H$621,2,FALSE))</f>
        <v>LC6604NI</v>
      </c>
      <c r="B536" s="21" t="str">
        <f>IF(ISNA(VLOOKUP((ROW(B538)-15),'List of tables'!$A$4:$H$621,3,FALSE))," ",VLOOKUP((ROW(B538)-15),'List of tables'!$A$4:$H$621,3,FALSE))</f>
        <v>Occupation by Hours Worked by Sex</v>
      </c>
      <c r="C536" s="21" t="str">
        <f>IF(ISNA(VLOOKUP((ROW(H538)-15),'List of tables'!$A$4:$H$621,8,FALSE))," ",VLOOKUP((ROW(H538)-15),'List of tables'!$A$4:$H$621,8,FALSE))</f>
        <v xml:space="preserve">All usual residents aged 16 to 74 in employment </v>
      </c>
      <c r="D536" s="21" t="str">
        <f>IF(ISNA(VLOOKUP((ROW(D538)-15),'List of tables'!$A$4:$H$621,5,FALSE))," ",VLOOKUP((ROW(D538)-15),'List of tables'!$A$4:$H$621,5,FALSE))</f>
        <v>Small Area, Super Output Area, Electoral Ward, Local Government District, Assembly Area, NUTS3, Education and Library Board, Health and Social Care Trust, Northern Ireland</v>
      </c>
      <c r="E536" s="22" t="str">
        <f t="shared" si="7"/>
        <v>Link to files</v>
      </c>
      <c r="G536" s="18" t="str">
        <f>IF(ISNA(VLOOKUP((ROW(G538)-15),'List of tables'!$A$4:$H$621,6,FALSE))," ",VLOOKUP((ROW(G538)-15),'List of tables'!$A$4:$H$621,6,FALSE))</f>
        <v>http://www.ninis2.nisra.gov.uk/public/SearchResults.aspx?sk=LC6604NI;</v>
      </c>
    </row>
    <row r="537" spans="1:7" ht="70" customHeight="1" x14ac:dyDescent="0.3">
      <c r="A537" s="23" t="str">
        <f>IF(ISNA(VLOOKUP((ROW(A539)-15),'List of tables'!$A$4:$H$621,2,FALSE))," ",VLOOKUP((ROW(A539)-15),'List of tables'!$A$4:$H$621,2,FALSE))</f>
        <v>LC7101NI</v>
      </c>
      <c r="B537" s="21" t="str">
        <f>IF(ISNA(VLOOKUP((ROW(B539)-15),'List of tables'!$A$4:$H$621,3,FALSE))," ",VLOOKUP((ROW(B539)-15),'List of tables'!$A$4:$H$621,3,FALSE))</f>
        <v>Method of Travel to Work by Age</v>
      </c>
      <c r="C537" s="21" t="str">
        <f>IF(ISNA(VLOOKUP((ROW(H539)-15),'List of tables'!$A$4:$H$621,8,FALSE))," ",VLOOKUP((ROW(H539)-15),'List of tables'!$A$4:$H$621,8,FALSE))</f>
        <v>All usual residents aged 16 to 74 (excluding students) in employment and currently working</v>
      </c>
      <c r="D537" s="21" t="str">
        <f>IF(ISNA(VLOOKUP((ROW(D539)-15),'List of tables'!$A$4:$H$621,5,FALSE))," ",VLOOKUP((ROW(D539)-15),'List of tables'!$A$4:$H$621,5,FALSE))</f>
        <v>Small Area, Super Output Area, Electoral Ward, Local Government District, Assembly Area, NUTS3, Education and Library Board, Health and Social Care Trust, Northern Ireland</v>
      </c>
      <c r="E537" s="22" t="str">
        <f t="shared" si="7"/>
        <v>Link to files</v>
      </c>
      <c r="G537" s="18" t="str">
        <f>IF(ISNA(VLOOKUP((ROW(G539)-15),'List of tables'!$A$4:$H$621,6,FALSE))," ",VLOOKUP((ROW(G539)-15),'List of tables'!$A$4:$H$621,6,FALSE))</f>
        <v>http://www.ninis2.nisra.gov.uk/public/SearchResults.aspx?sk=LC7101NI;</v>
      </c>
    </row>
    <row r="538" spans="1:7" ht="70" customHeight="1" x14ac:dyDescent="0.3">
      <c r="A538" s="23" t="str">
        <f>IF(ISNA(VLOOKUP((ROW(A540)-15),'List of tables'!$A$4:$H$621,2,FALSE))," ",VLOOKUP((ROW(A540)-15),'List of tables'!$A$4:$H$621,2,FALSE))</f>
        <v>LC7102NI</v>
      </c>
      <c r="B538" s="21" t="str">
        <f>IF(ISNA(VLOOKUP((ROW(B540)-15),'List of tables'!$A$4:$H$621,3,FALSE))," ",VLOOKUP((ROW(B540)-15),'List of tables'!$A$4:$H$621,3,FALSE))</f>
        <v>Method of Travel to Work by Sex</v>
      </c>
      <c r="C538" s="21" t="str">
        <f>IF(ISNA(VLOOKUP((ROW(H540)-15),'List of tables'!$A$4:$H$621,8,FALSE))," ",VLOOKUP((ROW(H540)-15),'List of tables'!$A$4:$H$621,8,FALSE))</f>
        <v>All usual residents aged 16 to 74 (excluding students) in employment and currently working</v>
      </c>
      <c r="D538" s="21" t="str">
        <f>IF(ISNA(VLOOKUP((ROW(D540)-15),'List of tables'!$A$4:$H$621,5,FALSE))," ",VLOOKUP((ROW(D540)-15),'List of tables'!$A$4:$H$621,5,FALSE))</f>
        <v>Small Area, Super Output Area, Electoral Ward, Local Government District, Assembly Area, NUTS3, Education and Library Board, Health and Social Care Trust, Northern Ireland</v>
      </c>
      <c r="E538" s="22" t="str">
        <f t="shared" si="7"/>
        <v>Link to files</v>
      </c>
      <c r="G538" s="18" t="str">
        <f>IF(ISNA(VLOOKUP((ROW(G540)-15),'List of tables'!$A$4:$H$621,6,FALSE))," ",VLOOKUP((ROW(G540)-15),'List of tables'!$A$4:$H$621,6,FALSE))</f>
        <v>http://www.ninis2.nisra.gov.uk/public/SearchResults.aspx?sk=LC7102NI;</v>
      </c>
    </row>
    <row r="539" spans="1:7" ht="70" customHeight="1" x14ac:dyDescent="0.3">
      <c r="A539" s="23" t="str">
        <f>IF(ISNA(VLOOKUP((ROW(A541)-15),'List of tables'!$A$4:$H$621,2,FALSE))," ",VLOOKUP((ROW(A541)-15),'List of tables'!$A$4:$H$621,2,FALSE))</f>
        <v>LC7103NI</v>
      </c>
      <c r="B539" s="21" t="str">
        <f>IF(ISNA(VLOOKUP((ROW(B541)-15),'List of tables'!$A$4:$H$621,3,FALSE))," ",VLOOKUP((ROW(B541)-15),'List of tables'!$A$4:$H$621,3,FALSE))</f>
        <v>Distance Travelled to Work by Age</v>
      </c>
      <c r="C539" s="21" t="str">
        <f>IF(ISNA(VLOOKUP((ROW(H541)-15),'List of tables'!$A$4:$H$621,8,FALSE))," ",VLOOKUP((ROW(H541)-15),'List of tables'!$A$4:$H$621,8,FALSE))</f>
        <v>All usual residents aged 16 to 74 (excluding students) in employment and currently working</v>
      </c>
      <c r="D539" s="21" t="str">
        <f>IF(ISNA(VLOOKUP((ROW(D541)-15),'List of tables'!$A$4:$H$621,5,FALSE))," ",VLOOKUP((ROW(D541)-15),'List of tables'!$A$4:$H$621,5,FALSE))</f>
        <v>Small Area, Super Output Area, Electoral Ward, Local Government District, Assembly Area, NUTS3, Education and Library Board, Health and Social Care Trust, Northern Ireland</v>
      </c>
      <c r="E539" s="22" t="str">
        <f t="shared" si="7"/>
        <v>Link to files</v>
      </c>
      <c r="G539" s="18" t="str">
        <f>IF(ISNA(VLOOKUP((ROW(G541)-15),'List of tables'!$A$4:$H$621,6,FALSE))," ",VLOOKUP((ROW(G541)-15),'List of tables'!$A$4:$H$621,6,FALSE))</f>
        <v>http://www.ninis2.nisra.gov.uk/public/SearchResults.aspx?sk=LC7103NI;</v>
      </c>
    </row>
    <row r="540" spans="1:7" ht="70" customHeight="1" x14ac:dyDescent="0.3">
      <c r="A540" s="23" t="str">
        <f>IF(ISNA(VLOOKUP((ROW(A542)-15),'List of tables'!$A$4:$H$621,2,FALSE))," ",VLOOKUP((ROW(A542)-15),'List of tables'!$A$4:$H$621,2,FALSE))</f>
        <v>LC7104NI</v>
      </c>
      <c r="B540" s="21" t="str">
        <f>IF(ISNA(VLOOKUP((ROW(B542)-15),'List of tables'!$A$4:$H$621,3,FALSE))," ",VLOOKUP((ROW(B542)-15),'List of tables'!$A$4:$H$621,3,FALSE))</f>
        <v>Distance Travelled to Work by Sex</v>
      </c>
      <c r="C540" s="21" t="str">
        <f>IF(ISNA(VLOOKUP((ROW(H542)-15),'List of tables'!$A$4:$H$621,8,FALSE))," ",VLOOKUP((ROW(H542)-15),'List of tables'!$A$4:$H$621,8,FALSE))</f>
        <v>All usual residents aged 16 to 74 (excluding students) in employment and currently working</v>
      </c>
      <c r="D540" s="21" t="str">
        <f>IF(ISNA(VLOOKUP((ROW(D542)-15),'List of tables'!$A$4:$H$621,5,FALSE))," ",VLOOKUP((ROW(D542)-15),'List of tables'!$A$4:$H$621,5,FALSE))</f>
        <v>Small Area, Super Output Area, Electoral Ward, Local Government District, Assembly Area, NUTS3, Education and Library Board, Health and Social Care Trust, Northern Ireland</v>
      </c>
      <c r="E540" s="22" t="str">
        <f t="shared" si="7"/>
        <v>Link to files</v>
      </c>
      <c r="G540" s="18" t="str">
        <f>IF(ISNA(VLOOKUP((ROW(G542)-15),'List of tables'!$A$4:$H$621,6,FALSE))," ",VLOOKUP((ROW(G542)-15),'List of tables'!$A$4:$H$621,6,FALSE))</f>
        <v>http://www.ninis2.nisra.gov.uk/public/SearchResults.aspx?sk=LC7104NI;</v>
      </c>
    </row>
    <row r="541" spans="1:7" ht="70" customHeight="1" x14ac:dyDescent="0.3">
      <c r="A541" s="23" t="str">
        <f>IF(ISNA(VLOOKUP((ROW(A543)-15),'List of tables'!$A$4:$H$621,2,FALSE))," ",VLOOKUP((ROW(A543)-15),'List of tables'!$A$4:$H$621,2,FALSE))</f>
        <v>LC7401NI</v>
      </c>
      <c r="B541" s="21" t="str">
        <f>IF(ISNA(VLOOKUP((ROW(B543)-15),'List of tables'!$A$4:$H$621,3,FALSE))," ",VLOOKUP((ROW(B543)-15),'List of tables'!$A$4:$H$621,3,FALSE))</f>
        <v>Method of Travel to Work by Car or Van Availability</v>
      </c>
      <c r="C541" s="21" t="str">
        <f>IF(ISNA(VLOOKUP((ROW(H543)-15),'List of tables'!$A$4:$H$621,8,FALSE))," ",VLOOKUP((ROW(H543)-15),'List of tables'!$A$4:$H$621,8,FALSE))</f>
        <v>All usual residents aged 16 to 74 (excluding students) in households in employment and currently working</v>
      </c>
      <c r="D541" s="21" t="str">
        <f>IF(ISNA(VLOOKUP((ROW(D543)-15),'List of tables'!$A$4:$H$621,5,FALSE))," ",VLOOKUP((ROW(D543)-15),'List of tables'!$A$4:$H$621,5,FALSE))</f>
        <v>Small Area, Super Output Area, Electoral Ward, Local Government District, Assembly Area, NUTS3, Education and Library Board, Health and Social Care Trust, Northern Ireland</v>
      </c>
      <c r="E541" s="22" t="str">
        <f t="shared" si="7"/>
        <v>Link to files</v>
      </c>
      <c r="G541" s="18" t="str">
        <f>IF(ISNA(VLOOKUP((ROW(G543)-15),'List of tables'!$A$4:$H$621,6,FALSE))," ",VLOOKUP((ROW(G543)-15),'List of tables'!$A$4:$H$621,6,FALSE))</f>
        <v>http://www.ninis2.nisra.gov.uk/public/SearchResults.aspx?sk=LC7401NI;</v>
      </c>
    </row>
    <row r="542" spans="1:7" ht="70" customHeight="1" x14ac:dyDescent="0.3">
      <c r="A542" s="23" t="str">
        <f>IF(ISNA(VLOOKUP((ROW(A544)-15),'List of tables'!$A$4:$H$621,2,FALSE))," ",VLOOKUP((ROW(A544)-15),'List of tables'!$A$4:$H$621,2,FALSE))</f>
        <v>LC7402NI</v>
      </c>
      <c r="B542" s="21" t="str">
        <f>IF(ISNA(VLOOKUP((ROW(B544)-15),'List of tables'!$A$4:$H$621,3,FALSE))," ",VLOOKUP((ROW(B544)-15),'List of tables'!$A$4:$H$621,3,FALSE))</f>
        <v>Distance Travelled to Work by Car or Van Availability</v>
      </c>
      <c r="C542" s="21" t="str">
        <f>IF(ISNA(VLOOKUP((ROW(H544)-15),'List of tables'!$A$4:$H$621,8,FALSE))," ",VLOOKUP((ROW(H544)-15),'List of tables'!$A$4:$H$621,8,FALSE))</f>
        <v>All usual residents aged 16 to 74 (excluding students) in households in employment and currently working</v>
      </c>
      <c r="D542" s="21" t="str">
        <f>IF(ISNA(VLOOKUP((ROW(D544)-15),'List of tables'!$A$4:$H$621,5,FALSE))," ",VLOOKUP((ROW(D544)-15),'List of tables'!$A$4:$H$621,5,FALSE))</f>
        <v>Small Area, Super Output Area, Electoral Ward, Local Government District, Assembly Area, NUTS3, Education and Library Board, Health and Social Care Trust, Northern Ireland</v>
      </c>
      <c r="E542" s="22" t="str">
        <f t="shared" si="7"/>
        <v>Link to files</v>
      </c>
      <c r="G542" s="18" t="str">
        <f>IF(ISNA(VLOOKUP((ROW(G544)-15),'List of tables'!$A$4:$H$621,6,FALSE))," ",VLOOKUP((ROW(G544)-15),'List of tables'!$A$4:$H$621,6,FALSE))</f>
        <v>http://www.ninis2.nisra.gov.uk/public/SearchResults.aspx?sk=LC7402NI;</v>
      </c>
    </row>
    <row r="543" spans="1:7" ht="70" customHeight="1" x14ac:dyDescent="0.3">
      <c r="A543" s="23" t="str">
        <f>IF(ISNA(VLOOKUP((ROW(A545)-15),'List of tables'!$A$4:$H$621,2,FALSE))," ",VLOOKUP((ROW(A545)-15),'List of tables'!$A$4:$H$621,2,FALSE))</f>
        <v>LC7501NI</v>
      </c>
      <c r="B543" s="21" t="str">
        <f>IF(ISNA(VLOOKUP((ROW(B545)-15),'List of tables'!$A$4:$H$621,3,FALSE))," ",VLOOKUP((ROW(B545)-15),'List of tables'!$A$4:$H$621,3,FALSE))</f>
        <v>Method of Travel to Work by Highest Level of Qualification</v>
      </c>
      <c r="C543" s="21" t="str">
        <f>IF(ISNA(VLOOKUP((ROW(H545)-15),'List of tables'!$A$4:$H$621,8,FALSE))," ",VLOOKUP((ROW(H545)-15),'List of tables'!$A$4:$H$621,8,FALSE))</f>
        <v>All usual residents aged 16 to 74 (excluding students) in employment and currently working</v>
      </c>
      <c r="D543" s="21" t="str">
        <f>IF(ISNA(VLOOKUP((ROW(D545)-15),'List of tables'!$A$4:$H$621,5,FALSE))," ",VLOOKUP((ROW(D545)-15),'List of tables'!$A$4:$H$621,5,FALSE))</f>
        <v>Small Area, Super Output Area, Electoral Ward, Local Government District, Assembly Area, NUTS3, Education and Library Board, Health and Social Care Trust, Northern Ireland</v>
      </c>
      <c r="E543" s="22" t="str">
        <f t="shared" si="7"/>
        <v>Link to files</v>
      </c>
      <c r="G543" s="18" t="str">
        <f>IF(ISNA(VLOOKUP((ROW(G545)-15),'List of tables'!$A$4:$H$621,6,FALSE))," ",VLOOKUP((ROW(G545)-15),'List of tables'!$A$4:$H$621,6,FALSE))</f>
        <v>http://www.ninis2.nisra.gov.uk/public/SearchResults.aspx?sk=LC7501NI;</v>
      </c>
    </row>
    <row r="544" spans="1:7" ht="70" customHeight="1" x14ac:dyDescent="0.3">
      <c r="A544" s="23" t="str">
        <f>IF(ISNA(VLOOKUP((ROW(A546)-15),'List of tables'!$A$4:$H$621,2,FALSE))," ",VLOOKUP((ROW(A546)-15),'List of tables'!$A$4:$H$621,2,FALSE))</f>
        <v>LC7502NI</v>
      </c>
      <c r="B544" s="21" t="str">
        <f>IF(ISNA(VLOOKUP((ROW(B546)-15),'List of tables'!$A$4:$H$621,3,FALSE))," ",VLOOKUP((ROW(B546)-15),'List of tables'!$A$4:$H$621,3,FALSE))</f>
        <v>Distance Travelled to Work by Highest Level of Qualification</v>
      </c>
      <c r="C544" s="21" t="str">
        <f>IF(ISNA(VLOOKUP((ROW(H546)-15),'List of tables'!$A$4:$H$621,8,FALSE))," ",VLOOKUP((ROW(H546)-15),'List of tables'!$A$4:$H$621,8,FALSE))</f>
        <v>All usual residents aged 16 to 74 (excluding students) in employment and currently working</v>
      </c>
      <c r="D544" s="21" t="str">
        <f>IF(ISNA(VLOOKUP((ROW(D546)-15),'List of tables'!$A$4:$H$621,5,FALSE))," ",VLOOKUP((ROW(D546)-15),'List of tables'!$A$4:$H$621,5,FALSE))</f>
        <v>Small Area, Super Output Area, Electoral Ward, Local Government District, Assembly Area, NUTS3, Education and Library Board, Health and Social Care Trust, Northern Ireland</v>
      </c>
      <c r="E544" s="22" t="str">
        <f t="shared" si="7"/>
        <v>Link to files</v>
      </c>
      <c r="G544" s="18" t="str">
        <f>IF(ISNA(VLOOKUP((ROW(G546)-15),'List of tables'!$A$4:$H$621,6,FALSE))," ",VLOOKUP((ROW(G546)-15),'List of tables'!$A$4:$H$621,6,FALSE))</f>
        <v>http://www.ninis2.nisra.gov.uk/public/SearchResults.aspx?sk=LC7502NI;</v>
      </c>
    </row>
    <row r="545" spans="1:7" ht="70" customHeight="1" x14ac:dyDescent="0.3">
      <c r="A545" s="23" t="str">
        <f>IF(ISNA(VLOOKUP((ROW(A547)-15),'List of tables'!$A$4:$H$621,2,FALSE))," ",VLOOKUP((ROW(A547)-15),'List of tables'!$A$4:$H$621,2,FALSE))</f>
        <v>LC7601NI</v>
      </c>
      <c r="B545" s="21" t="str">
        <f>IF(ISNA(VLOOKUP((ROW(B547)-15),'List of tables'!$A$4:$H$621,3,FALSE))," ",VLOOKUP((ROW(B547)-15),'List of tables'!$A$4:$H$621,3,FALSE))</f>
        <v>Hours Worked by Method of Travel to Work</v>
      </c>
      <c r="C545" s="21" t="str">
        <f>IF(ISNA(VLOOKUP((ROW(H547)-15),'List of tables'!$A$4:$H$621,8,FALSE))," ",VLOOKUP((ROW(H547)-15),'List of tables'!$A$4:$H$621,8,FALSE))</f>
        <v>All usual residents aged 16 to 74 (excluding students) in employment and currently working</v>
      </c>
      <c r="D545" s="21" t="str">
        <f>IF(ISNA(VLOOKUP((ROW(D547)-15),'List of tables'!$A$4:$H$621,5,FALSE))," ",VLOOKUP((ROW(D547)-15),'List of tables'!$A$4:$H$621,5,FALSE))</f>
        <v>Small Area, Super Output Area, Electoral Ward, Local Government District, Assembly Area, NUTS3, Education and Library Board, Health and Social Care Trust, Northern Ireland</v>
      </c>
      <c r="E545" s="22" t="str">
        <f t="shared" si="7"/>
        <v>Link to files</v>
      </c>
      <c r="G545" s="18" t="str">
        <f>IF(ISNA(VLOOKUP((ROW(G547)-15),'List of tables'!$A$4:$H$621,6,FALSE))," ",VLOOKUP((ROW(G547)-15),'List of tables'!$A$4:$H$621,6,FALSE))</f>
        <v>http://www.ninis2.nisra.gov.uk/public/SearchResults.aspx?sk=LC7601NI;</v>
      </c>
    </row>
    <row r="546" spans="1:7" ht="70" customHeight="1" x14ac:dyDescent="0.3">
      <c r="A546" s="23" t="str">
        <f>IF(ISNA(VLOOKUP((ROW(A548)-15),'List of tables'!$A$4:$H$621,2,FALSE))," ",VLOOKUP((ROW(A548)-15),'List of tables'!$A$4:$H$621,2,FALSE))</f>
        <v>LC7603NI</v>
      </c>
      <c r="B546" s="21" t="str">
        <f>IF(ISNA(VLOOKUP((ROW(B548)-15),'List of tables'!$A$4:$H$621,3,FALSE))," ",VLOOKUP((ROW(B548)-15),'List of tables'!$A$4:$H$621,3,FALSE))</f>
        <v>Method of Travel to Work by Industry</v>
      </c>
      <c r="C546" s="21" t="str">
        <f>IF(ISNA(VLOOKUP((ROW(H548)-15),'List of tables'!$A$4:$H$621,8,FALSE))," ",VLOOKUP((ROW(H548)-15),'List of tables'!$A$4:$H$621,8,FALSE))</f>
        <v>All usual residents aged 16 to 74 (excluding students) in employment and currently working</v>
      </c>
      <c r="D546" s="21" t="str">
        <f>IF(ISNA(VLOOKUP((ROW(D548)-15),'List of tables'!$A$4:$H$621,5,FALSE))," ",VLOOKUP((ROW(D548)-15),'List of tables'!$A$4:$H$621,5,FALSE))</f>
        <v>Small Area, Super Output Area, Electoral Ward, Local Government District, Assembly Area, NUTS3, Education and Library Board, Health and Social Care Trust, Northern Ireland</v>
      </c>
      <c r="E546" s="22" t="str">
        <f t="shared" si="7"/>
        <v>Link to files</v>
      </c>
      <c r="G546" s="18" t="str">
        <f>IF(ISNA(VLOOKUP((ROW(G548)-15),'List of tables'!$A$4:$H$621,6,FALSE))," ",VLOOKUP((ROW(G548)-15),'List of tables'!$A$4:$H$621,6,FALSE))</f>
        <v>http://www.ninis2.nisra.gov.uk/public/SearchResults.aspx?sk=LC7603NI;</v>
      </c>
    </row>
    <row r="547" spans="1:7" ht="70" customHeight="1" x14ac:dyDescent="0.3">
      <c r="A547" s="23" t="str">
        <f>IF(ISNA(VLOOKUP((ROW(A549)-15),'List of tables'!$A$4:$H$621,2,FALSE))," ",VLOOKUP((ROW(A549)-15),'List of tables'!$A$4:$H$621,2,FALSE))</f>
        <v>LC7604NI</v>
      </c>
      <c r="B547" s="21" t="str">
        <f>IF(ISNA(VLOOKUP((ROW(B549)-15),'List of tables'!$A$4:$H$621,3,FALSE))," ",VLOOKUP((ROW(B549)-15),'List of tables'!$A$4:$H$621,3,FALSE))</f>
        <v>Industry by Distance Travelled to Work</v>
      </c>
      <c r="C547" s="21" t="str">
        <f>IF(ISNA(VLOOKUP((ROW(H549)-15),'List of tables'!$A$4:$H$621,8,FALSE))," ",VLOOKUP((ROW(H549)-15),'List of tables'!$A$4:$H$621,8,FALSE))</f>
        <v>All usual residents aged 16 to 74 (excluding students) in employment and currently working</v>
      </c>
      <c r="D547" s="21" t="str">
        <f>IF(ISNA(VLOOKUP((ROW(D549)-15),'List of tables'!$A$4:$H$621,5,FALSE))," ",VLOOKUP((ROW(D549)-15),'List of tables'!$A$4:$H$621,5,FALSE))</f>
        <v>Small Area, Super Output Area, Electoral Ward, Local Government District, Assembly Area, NUTS3, Education and Library Board, Health and Social Care Trust, Northern Ireland</v>
      </c>
      <c r="E547" s="22" t="str">
        <f t="shared" si="7"/>
        <v>Link to files</v>
      </c>
      <c r="G547" s="18" t="str">
        <f>IF(ISNA(VLOOKUP((ROW(G549)-15),'List of tables'!$A$4:$H$621,6,FALSE))," ",VLOOKUP((ROW(G549)-15),'List of tables'!$A$4:$H$621,6,FALSE))</f>
        <v>http://www.ninis2.nisra.gov.uk/public/SearchResults.aspx?sk=LC7604NI;</v>
      </c>
    </row>
    <row r="548" spans="1:7" ht="70" customHeight="1" x14ac:dyDescent="0.3">
      <c r="A548" s="23" t="str">
        <f>IF(ISNA(VLOOKUP((ROW(A550)-15),'List of tables'!$A$4:$H$621,2,FALSE))," ",VLOOKUP((ROW(A550)-15),'List of tables'!$A$4:$H$621,2,FALSE))</f>
        <v>LC7605NI</v>
      </c>
      <c r="B548" s="21" t="str">
        <f>IF(ISNA(VLOOKUP((ROW(B550)-15),'List of tables'!$A$4:$H$621,3,FALSE))," ",VLOOKUP((ROW(B550)-15),'List of tables'!$A$4:$H$621,3,FALSE))</f>
        <v>Method of Travel to Work by Occupation</v>
      </c>
      <c r="C548" s="21" t="str">
        <f>IF(ISNA(VLOOKUP((ROW(H550)-15),'List of tables'!$A$4:$H$621,8,FALSE))," ",VLOOKUP((ROW(H550)-15),'List of tables'!$A$4:$H$621,8,FALSE))</f>
        <v>All usual residents aged 16 to 74 (excluding students) in employment and currently working</v>
      </c>
      <c r="D548" s="21" t="str">
        <f>IF(ISNA(VLOOKUP((ROW(D550)-15),'List of tables'!$A$4:$H$621,5,FALSE))," ",VLOOKUP((ROW(D550)-15),'List of tables'!$A$4:$H$621,5,FALSE))</f>
        <v>Small Area, Super Output Area, Electoral Ward, Local Government District, Assembly Area, NUTS3, Education and Library Board, Health and Social Care Trust, Northern Ireland</v>
      </c>
      <c r="E548" s="22" t="str">
        <f t="shared" si="7"/>
        <v>Link to files</v>
      </c>
      <c r="G548" s="18" t="str">
        <f>IF(ISNA(VLOOKUP((ROW(G550)-15),'List of tables'!$A$4:$H$621,6,FALSE))," ",VLOOKUP((ROW(G550)-15),'List of tables'!$A$4:$H$621,6,FALSE))</f>
        <v>http://www.ninis2.nisra.gov.uk/public/SearchResults.aspx?sk=LC7605NI;</v>
      </c>
    </row>
    <row r="549" spans="1:7" ht="70" customHeight="1" x14ac:dyDescent="0.3">
      <c r="A549" s="23" t="str">
        <f>IF(ISNA(VLOOKUP((ROW(A551)-15),'List of tables'!$A$4:$H$621,2,FALSE))," ",VLOOKUP((ROW(A551)-15),'List of tables'!$A$4:$H$621,2,FALSE))</f>
        <v>LC7606NI</v>
      </c>
      <c r="B549" s="21" t="str">
        <f>IF(ISNA(VLOOKUP((ROW(B551)-15),'List of tables'!$A$4:$H$621,3,FALSE))," ",VLOOKUP((ROW(B551)-15),'List of tables'!$A$4:$H$621,3,FALSE))</f>
        <v>Distance Travelled to Work by Occupation</v>
      </c>
      <c r="C549" s="21" t="str">
        <f>IF(ISNA(VLOOKUP((ROW(H551)-15),'List of tables'!$A$4:$H$621,8,FALSE))," ",VLOOKUP((ROW(H551)-15),'List of tables'!$A$4:$H$621,8,FALSE))</f>
        <v>All usual residents aged 16 to 74 (excluding students) in employment and currently working</v>
      </c>
      <c r="D549" s="21" t="str">
        <f>IF(ISNA(VLOOKUP((ROW(D551)-15),'List of tables'!$A$4:$H$621,5,FALSE))," ",VLOOKUP((ROW(D551)-15),'List of tables'!$A$4:$H$621,5,FALSE))</f>
        <v>Small Area, Super Output Area, Electoral Ward, Local Government District, Assembly Area, NUTS3, Education and Library Board, Health and Social Care Trust, Northern Ireland</v>
      </c>
      <c r="E549" s="22" t="str">
        <f t="shared" si="7"/>
        <v>Link to files</v>
      </c>
      <c r="G549" s="18" t="str">
        <f>IF(ISNA(VLOOKUP((ROW(G551)-15),'List of tables'!$A$4:$H$621,6,FALSE))," ",VLOOKUP((ROW(G551)-15),'List of tables'!$A$4:$H$621,6,FALSE))</f>
        <v>http://www.ninis2.nisra.gov.uk/public/SearchResults.aspx?sk=LC7606NI;</v>
      </c>
    </row>
    <row r="550" spans="1:7" ht="70" customHeight="1" x14ac:dyDescent="0.3">
      <c r="A550" s="23" t="str">
        <f>IF(ISNA(VLOOKUP((ROW(A552)-15),'List of tables'!$A$4:$H$621,2,FALSE))," ",VLOOKUP((ROW(A552)-15),'List of tables'!$A$4:$H$621,2,FALSE))</f>
        <v>LC7607NI</v>
      </c>
      <c r="B550" s="21" t="str">
        <f>IF(ISNA(VLOOKUP((ROW(B552)-15),'List of tables'!$A$4:$H$621,3,FALSE))," ",VLOOKUP((ROW(B552)-15),'List of tables'!$A$4:$H$621,3,FALSE))</f>
        <v>NS-SeC by Method of Travel to Work</v>
      </c>
      <c r="C550" s="21" t="str">
        <f>IF(ISNA(VLOOKUP((ROW(H552)-15),'List of tables'!$A$4:$H$621,8,FALSE))," ",VLOOKUP((ROW(H552)-15),'List of tables'!$A$4:$H$621,8,FALSE))</f>
        <v>All usual residents aged 16 to 74 (excluding students) in employment and currently working</v>
      </c>
      <c r="D550" s="21" t="str">
        <f>IF(ISNA(VLOOKUP((ROW(D552)-15),'List of tables'!$A$4:$H$621,5,FALSE))," ",VLOOKUP((ROW(D552)-15),'List of tables'!$A$4:$H$621,5,FALSE))</f>
        <v>Small Area, Super Output Area, Electoral Ward, Local Government District, Assembly Area, NUTS3, Education and Library Board, Health and Social Care Trust, Northern Ireland</v>
      </c>
      <c r="E550" s="22" t="str">
        <f t="shared" si="7"/>
        <v>Link to files</v>
      </c>
      <c r="G550" s="18" t="str">
        <f>IF(ISNA(VLOOKUP((ROW(G552)-15),'List of tables'!$A$4:$H$621,6,FALSE))," ",VLOOKUP((ROW(G552)-15),'List of tables'!$A$4:$H$621,6,FALSE))</f>
        <v>http://www.ninis2.nisra.gov.uk/public/SearchResults.aspx?sk=LC7607NI;</v>
      </c>
    </row>
    <row r="551" spans="1:7" ht="70" customHeight="1" x14ac:dyDescent="0.3">
      <c r="A551" s="23" t="str">
        <f>IF(ISNA(VLOOKUP((ROW(A553)-15),'List of tables'!$A$4:$H$621,2,FALSE))," ",VLOOKUP((ROW(A553)-15),'List of tables'!$A$4:$H$621,2,FALSE))</f>
        <v>LC7608NI</v>
      </c>
      <c r="B551" s="21" t="str">
        <f>IF(ISNA(VLOOKUP((ROW(B553)-15),'List of tables'!$A$4:$H$621,3,FALSE))," ",VLOOKUP((ROW(B553)-15),'List of tables'!$A$4:$H$621,3,FALSE))</f>
        <v>NS-SeC by Distance Travelled to Work</v>
      </c>
      <c r="C551" s="21" t="str">
        <f>IF(ISNA(VLOOKUP((ROW(H553)-15),'List of tables'!$A$4:$H$621,8,FALSE))," ",VLOOKUP((ROW(H553)-15),'List of tables'!$A$4:$H$621,8,FALSE))</f>
        <v>All usual residents aged 16 to 74 (excluding students) in employment and currently working</v>
      </c>
      <c r="D551" s="21" t="str">
        <f>IF(ISNA(VLOOKUP((ROW(D553)-15),'List of tables'!$A$4:$H$621,5,FALSE))," ",VLOOKUP((ROW(D553)-15),'List of tables'!$A$4:$H$621,5,FALSE))</f>
        <v>Small Area, Super Output Area, Electoral Ward, Local Government District, Assembly Area, NUTS3, Education and Library Board, Health and Social Care Trust, Northern Ireland</v>
      </c>
      <c r="E551" s="22" t="str">
        <f t="shared" si="7"/>
        <v>Link to files</v>
      </c>
      <c r="G551" s="18" t="str">
        <f>IF(ISNA(VLOOKUP((ROW(G553)-15),'List of tables'!$A$4:$H$621,6,FALSE))," ",VLOOKUP((ROW(G553)-15),'List of tables'!$A$4:$H$621,6,FALSE))</f>
        <v>http://www.ninis2.nisra.gov.uk/public/SearchResults.aspx?sk=LC7608NI;</v>
      </c>
    </row>
    <row r="552" spans="1:7" ht="70" customHeight="1" x14ac:dyDescent="0.3">
      <c r="A552" s="23" t="str">
        <f>IF(ISNA(VLOOKUP((ROW(A554)-15),'List of tables'!$A$4:$H$621,2,FALSE))," ",VLOOKUP((ROW(A554)-15),'List of tables'!$A$4:$H$621,2,FALSE))</f>
        <v>LC7701NI</v>
      </c>
      <c r="B552" s="21" t="str">
        <f>IF(ISNA(VLOOKUP((ROW(B554)-15),'List of tables'!$A$4:$H$621,3,FALSE))," ",VLOOKUP((ROW(B554)-15),'List of tables'!$A$4:$H$621,3,FALSE))</f>
        <v>Method of Travel to Work by Distance Travelled to Work</v>
      </c>
      <c r="C552" s="21" t="str">
        <f>IF(ISNA(VLOOKUP((ROW(H554)-15),'List of tables'!$A$4:$H$621,8,FALSE))," ",VLOOKUP((ROW(H554)-15),'List of tables'!$A$4:$H$621,8,FALSE))</f>
        <v>All usual residents aged 16 to 74 (excluding students) in employment and currently working</v>
      </c>
      <c r="D552" s="21" t="str">
        <f>IF(ISNA(VLOOKUP((ROW(D554)-15),'List of tables'!$A$4:$H$621,5,FALSE))," ",VLOOKUP((ROW(D554)-15),'List of tables'!$A$4:$H$621,5,FALSE))</f>
        <v>Small Area, Super Output Area, Electoral Ward, Local Government District, Assembly Area, NUTS3, Education and Library Board, Health and Social Care Trust, Northern Ireland</v>
      </c>
      <c r="E552" s="22" t="str">
        <f t="shared" si="7"/>
        <v>Link to files</v>
      </c>
      <c r="G552" s="18" t="str">
        <f>IF(ISNA(VLOOKUP((ROW(G554)-15),'List of tables'!$A$4:$H$621,6,FALSE))," ",VLOOKUP((ROW(G554)-15),'List of tables'!$A$4:$H$621,6,FALSE))</f>
        <v>http://www.ninis2.nisra.gov.uk/public/SearchResults.aspx?sk=LC7701NI;</v>
      </c>
    </row>
    <row r="553" spans="1:7" ht="70" customHeight="1" x14ac:dyDescent="0.3">
      <c r="A553" s="23" t="str">
        <f>IF(ISNA(VLOOKUP((ROW(A555)-15),'List of tables'!$A$4:$H$621,2,FALSE))," ",VLOOKUP((ROW(A555)-15),'List of tables'!$A$4:$H$621,2,FALSE))</f>
        <v>DT101NI</v>
      </c>
      <c r="B553" s="21" t="str">
        <f>IF(ISNA(VLOOKUP((ROW(B555)-15),'List of tables'!$A$4:$H$621,3,FALSE))," ",VLOOKUP((ROW(B555)-15),'List of tables'!$A$4:$H$621,3,FALSE))</f>
        <v>Population Density (Daytime Population)</v>
      </c>
      <c r="C553" s="21" t="str">
        <f>IF(ISNA(VLOOKUP((ROW(H555)-15),'List of tables'!$A$4:$H$621,8,FALSE))," ",VLOOKUP((ROW(H555)-15),'List of tables'!$A$4:$H$621,8,FALSE))</f>
        <v xml:space="preserve">All Daytime population  </v>
      </c>
      <c r="D553" s="21" t="str">
        <f>IF(ISNA(VLOOKUP((ROW(D555)-15),'List of tables'!$A$4:$H$621,5,FALSE))," ",VLOOKUP((ROW(D555)-15),'List of tables'!$A$4:$H$621,5,FALSE))</f>
        <v>Small Area, Super Output Area, Electoral Ward, Local Government District, Assembly Area, NUTS3, Education and Library Board, Health and Social Care Trust, Northern Ireland</v>
      </c>
      <c r="E553" s="22" t="str">
        <f t="shared" si="7"/>
        <v>Link to files</v>
      </c>
      <c r="G553" s="18" t="str">
        <f>IF(ISNA(VLOOKUP((ROW(G555)-15),'List of tables'!$A$4:$H$621,6,FALSE))," ",VLOOKUP((ROW(G555)-15),'List of tables'!$A$4:$H$621,6,FALSE))</f>
        <v>http://www.ninis2.nisra.gov.uk/public/SearchResults.aspx?sk=DT101NI;</v>
      </c>
    </row>
    <row r="554" spans="1:7" ht="70" customHeight="1" x14ac:dyDescent="0.3">
      <c r="A554" s="23" t="str">
        <f>IF(ISNA(VLOOKUP((ROW(A556)-15),'List of tables'!$A$4:$H$621,2,FALSE))," ",VLOOKUP((ROW(A556)-15),'List of tables'!$A$4:$H$621,2,FALSE))</f>
        <v>DT102NI</v>
      </c>
      <c r="B554" s="21" t="str">
        <f>IF(ISNA(VLOOKUP((ROW(B556)-15),'List of tables'!$A$4:$H$621,3,FALSE))," ",VLOOKUP((ROW(B556)-15),'List of tables'!$A$4:$H$621,3,FALSE))</f>
        <v>Components of Daytime Population (Daytime Population)</v>
      </c>
      <c r="C554" s="21" t="str">
        <f>IF(ISNA(VLOOKUP((ROW(H556)-15),'List of tables'!$A$4:$H$621,8,FALSE))," ",VLOOKUP((ROW(H556)-15),'List of tables'!$A$4:$H$621,8,FALSE))</f>
        <v>All usual residents in Northern Ireland</v>
      </c>
      <c r="D554" s="21" t="str">
        <f>IF(ISNA(VLOOKUP((ROW(D556)-15),'List of tables'!$A$4:$H$621,5,FALSE))," ",VLOOKUP((ROW(D556)-15),'List of tables'!$A$4:$H$621,5,FALSE))</f>
        <v>Local Government District, Northern Ireland</v>
      </c>
      <c r="E554" s="22" t="str">
        <f t="shared" si="7"/>
        <v>Link to files</v>
      </c>
      <c r="G554" s="18" t="str">
        <f>IF(ISNA(VLOOKUP((ROW(G556)-15),'List of tables'!$A$4:$H$621,6,FALSE))," ",VLOOKUP((ROW(G556)-15),'List of tables'!$A$4:$H$621,6,FALSE))</f>
        <v>http://www.ninis2.nisra.gov.uk/public/SearchResults.aspx?sk=DT102NI;</v>
      </c>
    </row>
    <row r="555" spans="1:7" ht="70" customHeight="1" x14ac:dyDescent="0.3">
      <c r="A555" s="23" t="str">
        <f>IF(ISNA(VLOOKUP((ROW(A557)-15),'List of tables'!$A$4:$H$621,2,FALSE))," ",VLOOKUP((ROW(A557)-15),'List of tables'!$A$4:$H$621,2,FALSE))</f>
        <v>DT103NI</v>
      </c>
      <c r="B555" s="21" t="str">
        <f>IF(ISNA(VLOOKUP((ROW(B557)-15),'List of tables'!$A$4:$H$621,3,FALSE))," ",VLOOKUP((ROW(B557)-15),'List of tables'!$A$4:$H$621,3,FALSE))</f>
        <v>Age by Sex (Daytime Population)</v>
      </c>
      <c r="C555" s="21" t="str">
        <f>IF(ISNA(VLOOKUP((ROW(H557)-15),'List of tables'!$A$4:$H$621,8,FALSE))," ",VLOOKUP((ROW(H557)-15),'List of tables'!$A$4:$H$621,8,FALSE))</f>
        <v xml:space="preserve">All Daytime population  </v>
      </c>
      <c r="D555" s="21" t="str">
        <f>IF(ISNA(VLOOKUP((ROW(D557)-15),'List of tables'!$A$4:$H$621,5,FALSE))," ",VLOOKUP((ROW(D557)-15),'List of tables'!$A$4:$H$621,5,FALSE))</f>
        <v>Small Area, Super Output Area, Electoral Ward, Local Government District, Assembly Area, NUTS3, Education and Library Board, Health and Social Care Trust, Northern Ireland</v>
      </c>
      <c r="E555" s="22" t="str">
        <f t="shared" si="7"/>
        <v>Link to files</v>
      </c>
      <c r="G555" s="18" t="str">
        <f>IF(ISNA(VLOOKUP((ROW(G557)-15),'List of tables'!$A$4:$H$621,6,FALSE))," ",VLOOKUP((ROW(G557)-15),'List of tables'!$A$4:$H$621,6,FALSE))</f>
        <v>http://www.ninis2.nisra.gov.uk/public/SearchResults.aspx?sk=DT103NI;</v>
      </c>
    </row>
    <row r="556" spans="1:7" ht="70" customHeight="1" x14ac:dyDescent="0.3">
      <c r="A556" s="23" t="str">
        <f>IF(ISNA(VLOOKUP((ROW(A558)-15),'List of tables'!$A$4:$H$621,2,FALSE))," ",VLOOKUP((ROW(A558)-15),'List of tables'!$A$4:$H$621,2,FALSE))</f>
        <v>DT104NI</v>
      </c>
      <c r="B556" s="21" t="str">
        <f>IF(ISNA(VLOOKUP((ROW(B558)-15),'List of tables'!$A$4:$H$621,3,FALSE))," ",VLOOKUP((ROW(B558)-15),'List of tables'!$A$4:$H$621,3,FALSE))</f>
        <v>Reconciliation of Usual Resident and Daytime Populations (Daytime Population)</v>
      </c>
      <c r="C556" s="21" t="str">
        <f>IF(ISNA(VLOOKUP((ROW(H558)-15),'List of tables'!$A$4:$H$621,8,FALSE))," ",VLOOKUP((ROW(H558)-15),'List of tables'!$A$4:$H$621,8,FALSE))</f>
        <v>All usual residents in Northern Ireland</v>
      </c>
      <c r="D556" s="21" t="str">
        <f>IF(ISNA(VLOOKUP((ROW(D558)-15),'List of tables'!$A$4:$H$621,5,FALSE))," ",VLOOKUP((ROW(D558)-15),'List of tables'!$A$4:$H$621,5,FALSE))</f>
        <v>Local Government District, Northern Ireland</v>
      </c>
      <c r="E556" s="22" t="str">
        <f t="shared" si="7"/>
        <v>Link to files</v>
      </c>
      <c r="G556" s="18" t="str">
        <f>IF(ISNA(VLOOKUP((ROW(G558)-15),'List of tables'!$A$4:$H$621,6,FALSE))," ",VLOOKUP((ROW(G558)-15),'List of tables'!$A$4:$H$621,6,FALSE))</f>
        <v>http://www.ninis2.nisra.gov.uk/public/SearchResults.aspx?sk=DT104NI;</v>
      </c>
    </row>
    <row r="557" spans="1:7" ht="70" customHeight="1" x14ac:dyDescent="0.3">
      <c r="A557" s="23" t="str">
        <f>IF(ISNA(VLOOKUP((ROW(A559)-15),'List of tables'!$A$4:$H$621,2,FALSE))," ",VLOOKUP((ROW(A559)-15),'List of tables'!$A$4:$H$621,2,FALSE))</f>
        <v>DT201NI</v>
      </c>
      <c r="B557" s="21" t="str">
        <f>IF(ISNA(VLOOKUP((ROW(B559)-15),'List of tables'!$A$4:$H$621,3,FALSE))," ",VLOOKUP((ROW(B559)-15),'List of tables'!$A$4:$H$621,3,FALSE))</f>
        <v>Ethnic Group (Daytime Population)</v>
      </c>
      <c r="C557" s="21" t="str">
        <f>IF(ISNA(VLOOKUP((ROW(H559)-15),'List of tables'!$A$4:$H$621,8,FALSE))," ",VLOOKUP((ROW(H559)-15),'List of tables'!$A$4:$H$621,8,FALSE))</f>
        <v xml:space="preserve">All Daytime population  </v>
      </c>
      <c r="D557" s="21" t="str">
        <f>IF(ISNA(VLOOKUP((ROW(D559)-15),'List of tables'!$A$4:$H$621,5,FALSE))," ",VLOOKUP((ROW(D559)-15),'List of tables'!$A$4:$H$621,5,FALSE))</f>
        <v>Small Area, Super Output Area, Electoral Ward, Local Government District, Assembly Area, NUTS3, Education and Library Board, Health and Social Care Trust, Northern Ireland</v>
      </c>
      <c r="E557" s="22" t="str">
        <f t="shared" si="7"/>
        <v>Link to files</v>
      </c>
      <c r="G557" s="18" t="str">
        <f>IF(ISNA(VLOOKUP((ROW(G559)-15),'List of tables'!$A$4:$H$621,6,FALSE))," ",VLOOKUP((ROW(G559)-15),'List of tables'!$A$4:$H$621,6,FALSE))</f>
        <v>http://www.ninis2.nisra.gov.uk/public/SearchResults.aspx?sk=DT201NI;</v>
      </c>
    </row>
    <row r="558" spans="1:7" ht="70" customHeight="1" x14ac:dyDescent="0.3">
      <c r="A558" s="23" t="str">
        <f>IF(ISNA(VLOOKUP((ROW(A560)-15),'List of tables'!$A$4:$H$621,2,FALSE))," ",VLOOKUP((ROW(A560)-15),'List of tables'!$A$4:$H$621,2,FALSE))</f>
        <v>DT202NI</v>
      </c>
      <c r="B558" s="21" t="str">
        <f>IF(ISNA(VLOOKUP((ROW(B560)-15),'List of tables'!$A$4:$H$621,3,FALSE))," ",VLOOKUP((ROW(B560)-15),'List of tables'!$A$4:$H$621,3,FALSE))</f>
        <v>Country of Birth - Intermediate Detail (Daytime Population)</v>
      </c>
      <c r="C558" s="21" t="str">
        <f>IF(ISNA(VLOOKUP((ROW(H560)-15),'List of tables'!$A$4:$H$621,8,FALSE))," ",VLOOKUP((ROW(H560)-15),'List of tables'!$A$4:$H$621,8,FALSE))</f>
        <v xml:space="preserve">All daytime population  </v>
      </c>
      <c r="D558" s="21" t="str">
        <f>IF(ISNA(VLOOKUP((ROW(D560)-15),'List of tables'!$A$4:$H$621,5,FALSE))," ",VLOOKUP((ROW(D560)-15),'List of tables'!$A$4:$H$621,5,FALSE))</f>
        <v>Small Area, Super Output Area, Electoral Ward, Local Government District, Assembly Area, NUTS3, Education and Library Board, Health and Social Care Trust, Northern Ireland</v>
      </c>
      <c r="E558" s="22" t="str">
        <f t="shared" si="7"/>
        <v>Link to files</v>
      </c>
      <c r="G558" s="18" t="str">
        <f>IF(ISNA(VLOOKUP((ROW(G560)-15),'List of tables'!$A$4:$H$621,6,FALSE))," ",VLOOKUP((ROW(G560)-15),'List of tables'!$A$4:$H$621,6,FALSE))</f>
        <v>http://www.ninis2.nisra.gov.uk/public/SearchResults.aspx?sk=DT202NI;</v>
      </c>
    </row>
    <row r="559" spans="1:7" ht="70" customHeight="1" x14ac:dyDescent="0.3">
      <c r="A559" s="23" t="str">
        <f>IF(ISNA(VLOOKUP((ROW(A561)-15),'List of tables'!$A$4:$H$621,2,FALSE))," ",VLOOKUP((ROW(A561)-15),'List of tables'!$A$4:$H$621,2,FALSE))</f>
        <v>DT203NI</v>
      </c>
      <c r="B559" s="21" t="str">
        <f>IF(ISNA(VLOOKUP((ROW(B561)-15),'List of tables'!$A$4:$H$621,3,FALSE))," ",VLOOKUP((ROW(B561)-15),'List of tables'!$A$4:$H$621,3,FALSE))</f>
        <v>Main Language (Daytime Population)</v>
      </c>
      <c r="C559" s="21" t="str">
        <f>IF(ISNA(VLOOKUP((ROW(H561)-15),'List of tables'!$A$4:$H$621,8,FALSE))," ",VLOOKUP((ROW(H561)-15),'List of tables'!$A$4:$H$621,8,FALSE))</f>
        <v>All daytime population aged 3 and over</v>
      </c>
      <c r="D559" s="21" t="str">
        <f>IF(ISNA(VLOOKUP((ROW(D561)-15),'List of tables'!$A$4:$H$621,5,FALSE))," ",VLOOKUP((ROW(D561)-15),'List of tables'!$A$4:$H$621,5,FALSE))</f>
        <v>Small Area, Super Output Area, Electoral Ward, Local Government District, Assembly Area, NUTS3, Education and Library Board, Health and Social Care Trust, Northern Ireland</v>
      </c>
      <c r="E559" s="22" t="str">
        <f t="shared" si="7"/>
        <v>Link to files</v>
      </c>
      <c r="G559" s="18" t="str">
        <f>IF(ISNA(VLOOKUP((ROW(G561)-15),'List of tables'!$A$4:$H$621,6,FALSE))," ",VLOOKUP((ROW(G561)-15),'List of tables'!$A$4:$H$621,6,FALSE))</f>
        <v>http://www.ninis2.nisra.gov.uk/public/SearchResults.aspx?sk=DT203NI;</v>
      </c>
    </row>
    <row r="560" spans="1:7" ht="70" customHeight="1" x14ac:dyDescent="0.3">
      <c r="A560" s="23" t="str">
        <f>IF(ISNA(VLOOKUP((ROW(A562)-15),'List of tables'!$A$4:$H$621,2,FALSE))," ",VLOOKUP((ROW(A562)-15),'List of tables'!$A$4:$H$621,2,FALSE))</f>
        <v>DT204NI</v>
      </c>
      <c r="B560" s="21" t="str">
        <f>IF(ISNA(VLOOKUP((ROW(B562)-15),'List of tables'!$A$4:$H$621,3,FALSE))," ",VLOOKUP((ROW(B562)-15),'List of tables'!$A$4:$H$621,3,FALSE))</f>
        <v>Irish Language Skills (Daytime Population)</v>
      </c>
      <c r="C560" s="21" t="str">
        <f>IF(ISNA(VLOOKUP((ROW(H562)-15),'List of tables'!$A$4:$H$621,8,FALSE))," ",VLOOKUP((ROW(H562)-15),'List of tables'!$A$4:$H$621,8,FALSE))</f>
        <v>All daytime population aged 3 and over</v>
      </c>
      <c r="D560" s="21" t="str">
        <f>IF(ISNA(VLOOKUP((ROW(D562)-15),'List of tables'!$A$4:$H$621,5,FALSE))," ",VLOOKUP((ROW(D562)-15),'List of tables'!$A$4:$H$621,5,FALSE))</f>
        <v>Small Area, Super Output Area, Electoral Ward, Local Government District, Assembly Area, NUTS3, Education and Library Board, Health and Social Care Trust, Northern Ireland</v>
      </c>
      <c r="E560" s="22" t="str">
        <f t="shared" si="7"/>
        <v>Link to files</v>
      </c>
      <c r="G560" s="18" t="str">
        <f>IF(ISNA(VLOOKUP((ROW(G562)-15),'List of tables'!$A$4:$H$621,6,FALSE))," ",VLOOKUP((ROW(G562)-15),'List of tables'!$A$4:$H$621,6,FALSE))</f>
        <v>http://www.ninis2.nisra.gov.uk/public/SearchResults.aspx?sk=DT204NI;</v>
      </c>
    </row>
    <row r="561" spans="1:7" ht="70" customHeight="1" x14ac:dyDescent="0.3">
      <c r="A561" s="23" t="str">
        <f>IF(ISNA(VLOOKUP((ROW(A563)-15),'List of tables'!$A$4:$H$621,2,FALSE))," ",VLOOKUP((ROW(A563)-15),'List of tables'!$A$4:$H$621,2,FALSE))</f>
        <v>DT205NI</v>
      </c>
      <c r="B561" s="21" t="str">
        <f>IF(ISNA(VLOOKUP((ROW(B563)-15),'List of tables'!$A$4:$H$621,3,FALSE))," ",VLOOKUP((ROW(B563)-15),'List of tables'!$A$4:$H$621,3,FALSE))</f>
        <v>Ulster-Scots Language Skills (Daytime Population)</v>
      </c>
      <c r="C561" s="21" t="str">
        <f>IF(ISNA(VLOOKUP((ROW(H563)-15),'List of tables'!$A$4:$H$621,8,FALSE))," ",VLOOKUP((ROW(H563)-15),'List of tables'!$A$4:$H$621,8,FALSE))</f>
        <v>All daytime population aged 3 and over</v>
      </c>
      <c r="D561" s="21" t="str">
        <f>IF(ISNA(VLOOKUP((ROW(D563)-15),'List of tables'!$A$4:$H$621,5,FALSE))," ",VLOOKUP((ROW(D563)-15),'List of tables'!$A$4:$H$621,5,FALSE))</f>
        <v>Small Area, Super Output Area, Electoral Ward, Local Government District, Assembly Area, NUTS3, Education and Library Board, Health and Social Care Trust, Northern Ireland</v>
      </c>
      <c r="E561" s="22" t="str">
        <f t="shared" si="7"/>
        <v>Link to files</v>
      </c>
      <c r="G561" s="18" t="str">
        <f>IF(ISNA(VLOOKUP((ROW(G563)-15),'List of tables'!$A$4:$H$621,6,FALSE))," ",VLOOKUP((ROW(G563)-15),'List of tables'!$A$4:$H$621,6,FALSE))</f>
        <v>http://www.ninis2.nisra.gov.uk/public/SearchResults.aspx?sk=DT205NI;</v>
      </c>
    </row>
    <row r="562" spans="1:7" ht="70" customHeight="1" x14ac:dyDescent="0.3">
      <c r="A562" s="23" t="str">
        <f>IF(ISNA(VLOOKUP((ROW(A564)-15),'List of tables'!$A$4:$H$621,2,FALSE))," ",VLOOKUP((ROW(A564)-15),'List of tables'!$A$4:$H$621,2,FALSE))</f>
        <v>DT206NI</v>
      </c>
      <c r="B562" s="21" t="str">
        <f>IF(ISNA(VLOOKUP((ROW(B564)-15),'List of tables'!$A$4:$H$621,3,FALSE))," ",VLOOKUP((ROW(B564)-15),'List of tables'!$A$4:$H$621,3,FALSE))</f>
        <v>Religion (Daytime Population)</v>
      </c>
      <c r="C562" s="21" t="str">
        <f>IF(ISNA(VLOOKUP((ROW(H564)-15),'List of tables'!$A$4:$H$621,8,FALSE))," ",VLOOKUP((ROW(H564)-15),'List of tables'!$A$4:$H$621,8,FALSE))</f>
        <v xml:space="preserve">All daytime population  </v>
      </c>
      <c r="D562" s="21" t="str">
        <f>IF(ISNA(VLOOKUP((ROW(D564)-15),'List of tables'!$A$4:$H$621,5,FALSE))," ",VLOOKUP((ROW(D564)-15),'List of tables'!$A$4:$H$621,5,FALSE))</f>
        <v>Small Area, Super Output Area, Electoral Ward, Local Government District, Assembly Area, NUTS3, Education and Library Board, Health and Social Care Trust, Northern Ireland</v>
      </c>
      <c r="E562" s="22" t="str">
        <f t="shared" si="7"/>
        <v>Link to files</v>
      </c>
      <c r="G562" s="18" t="str">
        <f>IF(ISNA(VLOOKUP((ROW(G564)-15),'List of tables'!$A$4:$H$621,6,FALSE))," ",VLOOKUP((ROW(G564)-15),'List of tables'!$A$4:$H$621,6,FALSE))</f>
        <v>http://www.ninis2.nisra.gov.uk/public/SearchResults.aspx?sk=DT206NI;</v>
      </c>
    </row>
    <row r="563" spans="1:7" ht="70" customHeight="1" x14ac:dyDescent="0.3">
      <c r="A563" s="23" t="str">
        <f>IF(ISNA(VLOOKUP((ROW(A565)-15),'List of tables'!$A$4:$H$621,2,FALSE))," ",VLOOKUP((ROW(A565)-15),'List of tables'!$A$4:$H$621,2,FALSE))</f>
        <v>DT207NI</v>
      </c>
      <c r="B563" s="21" t="str">
        <f>IF(ISNA(VLOOKUP((ROW(B565)-15),'List of tables'!$A$4:$H$621,3,FALSE))," ",VLOOKUP((ROW(B565)-15),'List of tables'!$A$4:$H$621,3,FALSE))</f>
        <v>Religion or Religion Brought Up In (Daytime Population)</v>
      </c>
      <c r="C563" s="21" t="str">
        <f>IF(ISNA(VLOOKUP((ROW(H565)-15),'List of tables'!$A$4:$H$621,8,FALSE))," ",VLOOKUP((ROW(H565)-15),'List of tables'!$A$4:$H$621,8,FALSE))</f>
        <v xml:space="preserve">All daytime population  </v>
      </c>
      <c r="D563" s="21" t="str">
        <f>IF(ISNA(VLOOKUP((ROW(D565)-15),'List of tables'!$A$4:$H$621,5,FALSE))," ",VLOOKUP((ROW(D565)-15),'List of tables'!$A$4:$H$621,5,FALSE))</f>
        <v>Small Area, Super Output Area, Electoral Ward, Local Government District, Assembly Area, NUTS3, Education and Library Board, Health and Social Care Trust, Northern Ireland</v>
      </c>
      <c r="E563" s="22" t="str">
        <f t="shared" si="7"/>
        <v>Link to files</v>
      </c>
      <c r="G563" s="18" t="str">
        <f>IF(ISNA(VLOOKUP((ROW(G565)-15),'List of tables'!$A$4:$H$621,6,FALSE))," ",VLOOKUP((ROW(G565)-15),'List of tables'!$A$4:$H$621,6,FALSE))</f>
        <v>http://www.ninis2.nisra.gov.uk/public/SearchResults.aspx?sk=DT207NI;</v>
      </c>
    </row>
    <row r="564" spans="1:7" ht="70" customHeight="1" x14ac:dyDescent="0.3">
      <c r="A564" s="23" t="str">
        <f>IF(ISNA(VLOOKUP((ROW(A566)-15),'List of tables'!$A$4:$H$621,2,FALSE))," ",VLOOKUP((ROW(A566)-15),'List of tables'!$A$4:$H$621,2,FALSE))</f>
        <v>DT208NI</v>
      </c>
      <c r="B564" s="21" t="str">
        <f>IF(ISNA(VLOOKUP((ROW(B566)-15),'List of tables'!$A$4:$H$621,3,FALSE))," ",VLOOKUP((ROW(B566)-15),'List of tables'!$A$4:$H$621,3,FALSE))</f>
        <v>Passports Held (Classification 1) (Daytime Population)</v>
      </c>
      <c r="C564" s="21" t="str">
        <f>IF(ISNA(VLOOKUP((ROW(H566)-15),'List of tables'!$A$4:$H$621,8,FALSE))," ",VLOOKUP((ROW(H566)-15),'List of tables'!$A$4:$H$621,8,FALSE))</f>
        <v xml:space="preserve">All daytime population  </v>
      </c>
      <c r="D564" s="21" t="str">
        <f>IF(ISNA(VLOOKUP((ROW(D566)-15),'List of tables'!$A$4:$H$621,5,FALSE))," ",VLOOKUP((ROW(D566)-15),'List of tables'!$A$4:$H$621,5,FALSE))</f>
        <v>Small Area, Super Output Area, Electoral Ward, Local Government District, Assembly Area, NUTS3, Education and Library Board, Health and Social Care Trust, Northern Ireland</v>
      </c>
      <c r="E564" s="22" t="str">
        <f t="shared" si="7"/>
        <v>Link to files</v>
      </c>
      <c r="G564" s="18" t="str">
        <f>IF(ISNA(VLOOKUP((ROW(G566)-15),'List of tables'!$A$4:$H$621,6,FALSE))," ",VLOOKUP((ROW(G566)-15),'List of tables'!$A$4:$H$621,6,FALSE))</f>
        <v>http://www.ninis2.nisra.gov.uk/public/SearchResults.aspx?sk=DT208NI;</v>
      </c>
    </row>
    <row r="565" spans="1:7" ht="70" customHeight="1" x14ac:dyDescent="0.3">
      <c r="A565" s="23" t="str">
        <f>IF(ISNA(VLOOKUP((ROW(A567)-15),'List of tables'!$A$4:$H$621,2,FALSE))," ",VLOOKUP((ROW(A567)-15),'List of tables'!$A$4:$H$621,2,FALSE))</f>
        <v>DT209NI</v>
      </c>
      <c r="B565" s="21" t="str">
        <f>IF(ISNA(VLOOKUP((ROW(B567)-15),'List of tables'!$A$4:$H$621,3,FALSE))," ",VLOOKUP((ROW(B567)-15),'List of tables'!$A$4:$H$621,3,FALSE))</f>
        <v>Passports Held (Classification 2) (Daytime Population)</v>
      </c>
      <c r="C565" s="21" t="str">
        <f>IF(ISNA(VLOOKUP((ROW(H567)-15),'List of tables'!$A$4:$H$621,8,FALSE))," ",VLOOKUP((ROW(H567)-15),'List of tables'!$A$4:$H$621,8,FALSE))</f>
        <v xml:space="preserve">All daytime population  </v>
      </c>
      <c r="D565" s="21" t="str">
        <f>IF(ISNA(VLOOKUP((ROW(D567)-15),'List of tables'!$A$4:$H$621,5,FALSE))," ",VLOOKUP((ROW(D567)-15),'List of tables'!$A$4:$H$621,5,FALSE))</f>
        <v>Small Area, Super Output Area, Electoral Ward, Local Government District, Assembly Area, NUTS3, Education and Library Board, Health and Social Care Trust, Northern Ireland</v>
      </c>
      <c r="E565" s="22" t="str">
        <f t="shared" si="7"/>
        <v>Link to files</v>
      </c>
      <c r="G565" s="18" t="str">
        <f>IF(ISNA(VLOOKUP((ROW(G567)-15),'List of tables'!$A$4:$H$621,6,FALSE))," ",VLOOKUP((ROW(G567)-15),'List of tables'!$A$4:$H$621,6,FALSE))</f>
        <v>http://www.ninis2.nisra.gov.uk/public/SearchResults.aspx?sk=DT209NI;</v>
      </c>
    </row>
    <row r="566" spans="1:7" ht="70" customHeight="1" x14ac:dyDescent="0.3">
      <c r="A566" s="23" t="str">
        <f>IF(ISNA(VLOOKUP((ROW(A568)-15),'List of tables'!$A$4:$H$621,2,FALSE))," ",VLOOKUP((ROW(A568)-15),'List of tables'!$A$4:$H$621,2,FALSE))</f>
        <v>DT301NI</v>
      </c>
      <c r="B566" s="21" t="str">
        <f>IF(ISNA(VLOOKUP((ROW(B568)-15),'List of tables'!$A$4:$H$621,3,FALSE))," ",VLOOKUP((ROW(B568)-15),'List of tables'!$A$4:$H$621,3,FALSE))</f>
        <v>General Health (Daytime Population)</v>
      </c>
      <c r="C566" s="21" t="str">
        <f>IF(ISNA(VLOOKUP((ROW(H568)-15),'List of tables'!$A$4:$H$621,8,FALSE))," ",VLOOKUP((ROW(H568)-15),'List of tables'!$A$4:$H$621,8,FALSE))</f>
        <v xml:space="preserve">All daytime population  </v>
      </c>
      <c r="D566" s="21" t="str">
        <f>IF(ISNA(VLOOKUP((ROW(D568)-15),'List of tables'!$A$4:$H$621,5,FALSE))," ",VLOOKUP((ROW(D568)-15),'List of tables'!$A$4:$H$621,5,FALSE))</f>
        <v>Small Area, Super Output Area, Electoral Ward, Local Government District, Assembly Area, NUTS3, Education and Library Board, Health and Social Care Trust, Northern Ireland</v>
      </c>
      <c r="E566" s="22" t="str">
        <f t="shared" si="7"/>
        <v>Link to files</v>
      </c>
      <c r="G566" s="18" t="str">
        <f>IF(ISNA(VLOOKUP((ROW(G568)-15),'List of tables'!$A$4:$H$621,6,FALSE))," ",VLOOKUP((ROW(G568)-15),'List of tables'!$A$4:$H$621,6,FALSE))</f>
        <v>http://www.ninis2.nisra.gov.uk/public/SearchResults.aspx?sk=DT301NI;</v>
      </c>
    </row>
    <row r="567" spans="1:7" ht="70" customHeight="1" x14ac:dyDescent="0.3">
      <c r="A567" s="23" t="str">
        <f>IF(ISNA(VLOOKUP((ROW(A569)-15),'List of tables'!$A$4:$H$621,2,FALSE))," ",VLOOKUP((ROW(A569)-15),'List of tables'!$A$4:$H$621,2,FALSE))</f>
        <v>DT401NI</v>
      </c>
      <c r="B567" s="21" t="str">
        <f>IF(ISNA(VLOOKUP((ROW(B569)-15),'List of tables'!$A$4:$H$621,3,FALSE))," ",VLOOKUP((ROW(B569)-15),'List of tables'!$A$4:$H$621,3,FALSE))</f>
        <v>Tenure (Daytime Population)</v>
      </c>
      <c r="C567" s="21" t="str">
        <f>IF(ISNA(VLOOKUP((ROW(H569)-15),'List of tables'!$A$4:$H$621,8,FALSE))," ",VLOOKUP((ROW(H569)-15),'List of tables'!$A$4:$H$621,8,FALSE))</f>
        <v>All daytime population in households</v>
      </c>
      <c r="D567" s="21" t="str">
        <f>IF(ISNA(VLOOKUP((ROW(D569)-15),'List of tables'!$A$4:$H$621,5,FALSE))," ",VLOOKUP((ROW(D569)-15),'List of tables'!$A$4:$H$621,5,FALSE))</f>
        <v>Small Area, Super Output Area, Electoral Ward, Local Government District, Assembly Area, NUTS3, Education and Library Board, Health and Social Care Trust, Northern Ireland</v>
      </c>
      <c r="E567" s="22" t="str">
        <f t="shared" si="7"/>
        <v>Link to files</v>
      </c>
      <c r="G567" s="18" t="str">
        <f>IF(ISNA(VLOOKUP((ROW(G569)-15),'List of tables'!$A$4:$H$621,6,FALSE))," ",VLOOKUP((ROW(G569)-15),'List of tables'!$A$4:$H$621,6,FALSE))</f>
        <v>http://www.ninis2.nisra.gov.uk/public/SearchResults.aspx?sk=DT401NI;</v>
      </c>
    </row>
    <row r="568" spans="1:7" ht="70" customHeight="1" x14ac:dyDescent="0.3">
      <c r="A568" s="23" t="str">
        <f>IF(ISNA(VLOOKUP((ROW(A570)-15),'List of tables'!$A$4:$H$621,2,FALSE))," ",VLOOKUP((ROW(A570)-15),'List of tables'!$A$4:$H$621,2,FALSE))</f>
        <v>DT501NI</v>
      </c>
      <c r="B568" s="21" t="str">
        <f>IF(ISNA(VLOOKUP((ROW(B570)-15),'List of tables'!$A$4:$H$621,3,FALSE))," ",VLOOKUP((ROW(B570)-15),'List of tables'!$A$4:$H$621,3,FALSE))</f>
        <v>Highest Level of Qualification (Daytime Population)</v>
      </c>
      <c r="C568" s="21" t="str">
        <f>IF(ISNA(VLOOKUP((ROW(H570)-15),'List of tables'!$A$4:$H$621,8,FALSE))," ",VLOOKUP((ROW(H570)-15),'List of tables'!$A$4:$H$621,8,FALSE))</f>
        <v>All daytime population aged 16 and over</v>
      </c>
      <c r="D568" s="21" t="str">
        <f>IF(ISNA(VLOOKUP((ROW(D570)-15),'List of tables'!$A$4:$H$621,5,FALSE))," ",VLOOKUP((ROW(D570)-15),'List of tables'!$A$4:$H$621,5,FALSE))</f>
        <v>Small Area, Super Output Area, Electoral Ward, Local Government District, Assembly Area, NUTS3, Education and Library Board, Health and Social Care Trust, Northern Ireland</v>
      </c>
      <c r="E568" s="22" t="str">
        <f t="shared" si="7"/>
        <v>Link to files</v>
      </c>
      <c r="G568" s="18" t="str">
        <f>IF(ISNA(VLOOKUP((ROW(G570)-15),'List of tables'!$A$4:$H$621,6,FALSE))," ",VLOOKUP((ROW(G570)-15),'List of tables'!$A$4:$H$621,6,FALSE))</f>
        <v>http://www.ninis2.nisra.gov.uk/public/SearchResults.aspx?sk=DT501NI;</v>
      </c>
    </row>
    <row r="569" spans="1:7" ht="70" customHeight="1" x14ac:dyDescent="0.3">
      <c r="A569" s="23" t="str">
        <f>IF(ISNA(VLOOKUP((ROW(A571)-15),'List of tables'!$A$4:$H$621,2,FALSE))," ",VLOOKUP((ROW(A571)-15),'List of tables'!$A$4:$H$621,2,FALSE))</f>
        <v>DT601NI</v>
      </c>
      <c r="B569" s="21" t="str">
        <f>IF(ISNA(VLOOKUP((ROW(B571)-15),'List of tables'!$A$4:$H$621,3,FALSE))," ",VLOOKUP((ROW(B571)-15),'List of tables'!$A$4:$H$621,3,FALSE))</f>
        <v>Economic Activity (Daytime Population)</v>
      </c>
      <c r="C569" s="21" t="str">
        <f>IF(ISNA(VLOOKUP((ROW(H571)-15),'List of tables'!$A$4:$H$621,8,FALSE))," ",VLOOKUP((ROW(H571)-15),'List of tables'!$A$4:$H$621,8,FALSE))</f>
        <v>All daytime population aged 16 to 74</v>
      </c>
      <c r="D569" s="21" t="str">
        <f>IF(ISNA(VLOOKUP((ROW(D571)-15),'List of tables'!$A$4:$H$621,5,FALSE))," ",VLOOKUP((ROW(D571)-15),'List of tables'!$A$4:$H$621,5,FALSE))</f>
        <v>Super Output Area, Electoral Ward, Local Government District, Assembly Area, NUTS3, Education and Library Board, Health and Social Care Trust, Northern Ireland</v>
      </c>
      <c r="E569" s="22" t="str">
        <f t="shared" si="7"/>
        <v>Link to files</v>
      </c>
      <c r="G569" s="18" t="str">
        <f>IF(ISNA(VLOOKUP((ROW(G571)-15),'List of tables'!$A$4:$H$621,6,FALSE))," ",VLOOKUP((ROW(G571)-15),'List of tables'!$A$4:$H$621,6,FALSE))</f>
        <v>http://www.ninis2.nisra.gov.uk/public/SearchResults.aspx?sk=DT601NI;</v>
      </c>
    </row>
    <row r="570" spans="1:7" ht="70" customHeight="1" x14ac:dyDescent="0.3">
      <c r="A570" s="23" t="str">
        <f>IF(ISNA(VLOOKUP((ROW(A572)-15),'List of tables'!$A$4:$H$621,2,FALSE))," ",VLOOKUP((ROW(A572)-15),'List of tables'!$A$4:$H$621,2,FALSE))</f>
        <v>DT602NI</v>
      </c>
      <c r="B570" s="21" t="str">
        <f>IF(ISNA(VLOOKUP((ROW(B572)-15),'List of tables'!$A$4:$H$621,3,FALSE))," ",VLOOKUP((ROW(B572)-15),'List of tables'!$A$4:$H$621,3,FALSE))</f>
        <v>Hours Worked (Daytime Population)</v>
      </c>
      <c r="C570" s="21" t="str">
        <f>IF(ISNA(VLOOKUP((ROW(H572)-15),'List of tables'!$A$4:$H$621,8,FALSE))," ",VLOOKUP((ROW(H572)-15),'List of tables'!$A$4:$H$621,8,FALSE))</f>
        <v>All daytime population aged 16 to 74</v>
      </c>
      <c r="D570" s="21" t="str">
        <f>IF(ISNA(VLOOKUP((ROW(D572)-15),'List of tables'!$A$4:$H$621,5,FALSE))," ",VLOOKUP((ROW(D572)-15),'List of tables'!$A$4:$H$621,5,FALSE))</f>
        <v>Super Output Area, Electoral Ward, Local Government District, Assembly Area, NUTS3, Education and Library Board, Health and Social Care Trust, Northern Ireland</v>
      </c>
      <c r="E570" s="22" t="str">
        <f t="shared" si="7"/>
        <v>Link to files</v>
      </c>
      <c r="G570" s="18" t="str">
        <f>IF(ISNA(VLOOKUP((ROW(G572)-15),'List of tables'!$A$4:$H$621,6,FALSE))," ",VLOOKUP((ROW(G572)-15),'List of tables'!$A$4:$H$621,6,FALSE))</f>
        <v>http://www.ninis2.nisra.gov.uk/public/SearchResults.aspx?sk=DT602NI;</v>
      </c>
    </row>
    <row r="571" spans="1:7" ht="70" customHeight="1" x14ac:dyDescent="0.3">
      <c r="A571" s="23" t="str">
        <f>IF(ISNA(VLOOKUP((ROW(A573)-15),'List of tables'!$A$4:$H$621,2,FALSE))," ",VLOOKUP((ROW(A573)-15),'List of tables'!$A$4:$H$621,2,FALSE))</f>
        <v>DT603NI</v>
      </c>
      <c r="B571" s="21" t="str">
        <f>IF(ISNA(VLOOKUP((ROW(B573)-15),'List of tables'!$A$4:$H$621,3,FALSE))," ",VLOOKUP((ROW(B573)-15),'List of tables'!$A$4:$H$621,3,FALSE))</f>
        <v>Industry of Employment (Daytime Population)</v>
      </c>
      <c r="C571" s="21" t="str">
        <f>IF(ISNA(VLOOKUP((ROW(H573)-15),'List of tables'!$A$4:$H$621,8,FALSE))," ",VLOOKUP((ROW(H573)-15),'List of tables'!$A$4:$H$621,8,FALSE))</f>
        <v>All daytime population aged 16 to 74</v>
      </c>
      <c r="D571" s="21" t="str">
        <f>IF(ISNA(VLOOKUP((ROW(D573)-15),'List of tables'!$A$4:$H$621,5,FALSE))," ",VLOOKUP((ROW(D573)-15),'List of tables'!$A$4:$H$621,5,FALSE))</f>
        <v>Super Output Area, Electoral Ward, Local Government District, Assembly Area, NUTS3, Education and Library Board, Health and Social Care Trust, Northern Ireland</v>
      </c>
      <c r="E571" s="22" t="str">
        <f t="shared" si="7"/>
        <v>Link to files</v>
      </c>
      <c r="G571" s="18" t="str">
        <f>IF(ISNA(VLOOKUP((ROW(G573)-15),'List of tables'!$A$4:$H$621,6,FALSE))," ",VLOOKUP((ROW(G573)-15),'List of tables'!$A$4:$H$621,6,FALSE))</f>
        <v>http://www.ninis2.nisra.gov.uk/public/SearchResults.aspx?sk=DT603NI;</v>
      </c>
    </row>
    <row r="572" spans="1:7" ht="70" customHeight="1" x14ac:dyDescent="0.3">
      <c r="A572" s="23" t="str">
        <f>IF(ISNA(VLOOKUP((ROW(A574)-15),'List of tables'!$A$4:$H$621,2,FALSE))," ",VLOOKUP((ROW(A574)-15),'List of tables'!$A$4:$H$621,2,FALSE))</f>
        <v>DT604NI</v>
      </c>
      <c r="B572" s="21" t="str">
        <f>IF(ISNA(VLOOKUP((ROW(B574)-15),'List of tables'!$A$4:$H$621,3,FALSE))," ",VLOOKUP((ROW(B574)-15),'List of tables'!$A$4:$H$621,3,FALSE))</f>
        <v>Occupation - Minor Groups (Daytime Population)</v>
      </c>
      <c r="C572" s="21" t="str">
        <f>IF(ISNA(VLOOKUP((ROW(H574)-15),'List of tables'!$A$4:$H$621,8,FALSE))," ",VLOOKUP((ROW(H574)-15),'List of tables'!$A$4:$H$621,8,FALSE))</f>
        <v>All daytime population aged 16 to 74</v>
      </c>
      <c r="D572" s="21" t="str">
        <f>IF(ISNA(VLOOKUP((ROW(D574)-15),'List of tables'!$A$4:$H$621,5,FALSE))," ",VLOOKUP((ROW(D574)-15),'List of tables'!$A$4:$H$621,5,FALSE))</f>
        <v>Super Output Area, Electoral Ward, Local Government District, Assembly Area, NUTS3, Education and Library Board, Health and Social Care Trust, Northern Ireland</v>
      </c>
      <c r="E572" s="22" t="str">
        <f t="shared" si="7"/>
        <v>Link to files</v>
      </c>
      <c r="G572" s="18" t="str">
        <f>IF(ISNA(VLOOKUP((ROW(G574)-15),'List of tables'!$A$4:$H$621,6,FALSE))," ",VLOOKUP((ROW(G574)-15),'List of tables'!$A$4:$H$621,6,FALSE))</f>
        <v>http://www.ninis2.nisra.gov.uk/public/SearchResults.aspx?sk=DT604NI;</v>
      </c>
    </row>
    <row r="573" spans="1:7" ht="70" customHeight="1" x14ac:dyDescent="0.3">
      <c r="A573" s="23" t="str">
        <f>IF(ISNA(VLOOKUP((ROW(A575)-15),'List of tables'!$A$4:$H$621,2,FALSE))," ",VLOOKUP((ROW(A575)-15),'List of tables'!$A$4:$H$621,2,FALSE))</f>
        <v>DT605NI</v>
      </c>
      <c r="B573" s="21" t="str">
        <f>IF(ISNA(VLOOKUP((ROW(B575)-15),'List of tables'!$A$4:$H$621,3,FALSE))," ",VLOOKUP((ROW(B575)-15),'List of tables'!$A$4:$H$621,3,FALSE))</f>
        <v>National Statistics Socio-economic Classification (NS-SeC) (Daytime Population)</v>
      </c>
      <c r="C573" s="21" t="str">
        <f>IF(ISNA(VLOOKUP((ROW(H575)-15),'List of tables'!$A$4:$H$621,8,FALSE))," ",VLOOKUP((ROW(H575)-15),'List of tables'!$A$4:$H$621,8,FALSE))</f>
        <v>All daytime population aged 16 to 74</v>
      </c>
      <c r="D573" s="21" t="str">
        <f>IF(ISNA(VLOOKUP((ROW(D575)-15),'List of tables'!$A$4:$H$621,5,FALSE))," ",VLOOKUP((ROW(D575)-15),'List of tables'!$A$4:$H$621,5,FALSE))</f>
        <v>Small Area, Super Output Area, Electoral Ward, Local Government District, Assembly Area, NUTS3, Education and Library Board, Health and Social Care Trust, Northern Ireland</v>
      </c>
      <c r="E573" s="22" t="str">
        <f t="shared" si="7"/>
        <v>Link to files</v>
      </c>
      <c r="G573" s="18" t="str">
        <f>IF(ISNA(VLOOKUP((ROW(G575)-15),'List of tables'!$A$4:$H$621,6,FALSE))," ",VLOOKUP((ROW(G575)-15),'List of tables'!$A$4:$H$621,6,FALSE))</f>
        <v>http://www.ninis2.nisra.gov.uk/public/SearchResults.aspx?sk=DT605NI;</v>
      </c>
    </row>
    <row r="574" spans="1:7" ht="70" customHeight="1" x14ac:dyDescent="0.3">
      <c r="A574" s="23" t="str">
        <f>IF(ISNA(VLOOKUP((ROW(A576)-15),'List of tables'!$A$4:$H$621,2,FALSE))," ",VLOOKUP((ROW(A576)-15),'List of tables'!$A$4:$H$621,2,FALSE))</f>
        <v>DT606NI</v>
      </c>
      <c r="B574" s="21" t="str">
        <f>IF(ISNA(VLOOKUP((ROW(B576)-15),'List of tables'!$A$4:$H$621,3,FALSE))," ",VLOOKUP((ROW(B576)-15),'List of tables'!$A$4:$H$621,3,FALSE))</f>
        <v>Approximated Social Grade (Daytime Population)</v>
      </c>
      <c r="C574" s="21" t="str">
        <f>IF(ISNA(VLOOKUP((ROW(H576)-15),'List of tables'!$A$4:$H$621,8,FALSE))," ",VLOOKUP((ROW(H576)-15),'List of tables'!$A$4:$H$621,8,FALSE))</f>
        <v>All daytime population aged 16 to 64</v>
      </c>
      <c r="D574" s="21" t="str">
        <f>IF(ISNA(VLOOKUP((ROW(D576)-15),'List of tables'!$A$4:$H$621,5,FALSE))," ",VLOOKUP((ROW(D576)-15),'List of tables'!$A$4:$H$621,5,FALSE))</f>
        <v>Small Area, Super Output Area, Electoral Ward, Local Government District, Assembly Area, NUTS3, Education and Library Board, Health and Social Care Trust, Northern Ireland</v>
      </c>
      <c r="E574" s="22" t="str">
        <f t="shared" si="7"/>
        <v>Link to files</v>
      </c>
      <c r="G574" s="18" t="str">
        <f>IF(ISNA(VLOOKUP((ROW(G576)-15),'List of tables'!$A$4:$H$621,6,FALSE))," ",VLOOKUP((ROW(G576)-15),'List of tables'!$A$4:$H$621,6,FALSE))</f>
        <v>http://www.ninis2.nisra.gov.uk/public/SearchResults.aspx?sk=DT606NI;</v>
      </c>
    </row>
    <row r="575" spans="1:7" ht="70" customHeight="1" x14ac:dyDescent="0.3">
      <c r="A575" s="23" t="str">
        <f>IF(ISNA(VLOOKUP((ROW(A577)-15),'List of tables'!$A$4:$H$621,2,FALSE))," ",VLOOKUP((ROW(A577)-15),'List of tables'!$A$4:$H$621,2,FALSE))</f>
        <v>DT701NI</v>
      </c>
      <c r="B575" s="21" t="str">
        <f>IF(ISNA(VLOOKUP((ROW(B577)-15),'List of tables'!$A$4:$H$621,3,FALSE))," ",VLOOKUP((ROW(B577)-15),'List of tables'!$A$4:$H$621,3,FALSE))</f>
        <v>Method of Travel to Work or Place of Study (Daytime Population)</v>
      </c>
      <c r="C575" s="21" t="str">
        <f>IF(ISNA(VLOOKUP((ROW(H577)-15),'List of tables'!$A$4:$H$621,8,FALSE))," ",VLOOKUP((ROW(H577)-15),'List of tables'!$A$4:$H$621,8,FALSE))</f>
        <v>All daytime population aged 16 to 74</v>
      </c>
      <c r="D575" s="21" t="str">
        <f>IF(ISNA(VLOOKUP((ROW(D577)-15),'List of tables'!$A$4:$H$621,5,FALSE))," ",VLOOKUP((ROW(D577)-15),'List of tables'!$A$4:$H$621,5,FALSE))</f>
        <v>Super Output Area, Electoral Ward, Local Government District, Assembly Area, NUTS3, Education and Library Board, Health and Social Care Trust, Northern Ireland</v>
      </c>
      <c r="E575" s="22" t="str">
        <f t="shared" si="7"/>
        <v>Link to files</v>
      </c>
      <c r="G575" s="18" t="str">
        <f>IF(ISNA(VLOOKUP((ROW(G577)-15),'List of tables'!$A$4:$H$621,6,FALSE))," ",VLOOKUP((ROW(G577)-15),'List of tables'!$A$4:$H$621,6,FALSE))</f>
        <v>http://www.ninis2.nisra.gov.uk/public/SearchResults.aspx?sk=DT701NI;</v>
      </c>
    </row>
    <row r="576" spans="1:7" ht="70" customHeight="1" x14ac:dyDescent="0.3">
      <c r="A576" s="23" t="str">
        <f>IF(ISNA(VLOOKUP((ROW(A578)-15),'List of tables'!$A$4:$H$621,2,FALSE))," ",VLOOKUP((ROW(A578)-15),'List of tables'!$A$4:$H$621,2,FALSE))</f>
        <v>DT702NI</v>
      </c>
      <c r="B576" s="21" t="str">
        <f>IF(ISNA(VLOOKUP((ROW(B578)-15),'List of tables'!$A$4:$H$621,3,FALSE))," ",VLOOKUP((ROW(B578)-15),'List of tables'!$A$4:$H$621,3,FALSE))</f>
        <v>Distance Travelled to Work or Place of Study (Daytime Population)</v>
      </c>
      <c r="C576" s="21" t="str">
        <f>IF(ISNA(VLOOKUP((ROW(H578)-15),'List of tables'!$A$4:$H$621,8,FALSE))," ",VLOOKUP((ROW(H578)-15),'List of tables'!$A$4:$H$621,8,FALSE))</f>
        <v>All daytime population aged 16 to 74</v>
      </c>
      <c r="D576" s="21" t="str">
        <f>IF(ISNA(VLOOKUP((ROW(D578)-15),'List of tables'!$A$4:$H$621,5,FALSE))," ",VLOOKUP((ROW(D578)-15),'List of tables'!$A$4:$H$621,5,FALSE))</f>
        <v>Super Output Area, Electoral Ward, Local Government District, Assembly Area, NUTS3, Education and Library Board, Health and Social Care Trust, Northern Ireland</v>
      </c>
      <c r="E576" s="22" t="str">
        <f t="shared" si="7"/>
        <v>Link to files</v>
      </c>
      <c r="G576" s="18" t="str">
        <f>IF(ISNA(VLOOKUP((ROW(G578)-15),'List of tables'!$A$4:$H$621,6,FALSE))," ",VLOOKUP((ROW(G578)-15),'List of tables'!$A$4:$H$621,6,FALSE))</f>
        <v>http://www.ninis2.nisra.gov.uk/public/SearchResults.aspx?sk=DT702NI;</v>
      </c>
    </row>
    <row r="577" spans="1:7" ht="70" customHeight="1" x14ac:dyDescent="0.3">
      <c r="A577" s="23" t="str">
        <f>IF(ISNA(VLOOKUP((ROW(A579)-15),'List of tables'!$A$4:$H$621,2,FALSE))," ",VLOOKUP((ROW(A579)-15),'List of tables'!$A$4:$H$621,2,FALSE))</f>
        <v>ST101NI</v>
      </c>
      <c r="B577" s="21" t="str">
        <f>IF(ISNA(VLOOKUP((ROW(B579)-15),'List of tables'!$A$4:$H$621,3,FALSE))," ",VLOOKUP((ROW(B579)-15),'List of tables'!$A$4:$H$621,3,FALSE))</f>
        <v>Residence Type (Short-Term Residents)</v>
      </c>
      <c r="C577" s="21" t="str">
        <f>IF(ISNA(VLOOKUP((ROW(H579)-15),'List of tables'!$A$4:$H$621,8,FALSE))," ",VLOOKUP((ROW(H579)-15),'List of tables'!$A$4:$H$621,8,FALSE))</f>
        <v>All non-UK born short-term residents</v>
      </c>
      <c r="D577" s="21" t="str">
        <f>IF(ISNA(VLOOKUP((ROW(D579)-15),'List of tables'!$A$4:$H$621,5,FALSE))," ",VLOOKUP((ROW(D579)-15),'List of tables'!$A$4:$H$621,5,FALSE))</f>
        <v>Northern Ireland</v>
      </c>
      <c r="E577" s="22" t="str">
        <f t="shared" si="7"/>
        <v>Link to files</v>
      </c>
      <c r="G577" s="18" t="str">
        <f>IF(ISNA(VLOOKUP((ROW(G579)-15),'List of tables'!$A$4:$H$621,6,FALSE))," ",VLOOKUP((ROW(G579)-15),'List of tables'!$A$4:$H$621,6,FALSE))</f>
        <v>http://www.ninis2.nisra.gov.uk/public/SearchResults.aspx?sk=ST101NI;</v>
      </c>
    </row>
    <row r="578" spans="1:7" ht="70" customHeight="1" x14ac:dyDescent="0.3">
      <c r="A578" s="23" t="str">
        <f>IF(ISNA(VLOOKUP((ROW(A580)-15),'List of tables'!$A$4:$H$621,2,FALSE))," ",VLOOKUP((ROW(A580)-15),'List of tables'!$A$4:$H$621,2,FALSE))</f>
        <v>ST102NI</v>
      </c>
      <c r="B578" s="21" t="str">
        <f>IF(ISNA(VLOOKUP((ROW(B580)-15),'List of tables'!$A$4:$H$621,3,FALSE))," ",VLOOKUP((ROW(B580)-15),'List of tables'!$A$4:$H$621,3,FALSE))</f>
        <v>Population Density (Short-Term Residents)</v>
      </c>
      <c r="C578" s="21" t="str">
        <f>IF(ISNA(VLOOKUP((ROW(H580)-15),'List of tables'!$A$4:$H$621,8,FALSE))," ",VLOOKUP((ROW(H580)-15),'List of tables'!$A$4:$H$621,8,FALSE))</f>
        <v>All non-UK born short-term residents</v>
      </c>
      <c r="D578" s="21" t="str">
        <f>IF(ISNA(VLOOKUP((ROW(D580)-15),'List of tables'!$A$4:$H$621,5,FALSE))," ",VLOOKUP((ROW(D580)-15),'List of tables'!$A$4:$H$621,5,FALSE))</f>
        <v>Local Government District, Northern Ireland</v>
      </c>
      <c r="E578" s="22" t="str">
        <f t="shared" si="7"/>
        <v>Link to files</v>
      </c>
      <c r="G578" s="18" t="str">
        <f>IF(ISNA(VLOOKUP((ROW(G580)-15),'List of tables'!$A$4:$H$621,6,FALSE))," ",VLOOKUP((ROW(G580)-15),'List of tables'!$A$4:$H$621,6,FALSE))</f>
        <v>http://www.ninis2.nisra.gov.uk/public/SearchResults.aspx?sk=ST102NI;</v>
      </c>
    </row>
    <row r="579" spans="1:7" ht="70" customHeight="1" x14ac:dyDescent="0.3">
      <c r="A579" s="23" t="str">
        <f>IF(ISNA(VLOOKUP((ROW(A581)-15),'List of tables'!$A$4:$H$621,2,FALSE))," ",VLOOKUP((ROW(A581)-15),'List of tables'!$A$4:$H$621,2,FALSE))</f>
        <v>ST103NI</v>
      </c>
      <c r="B579" s="21" t="str">
        <f>IF(ISNA(VLOOKUP((ROW(B581)-15),'List of tables'!$A$4:$H$621,3,FALSE))," ",VLOOKUP((ROW(B581)-15),'List of tables'!$A$4:$H$621,3,FALSE))</f>
        <v>Sex by Single Year of Age (Short-Term Residents)</v>
      </c>
      <c r="C579" s="21" t="str">
        <f>IF(ISNA(VLOOKUP((ROW(H581)-15),'List of tables'!$A$4:$H$621,8,FALSE))," ",VLOOKUP((ROW(H581)-15),'List of tables'!$A$4:$H$621,8,FALSE))</f>
        <v>All non-UK born short-term residents</v>
      </c>
      <c r="D579" s="21" t="str">
        <f>IF(ISNA(VLOOKUP((ROW(D581)-15),'List of tables'!$A$4:$H$621,5,FALSE))," ",VLOOKUP((ROW(D581)-15),'List of tables'!$A$4:$H$621,5,FALSE))</f>
        <v>Northern Ireland</v>
      </c>
      <c r="E579" s="22" t="str">
        <f t="shared" si="7"/>
        <v>Link to files</v>
      </c>
      <c r="G579" s="18" t="str">
        <f>IF(ISNA(VLOOKUP((ROW(G581)-15),'List of tables'!$A$4:$H$621,6,FALSE))," ",VLOOKUP((ROW(G581)-15),'List of tables'!$A$4:$H$621,6,FALSE))</f>
        <v>http://www.ninis2.nisra.gov.uk/public/SearchResults.aspx?sk=ST103NI;</v>
      </c>
    </row>
    <row r="580" spans="1:7" ht="70" customHeight="1" x14ac:dyDescent="0.3">
      <c r="A580" s="23" t="str">
        <f>IF(ISNA(VLOOKUP((ROW(A582)-15),'List of tables'!$A$4:$H$621,2,FALSE))," ",VLOOKUP((ROW(A582)-15),'List of tables'!$A$4:$H$621,2,FALSE))</f>
        <v>ST201NI</v>
      </c>
      <c r="B580" s="21" t="str">
        <f>IF(ISNA(VLOOKUP((ROW(B582)-15),'List of tables'!$A$4:$H$621,3,FALSE))," ",VLOOKUP((ROW(B582)-15),'List of tables'!$A$4:$H$621,3,FALSE))</f>
        <v>Ethnic Group (Short-Term Residents)</v>
      </c>
      <c r="C580" s="21" t="str">
        <f>IF(ISNA(VLOOKUP((ROW(H582)-15),'List of tables'!$A$4:$H$621,8,FALSE))," ",VLOOKUP((ROW(H582)-15),'List of tables'!$A$4:$H$621,8,FALSE))</f>
        <v>All non-UK born short-term residents</v>
      </c>
      <c r="D580" s="21" t="str">
        <f>IF(ISNA(VLOOKUP((ROW(D582)-15),'List of tables'!$A$4:$H$621,5,FALSE))," ",VLOOKUP((ROW(D582)-15),'List of tables'!$A$4:$H$621,5,FALSE))</f>
        <v>Northern Ireland</v>
      </c>
      <c r="E580" s="22" t="str">
        <f t="shared" si="7"/>
        <v>Link to files</v>
      </c>
      <c r="G580" s="18" t="str">
        <f>IF(ISNA(VLOOKUP((ROW(G582)-15),'List of tables'!$A$4:$H$621,6,FALSE))," ",VLOOKUP((ROW(G582)-15),'List of tables'!$A$4:$H$621,6,FALSE))</f>
        <v>http://www.ninis2.nisra.gov.uk/public/SearchResults.aspx?sk=ST201NI;</v>
      </c>
    </row>
    <row r="581" spans="1:7" ht="70" customHeight="1" x14ac:dyDescent="0.3">
      <c r="A581" s="23" t="str">
        <f>IF(ISNA(VLOOKUP((ROW(A583)-15),'List of tables'!$A$4:$H$621,2,FALSE))," ",VLOOKUP((ROW(A583)-15),'List of tables'!$A$4:$H$621,2,FALSE))</f>
        <v>ST202NI</v>
      </c>
      <c r="B581" s="21" t="str">
        <f>IF(ISNA(VLOOKUP((ROW(B583)-15),'List of tables'!$A$4:$H$621,3,FALSE))," ",VLOOKUP((ROW(B583)-15),'List of tables'!$A$4:$H$621,3,FALSE))</f>
        <v>Country of Birth - Intermediate Detail (Short-Term Residents)</v>
      </c>
      <c r="C581" s="21" t="str">
        <f>IF(ISNA(VLOOKUP((ROW(H583)-15),'List of tables'!$A$4:$H$621,8,FALSE))," ",VLOOKUP((ROW(H583)-15),'List of tables'!$A$4:$H$621,8,FALSE))</f>
        <v>All non-UK born short-term residents</v>
      </c>
      <c r="D581" s="21" t="str">
        <f>IF(ISNA(VLOOKUP((ROW(D583)-15),'List of tables'!$A$4:$H$621,5,FALSE))," ",VLOOKUP((ROW(D583)-15),'List of tables'!$A$4:$H$621,5,FALSE))</f>
        <v>Northern Ireland</v>
      </c>
      <c r="E581" s="22" t="str">
        <f t="shared" si="7"/>
        <v>Link to files</v>
      </c>
      <c r="G581" s="18" t="str">
        <f>IF(ISNA(VLOOKUP((ROW(G583)-15),'List of tables'!$A$4:$H$621,6,FALSE))," ",VLOOKUP((ROW(G583)-15),'List of tables'!$A$4:$H$621,6,FALSE))</f>
        <v>http://www.ninis2.nisra.gov.uk/public/SearchResults.aspx?sk=ST202NI;</v>
      </c>
    </row>
    <row r="582" spans="1:7" ht="70" customHeight="1" x14ac:dyDescent="0.3">
      <c r="A582" s="23" t="str">
        <f>IF(ISNA(VLOOKUP((ROW(A584)-15),'List of tables'!$A$4:$H$621,2,FALSE))," ",VLOOKUP((ROW(A584)-15),'List of tables'!$A$4:$H$621,2,FALSE))</f>
        <v>ST203NI</v>
      </c>
      <c r="B582" s="21" t="str">
        <f>IF(ISNA(VLOOKUP((ROW(B584)-15),'List of tables'!$A$4:$H$621,3,FALSE))," ",VLOOKUP((ROW(B584)-15),'List of tables'!$A$4:$H$621,3,FALSE))</f>
        <v>Main Language (Short-Term Residents)</v>
      </c>
      <c r="C582" s="21" t="str">
        <f>IF(ISNA(VLOOKUP((ROW(H584)-15),'List of tables'!$A$4:$H$621,8,FALSE))," ",VLOOKUP((ROW(H584)-15),'List of tables'!$A$4:$H$621,8,FALSE))</f>
        <v>All non-UK born short-term residents aged 3 and over</v>
      </c>
      <c r="D582" s="21" t="str">
        <f>IF(ISNA(VLOOKUP((ROW(D584)-15),'List of tables'!$A$4:$H$621,5,FALSE))," ",VLOOKUP((ROW(D584)-15),'List of tables'!$A$4:$H$621,5,FALSE))</f>
        <v>Northern Ireland</v>
      </c>
      <c r="E582" s="22" t="str">
        <f t="shared" si="7"/>
        <v>Link to files</v>
      </c>
      <c r="G582" s="18" t="str">
        <f>IF(ISNA(VLOOKUP((ROW(G584)-15),'List of tables'!$A$4:$H$621,6,FALSE))," ",VLOOKUP((ROW(G584)-15),'List of tables'!$A$4:$H$621,6,FALSE))</f>
        <v>http://www.ninis2.nisra.gov.uk/public/SearchResults.aspx?sk=ST203NI;</v>
      </c>
    </row>
    <row r="583" spans="1:7" ht="70" customHeight="1" x14ac:dyDescent="0.3">
      <c r="A583" s="23" t="str">
        <f>IF(ISNA(VLOOKUP((ROW(A585)-15),'List of tables'!$A$4:$H$621,2,FALSE))," ",VLOOKUP((ROW(A585)-15),'List of tables'!$A$4:$H$621,2,FALSE))</f>
        <v>ST204NI</v>
      </c>
      <c r="B583" s="21" t="str">
        <f>IF(ISNA(VLOOKUP((ROW(B585)-15),'List of tables'!$A$4:$H$621,3,FALSE))," ",VLOOKUP((ROW(B585)-15),'List of tables'!$A$4:$H$621,3,FALSE))</f>
        <v>Religion (Short-Term Residents)</v>
      </c>
      <c r="C583" s="21" t="str">
        <f>IF(ISNA(VLOOKUP((ROW(H585)-15),'List of tables'!$A$4:$H$621,8,FALSE))," ",VLOOKUP((ROW(H585)-15),'List of tables'!$A$4:$H$621,8,FALSE))</f>
        <v>All non-UK born short-term residents</v>
      </c>
      <c r="D583" s="21" t="str">
        <f>IF(ISNA(VLOOKUP((ROW(D585)-15),'List of tables'!$A$4:$H$621,5,FALSE))," ",VLOOKUP((ROW(D585)-15),'List of tables'!$A$4:$H$621,5,FALSE))</f>
        <v>Northern Ireland</v>
      </c>
      <c r="E583" s="22" t="str">
        <f t="shared" si="7"/>
        <v>Link to files</v>
      </c>
      <c r="G583" s="18" t="str">
        <f>IF(ISNA(VLOOKUP((ROW(G585)-15),'List of tables'!$A$4:$H$621,6,FALSE))," ",VLOOKUP((ROW(G585)-15),'List of tables'!$A$4:$H$621,6,FALSE))</f>
        <v>http://www.ninis2.nisra.gov.uk/public/SearchResults.aspx?sk=ST204NI;</v>
      </c>
    </row>
    <row r="584" spans="1:7" ht="70" customHeight="1" x14ac:dyDescent="0.3">
      <c r="A584" s="23" t="str">
        <f>IF(ISNA(VLOOKUP((ROW(A586)-15),'List of tables'!$A$4:$H$621,2,FALSE))," ",VLOOKUP((ROW(A586)-15),'List of tables'!$A$4:$H$621,2,FALSE))</f>
        <v>ST205NI</v>
      </c>
      <c r="B584" s="21" t="str">
        <f>IF(ISNA(VLOOKUP((ROW(B586)-15),'List of tables'!$A$4:$H$621,3,FALSE))," ",VLOOKUP((ROW(B586)-15),'List of tables'!$A$4:$H$621,3,FALSE))</f>
        <v>Religion or Religion Brought Up In (Short-Term Residents)</v>
      </c>
      <c r="C584" s="21" t="str">
        <f>IF(ISNA(VLOOKUP((ROW(H586)-15),'List of tables'!$A$4:$H$621,8,FALSE))," ",VLOOKUP((ROW(H586)-15),'List of tables'!$A$4:$H$621,8,FALSE))</f>
        <v>All non-UK born short-term residents</v>
      </c>
      <c r="D584" s="21" t="str">
        <f>IF(ISNA(VLOOKUP((ROW(D586)-15),'List of tables'!$A$4:$H$621,5,FALSE))," ",VLOOKUP((ROW(D586)-15),'List of tables'!$A$4:$H$621,5,FALSE))</f>
        <v>Northern Ireland</v>
      </c>
      <c r="E584" s="22" t="str">
        <f t="shared" si="7"/>
        <v>Link to files</v>
      </c>
      <c r="G584" s="18" t="str">
        <f>IF(ISNA(VLOOKUP((ROW(G586)-15),'List of tables'!$A$4:$H$621,6,FALSE))," ",VLOOKUP((ROW(G586)-15),'List of tables'!$A$4:$H$621,6,FALSE))</f>
        <v>http://www.ninis2.nisra.gov.uk/public/SearchResults.aspx?sk=ST205NI;</v>
      </c>
    </row>
    <row r="585" spans="1:7" ht="70" customHeight="1" x14ac:dyDescent="0.3">
      <c r="A585" s="23" t="str">
        <f>IF(ISNA(VLOOKUP((ROW(A587)-15),'List of tables'!$A$4:$H$621,2,FALSE))," ",VLOOKUP((ROW(A587)-15),'List of tables'!$A$4:$H$621,2,FALSE))</f>
        <v>ST206NI</v>
      </c>
      <c r="B585" s="21" t="str">
        <f>IF(ISNA(VLOOKUP((ROW(B587)-15),'List of tables'!$A$4:$H$621,3,FALSE))," ",VLOOKUP((ROW(B587)-15),'List of tables'!$A$4:$H$621,3,FALSE))</f>
        <v>Passports Held (Classification 1) (Short-Term Residents)</v>
      </c>
      <c r="C585" s="21" t="str">
        <f>IF(ISNA(VLOOKUP((ROW(H587)-15),'List of tables'!$A$4:$H$621,8,FALSE))," ",VLOOKUP((ROW(H587)-15),'List of tables'!$A$4:$H$621,8,FALSE))</f>
        <v>All non-UK born short-term residents</v>
      </c>
      <c r="D585" s="21" t="str">
        <f>IF(ISNA(VLOOKUP((ROW(D587)-15),'List of tables'!$A$4:$H$621,5,FALSE))," ",VLOOKUP((ROW(D587)-15),'List of tables'!$A$4:$H$621,5,FALSE))</f>
        <v>Northern Ireland</v>
      </c>
      <c r="E585" s="22" t="str">
        <f t="shared" si="7"/>
        <v>Link to files</v>
      </c>
      <c r="G585" s="18" t="str">
        <f>IF(ISNA(VLOOKUP((ROW(G587)-15),'List of tables'!$A$4:$H$621,6,FALSE))," ",VLOOKUP((ROW(G587)-15),'List of tables'!$A$4:$H$621,6,FALSE))</f>
        <v>http://www.ninis2.nisra.gov.uk/public/SearchResults.aspx?sk=ST206NI;</v>
      </c>
    </row>
    <row r="586" spans="1:7" ht="70" customHeight="1" x14ac:dyDescent="0.3">
      <c r="A586" s="23" t="str">
        <f>IF(ISNA(VLOOKUP((ROW(A588)-15),'List of tables'!$A$4:$H$621,2,FALSE))," ",VLOOKUP((ROW(A588)-15),'List of tables'!$A$4:$H$621,2,FALSE))</f>
        <v>ST207NI</v>
      </c>
      <c r="B586" s="21" t="str">
        <f>IF(ISNA(VLOOKUP((ROW(B588)-15),'List of tables'!$A$4:$H$621,3,FALSE))," ",VLOOKUP((ROW(B588)-15),'List of tables'!$A$4:$H$621,3,FALSE))</f>
        <v>Passports Held (Classification 2) (Short-Term Residents)</v>
      </c>
      <c r="C586" s="21" t="str">
        <f>IF(ISNA(VLOOKUP((ROW(H588)-15),'List of tables'!$A$4:$H$621,8,FALSE))," ",VLOOKUP((ROW(H588)-15),'List of tables'!$A$4:$H$621,8,FALSE))</f>
        <v>All non-UK born short-term residents</v>
      </c>
      <c r="D586" s="21" t="str">
        <f>IF(ISNA(VLOOKUP((ROW(D588)-15),'List of tables'!$A$4:$H$621,5,FALSE))," ",VLOOKUP((ROW(D588)-15),'List of tables'!$A$4:$H$621,5,FALSE))</f>
        <v>Northern Ireland</v>
      </c>
      <c r="E586" s="22" t="str">
        <f t="shared" si="7"/>
        <v>Link to files</v>
      </c>
      <c r="G586" s="18" t="str">
        <f>IF(ISNA(VLOOKUP((ROW(G588)-15),'List of tables'!$A$4:$H$621,6,FALSE))," ",VLOOKUP((ROW(G588)-15),'List of tables'!$A$4:$H$621,6,FALSE))</f>
        <v>http://www.ninis2.nisra.gov.uk/public/SearchResults.aspx?sk=ST207NI;</v>
      </c>
    </row>
    <row r="587" spans="1:7" ht="70" customHeight="1" x14ac:dyDescent="0.3">
      <c r="A587" s="23" t="str">
        <f>IF(ISNA(VLOOKUP((ROW(A589)-15),'List of tables'!$A$4:$H$621,2,FALSE))," ",VLOOKUP((ROW(A589)-15),'List of tables'!$A$4:$H$621,2,FALSE))</f>
        <v>ST301NI</v>
      </c>
      <c r="B587" s="21" t="str">
        <f>IF(ISNA(VLOOKUP((ROW(B589)-15),'List of tables'!$A$4:$H$621,3,FALSE))," ",VLOOKUP((ROW(B589)-15),'List of tables'!$A$4:$H$621,3,FALSE))</f>
        <v>Provision of Unpaid Care (Short-Term Residents)</v>
      </c>
      <c r="C587" s="21" t="str">
        <f>IF(ISNA(VLOOKUP((ROW(H589)-15),'List of tables'!$A$4:$H$621,8,FALSE))," ",VLOOKUP((ROW(H589)-15),'List of tables'!$A$4:$H$621,8,FALSE))</f>
        <v>All non-UK born short-term residents</v>
      </c>
      <c r="D587" s="21" t="str">
        <f>IF(ISNA(VLOOKUP((ROW(D589)-15),'List of tables'!$A$4:$H$621,5,FALSE))," ",VLOOKUP((ROW(D589)-15),'List of tables'!$A$4:$H$621,5,FALSE))</f>
        <v>Northern Ireland</v>
      </c>
      <c r="E587" s="22" t="str">
        <f t="shared" si="7"/>
        <v>Link to files</v>
      </c>
      <c r="G587" s="18" t="str">
        <f>IF(ISNA(VLOOKUP((ROW(G589)-15),'List of tables'!$A$4:$H$621,6,FALSE))," ",VLOOKUP((ROW(G589)-15),'List of tables'!$A$4:$H$621,6,FALSE))</f>
        <v>http://www.ninis2.nisra.gov.uk/public/SearchResults.aspx?sk=ST301NI;</v>
      </c>
    </row>
    <row r="588" spans="1:7" ht="70" customHeight="1" x14ac:dyDescent="0.3">
      <c r="A588" s="23" t="str">
        <f>IF(ISNA(VLOOKUP((ROW(A590)-15),'List of tables'!$A$4:$H$621,2,FALSE))," ",VLOOKUP((ROW(A590)-15),'List of tables'!$A$4:$H$621,2,FALSE))</f>
        <v>ST302NI</v>
      </c>
      <c r="B588" s="21" t="str">
        <f>IF(ISNA(VLOOKUP((ROW(B590)-15),'List of tables'!$A$4:$H$621,3,FALSE))," ",VLOOKUP((ROW(B590)-15),'List of tables'!$A$4:$H$621,3,FALSE))</f>
        <v>General Health (Short-Term Residents)</v>
      </c>
      <c r="C588" s="21" t="str">
        <f>IF(ISNA(VLOOKUP((ROW(H590)-15),'List of tables'!$A$4:$H$621,8,FALSE))," ",VLOOKUP((ROW(H590)-15),'List of tables'!$A$4:$H$621,8,FALSE))</f>
        <v>All non-UK born short-term residents</v>
      </c>
      <c r="D588" s="21" t="str">
        <f>IF(ISNA(VLOOKUP((ROW(D590)-15),'List of tables'!$A$4:$H$621,5,FALSE))," ",VLOOKUP((ROW(D590)-15),'List of tables'!$A$4:$H$621,5,FALSE))</f>
        <v>Northern Ireland</v>
      </c>
      <c r="E588" s="22" t="str">
        <f t="shared" si="7"/>
        <v>Link to files</v>
      </c>
      <c r="G588" s="18" t="str">
        <f>IF(ISNA(VLOOKUP((ROW(G590)-15),'List of tables'!$A$4:$H$621,6,FALSE))," ",VLOOKUP((ROW(G590)-15),'List of tables'!$A$4:$H$621,6,FALSE))</f>
        <v>http://www.ninis2.nisra.gov.uk/public/SearchResults.aspx?sk=ST302NI;</v>
      </c>
    </row>
    <row r="589" spans="1:7" ht="70" customHeight="1" x14ac:dyDescent="0.3">
      <c r="A589" s="23" t="str">
        <f>IF(ISNA(VLOOKUP((ROW(A591)-15),'List of tables'!$A$4:$H$621,2,FALSE))," ",VLOOKUP((ROW(A591)-15),'List of tables'!$A$4:$H$621,2,FALSE))</f>
        <v>ST401NI</v>
      </c>
      <c r="B589" s="21" t="str">
        <f>IF(ISNA(VLOOKUP((ROW(B591)-15),'List of tables'!$A$4:$H$621,3,FALSE))," ",VLOOKUP((ROW(B591)-15),'List of tables'!$A$4:$H$621,3,FALSE))</f>
        <v>Tenure - Short-Term Residents</v>
      </c>
      <c r="C589" s="21" t="str">
        <f>IF(ISNA(VLOOKUP((ROW(H591)-15),'List of tables'!$A$4:$H$621,8,FALSE))," ",VLOOKUP((ROW(H591)-15),'List of tables'!$A$4:$H$621,8,FALSE))</f>
        <v>All non-UK born short-term residents in households</v>
      </c>
      <c r="D589" s="21" t="str">
        <f>IF(ISNA(VLOOKUP((ROW(D591)-15),'List of tables'!$A$4:$H$621,5,FALSE))," ",VLOOKUP((ROW(D591)-15),'List of tables'!$A$4:$H$621,5,FALSE))</f>
        <v>Northern Ireland</v>
      </c>
      <c r="E589" s="22" t="str">
        <f t="shared" si="7"/>
        <v>Link to files</v>
      </c>
      <c r="G589" s="18" t="str">
        <f>IF(ISNA(VLOOKUP((ROW(G591)-15),'List of tables'!$A$4:$H$621,6,FALSE))," ",VLOOKUP((ROW(G591)-15),'List of tables'!$A$4:$H$621,6,FALSE))</f>
        <v>http://www.ninis2.nisra.gov.uk/public/SearchResults.aspx?sk=ST401NI;</v>
      </c>
    </row>
    <row r="590" spans="1:7" ht="70" customHeight="1" x14ac:dyDescent="0.3">
      <c r="A590" s="23" t="str">
        <f>IF(ISNA(VLOOKUP((ROW(A592)-15),'List of tables'!$A$4:$H$621,2,FALSE))," ",VLOOKUP((ROW(A592)-15),'List of tables'!$A$4:$H$621,2,FALSE))</f>
        <v>ST601NI</v>
      </c>
      <c r="B590" s="21" t="str">
        <f>IF(ISNA(VLOOKUP((ROW(B592)-15),'List of tables'!$A$4:$H$621,3,FALSE))," ",VLOOKUP((ROW(B592)-15),'List of tables'!$A$4:$H$621,3,FALSE))</f>
        <v>Economic Activity (Short-Term Residents)</v>
      </c>
      <c r="C590" s="21" t="str">
        <f>IF(ISNA(VLOOKUP((ROW(H592)-15),'List of tables'!$A$4:$H$621,8,FALSE))," ",VLOOKUP((ROW(H592)-15),'List of tables'!$A$4:$H$621,8,FALSE))</f>
        <v>All non-UK born short-term residents aged 16 to 74</v>
      </c>
      <c r="D590" s="21" t="str">
        <f>IF(ISNA(VLOOKUP((ROW(D592)-15),'List of tables'!$A$4:$H$621,5,FALSE))," ",VLOOKUP((ROW(D592)-15),'List of tables'!$A$4:$H$621,5,FALSE))</f>
        <v>Northern Ireland</v>
      </c>
      <c r="E590" s="22" t="str">
        <f t="shared" si="7"/>
        <v>Link to files</v>
      </c>
      <c r="G590" s="18" t="str">
        <f>IF(ISNA(VLOOKUP((ROW(G592)-15),'List of tables'!$A$4:$H$621,6,FALSE))," ",VLOOKUP((ROW(G592)-15),'List of tables'!$A$4:$H$621,6,FALSE))</f>
        <v>http://www.ninis2.nisra.gov.uk/public/SearchResults.aspx?sk=ST601NI;</v>
      </c>
    </row>
    <row r="591" spans="1:7" ht="70" customHeight="1" x14ac:dyDescent="0.3">
      <c r="A591" s="23" t="str">
        <f>IF(ISNA(VLOOKUP((ROW(A593)-15),'List of tables'!$A$4:$H$621,2,FALSE))," ",VLOOKUP((ROW(A593)-15),'List of tables'!$A$4:$H$621,2,FALSE))</f>
        <v>ST602NI</v>
      </c>
      <c r="B591" s="21" t="str">
        <f>IF(ISNA(VLOOKUP((ROW(B593)-15),'List of tables'!$A$4:$H$621,3,FALSE))," ",VLOOKUP((ROW(B593)-15),'List of tables'!$A$4:$H$621,3,FALSE))</f>
        <v>Hours Worked (Short-Term Residents)</v>
      </c>
      <c r="C591" s="21" t="str">
        <f>IF(ISNA(VLOOKUP((ROW(H593)-15),'List of tables'!$A$4:$H$621,8,FALSE))," ",VLOOKUP((ROW(H593)-15),'List of tables'!$A$4:$H$621,8,FALSE))</f>
        <v>All non-UK born short-term residents aged 16 to 74 in employment</v>
      </c>
      <c r="D591" s="21" t="str">
        <f>IF(ISNA(VLOOKUP((ROW(D593)-15),'List of tables'!$A$4:$H$621,5,FALSE))," ",VLOOKUP((ROW(D593)-15),'List of tables'!$A$4:$H$621,5,FALSE))</f>
        <v>Northern Ireland</v>
      </c>
      <c r="E591" s="22" t="str">
        <f t="shared" ref="E591:E633" si="8">IF(LEN(G591)&lt;10,"",HYPERLINK(G591,"Link to files"))</f>
        <v>Link to files</v>
      </c>
      <c r="G591" s="18" t="str">
        <f>IF(ISNA(VLOOKUP((ROW(G593)-15),'List of tables'!$A$4:$H$621,6,FALSE))," ",VLOOKUP((ROW(G593)-15),'List of tables'!$A$4:$H$621,6,FALSE))</f>
        <v>http://www.ninis2.nisra.gov.uk/public/SearchResults.aspx?sk=ST602NI;</v>
      </c>
    </row>
    <row r="592" spans="1:7" ht="70" customHeight="1" x14ac:dyDescent="0.3">
      <c r="A592" s="23" t="str">
        <f>IF(ISNA(VLOOKUP((ROW(A594)-15),'List of tables'!$A$4:$H$621,2,FALSE))," ",VLOOKUP((ROW(A594)-15),'List of tables'!$A$4:$H$621,2,FALSE))</f>
        <v>ST603NI</v>
      </c>
      <c r="B592" s="21" t="str">
        <f>IF(ISNA(VLOOKUP((ROW(B594)-15),'List of tables'!$A$4:$H$621,3,FALSE))," ",VLOOKUP((ROW(B594)-15),'List of tables'!$A$4:$H$621,3,FALSE))</f>
        <v>Industry of Employment (Short-Term Residents)</v>
      </c>
      <c r="C592" s="21" t="str">
        <f>IF(ISNA(VLOOKUP((ROW(H594)-15),'List of tables'!$A$4:$H$621,8,FALSE))," ",VLOOKUP((ROW(H594)-15),'List of tables'!$A$4:$H$621,8,FALSE))</f>
        <v>All non-UK born short-term residents aged 16 to 74 in employment</v>
      </c>
      <c r="D592" s="21" t="str">
        <f>IF(ISNA(VLOOKUP((ROW(D594)-15),'List of tables'!$A$4:$H$621,5,FALSE))," ",VLOOKUP((ROW(D594)-15),'List of tables'!$A$4:$H$621,5,FALSE))</f>
        <v>Northern Ireland</v>
      </c>
      <c r="E592" s="22" t="str">
        <f t="shared" si="8"/>
        <v>Link to files</v>
      </c>
      <c r="G592" s="18" t="str">
        <f>IF(ISNA(VLOOKUP((ROW(G594)-15),'List of tables'!$A$4:$H$621,6,FALSE))," ",VLOOKUP((ROW(G594)-15),'List of tables'!$A$4:$H$621,6,FALSE))</f>
        <v>http://www.ninis2.nisra.gov.uk/public/SearchResults.aspx?sk=ST603NI;</v>
      </c>
    </row>
    <row r="593" spans="1:7" ht="70" customHeight="1" x14ac:dyDescent="0.3">
      <c r="A593" s="23" t="str">
        <f>IF(ISNA(VLOOKUP((ROW(A595)-15),'List of tables'!$A$4:$H$621,2,FALSE))," ",VLOOKUP((ROW(A595)-15),'List of tables'!$A$4:$H$621,2,FALSE))</f>
        <v>ST604NI</v>
      </c>
      <c r="B593" s="21" t="str">
        <f>IF(ISNA(VLOOKUP((ROW(B595)-15),'List of tables'!$A$4:$H$621,3,FALSE))," ",VLOOKUP((ROW(B595)-15),'List of tables'!$A$4:$H$621,3,FALSE))</f>
        <v>Occupation (Short-Term Residents)</v>
      </c>
      <c r="C593" s="21" t="str">
        <f>IF(ISNA(VLOOKUP((ROW(H595)-15),'List of tables'!$A$4:$H$621,8,FALSE))," ",VLOOKUP((ROW(H595)-15),'List of tables'!$A$4:$H$621,8,FALSE))</f>
        <v>All non-UK born short-term residents aged 16 to 74 in employment</v>
      </c>
      <c r="D593" s="21" t="str">
        <f>IF(ISNA(VLOOKUP((ROW(D595)-15),'List of tables'!$A$4:$H$621,5,FALSE))," ",VLOOKUP((ROW(D595)-15),'List of tables'!$A$4:$H$621,5,FALSE))</f>
        <v>Northern Ireland</v>
      </c>
      <c r="E593" s="22" t="str">
        <f t="shared" si="8"/>
        <v>Link to files</v>
      </c>
      <c r="G593" s="18" t="str">
        <f>IF(ISNA(VLOOKUP((ROW(G595)-15),'List of tables'!$A$4:$H$621,6,FALSE))," ",VLOOKUP((ROW(G595)-15),'List of tables'!$A$4:$H$621,6,FALSE))</f>
        <v>http://www.ninis2.nisra.gov.uk/public/SearchResults.aspx?sk=ST604NI;</v>
      </c>
    </row>
    <row r="594" spans="1:7" ht="70" customHeight="1" x14ac:dyDescent="0.3">
      <c r="A594" s="23" t="str">
        <f>IF(ISNA(VLOOKUP((ROW(A596)-15),'List of tables'!$A$4:$H$621,2,FALSE))," ",VLOOKUP((ROW(A596)-15),'List of tables'!$A$4:$H$621,2,FALSE))</f>
        <v>ST605NI</v>
      </c>
      <c r="B594" s="21" t="str">
        <f>IF(ISNA(VLOOKUP((ROW(B596)-15),'List of tables'!$A$4:$H$621,3,FALSE))," ",VLOOKUP((ROW(B596)-15),'List of tables'!$A$4:$H$621,3,FALSE))</f>
        <v>National Statistics Socio-economic Classification (NS-SeC) (Short-Term Residents)</v>
      </c>
      <c r="C594" s="21" t="str">
        <f>IF(ISNA(VLOOKUP((ROW(H596)-15),'List of tables'!$A$4:$H$621,8,FALSE))," ",VLOOKUP((ROW(H596)-15),'List of tables'!$A$4:$H$621,8,FALSE))</f>
        <v>All non-UK born short-term residents aged 16 to 74</v>
      </c>
      <c r="D594" s="21" t="str">
        <f>IF(ISNA(VLOOKUP((ROW(D596)-15),'List of tables'!$A$4:$H$621,5,FALSE))," ",VLOOKUP((ROW(D596)-15),'List of tables'!$A$4:$H$621,5,FALSE))</f>
        <v>Northern Ireland</v>
      </c>
      <c r="E594" s="22" t="str">
        <f t="shared" si="8"/>
        <v>Link to files</v>
      </c>
      <c r="G594" s="18" t="str">
        <f>IF(ISNA(VLOOKUP((ROW(G596)-15),'List of tables'!$A$4:$H$621,6,FALSE))," ",VLOOKUP((ROW(G596)-15),'List of tables'!$A$4:$H$621,6,FALSE))</f>
        <v>http://www.ninis2.nisra.gov.uk/public/SearchResults.aspx?sk=ST605NI;</v>
      </c>
    </row>
    <row r="595" spans="1:7" ht="70" customHeight="1" x14ac:dyDescent="0.3">
      <c r="A595" s="23" t="str">
        <f>IF(ISNA(VLOOKUP((ROW(A597)-15),'List of tables'!$A$4:$H$621,2,FALSE))," ",VLOOKUP((ROW(A597)-15),'List of tables'!$A$4:$H$621,2,FALSE))</f>
        <v>ST701NI</v>
      </c>
      <c r="B595" s="21" t="str">
        <f>IF(ISNA(VLOOKUP((ROW(B597)-15),'List of tables'!$A$4:$H$621,3,FALSE))," ",VLOOKUP((ROW(B597)-15),'List of tables'!$A$4:$H$621,3,FALSE))</f>
        <v>Method of Travel to Work (Short-Term Residents)</v>
      </c>
      <c r="C595" s="21" t="str">
        <f>IF(ISNA(VLOOKUP((ROW(H597)-15),'List of tables'!$A$4:$H$621,8,FALSE))," ",VLOOKUP((ROW(H597)-15),'List of tables'!$A$4:$H$621,8,FALSE))</f>
        <v>All non-UK born short-term residents aged 16 to 74 (excluding students) in employment and currently working</v>
      </c>
      <c r="D595" s="21" t="str">
        <f>IF(ISNA(VLOOKUP((ROW(D597)-15),'List of tables'!$A$4:$H$621,5,FALSE))," ",VLOOKUP((ROW(D597)-15),'List of tables'!$A$4:$H$621,5,FALSE))</f>
        <v>Northern Ireland</v>
      </c>
      <c r="E595" s="22" t="str">
        <f t="shared" si="8"/>
        <v>Link to files</v>
      </c>
      <c r="G595" s="18" t="str">
        <f>IF(ISNA(VLOOKUP((ROW(G597)-15),'List of tables'!$A$4:$H$621,6,FALSE))," ",VLOOKUP((ROW(G597)-15),'List of tables'!$A$4:$H$621,6,FALSE))</f>
        <v>http://www.ninis2.nisra.gov.uk/public/SearchResults.aspx?sk=ST701NI;</v>
      </c>
    </row>
    <row r="596" spans="1:7" ht="70" customHeight="1" x14ac:dyDescent="0.3">
      <c r="A596" s="23" t="str">
        <f>IF(ISNA(VLOOKUP((ROW(A598)-15),'List of tables'!$A$4:$H$621,2,FALSE))," ",VLOOKUP((ROW(A598)-15),'List of tables'!$A$4:$H$621,2,FALSE))</f>
        <v>ST702NI</v>
      </c>
      <c r="B596" s="21" t="str">
        <f>IF(ISNA(VLOOKUP((ROW(B598)-15),'List of tables'!$A$4:$H$621,3,FALSE))," ",VLOOKUP((ROW(B598)-15),'List of tables'!$A$4:$H$621,3,FALSE))</f>
        <v>Method of Travel to Work or Place of Study (Short-Term Residents)</v>
      </c>
      <c r="C596" s="21" t="str">
        <f>IF(ISNA(VLOOKUP((ROW(H598)-15),'List of tables'!$A$4:$H$621,8,FALSE))," ",VLOOKUP((ROW(H598)-15),'List of tables'!$A$4:$H$621,8,FALSE))</f>
        <v>All non-UK born short-term residents of primary school age and over in full-time education or aged 16 to 74 in employment and currently working</v>
      </c>
      <c r="D596" s="21" t="str">
        <f>IF(ISNA(VLOOKUP((ROW(D598)-15),'List of tables'!$A$4:$H$621,5,FALSE))," ",VLOOKUP((ROW(D598)-15),'List of tables'!$A$4:$H$621,5,FALSE))</f>
        <v>Northern Ireland</v>
      </c>
      <c r="E596" s="22" t="str">
        <f t="shared" si="8"/>
        <v>Link to files</v>
      </c>
      <c r="G596" s="18" t="str">
        <f>IF(ISNA(VLOOKUP((ROW(G598)-15),'List of tables'!$A$4:$H$621,6,FALSE))," ",VLOOKUP((ROW(G598)-15),'List of tables'!$A$4:$H$621,6,FALSE))</f>
        <v>http://www.ninis2.nisra.gov.uk/public/SearchResults.aspx?sk=ST702NI;</v>
      </c>
    </row>
    <row r="597" spans="1:7" ht="70" customHeight="1" x14ac:dyDescent="0.3">
      <c r="A597" s="23" t="str">
        <f>IF(ISNA(VLOOKUP((ROW(A599)-15),'List of tables'!$A$4:$H$621,2,FALSE))," ",VLOOKUP((ROW(A599)-15),'List of tables'!$A$4:$H$621,2,FALSE))</f>
        <v>WP101NI</v>
      </c>
      <c r="B597" s="21" t="str">
        <f>IF(ISNA(VLOOKUP((ROW(B599)-15),'List of tables'!$A$4:$H$621,3,FALSE))," ",VLOOKUP((ROW(B599)-15),'List of tables'!$A$4:$H$621,3,FALSE))</f>
        <v>Population (Workplace Population)</v>
      </c>
      <c r="C597" s="21" t="str">
        <f>IF(ISNA(VLOOKUP((ROW(H599)-15),'List of tables'!$A$4:$H$621,8,FALSE))," ",VLOOKUP((ROW(H599)-15),'List of tables'!$A$4:$H$621,8,FALSE))</f>
        <v>All usual residents aged 16 to 74 (excluding students) in employment and currently working in the area.</v>
      </c>
      <c r="D597" s="21" t="str">
        <f>IF(ISNA(VLOOKUP((ROW(D599)-15),'List of tables'!$A$4:$H$621,5,FALSE))," ",VLOOKUP((ROW(D599)-15),'List of tables'!$A$4:$H$621,5,FALSE))</f>
        <v>Super Output Area, Electoral Ward, Local Government District, Assembly Area, NUTS3, Education and Library Board, Health and Social Care Trust, Northern Ireland</v>
      </c>
      <c r="E597" s="22" t="str">
        <f t="shared" si="8"/>
        <v>Link to files</v>
      </c>
      <c r="G597" s="18" t="str">
        <f>IF(ISNA(VLOOKUP((ROW(G599)-15),'List of tables'!$A$4:$H$621,6,FALSE))," ",VLOOKUP((ROW(G599)-15),'List of tables'!$A$4:$H$621,6,FALSE))</f>
        <v>http://www.ninis2.nisra.gov.uk/public/SearchResults.aspx?sk=WP101NI;</v>
      </c>
    </row>
    <row r="598" spans="1:7" ht="70" customHeight="1" x14ac:dyDescent="0.3">
      <c r="A598" s="23" t="str">
        <f>IF(ISNA(VLOOKUP((ROW(A600)-15),'List of tables'!$A$4:$H$621,2,FALSE))," ",VLOOKUP((ROW(A600)-15),'List of tables'!$A$4:$H$621,2,FALSE))</f>
        <v>WP102NI</v>
      </c>
      <c r="B598" s="21" t="str">
        <f>IF(ISNA(VLOOKUP((ROW(B600)-15),'List of tables'!$A$4:$H$621,3,FALSE))," ",VLOOKUP((ROW(B600)-15),'List of tables'!$A$4:$H$621,3,FALSE))</f>
        <v>Population Density (Workplace Population)</v>
      </c>
      <c r="C598" s="21" t="str">
        <f>IF(ISNA(VLOOKUP((ROW(H600)-15),'List of tables'!$A$4:$H$621,8,FALSE))," ",VLOOKUP((ROW(H600)-15),'List of tables'!$A$4:$H$621,8,FALSE))</f>
        <v>All usual residents aged 16 to 74 (excluding students) in employment and currently working in the area.</v>
      </c>
      <c r="D598" s="21" t="str">
        <f>IF(ISNA(VLOOKUP((ROW(D600)-15),'List of tables'!$A$4:$H$621,5,FALSE))," ",VLOOKUP((ROW(D600)-15),'List of tables'!$A$4:$H$621,5,FALSE))</f>
        <v>Super Output Area, Electoral Ward, Local Government District, Assembly Area, NUTS3, Education and Library Board, Health and Social Care Trust, Northern Ireland</v>
      </c>
      <c r="E598" s="22" t="str">
        <f t="shared" si="8"/>
        <v>Link to files</v>
      </c>
      <c r="G598" s="18" t="str">
        <f>IF(ISNA(VLOOKUP((ROW(G600)-15),'List of tables'!$A$4:$H$621,6,FALSE))," ",VLOOKUP((ROW(G600)-15),'List of tables'!$A$4:$H$621,6,FALSE))</f>
        <v>http://www.ninis2.nisra.gov.uk/public/SearchResults.aspx?sk=WP102NI;</v>
      </c>
    </row>
    <row r="599" spans="1:7" ht="70" customHeight="1" x14ac:dyDescent="0.3">
      <c r="A599" s="23" t="str">
        <f>IF(ISNA(VLOOKUP((ROW(A601)-15),'List of tables'!$A$4:$H$621,2,FALSE))," ",VLOOKUP((ROW(A601)-15),'List of tables'!$A$4:$H$621,2,FALSE))</f>
        <v>WP103NI</v>
      </c>
      <c r="B599" s="21" t="str">
        <f>IF(ISNA(VLOOKUP((ROW(B601)-15),'List of tables'!$A$4:$H$621,3,FALSE))," ",VLOOKUP((ROW(B601)-15),'List of tables'!$A$4:$H$621,3,FALSE))</f>
        <v>Single Year of Age by Sex (Workplace Population)</v>
      </c>
      <c r="C599" s="21" t="str">
        <f>IF(ISNA(VLOOKUP((ROW(H601)-15),'List of tables'!$A$4:$H$621,8,FALSE))," ",VLOOKUP((ROW(H601)-15),'List of tables'!$A$4:$H$621,8,FALSE))</f>
        <v>All usual residents aged 16 to 74 (excluding students) in employment and currently working in the area.</v>
      </c>
      <c r="D599" s="21" t="str">
        <f>IF(ISNA(VLOOKUP((ROW(D601)-15),'List of tables'!$A$4:$H$621,5,FALSE))," ",VLOOKUP((ROW(D601)-15),'List of tables'!$A$4:$H$621,5,FALSE))</f>
        <v>Super Output Area, Electoral Ward, Local Government District, Assembly Area, NUTS3, Education and Library Board, Health and Social Care Trust, Northern Ireland</v>
      </c>
      <c r="E599" s="22" t="str">
        <f t="shared" si="8"/>
        <v>Link to files</v>
      </c>
      <c r="G599" s="18" t="str">
        <f>IF(ISNA(VLOOKUP((ROW(G601)-15),'List of tables'!$A$4:$H$621,6,FALSE))," ",VLOOKUP((ROW(G601)-15),'List of tables'!$A$4:$H$621,6,FALSE))</f>
        <v>http://www.ninis2.nisra.gov.uk/public/SearchResults.aspx?sk=WP103NI;</v>
      </c>
    </row>
    <row r="600" spans="1:7" ht="70" customHeight="1" x14ac:dyDescent="0.3">
      <c r="A600" s="23" t="str">
        <f>IF(ISNA(VLOOKUP((ROW(A602)-15),'List of tables'!$A$4:$H$621,2,FALSE))," ",VLOOKUP((ROW(A602)-15),'List of tables'!$A$4:$H$621,2,FALSE))</f>
        <v>WP104NI</v>
      </c>
      <c r="B600" s="21" t="str">
        <f>IF(ISNA(VLOOKUP((ROW(B602)-15),'List of tables'!$A$4:$H$621,3,FALSE))," ",VLOOKUP((ROW(B602)-15),'List of tables'!$A$4:$H$621,3,FALSE))</f>
        <v>Components of Workplace Population (Workplace Population)</v>
      </c>
      <c r="C600" s="21" t="str">
        <f>IF(ISNA(VLOOKUP((ROW(H602)-15),'List of tables'!$A$4:$H$621,8,FALSE))," ",VLOOKUP((ROW(H602)-15),'List of tables'!$A$4:$H$621,8,FALSE))</f>
        <v>Workplace Population</v>
      </c>
      <c r="D600" s="21" t="str">
        <f>IF(ISNA(VLOOKUP((ROW(D602)-15),'List of tables'!$A$4:$H$621,5,FALSE))," ",VLOOKUP((ROW(D602)-15),'List of tables'!$A$4:$H$621,5,FALSE))</f>
        <v>Local Government District, Northern Ireland</v>
      </c>
      <c r="E600" s="22" t="str">
        <f t="shared" si="8"/>
        <v>Link to files</v>
      </c>
      <c r="G600" s="18" t="str">
        <f>IF(ISNA(VLOOKUP((ROW(G602)-15),'List of tables'!$A$4:$H$621,6,FALSE))," ",VLOOKUP((ROW(G602)-15),'List of tables'!$A$4:$H$621,6,FALSE))</f>
        <v>http://www.ninis2.nisra.gov.uk/public/SearchResults.aspx?sk=WP104NI;</v>
      </c>
    </row>
    <row r="601" spans="1:7" ht="70" customHeight="1" x14ac:dyDescent="0.3">
      <c r="A601" s="23" t="str">
        <f>IF(ISNA(VLOOKUP((ROW(A603)-15),'List of tables'!$A$4:$H$621,2,FALSE))," ",VLOOKUP((ROW(A603)-15),'List of tables'!$A$4:$H$621,2,FALSE))</f>
        <v>WP201NI</v>
      </c>
      <c r="B601" s="21" t="str">
        <f>IF(ISNA(VLOOKUP((ROW(B603)-15),'List of tables'!$A$4:$H$621,3,FALSE))," ",VLOOKUP((ROW(B603)-15),'List of tables'!$A$4:$H$621,3,FALSE))</f>
        <v>Ethnic Group (Workplace Population)</v>
      </c>
      <c r="C601" s="21" t="str">
        <f>IF(ISNA(VLOOKUP((ROW(H603)-15),'List of tables'!$A$4:$H$621,8,FALSE))," ",VLOOKUP((ROW(H603)-15),'List of tables'!$A$4:$H$621,8,FALSE))</f>
        <v>All usual residents aged 16 to 74 (excluding students) in employment and currently working in the area.</v>
      </c>
      <c r="D601" s="21" t="str">
        <f>IF(ISNA(VLOOKUP((ROW(D603)-15),'List of tables'!$A$4:$H$621,5,FALSE))," ",VLOOKUP((ROW(D603)-15),'List of tables'!$A$4:$H$621,5,FALSE))</f>
        <v>Local Government District, NUTS3, Education and Library Board, Health and Social Care Trust, Northern Ireland</v>
      </c>
      <c r="E601" s="22" t="str">
        <f t="shared" si="8"/>
        <v>Link to files</v>
      </c>
      <c r="G601" s="18" t="str">
        <f>IF(ISNA(VLOOKUP((ROW(G603)-15),'List of tables'!$A$4:$H$621,6,FALSE))," ",VLOOKUP((ROW(G603)-15),'List of tables'!$A$4:$H$621,6,FALSE))</f>
        <v>http://www.ninis2.nisra.gov.uk/public/SearchResults.aspx?sk=WP201NI;</v>
      </c>
    </row>
    <row r="602" spans="1:7" ht="70" customHeight="1" x14ac:dyDescent="0.3">
      <c r="A602" s="23" t="str">
        <f>IF(ISNA(VLOOKUP((ROW(A604)-15),'List of tables'!$A$4:$H$621,2,FALSE))," ",VLOOKUP((ROW(A604)-15),'List of tables'!$A$4:$H$621,2,FALSE))</f>
        <v>WP202NI</v>
      </c>
      <c r="B602" s="21" t="str">
        <f>IF(ISNA(VLOOKUP((ROW(B604)-15),'List of tables'!$A$4:$H$621,3,FALSE))," ",VLOOKUP((ROW(B604)-15),'List of tables'!$A$4:$H$621,3,FALSE))</f>
        <v>Country of Birth - Intermediate Detail (Workplace Population)</v>
      </c>
      <c r="C602" s="21" t="str">
        <f>IF(ISNA(VLOOKUP((ROW(H604)-15),'List of tables'!$A$4:$H$621,8,FALSE))," ",VLOOKUP((ROW(H604)-15),'List of tables'!$A$4:$H$621,8,FALSE))</f>
        <v>All usual residents aged 16 to 74 (excluding students) in employment and currently working in the area.</v>
      </c>
      <c r="D602" s="21" t="str">
        <f>IF(ISNA(VLOOKUP((ROW(D604)-15),'List of tables'!$A$4:$H$621,5,FALSE))," ",VLOOKUP((ROW(D604)-15),'List of tables'!$A$4:$H$621,5,FALSE))</f>
        <v>Super Output Area, Electoral Ward, Local Government District, Assembly Area, NUTS3, Education and Library Board, Health and Social Care Trust, Northern Ireland</v>
      </c>
      <c r="E602" s="22" t="str">
        <f t="shared" si="8"/>
        <v>Link to files</v>
      </c>
      <c r="G602" s="18" t="str">
        <f>IF(ISNA(VLOOKUP((ROW(G604)-15),'List of tables'!$A$4:$H$621,6,FALSE))," ",VLOOKUP((ROW(G604)-15),'List of tables'!$A$4:$H$621,6,FALSE))</f>
        <v>http://www.ninis2.nisra.gov.uk/public/SearchResults.aspx?sk=WP202NI;</v>
      </c>
    </row>
    <row r="603" spans="1:7" ht="70" customHeight="1" x14ac:dyDescent="0.3">
      <c r="A603" s="23" t="str">
        <f>IF(ISNA(VLOOKUP((ROW(A605)-15),'List of tables'!$A$4:$H$621,2,FALSE))," ",VLOOKUP((ROW(A605)-15),'List of tables'!$A$4:$H$621,2,FALSE))</f>
        <v>WP203NI</v>
      </c>
      <c r="B603" s="21" t="str">
        <f>IF(ISNA(VLOOKUP((ROW(B605)-15),'List of tables'!$A$4:$H$621,3,FALSE))," ",VLOOKUP((ROW(B605)-15),'List of tables'!$A$4:$H$621,3,FALSE))</f>
        <v>Main Language (Workplace Population)</v>
      </c>
      <c r="C603" s="21" t="str">
        <f>IF(ISNA(VLOOKUP((ROW(H605)-15),'List of tables'!$A$4:$H$621,8,FALSE))," ",VLOOKUP((ROW(H605)-15),'List of tables'!$A$4:$H$621,8,FALSE))</f>
        <v>All usual residents aged 16 to 74 (excluding students) in employment and currently working in the area.</v>
      </c>
      <c r="D603" s="21" t="str">
        <f>IF(ISNA(VLOOKUP((ROW(D605)-15),'List of tables'!$A$4:$H$621,5,FALSE))," ",VLOOKUP((ROW(D605)-15),'List of tables'!$A$4:$H$621,5,FALSE))</f>
        <v>Super Output Area, Electoral Ward, Local Government District, Assembly Area, NUTS3, Education and Library Board, Health and Social Care Trust, Northern Ireland</v>
      </c>
      <c r="E603" s="22" t="str">
        <f t="shared" si="8"/>
        <v>Link to files</v>
      </c>
      <c r="G603" s="18" t="str">
        <f>IF(ISNA(VLOOKUP((ROW(G605)-15),'List of tables'!$A$4:$H$621,6,FALSE))," ",VLOOKUP((ROW(G605)-15),'List of tables'!$A$4:$H$621,6,FALSE))</f>
        <v>http://www.ninis2.nisra.gov.uk/public/SearchResults.aspx?sk=WP203NI;</v>
      </c>
    </row>
    <row r="604" spans="1:7" ht="70" customHeight="1" x14ac:dyDescent="0.3">
      <c r="A604" s="23" t="str">
        <f>IF(ISNA(VLOOKUP((ROW(A606)-15),'List of tables'!$A$4:$H$621,2,FALSE))," ",VLOOKUP((ROW(A606)-15),'List of tables'!$A$4:$H$621,2,FALSE))</f>
        <v>WP204NI</v>
      </c>
      <c r="B604" s="21" t="str">
        <f>IF(ISNA(VLOOKUP((ROW(B606)-15),'List of tables'!$A$4:$H$621,3,FALSE))," ",VLOOKUP((ROW(B606)-15),'List of tables'!$A$4:$H$621,3,FALSE))</f>
        <v>Irish Language Skills (Workplace Population)</v>
      </c>
      <c r="C604" s="21" t="str">
        <f>IF(ISNA(VLOOKUP((ROW(H606)-15),'List of tables'!$A$4:$H$621,8,FALSE))," ",VLOOKUP((ROW(H606)-15),'List of tables'!$A$4:$H$621,8,FALSE))</f>
        <v>All usual residents aged 16 to 74 (excluding students) in employment and currently working in the area.</v>
      </c>
      <c r="D604" s="21" t="str">
        <f>IF(ISNA(VLOOKUP((ROW(D606)-15),'List of tables'!$A$4:$H$621,5,FALSE))," ",VLOOKUP((ROW(D606)-15),'List of tables'!$A$4:$H$621,5,FALSE))</f>
        <v>Super Output Area, Electoral Ward, Local Government District, Assembly Area, NUTS3, Education and Library Board, Health and Social Care Trust, Northern Ireland</v>
      </c>
      <c r="E604" s="22" t="str">
        <f t="shared" si="8"/>
        <v>Link to files</v>
      </c>
      <c r="G604" s="18" t="str">
        <f>IF(ISNA(VLOOKUP((ROW(G606)-15),'List of tables'!$A$4:$H$621,6,FALSE))," ",VLOOKUP((ROW(G606)-15),'List of tables'!$A$4:$H$621,6,FALSE))</f>
        <v>http://www.ninis2.nisra.gov.uk/public/SearchResults.aspx?sk=WP204NI;</v>
      </c>
    </row>
    <row r="605" spans="1:7" ht="70" customHeight="1" x14ac:dyDescent="0.3">
      <c r="A605" s="23" t="str">
        <f>IF(ISNA(VLOOKUP((ROW(A607)-15),'List of tables'!$A$4:$H$621,2,FALSE))," ",VLOOKUP((ROW(A607)-15),'List of tables'!$A$4:$H$621,2,FALSE))</f>
        <v>WP205NI</v>
      </c>
      <c r="B605" s="21" t="str">
        <f>IF(ISNA(VLOOKUP((ROW(B607)-15),'List of tables'!$A$4:$H$621,3,FALSE))," ",VLOOKUP((ROW(B607)-15),'List of tables'!$A$4:$H$621,3,FALSE))</f>
        <v>Ulster-Scots Language Skills (Workplace Population)</v>
      </c>
      <c r="C605" s="21" t="str">
        <f>IF(ISNA(VLOOKUP((ROW(H607)-15),'List of tables'!$A$4:$H$621,8,FALSE))," ",VLOOKUP((ROW(H607)-15),'List of tables'!$A$4:$H$621,8,FALSE))</f>
        <v>All usual residents aged 16 to 74 (excluding students) in employment and currently working in the area.</v>
      </c>
      <c r="D605" s="21" t="str">
        <f>IF(ISNA(VLOOKUP((ROW(D607)-15),'List of tables'!$A$4:$H$621,5,FALSE))," ",VLOOKUP((ROW(D607)-15),'List of tables'!$A$4:$H$621,5,FALSE))</f>
        <v>Super Output Area, Electoral Ward, Local Government District, Assembly Area, NUTS3, Education and Library Board, Health and Social Care Trust, Northern Ireland</v>
      </c>
      <c r="E605" s="22" t="str">
        <f t="shared" si="8"/>
        <v>Link to files</v>
      </c>
      <c r="G605" s="18" t="str">
        <f>IF(ISNA(VLOOKUP((ROW(G607)-15),'List of tables'!$A$4:$H$621,6,FALSE))," ",VLOOKUP((ROW(G607)-15),'List of tables'!$A$4:$H$621,6,FALSE))</f>
        <v>http://www.ninis2.nisra.gov.uk/public/SearchResults.aspx?sk=WP205NI;</v>
      </c>
    </row>
    <row r="606" spans="1:7" ht="70" customHeight="1" x14ac:dyDescent="0.3">
      <c r="A606" s="23" t="str">
        <f>IF(ISNA(VLOOKUP((ROW(A608)-15),'List of tables'!$A$4:$H$621,2,FALSE))," ",VLOOKUP((ROW(A608)-15),'List of tables'!$A$4:$H$621,2,FALSE))</f>
        <v>WP206NI</v>
      </c>
      <c r="B606" s="21" t="str">
        <f>IF(ISNA(VLOOKUP((ROW(B608)-15),'List of tables'!$A$4:$H$621,3,FALSE))," ",VLOOKUP((ROW(B608)-15),'List of tables'!$A$4:$H$621,3,FALSE))</f>
        <v>Religion (Workplace Population)</v>
      </c>
      <c r="C606" s="21" t="str">
        <f>IF(ISNA(VLOOKUP((ROW(H608)-15),'List of tables'!$A$4:$H$621,8,FALSE))," ",VLOOKUP((ROW(H608)-15),'List of tables'!$A$4:$H$621,8,FALSE))</f>
        <v>All usual residents aged 16 to 74 (excluding students) in employment and currently working in the area.</v>
      </c>
      <c r="D606" s="21" t="str">
        <f>IF(ISNA(VLOOKUP((ROW(D608)-15),'List of tables'!$A$4:$H$621,5,FALSE))," ",VLOOKUP((ROW(D608)-15),'List of tables'!$A$4:$H$621,5,FALSE))</f>
        <v>Super Output Area, Electoral Ward, Local Government District, Assembly Area, NUTS3, Education and Library Board, Health and Social Care Trust, Northern Ireland</v>
      </c>
      <c r="E606" s="22" t="str">
        <f t="shared" si="8"/>
        <v>Link to files</v>
      </c>
      <c r="G606" s="18" t="str">
        <f>IF(ISNA(VLOOKUP((ROW(G608)-15),'List of tables'!$A$4:$H$621,6,FALSE))," ",VLOOKUP((ROW(G608)-15),'List of tables'!$A$4:$H$621,6,FALSE))</f>
        <v>http://www.ninis2.nisra.gov.uk/public/SearchResults.aspx?sk=WP206NI;</v>
      </c>
    </row>
    <row r="607" spans="1:7" ht="70" customHeight="1" x14ac:dyDescent="0.3">
      <c r="A607" s="23" t="str">
        <f>IF(ISNA(VLOOKUP((ROW(A609)-15),'List of tables'!$A$4:$H$621,2,FALSE))," ",VLOOKUP((ROW(A609)-15),'List of tables'!$A$4:$H$621,2,FALSE))</f>
        <v>WP207NI</v>
      </c>
      <c r="B607" s="21" t="str">
        <f>IF(ISNA(VLOOKUP((ROW(B609)-15),'List of tables'!$A$4:$H$621,3,FALSE))," ",VLOOKUP((ROW(B609)-15),'List of tables'!$A$4:$H$621,3,FALSE))</f>
        <v>Religion or Religion Brought Up In (Workplace Population)</v>
      </c>
      <c r="C607" s="21" t="str">
        <f>IF(ISNA(VLOOKUP((ROW(H609)-15),'List of tables'!$A$4:$H$621,8,FALSE))," ",VLOOKUP((ROW(H609)-15),'List of tables'!$A$4:$H$621,8,FALSE))</f>
        <v>All usual residents aged 16 to 74 (excluding students) in employment and currently working in the area.</v>
      </c>
      <c r="D607" s="21" t="str">
        <f>IF(ISNA(VLOOKUP((ROW(D609)-15),'List of tables'!$A$4:$H$621,5,FALSE))," ",VLOOKUP((ROW(D609)-15),'List of tables'!$A$4:$H$621,5,FALSE))</f>
        <v>Super Output Area, Electoral Ward, Local Government District, Assembly Area, NUTS3, Education and Library Board, Health and Social Care Trust, Northern Ireland</v>
      </c>
      <c r="E607" s="22" t="str">
        <f t="shared" si="8"/>
        <v>Link to files</v>
      </c>
      <c r="G607" s="18" t="str">
        <f>IF(ISNA(VLOOKUP((ROW(G609)-15),'List of tables'!$A$4:$H$621,6,FALSE))," ",VLOOKUP((ROW(G609)-15),'List of tables'!$A$4:$H$621,6,FALSE))</f>
        <v>http://www.ninis2.nisra.gov.uk/public/SearchResults.aspx?sk=WP207NI;</v>
      </c>
    </row>
    <row r="608" spans="1:7" ht="70" customHeight="1" x14ac:dyDescent="0.3">
      <c r="A608" s="23" t="str">
        <f>IF(ISNA(VLOOKUP((ROW(A610)-15),'List of tables'!$A$4:$H$621,2,FALSE))," ",VLOOKUP((ROW(A610)-15),'List of tables'!$A$4:$H$621,2,FALSE))</f>
        <v>WP208NI</v>
      </c>
      <c r="B608" s="21" t="str">
        <f>IF(ISNA(VLOOKUP((ROW(B610)-15),'List of tables'!$A$4:$H$621,3,FALSE))," ",VLOOKUP((ROW(B610)-15),'List of tables'!$A$4:$H$621,3,FALSE))</f>
        <v>Passports Held (Classification 1) (Workplace Population)</v>
      </c>
      <c r="C608" s="21" t="str">
        <f>IF(ISNA(VLOOKUP((ROW(H610)-15),'List of tables'!$A$4:$H$621,8,FALSE))," ",VLOOKUP((ROW(H610)-15),'List of tables'!$A$4:$H$621,8,FALSE))</f>
        <v>All usual residents aged 16 to 74 (excluding students) in employment and currently working in the area.</v>
      </c>
      <c r="D608" s="21" t="str">
        <f>IF(ISNA(VLOOKUP((ROW(D610)-15),'List of tables'!$A$4:$H$621,5,FALSE))," ",VLOOKUP((ROW(D610)-15),'List of tables'!$A$4:$H$621,5,FALSE))</f>
        <v>Super Output Area, Electoral Ward, Local Government District, Assembly Area, NUTS3, Education and Library Board, Health and Social Care Trust, Northern Ireland</v>
      </c>
      <c r="E608" s="22" t="str">
        <f t="shared" si="8"/>
        <v>Link to files</v>
      </c>
      <c r="G608" s="18" t="str">
        <f>IF(ISNA(VLOOKUP((ROW(G610)-15),'List of tables'!$A$4:$H$621,6,FALSE))," ",VLOOKUP((ROW(G610)-15),'List of tables'!$A$4:$H$621,6,FALSE))</f>
        <v>http://www.ninis2.nisra.gov.uk/public/SearchResults.aspx?sk=WP208NI;</v>
      </c>
    </row>
    <row r="609" spans="1:7" ht="70" customHeight="1" x14ac:dyDescent="0.3">
      <c r="A609" s="23" t="str">
        <f>IF(ISNA(VLOOKUP((ROW(A611)-15),'List of tables'!$A$4:$H$621,2,FALSE))," ",VLOOKUP((ROW(A611)-15),'List of tables'!$A$4:$H$621,2,FALSE))</f>
        <v>WP209NI</v>
      </c>
      <c r="B609" s="21" t="str">
        <f>IF(ISNA(VLOOKUP((ROW(B611)-15),'List of tables'!$A$4:$H$621,3,FALSE))," ",VLOOKUP((ROW(B611)-15),'List of tables'!$A$4:$H$621,3,FALSE))</f>
        <v>Passports Held (Classification 2) (Workplace Population)</v>
      </c>
      <c r="C609" s="21" t="str">
        <f>IF(ISNA(VLOOKUP((ROW(H611)-15),'List of tables'!$A$4:$H$621,8,FALSE))," ",VLOOKUP((ROW(H611)-15),'List of tables'!$A$4:$H$621,8,FALSE))</f>
        <v>All usual residents aged 16 to 74 (excluding students) in employment and currently working in the area.</v>
      </c>
      <c r="D609" s="21" t="str">
        <f>IF(ISNA(VLOOKUP((ROW(D611)-15),'List of tables'!$A$4:$H$621,5,FALSE))," ",VLOOKUP((ROW(D611)-15),'List of tables'!$A$4:$H$621,5,FALSE))</f>
        <v>Super Output Area, Electoral Ward, Local Government District, Assembly Area, NUTS3, Education and Library Board, Health and Social Care Trust, Northern Ireland</v>
      </c>
      <c r="E609" s="22" t="str">
        <f t="shared" si="8"/>
        <v>Link to files</v>
      </c>
      <c r="G609" s="18" t="str">
        <f>IF(ISNA(VLOOKUP((ROW(G611)-15),'List of tables'!$A$4:$H$621,6,FALSE))," ",VLOOKUP((ROW(G611)-15),'List of tables'!$A$4:$H$621,6,FALSE))</f>
        <v>http://www.ninis2.nisra.gov.uk/public/SearchResults.aspx?sk=WP209NI;</v>
      </c>
    </row>
    <row r="610" spans="1:7" ht="70" customHeight="1" x14ac:dyDescent="0.3">
      <c r="A610" s="23" t="str">
        <f>IF(ISNA(VLOOKUP((ROW(A612)-15),'List of tables'!$A$4:$H$621,2,FALSE))," ",VLOOKUP((ROW(A612)-15),'List of tables'!$A$4:$H$621,2,FALSE))</f>
        <v>WP301NI</v>
      </c>
      <c r="B610" s="21" t="str">
        <f>IF(ISNA(VLOOKUP((ROW(B612)-15),'List of tables'!$A$4:$H$621,3,FALSE))," ",VLOOKUP((ROW(B612)-15),'List of tables'!$A$4:$H$621,3,FALSE))</f>
        <v>General Health (Workplace Population)</v>
      </c>
      <c r="C610" s="21" t="str">
        <f>IF(ISNA(VLOOKUP((ROW(H612)-15),'List of tables'!$A$4:$H$621,8,FALSE))," ",VLOOKUP((ROW(H612)-15),'List of tables'!$A$4:$H$621,8,FALSE))</f>
        <v>All usual residents aged 16 to 74 (excluding students) in employment and currently working in the area.</v>
      </c>
      <c r="D610" s="21" t="str">
        <f>IF(ISNA(VLOOKUP((ROW(D612)-15),'List of tables'!$A$4:$H$621,5,FALSE))," ",VLOOKUP((ROW(D612)-15),'List of tables'!$A$4:$H$621,5,FALSE))</f>
        <v>Super Output Area, Electoral Ward, Local Government District, Assembly Area, NUTS3, Education and Library Board, Health and Social Care Trust, Northern Ireland</v>
      </c>
      <c r="E610" s="22" t="str">
        <f t="shared" si="8"/>
        <v>Link to files</v>
      </c>
      <c r="G610" s="18" t="str">
        <f>IF(ISNA(VLOOKUP((ROW(G612)-15),'List of tables'!$A$4:$H$621,6,FALSE))," ",VLOOKUP((ROW(G612)-15),'List of tables'!$A$4:$H$621,6,FALSE))</f>
        <v>http://www.ninis2.nisra.gov.uk/public/SearchResults.aspx?sk=WP301NI;</v>
      </c>
    </row>
    <row r="611" spans="1:7" ht="70" customHeight="1" x14ac:dyDescent="0.3">
      <c r="A611" s="23" t="str">
        <f>IF(ISNA(VLOOKUP((ROW(A613)-15),'List of tables'!$A$4:$H$621,2,FALSE))," ",VLOOKUP((ROW(A613)-15),'List of tables'!$A$4:$H$621,2,FALSE))</f>
        <v>WP401NI</v>
      </c>
      <c r="B611" s="21" t="str">
        <f>IF(ISNA(VLOOKUP((ROW(B613)-15),'List of tables'!$A$4:$H$621,3,FALSE))," ",VLOOKUP((ROW(B613)-15),'List of tables'!$A$4:$H$621,3,FALSE))</f>
        <v>Tenure (Workplace Population)</v>
      </c>
      <c r="C611" s="21" t="str">
        <f>IF(ISNA(VLOOKUP((ROW(H613)-15),'List of tables'!$A$4:$H$621,8,FALSE))," ",VLOOKUP((ROW(H613)-15),'List of tables'!$A$4:$H$621,8,FALSE))</f>
        <v>All usual residents in households aged 16 to 74 (excluding students) in employment and currently working in the area.</v>
      </c>
      <c r="D611" s="21" t="str">
        <f>IF(ISNA(VLOOKUP((ROW(D613)-15),'List of tables'!$A$4:$H$621,5,FALSE))," ",VLOOKUP((ROW(D613)-15),'List of tables'!$A$4:$H$621,5,FALSE))</f>
        <v>Super Output Area, Electoral Ward, Local Government District, Assembly Area, NUTS3, Education and Library Board, Health and Social Care Trust, Northern Ireland</v>
      </c>
      <c r="E611" s="22" t="str">
        <f t="shared" si="8"/>
        <v>Link to files</v>
      </c>
      <c r="G611" s="18" t="str">
        <f>IF(ISNA(VLOOKUP((ROW(G613)-15),'List of tables'!$A$4:$H$621,6,FALSE))," ",VLOOKUP((ROW(G613)-15),'List of tables'!$A$4:$H$621,6,FALSE))</f>
        <v>http://www.ninis2.nisra.gov.uk/public/SearchResults.aspx?sk=WP401NI;</v>
      </c>
    </row>
    <row r="612" spans="1:7" ht="70" customHeight="1" x14ac:dyDescent="0.3">
      <c r="A612" s="23" t="str">
        <f>IF(ISNA(VLOOKUP((ROW(A614)-15),'List of tables'!$A$4:$H$621,2,FALSE))," ",VLOOKUP((ROW(A614)-15),'List of tables'!$A$4:$H$621,2,FALSE))</f>
        <v>WP501NI</v>
      </c>
      <c r="B612" s="21" t="str">
        <f>IF(ISNA(VLOOKUP((ROW(B614)-15),'List of tables'!$A$4:$H$621,3,FALSE))," ",VLOOKUP((ROW(B614)-15),'List of tables'!$A$4:$H$621,3,FALSE))</f>
        <v>Highest Level of Qualification (Workplace Population)</v>
      </c>
      <c r="C612" s="21" t="str">
        <f>IF(ISNA(VLOOKUP((ROW(H614)-15),'List of tables'!$A$4:$H$621,8,FALSE))," ",VLOOKUP((ROW(H614)-15),'List of tables'!$A$4:$H$621,8,FALSE))</f>
        <v>All usual residents aged 16 to 74 (excluding students) in employment and currently working in the area.</v>
      </c>
      <c r="D612" s="21" t="str">
        <f>IF(ISNA(VLOOKUP((ROW(D614)-15),'List of tables'!$A$4:$H$621,5,FALSE))," ",VLOOKUP((ROW(D614)-15),'List of tables'!$A$4:$H$621,5,FALSE))</f>
        <v>Super Output Area, Electoral Ward, Local Government District, Assembly Area, NUTS3, Education and Library Board, Health and Social Care Trust, Northern Ireland</v>
      </c>
      <c r="E612" s="22" t="str">
        <f t="shared" si="8"/>
        <v>Link to files</v>
      </c>
      <c r="G612" s="18" t="str">
        <f>IF(ISNA(VLOOKUP((ROW(G614)-15),'List of tables'!$A$4:$H$621,6,FALSE))," ",VLOOKUP((ROW(G614)-15),'List of tables'!$A$4:$H$621,6,FALSE))</f>
        <v>http://www.ninis2.nisra.gov.uk/public/SearchResults.aspx?sk=WP501NI;</v>
      </c>
    </row>
    <row r="613" spans="1:7" ht="70" customHeight="1" x14ac:dyDescent="0.3">
      <c r="A613" s="23" t="str">
        <f>IF(ISNA(VLOOKUP((ROW(A615)-15),'List of tables'!$A$4:$H$621,2,FALSE))," ",VLOOKUP((ROW(A615)-15),'List of tables'!$A$4:$H$621,2,FALSE))</f>
        <v>WP502NI</v>
      </c>
      <c r="B613" s="21" t="str">
        <f>IF(ISNA(VLOOKUP((ROW(B615)-15),'List of tables'!$A$4:$H$621,3,FALSE))," ",VLOOKUP((ROW(B615)-15),'List of tables'!$A$4:$H$621,3,FALSE))</f>
        <v>Occupation by Highest Level of Qualification (Workplace Population)</v>
      </c>
      <c r="C613" s="21" t="str">
        <f>IF(ISNA(VLOOKUP((ROW(H615)-15),'List of tables'!$A$4:$H$621,8,FALSE))," ",VLOOKUP((ROW(H615)-15),'List of tables'!$A$4:$H$621,8,FALSE))</f>
        <v>All usual residents aged 16 to 74 (excluding students) in employment and currently working in the area.</v>
      </c>
      <c r="D613" s="21" t="str">
        <f>IF(ISNA(VLOOKUP((ROW(D615)-15),'List of tables'!$A$4:$H$621,5,FALSE))," ",VLOOKUP((ROW(D615)-15),'List of tables'!$A$4:$H$621,5,FALSE))</f>
        <v>Local Government District, NUTS3, Education and Library Board, Health and Social Care Trust, Northern Ireland</v>
      </c>
      <c r="E613" s="22" t="str">
        <f t="shared" si="8"/>
        <v>Link to files</v>
      </c>
      <c r="G613" s="18" t="str">
        <f>IF(ISNA(VLOOKUP((ROW(G615)-15),'List of tables'!$A$4:$H$621,6,FALSE))," ",VLOOKUP((ROW(G615)-15),'List of tables'!$A$4:$H$621,6,FALSE))</f>
        <v>http://www.ninis2.nisra.gov.uk/public/SearchResults.aspx?sk=WP502NI;</v>
      </c>
    </row>
    <row r="614" spans="1:7" ht="70" customHeight="1" x14ac:dyDescent="0.3">
      <c r="A614" s="23" t="str">
        <f>IF(ISNA(VLOOKUP((ROW(A616)-15),'List of tables'!$A$4:$H$621,2,FALSE))," ",VLOOKUP((ROW(A616)-15),'List of tables'!$A$4:$H$621,2,FALSE))</f>
        <v>WP503NI</v>
      </c>
      <c r="B614" s="21" t="str">
        <f>IF(ISNA(VLOOKUP((ROW(B616)-15),'List of tables'!$A$4:$H$621,3,FALSE))," ",VLOOKUP((ROW(B616)-15),'List of tables'!$A$4:$H$621,3,FALSE))</f>
        <v>Highest Level of Qualification by Industry (Workplace Population)</v>
      </c>
      <c r="C614" s="21" t="str">
        <f>IF(ISNA(VLOOKUP((ROW(H616)-15),'List of tables'!$A$4:$H$621,8,FALSE))," ",VLOOKUP((ROW(H616)-15),'List of tables'!$A$4:$H$621,8,FALSE))</f>
        <v>All usual residents aged 16 to 74 (excluding students) in employment and currently working in the area.</v>
      </c>
      <c r="D614" s="21" t="str">
        <f>IF(ISNA(VLOOKUP((ROW(D616)-15),'List of tables'!$A$4:$H$621,5,FALSE))," ",VLOOKUP((ROW(D616)-15),'List of tables'!$A$4:$H$621,5,FALSE))</f>
        <v>Local Government District, NUTS3, Education and Library Board, Health and Social Care Trust, Northern Ireland</v>
      </c>
      <c r="E614" s="22" t="str">
        <f t="shared" si="8"/>
        <v>Link to files</v>
      </c>
      <c r="G614" s="18" t="str">
        <f>IF(ISNA(VLOOKUP((ROW(G616)-15),'List of tables'!$A$4:$H$621,6,FALSE))," ",VLOOKUP((ROW(G616)-15),'List of tables'!$A$4:$H$621,6,FALSE))</f>
        <v>http://www.ninis2.nisra.gov.uk/public/SearchResults.aspx?sk=WP503NI;</v>
      </c>
    </row>
    <row r="615" spans="1:7" ht="70" customHeight="1" x14ac:dyDescent="0.3">
      <c r="A615" s="23" t="str">
        <f>IF(ISNA(VLOOKUP((ROW(A617)-15),'List of tables'!$A$4:$H$621,2,FALSE))," ",VLOOKUP((ROW(A617)-15),'List of tables'!$A$4:$H$621,2,FALSE))</f>
        <v>WP601NI</v>
      </c>
      <c r="B615" s="21" t="str">
        <f>IF(ISNA(VLOOKUP((ROW(B617)-15),'List of tables'!$A$4:$H$621,3,FALSE))," ",VLOOKUP((ROW(B617)-15),'List of tables'!$A$4:$H$621,3,FALSE))</f>
        <v>Employment Status (Workplace Population)</v>
      </c>
      <c r="C615" s="21" t="str">
        <f>IF(ISNA(VLOOKUP((ROW(H617)-15),'List of tables'!$A$4:$H$621,8,FALSE))," ",VLOOKUP((ROW(H617)-15),'List of tables'!$A$4:$H$621,8,FALSE))</f>
        <v>All usual residents aged 16 to 74 (excluding students) in employment and currently working in the area.</v>
      </c>
      <c r="D615" s="21" t="str">
        <f>IF(ISNA(VLOOKUP((ROW(D617)-15),'List of tables'!$A$4:$H$621,5,FALSE))," ",VLOOKUP((ROW(D617)-15),'List of tables'!$A$4:$H$621,5,FALSE))</f>
        <v>Super Output Area, Electoral Ward, Local Government District, Assembly Area, NUTS3, Education and Library Board, Health and Social Care Trust, Northern Ireland</v>
      </c>
      <c r="E615" s="22" t="str">
        <f t="shared" si="8"/>
        <v>Link to files</v>
      </c>
      <c r="G615" s="18" t="str">
        <f>IF(ISNA(VLOOKUP((ROW(G617)-15),'List of tables'!$A$4:$H$621,6,FALSE))," ",VLOOKUP((ROW(G617)-15),'List of tables'!$A$4:$H$621,6,FALSE))</f>
        <v>http://www.ninis2.nisra.gov.uk/public/SearchResults.aspx?sk=WP601NI;</v>
      </c>
    </row>
    <row r="616" spans="1:7" ht="70" customHeight="1" x14ac:dyDescent="0.3">
      <c r="A616" s="23" t="str">
        <f>IF(ISNA(VLOOKUP((ROW(A618)-15),'List of tables'!$A$4:$H$621,2,FALSE))," ",VLOOKUP((ROW(A618)-15),'List of tables'!$A$4:$H$621,2,FALSE))</f>
        <v>WP602NI</v>
      </c>
      <c r="B616" s="21" t="str">
        <f>IF(ISNA(VLOOKUP((ROW(B618)-15),'List of tables'!$A$4:$H$621,3,FALSE))," ",VLOOKUP((ROW(B618)-15),'List of tables'!$A$4:$H$621,3,FALSE))</f>
        <v>Hours Worked (Workplace Population)</v>
      </c>
      <c r="C616" s="21" t="str">
        <f>IF(ISNA(VLOOKUP((ROW(H618)-15),'List of tables'!$A$4:$H$621,8,FALSE))," ",VLOOKUP((ROW(H618)-15),'List of tables'!$A$4:$H$621,8,FALSE))</f>
        <v>All usual residents aged 16 to 74 (excluding students) in employment and currently working in the area.</v>
      </c>
      <c r="D616" s="21" t="str">
        <f>IF(ISNA(VLOOKUP((ROW(D618)-15),'List of tables'!$A$4:$H$621,5,FALSE))," ",VLOOKUP((ROW(D618)-15),'List of tables'!$A$4:$H$621,5,FALSE))</f>
        <v>Super Output Area, Electoral Ward, Local Government District, Assembly Area, NUTS3, Education and Library Board, Health and Social Care Trust, Northern Ireland</v>
      </c>
      <c r="E616" s="22" t="str">
        <f t="shared" si="8"/>
        <v>Link to files</v>
      </c>
      <c r="G616" s="18" t="str">
        <f>IF(ISNA(VLOOKUP((ROW(G618)-15),'List of tables'!$A$4:$H$621,6,FALSE))," ",VLOOKUP((ROW(G618)-15),'List of tables'!$A$4:$H$621,6,FALSE))</f>
        <v>http://www.ninis2.nisra.gov.uk/public/SearchResults.aspx?sk=WP602NI;</v>
      </c>
    </row>
    <row r="617" spans="1:7" ht="70" customHeight="1" x14ac:dyDescent="0.3">
      <c r="A617" s="23" t="str">
        <f>IF(ISNA(VLOOKUP((ROW(A619)-15),'List of tables'!$A$4:$H$621,2,FALSE))," ",VLOOKUP((ROW(A619)-15),'List of tables'!$A$4:$H$621,2,FALSE))</f>
        <v>WP603NI</v>
      </c>
      <c r="B617" s="21" t="str">
        <f>IF(ISNA(VLOOKUP((ROW(B619)-15),'List of tables'!$A$4:$H$621,3,FALSE))," ",VLOOKUP((ROW(B619)-15),'List of tables'!$A$4:$H$621,3,FALSE))</f>
        <v>Industry of Employment (Workplace Population)</v>
      </c>
      <c r="C617" s="21" t="str">
        <f>IF(ISNA(VLOOKUP((ROW(H619)-15),'List of tables'!$A$4:$H$621,8,FALSE))," ",VLOOKUP((ROW(H619)-15),'List of tables'!$A$4:$H$621,8,FALSE))</f>
        <v>All usual residents aged 16 to 74 (excluding students) in employment and currently working in the area.</v>
      </c>
      <c r="D617" s="21" t="str">
        <f>IF(ISNA(VLOOKUP((ROW(D619)-15),'List of tables'!$A$4:$H$621,5,FALSE))," ",VLOOKUP((ROW(D619)-15),'List of tables'!$A$4:$H$621,5,FALSE))</f>
        <v>Super Output Area, Electoral Ward, Local Government District, Assembly Area, NUTS3, Education and Library Board, Health and Social Care Trust, Northern Ireland</v>
      </c>
      <c r="E617" s="22" t="str">
        <f t="shared" si="8"/>
        <v>Link to files</v>
      </c>
      <c r="G617" s="18" t="str">
        <f>IF(ISNA(VLOOKUP((ROW(G619)-15),'List of tables'!$A$4:$H$621,6,FALSE))," ",VLOOKUP((ROW(G619)-15),'List of tables'!$A$4:$H$621,6,FALSE))</f>
        <v>http://www.ninis2.nisra.gov.uk/public/SearchResults.aspx?sk=WP603NI;</v>
      </c>
    </row>
    <row r="618" spans="1:7" ht="70" customHeight="1" x14ac:dyDescent="0.3">
      <c r="A618" s="23" t="str">
        <f>IF(ISNA(VLOOKUP((ROW(A620)-15),'List of tables'!$A$4:$H$621,2,FALSE))," ",VLOOKUP((ROW(A620)-15),'List of tables'!$A$4:$H$621,2,FALSE))</f>
        <v>WP604NI</v>
      </c>
      <c r="B618" s="21" t="str">
        <f>IF(ISNA(VLOOKUP((ROW(B620)-15),'List of tables'!$A$4:$H$621,3,FALSE))," ",VLOOKUP((ROW(B620)-15),'List of tables'!$A$4:$H$621,3,FALSE))</f>
        <v>Occupation - Minor Groups (Workplace Population)</v>
      </c>
      <c r="C618" s="21" t="str">
        <f>IF(ISNA(VLOOKUP((ROW(H620)-15),'List of tables'!$A$4:$H$621,8,FALSE))," ",VLOOKUP((ROW(H620)-15),'List of tables'!$A$4:$H$621,8,FALSE))</f>
        <v>All usual residents aged 16 to 74 (excluding students) in employment and currently working in the area.</v>
      </c>
      <c r="D618" s="21" t="str">
        <f>IF(ISNA(VLOOKUP((ROW(D620)-15),'List of tables'!$A$4:$H$621,5,FALSE))," ",VLOOKUP((ROW(D620)-15),'List of tables'!$A$4:$H$621,5,FALSE))</f>
        <v>Super Output Area, Electoral Ward, Local Government District, Assembly Area, NUTS3, Education and Library Board, Health and Social Care Trust, Northern Ireland</v>
      </c>
      <c r="E618" s="22" t="str">
        <f t="shared" si="8"/>
        <v>Link to files</v>
      </c>
      <c r="G618" s="18" t="str">
        <f>IF(ISNA(VLOOKUP((ROW(G620)-15),'List of tables'!$A$4:$H$621,6,FALSE))," ",VLOOKUP((ROW(G620)-15),'List of tables'!$A$4:$H$621,6,FALSE))</f>
        <v>http://www.ninis2.nisra.gov.uk/public/SearchResults.aspx?sk=WP604NI;</v>
      </c>
    </row>
    <row r="619" spans="1:7" ht="70" customHeight="1" x14ac:dyDescent="0.3">
      <c r="A619" s="23" t="str">
        <f>IF(ISNA(VLOOKUP((ROW(A621)-15),'List of tables'!$A$4:$H$621,2,FALSE))," ",VLOOKUP((ROW(A621)-15),'List of tables'!$A$4:$H$621,2,FALSE))</f>
        <v>WP605NI</v>
      </c>
      <c r="B619" s="21" t="str">
        <f>IF(ISNA(VLOOKUP((ROW(B621)-15),'List of tables'!$A$4:$H$621,3,FALSE))," ",VLOOKUP((ROW(B621)-15),'List of tables'!$A$4:$H$621,3,FALSE))</f>
        <v>National Statistics Socio-economic Classification (NS-SeC) (Workplace Population)</v>
      </c>
      <c r="C619" s="21" t="str">
        <f>IF(ISNA(VLOOKUP((ROW(H621)-15),'List of tables'!$A$4:$H$621,8,FALSE))," ",VLOOKUP((ROW(H621)-15),'List of tables'!$A$4:$H$621,8,FALSE))</f>
        <v>All usual residents aged 16 to 74 (excluding students) in employment and currently working in the area.</v>
      </c>
      <c r="D619" s="21" t="str">
        <f>IF(ISNA(VLOOKUP((ROW(D621)-15),'List of tables'!$A$4:$H$621,5,FALSE))," ",VLOOKUP((ROW(D621)-15),'List of tables'!$A$4:$H$621,5,FALSE))</f>
        <v>Super Output Area, Electoral Ward, Local Government District, Assembly Area, NUTS3, Education and Library Board, Health and Social Care Trust, Northern Ireland</v>
      </c>
      <c r="E619" s="22" t="str">
        <f t="shared" si="8"/>
        <v>Link to files</v>
      </c>
      <c r="G619" s="18" t="str">
        <f>IF(ISNA(VLOOKUP((ROW(G621)-15),'List of tables'!$A$4:$H$621,6,FALSE))," ",VLOOKUP((ROW(G621)-15),'List of tables'!$A$4:$H$621,6,FALSE))</f>
        <v>http://www.ninis2.nisra.gov.uk/public/SearchResults.aspx?sk=WP605NI;</v>
      </c>
    </row>
    <row r="620" spans="1:7" ht="70" customHeight="1" x14ac:dyDescent="0.3">
      <c r="A620" s="23" t="str">
        <f>IF(ISNA(VLOOKUP((ROW(A622)-15),'List of tables'!$A$4:$H$621,2,FALSE))," ",VLOOKUP((ROW(A622)-15),'List of tables'!$A$4:$H$621,2,FALSE))</f>
        <v>WP606NI</v>
      </c>
      <c r="B620" s="21" t="str">
        <f>IF(ISNA(VLOOKUP((ROW(B622)-15),'List of tables'!$A$4:$H$621,3,FALSE))," ",VLOOKUP((ROW(B622)-15),'List of tables'!$A$4:$H$621,3,FALSE))</f>
        <v>Approximated Social Grade (Workplace Population)</v>
      </c>
      <c r="C620" s="21" t="str">
        <f>IF(ISNA(VLOOKUP((ROW(H622)-15),'List of tables'!$A$4:$H$621,8,FALSE))," ",VLOOKUP((ROW(H622)-15),'List of tables'!$A$4:$H$621,8,FALSE))</f>
        <v xml:space="preserve"> All usual residents in households aged 16 to 64 (excluding students) in employment and currently working in the area</v>
      </c>
      <c r="D620" s="21" t="str">
        <f>IF(ISNA(VLOOKUP((ROW(D622)-15),'List of tables'!$A$4:$H$621,5,FALSE))," ",VLOOKUP((ROW(D622)-15),'List of tables'!$A$4:$H$621,5,FALSE))</f>
        <v>Super Output Area, Electoral Ward, Local Government District, Assembly Area, NUTS3, Education and Library Board, Health and Social Care Trust, Northern Ireland</v>
      </c>
      <c r="E620" s="22" t="str">
        <f t="shared" si="8"/>
        <v>Link to files</v>
      </c>
      <c r="G620" s="18" t="str">
        <f>IF(ISNA(VLOOKUP((ROW(G622)-15),'List of tables'!$A$4:$H$621,6,FALSE))," ",VLOOKUP((ROW(G622)-15),'List of tables'!$A$4:$H$621,6,FALSE))</f>
        <v>http://www.ninis2.nisra.gov.uk/public/SearchResults.aspx?sk=WP606NI;</v>
      </c>
    </row>
    <row r="621" spans="1:7" ht="70" customHeight="1" x14ac:dyDescent="0.3">
      <c r="A621" s="23" t="str">
        <f>IF(ISNA(VLOOKUP((ROW(A623)-15),'List of tables'!$A$4:$H$621,2,FALSE))," ",VLOOKUP((ROW(A623)-15),'List of tables'!$A$4:$H$621,2,FALSE))</f>
        <v>WP607NI</v>
      </c>
      <c r="B621" s="21" t="str">
        <f>IF(ISNA(VLOOKUP((ROW(B623)-15),'List of tables'!$A$4:$H$621,3,FALSE))," ",VLOOKUP((ROW(B623)-15),'List of tables'!$A$4:$H$621,3,FALSE))</f>
        <v>Occupation by Industry (Workplace Population)</v>
      </c>
      <c r="C621" s="21" t="str">
        <f>IF(ISNA(VLOOKUP((ROW(H623)-15),'List of tables'!$A$4:$H$621,8,FALSE))," ",VLOOKUP((ROW(H623)-15),'List of tables'!$A$4:$H$621,8,FALSE))</f>
        <v>All usual residents aged 16 to 74 (excluding students) in employment and currently working in the area.</v>
      </c>
      <c r="D621" s="21" t="str">
        <f>IF(ISNA(VLOOKUP((ROW(D623)-15),'List of tables'!$A$4:$H$621,5,FALSE))," ",VLOOKUP((ROW(D623)-15),'List of tables'!$A$4:$H$621,5,FALSE))</f>
        <v>Local Government District, NUTS3, Education and Library Board, Health and Social Care Trust, Northern Ireland</v>
      </c>
      <c r="E621" s="22" t="str">
        <f t="shared" si="8"/>
        <v>Link to files</v>
      </c>
      <c r="G621" s="18" t="str">
        <f>IF(ISNA(VLOOKUP((ROW(G623)-15),'List of tables'!$A$4:$H$621,6,FALSE))," ",VLOOKUP((ROW(G623)-15),'List of tables'!$A$4:$H$621,6,FALSE))</f>
        <v>http://www.ninis2.nisra.gov.uk/public/SearchResults.aspx?sk=WP607NI;</v>
      </c>
    </row>
    <row r="622" spans="1:7" ht="70" customHeight="1" x14ac:dyDescent="0.3">
      <c r="A622" s="23" t="str">
        <f>IF(ISNA(VLOOKUP((ROW(A624)-15),'List of tables'!$A$4:$H$621,2,FALSE))," ",VLOOKUP((ROW(A624)-15),'List of tables'!$A$4:$H$621,2,FALSE))</f>
        <v>WP608NI</v>
      </c>
      <c r="B622" s="21" t="str">
        <f>IF(ISNA(VLOOKUP((ROW(B624)-15),'List of tables'!$A$4:$H$621,3,FALSE))," ",VLOOKUP((ROW(B624)-15),'List of tables'!$A$4:$H$621,3,FALSE))</f>
        <v>Industry by Age (Workplace Population)</v>
      </c>
      <c r="C622" s="21" t="str">
        <f>IF(ISNA(VLOOKUP((ROW(H624)-15),'List of tables'!$A$4:$H$621,8,FALSE))," ",VLOOKUP((ROW(H624)-15),'List of tables'!$A$4:$H$621,8,FALSE))</f>
        <v>All usual residents aged 16 to 74 (excluding students) in employment and currently working in the area.</v>
      </c>
      <c r="D622" s="21" t="str">
        <f>IF(ISNA(VLOOKUP((ROW(D624)-15),'List of tables'!$A$4:$H$621,5,FALSE))," ",VLOOKUP((ROW(D624)-15),'List of tables'!$A$4:$H$621,5,FALSE))</f>
        <v>Local Government District, NUTS3, Education and Library Board, Health and Social Care Trust, Northern Ireland</v>
      </c>
      <c r="E622" s="22" t="str">
        <f t="shared" si="8"/>
        <v>Link to files</v>
      </c>
      <c r="G622" s="18" t="str">
        <f>IF(ISNA(VLOOKUP((ROW(G624)-15),'List of tables'!$A$4:$H$621,6,FALSE))," ",VLOOKUP((ROW(G624)-15),'List of tables'!$A$4:$H$621,6,FALSE))</f>
        <v>http://www.ninis2.nisra.gov.uk/public/SearchResults.aspx?sk=WP608NI;</v>
      </c>
    </row>
    <row r="623" spans="1:7" ht="70" customHeight="1" x14ac:dyDescent="0.3">
      <c r="A623" s="23" t="str">
        <f>IF(ISNA(VLOOKUP((ROW(A625)-15),'List of tables'!$A$4:$H$621,2,FALSE))," ",VLOOKUP((ROW(A625)-15),'List of tables'!$A$4:$H$621,2,FALSE))</f>
        <v>WP609NI</v>
      </c>
      <c r="B623" s="21" t="str">
        <f>IF(ISNA(VLOOKUP((ROW(B625)-15),'List of tables'!$A$4:$H$621,3,FALSE))," ",VLOOKUP((ROW(B625)-15),'List of tables'!$A$4:$H$621,3,FALSE))</f>
        <v>Occupation by Age (Workplace Population)</v>
      </c>
      <c r="C623" s="21" t="str">
        <f>IF(ISNA(VLOOKUP((ROW(H625)-15),'List of tables'!$A$4:$H$621,8,FALSE))," ",VLOOKUP((ROW(H625)-15),'List of tables'!$A$4:$H$621,8,FALSE))</f>
        <v>All usual residents aged 16 to 74 (excluding students) in employment and currently working in the area.</v>
      </c>
      <c r="D623" s="21" t="str">
        <f>IF(ISNA(VLOOKUP((ROW(D625)-15),'List of tables'!$A$4:$H$621,5,FALSE))," ",VLOOKUP((ROW(D625)-15),'List of tables'!$A$4:$H$621,5,FALSE))</f>
        <v>Local Government District, NUTS3, Education and Library Board, Health and Social Care Trust, Northern Ireland</v>
      </c>
      <c r="E623" s="22" t="str">
        <f t="shared" si="8"/>
        <v>Link to files</v>
      </c>
      <c r="G623" s="18" t="str">
        <f>IF(ISNA(VLOOKUP((ROW(G625)-15),'List of tables'!$A$4:$H$621,6,FALSE))," ",VLOOKUP((ROW(G625)-15),'List of tables'!$A$4:$H$621,6,FALSE))</f>
        <v>http://www.ninis2.nisra.gov.uk/public/SearchResults.aspx?sk=WP609NI;</v>
      </c>
    </row>
    <row r="624" spans="1:7" ht="70" customHeight="1" x14ac:dyDescent="0.3">
      <c r="A624" s="23" t="str">
        <f>IF(ISNA(VLOOKUP((ROW(A626)-15),'List of tables'!$A$4:$H$621,2,FALSE))," ",VLOOKUP((ROW(A626)-15),'List of tables'!$A$4:$H$621,2,FALSE))</f>
        <v>WP701NI</v>
      </c>
      <c r="B624" s="21" t="str">
        <f>IF(ISNA(VLOOKUP((ROW(B626)-15),'List of tables'!$A$4:$H$621,3,FALSE))," ",VLOOKUP((ROW(B626)-15),'List of tables'!$A$4:$H$621,3,FALSE))</f>
        <v>Method of Travel to Work (Workplace Population)</v>
      </c>
      <c r="C624" s="21" t="str">
        <f>IF(ISNA(VLOOKUP((ROW(H626)-15),'List of tables'!$A$4:$H$621,8,FALSE))," ",VLOOKUP((ROW(H626)-15),'List of tables'!$A$4:$H$621,8,FALSE))</f>
        <v>All usual residents aged 16 to 74 (excluding students) in employment and currently working in the area.</v>
      </c>
      <c r="D624" s="21" t="str">
        <f>IF(ISNA(VLOOKUP((ROW(D626)-15),'List of tables'!$A$4:$H$621,5,FALSE))," ",VLOOKUP((ROW(D626)-15),'List of tables'!$A$4:$H$621,5,FALSE))</f>
        <v>Super Output Area, Electoral Ward, Local Government District, Assembly Area, NUTS3, Education and Library Board, Health and Social Care Trust, Northern Ireland</v>
      </c>
      <c r="E624" s="22" t="str">
        <f t="shared" si="8"/>
        <v>Link to files</v>
      </c>
      <c r="G624" s="18" t="str">
        <f>IF(ISNA(VLOOKUP((ROW(G626)-15),'List of tables'!$A$4:$H$621,6,FALSE))," ",VLOOKUP((ROW(G626)-15),'List of tables'!$A$4:$H$621,6,FALSE))</f>
        <v>http://www.ninis2.nisra.gov.uk/public/SearchResults.aspx?sk=WP701NI;</v>
      </c>
    </row>
    <row r="625" spans="1:7" ht="70" customHeight="1" x14ac:dyDescent="0.3">
      <c r="A625" s="23" t="str">
        <f>IF(ISNA(VLOOKUP((ROW(A627)-15),'List of tables'!$A$4:$H$621,2,FALSE))," ",VLOOKUP((ROW(A627)-15),'List of tables'!$A$4:$H$621,2,FALSE))</f>
        <v>WP702NI</v>
      </c>
      <c r="B625" s="21" t="str">
        <f>IF(ISNA(VLOOKUP((ROW(B627)-15),'List of tables'!$A$4:$H$621,3,FALSE))," ",VLOOKUP((ROW(B627)-15),'List of tables'!$A$4:$H$621,3,FALSE))</f>
        <v>Distance Travelled to Work (Workplace Population)</v>
      </c>
      <c r="C625" s="21" t="str">
        <f>IF(ISNA(VLOOKUP((ROW(H627)-15),'List of tables'!$A$4:$H$621,8,FALSE))," ",VLOOKUP((ROW(H627)-15),'List of tables'!$A$4:$H$621,8,FALSE))</f>
        <v>All usual residents aged 16 to 74 (excluding students) in employment and currently working in the area.</v>
      </c>
      <c r="D625" s="21" t="str">
        <f>IF(ISNA(VLOOKUP((ROW(D627)-15),'List of tables'!$A$4:$H$621,5,FALSE))," ",VLOOKUP((ROW(D627)-15),'List of tables'!$A$4:$H$621,5,FALSE))</f>
        <v>Super Output Area, Electoral Ward, Local Government District, Assembly Area, NUTS3, Education and Library Board, Health and Social Care Trust, Northern Ireland</v>
      </c>
      <c r="E625" s="22" t="str">
        <f t="shared" si="8"/>
        <v>Link to files</v>
      </c>
      <c r="G625" s="18" t="str">
        <f>IF(ISNA(VLOOKUP((ROW(G627)-15),'List of tables'!$A$4:$H$621,6,FALSE))," ",VLOOKUP((ROW(G627)-15),'List of tables'!$A$4:$H$621,6,FALSE))</f>
        <v>http://www.ninis2.nisra.gov.uk/public/SearchResults.aspx?sk=WP702NI;</v>
      </c>
    </row>
    <row r="626" spans="1:7" ht="70" customHeight="1" x14ac:dyDescent="0.3">
      <c r="A626" s="23" t="str">
        <f>IF(ISNA(VLOOKUP((ROW(A628)-15),'List of tables'!$A$4:$H$621,2,FALSE))," ",VLOOKUP((ROW(A628)-15),'List of tables'!$A$4:$H$621,2,FALSE))</f>
        <v>WP703NI</v>
      </c>
      <c r="B626" s="21" t="str">
        <f>IF(ISNA(VLOOKUP((ROW(B628)-15),'List of tables'!$A$4:$H$621,3,FALSE))," ",VLOOKUP((ROW(B628)-15),'List of tables'!$A$4:$H$621,3,FALSE))</f>
        <v>Distance Travelled to Work by Industry (Workplace Population)</v>
      </c>
      <c r="C626" s="21" t="str">
        <f>IF(ISNA(VLOOKUP((ROW(H628)-15),'List of tables'!$A$4:$H$621,8,FALSE))," ",VLOOKUP((ROW(H628)-15),'List of tables'!$A$4:$H$621,8,FALSE))</f>
        <v>All usual residents aged 16 to 74 (excluding students) in employment and currently working in the area.</v>
      </c>
      <c r="D626" s="21" t="str">
        <f>IF(ISNA(VLOOKUP((ROW(D628)-15),'List of tables'!$A$4:$H$621,5,FALSE))," ",VLOOKUP((ROW(D628)-15),'List of tables'!$A$4:$H$621,5,FALSE))</f>
        <v>Local Government District, NUTS3, Education and Library Board, Health and Social Care Trust, Northern Ireland</v>
      </c>
      <c r="E626" s="22" t="str">
        <f t="shared" si="8"/>
        <v>Link to files</v>
      </c>
      <c r="G626" s="18" t="str">
        <f>IF(ISNA(VLOOKUP((ROW(G628)-15),'List of tables'!$A$4:$H$621,6,FALSE))," ",VLOOKUP((ROW(G628)-15),'List of tables'!$A$4:$H$621,6,FALSE))</f>
        <v>http://www.ninis2.nisra.gov.uk/public/SearchResults.aspx?sk=WP703NI;</v>
      </c>
    </row>
    <row r="627" spans="1:7" ht="70" customHeight="1" x14ac:dyDescent="0.3">
      <c r="A627" s="23" t="str">
        <f>IF(ISNA(VLOOKUP((ROW(A629)-15),'List of tables'!$A$4:$H$621,2,FALSE))," ",VLOOKUP((ROW(A629)-15),'List of tables'!$A$4:$H$621,2,FALSE))</f>
        <v>WP704NI</v>
      </c>
      <c r="B627" s="21" t="str">
        <f>IF(ISNA(VLOOKUP((ROW(B629)-15),'List of tables'!$A$4:$H$621,3,FALSE))," ",VLOOKUP((ROW(B629)-15),'List of tables'!$A$4:$H$621,3,FALSE))</f>
        <v>Distance Travelled to Work by Occupation (Workplace Population)</v>
      </c>
      <c r="C627" s="21" t="str">
        <f>IF(ISNA(VLOOKUP((ROW(H629)-15),'List of tables'!$A$4:$H$621,8,FALSE))," ",VLOOKUP((ROW(H629)-15),'List of tables'!$A$4:$H$621,8,FALSE))</f>
        <v>All usual residents aged 16 to 74 (excluding students) in employment and currently working in the area.</v>
      </c>
      <c r="D627" s="21" t="str">
        <f>IF(ISNA(VLOOKUP((ROW(D629)-15),'List of tables'!$A$4:$H$621,5,FALSE))," ",VLOOKUP((ROW(D629)-15),'List of tables'!$A$4:$H$621,5,FALSE))</f>
        <v>Local Government District, NUTS3, Education and Library Board, Health and Social Care Trust, Northern Ireland</v>
      </c>
      <c r="E627" s="22" t="str">
        <f t="shared" si="8"/>
        <v>Link to files</v>
      </c>
      <c r="G627" s="18" t="str">
        <f>IF(ISNA(VLOOKUP((ROW(G629)-15),'List of tables'!$A$4:$H$621,6,FALSE))," ",VLOOKUP((ROW(G629)-15),'List of tables'!$A$4:$H$621,6,FALSE))</f>
        <v>http://www.ninis2.nisra.gov.uk/public/SearchResults.aspx?sk=WP704NI;</v>
      </c>
    </row>
    <row r="628" spans="1:7" ht="70" customHeight="1" x14ac:dyDescent="0.3">
      <c r="A628" s="23" t="str">
        <f>IF(ISNA(VLOOKUP((ROW(A630)-15),'List of tables'!$A$4:$H$621,2,FALSE))," ",VLOOKUP((ROW(A630)-15),'List of tables'!$A$4:$H$621,2,FALSE))</f>
        <v>WP705NI</v>
      </c>
      <c r="B628" s="21" t="str">
        <f>IF(ISNA(VLOOKUP((ROW(B630)-15),'List of tables'!$A$4:$H$621,3,FALSE))," ",VLOOKUP((ROW(B630)-15),'List of tables'!$A$4:$H$621,3,FALSE))</f>
        <v>Method of Travel to Work by Distance Travelled to Work (Workplace Population)</v>
      </c>
      <c r="C628" s="21" t="str">
        <f>IF(ISNA(VLOOKUP((ROW(H630)-15),'List of tables'!$A$4:$H$621,8,FALSE))," ",VLOOKUP((ROW(H630)-15),'List of tables'!$A$4:$H$621,8,FALSE))</f>
        <v>All usual residents aged 16 to 74 (excluding students) in employment and currently working in the area.</v>
      </c>
      <c r="D628" s="21" t="str">
        <f>IF(ISNA(VLOOKUP((ROW(D630)-15),'List of tables'!$A$4:$H$621,5,FALSE))," ",VLOOKUP((ROW(D630)-15),'List of tables'!$A$4:$H$621,5,FALSE))</f>
        <v>Local Government District, NUTS3, Education and Library Board, Health and Social Care Trust, Northern Ireland</v>
      </c>
      <c r="E628" s="22" t="str">
        <f t="shared" si="8"/>
        <v>Link to files</v>
      </c>
      <c r="G628" s="18" t="str">
        <f>IF(ISNA(VLOOKUP((ROW(G630)-15),'List of tables'!$A$4:$H$621,6,FALSE))," ",VLOOKUP((ROW(G630)-15),'List of tables'!$A$4:$H$621,6,FALSE))</f>
        <v>http://www.ninis2.nisra.gov.uk/public/SearchResults.aspx?sk=WP705NI;</v>
      </c>
    </row>
    <row r="629" spans="1:7" ht="70" customHeight="1" x14ac:dyDescent="0.3">
      <c r="A629" s="23" t="str">
        <f>IF(ISNA(VLOOKUP((ROW(A631)-15),'List of tables'!$A$4:$H$621,2,FALSE))," ",VLOOKUP((ROW(A631)-15),'List of tables'!$A$4:$H$621,2,FALSE))</f>
        <v>WP706NI</v>
      </c>
      <c r="B629" s="21" t="str">
        <f>IF(ISNA(VLOOKUP((ROW(B631)-15),'List of tables'!$A$4:$H$621,3,FALSE))," ",VLOOKUP((ROW(B631)-15),'List of tables'!$A$4:$H$621,3,FALSE))</f>
        <v>Method of Travel to Work by Age (Workplace Population)</v>
      </c>
      <c r="C629" s="21" t="str">
        <f>IF(ISNA(VLOOKUP((ROW(H631)-15),'List of tables'!$A$4:$H$621,8,FALSE))," ",VLOOKUP((ROW(H631)-15),'List of tables'!$A$4:$H$621,8,FALSE))</f>
        <v>All usual residents aged 16 to 74 (excluding students) in employment and currently working in the area.</v>
      </c>
      <c r="D629" s="21" t="str">
        <f>IF(ISNA(VLOOKUP((ROW(D631)-15),'List of tables'!$A$4:$H$621,5,FALSE))," ",VLOOKUP((ROW(D631)-15),'List of tables'!$A$4:$H$621,5,FALSE))</f>
        <v>Local Government District, NUTS3, Education and Library Board, Health and Social Care Trust, Northern Ireland</v>
      </c>
      <c r="E629" s="22" t="str">
        <f t="shared" si="8"/>
        <v>Link to files</v>
      </c>
      <c r="G629" s="18" t="str">
        <f>IF(ISNA(VLOOKUP((ROW(G631)-15),'List of tables'!$A$4:$H$621,6,FALSE))," ",VLOOKUP((ROW(G631)-15),'List of tables'!$A$4:$H$621,6,FALSE))</f>
        <v>http://www.ninis2.nisra.gov.uk/public/SearchResults.aspx?sk=WP706NI;</v>
      </c>
    </row>
    <row r="630" spans="1:7" ht="70" customHeight="1" x14ac:dyDescent="0.3">
      <c r="A630" s="23" t="str">
        <f>IF(ISNA(VLOOKUP((ROW(A632)-15),'List of tables'!$A$4:$H$621,2,FALSE))," ",VLOOKUP((ROW(A632)-15),'List of tables'!$A$4:$H$621,2,FALSE))</f>
        <v>WP707NI</v>
      </c>
      <c r="B630" s="21" t="str">
        <f>IF(ISNA(VLOOKUP((ROW(B632)-15),'List of tables'!$A$4:$H$621,3,FALSE))," ",VLOOKUP((ROW(B632)-15),'List of tables'!$A$4:$H$621,3,FALSE))</f>
        <v>Distance Travelled to Work by Age (Workplace Population)</v>
      </c>
      <c r="C630" s="21" t="str">
        <f>IF(ISNA(VLOOKUP((ROW(H632)-15),'List of tables'!$A$4:$H$621,8,FALSE))," ",VLOOKUP((ROW(H632)-15),'List of tables'!$A$4:$H$621,8,FALSE))</f>
        <v>All usual residents aged 16 to 74 (excluding students) in employment and currently working in the area.</v>
      </c>
      <c r="D630" s="21" t="str">
        <f>IF(ISNA(VLOOKUP((ROW(D632)-15),'List of tables'!$A$4:$H$621,5,FALSE))," ",VLOOKUP((ROW(D632)-15),'List of tables'!$A$4:$H$621,5,FALSE))</f>
        <v>Local Government District, NUTS3, Education and Library Board, Health and Social Care Trust, Northern Ireland</v>
      </c>
      <c r="E630" s="22" t="str">
        <f t="shared" si="8"/>
        <v>Link to files</v>
      </c>
      <c r="G630" s="18" t="str">
        <f>IF(ISNA(VLOOKUP((ROW(G632)-15),'List of tables'!$A$4:$H$621,6,FALSE))," ",VLOOKUP((ROW(G632)-15),'List of tables'!$A$4:$H$621,6,FALSE))</f>
        <v>http://www.ninis2.nisra.gov.uk/public/SearchResults.aspx?sk=WP707NI;</v>
      </c>
    </row>
    <row r="631" spans="1:7" ht="70" customHeight="1" x14ac:dyDescent="0.3">
      <c r="A631" s="23" t="str">
        <f>IF(ISNA(VLOOKUP((ROW(A633)-15),'List of tables'!$A$4:$H$621,2,FALSE))," ",VLOOKUP((ROW(A633)-15),'List of tables'!$A$4:$H$621,2,FALSE))</f>
        <v>-</v>
      </c>
      <c r="B631" s="21" t="str">
        <f>IF(ISNA(VLOOKUP((ROW(B633)-15),'List of tables'!$A$4:$H$621,3,FALSE))," ",VLOOKUP((ROW(B633)-15),'List of tables'!$A$4:$H$621,3,FALSE))</f>
        <v>Headcount and Household Estimates for Settlements</v>
      </c>
      <c r="C631" s="21" t="str">
        <f>IF(ISNA(VLOOKUP((ROW(H633)-15),'List of tables'!$A$4:$H$621,8,FALSE))," ",VLOOKUP((ROW(H633)-15),'List of tables'!$A$4:$H$621,8,FALSE))</f>
        <v>All usual residents and households</v>
      </c>
      <c r="D631" s="21" t="str">
        <f>IF(ISNA(VLOOKUP((ROW(D633)-15),'List of tables'!$A$4:$H$621,5,FALSE))," ",VLOOKUP((ROW(D633)-15),'List of tables'!$A$4:$H$621,5,FALSE))</f>
        <v>Settlement2015</v>
      </c>
      <c r="E631" s="22" t="str">
        <f t="shared" si="8"/>
        <v>Link to files</v>
      </c>
      <c r="G631" s="18" t="str">
        <f>IF(ISNA(VLOOKUP((ROW(G633)-15),'List of tables'!$A$4:$H$621,6,FALSE))," ",VLOOKUP((ROW(G633)-15),'List of tables'!$A$4:$H$621,6,FALSE))</f>
        <v>http://www.ninis2.nisra.gov.uk/public/SearchResults.aspx?sk=household;estimates;settlements*&amp;AllAny=1&amp;numToFetch=200&amp;DataInterBoth=1&amp;FromAdvanced=true&amp;dsk=136&amp;dsv=Census%202011&amp;gk=&amp;gv=&amp;sy=1981&amp;ey=2037</v>
      </c>
    </row>
    <row r="632" spans="1:7" x14ac:dyDescent="0.3">
      <c r="A632" s="23" t="str">
        <f>IF(ISNA(VLOOKUP((ROW(A634)-15),'List of tables'!$A$4:$H$621,2,FALSE))," ",VLOOKUP((ROW(A634)-15),'List of tables'!$A$4:$H$621,2,FALSE))</f>
        <v xml:space="preserve"> </v>
      </c>
      <c r="B632" s="21" t="str">
        <f>IF(ISNA(VLOOKUP((ROW(B634)-15),'List of tables'!$A$4:$H$621,3,FALSE))," ",VLOOKUP((ROW(B634)-15),'List of tables'!$A$4:$H$621,3,FALSE))</f>
        <v xml:space="preserve"> </v>
      </c>
      <c r="C632" s="21" t="str">
        <f>IF(ISNA(VLOOKUP((ROW(H634)-15),'List of tables'!$A$4:$H$621,8,FALSE))," ",VLOOKUP((ROW(H634)-15),'List of tables'!$A$4:$H$621,8,FALSE))</f>
        <v xml:space="preserve"> </v>
      </c>
      <c r="D632" s="21" t="str">
        <f>IF(ISNA(VLOOKUP((ROW(D634)-15),'List of tables'!$A$4:$H$621,5,FALSE))," ",VLOOKUP((ROW(D634)-15),'List of tables'!$A$4:$H$621,5,FALSE))</f>
        <v xml:space="preserve"> </v>
      </c>
      <c r="E632" s="22" t="str">
        <f t="shared" si="8"/>
        <v/>
      </c>
      <c r="G632" s="18" t="str">
        <f>IF(ISNA(VLOOKUP((ROW(G634)-15),'List of tables'!$A$4:$F$621,6,FALSE))," ",VLOOKUP((ROW(G634)-15),'List of tables'!$A$4:$F$621,6,FALSE))</f>
        <v xml:space="preserve"> </v>
      </c>
    </row>
    <row r="633" spans="1:7" x14ac:dyDescent="0.3">
      <c r="A633" s="23" t="str">
        <f>IF(ISNA(VLOOKUP((ROW(A635)-15),'List of tables'!$A$4:$H$621,2,FALSE))," ",VLOOKUP((ROW(A635)-15),'List of tables'!$A$4:$H$621,2,FALSE))</f>
        <v xml:space="preserve"> </v>
      </c>
      <c r="B633" s="21" t="str">
        <f>IF(ISNA(VLOOKUP((ROW(B635)-15),'List of tables'!$A$4:$H$621,3,FALSE))," ",VLOOKUP((ROW(B635)-15),'List of tables'!$A$4:$H$621,3,FALSE))</f>
        <v xml:space="preserve"> </v>
      </c>
      <c r="C633" s="21" t="str">
        <f>IF(ISNA(VLOOKUP((ROW(H635)-15),'List of tables'!$A$4:$H$621,8,FALSE))," ",VLOOKUP((ROW(H635)-15),'List of tables'!$A$4:$H$621,8,FALSE))</f>
        <v xml:space="preserve"> </v>
      </c>
      <c r="D633" s="21" t="str">
        <f>IF(ISNA(VLOOKUP((ROW(D635)-15),'List of tables'!$A$4:$H$621,5,FALSE))," ",VLOOKUP((ROW(D635)-15),'List of tables'!$A$4:$H$621,5,FALSE))</f>
        <v xml:space="preserve"> </v>
      </c>
      <c r="E633" s="22" t="str">
        <f t="shared" si="8"/>
        <v/>
      </c>
      <c r="G633" s="18" t="str">
        <f>IF(ISNA(VLOOKUP((ROW(G635)-15),'List of tables'!$A$4:$F$621,6,FALSE))," ",VLOOKUP((ROW(G635)-15),'List of tables'!$A$4:$F$621,6,FALSE))</f>
        <v xml:space="preserve"> </v>
      </c>
    </row>
    <row r="634" spans="1:7" x14ac:dyDescent="0.3">
      <c r="D634" s="20" t="str">
        <f t="shared" ref="D634:D640" si="9">IF(LEN(F634)&lt;10,"",HYPERLINK(F634,"Link to files"))</f>
        <v/>
      </c>
      <c r="F634" s="18" t="str">
        <f>IF(ISNA(VLOOKUP((ROW(F634)-15),'List of tables'!$A$4:$F$621,6,FALSE))," ",VLOOKUP((ROW(F634)-15),'List of tables'!$A$4:$F$621,6,FALSE))</f>
        <v xml:space="preserve"> </v>
      </c>
    </row>
    <row r="635" spans="1:7" x14ac:dyDescent="0.3">
      <c r="D635" s="20" t="str">
        <f t="shared" si="9"/>
        <v/>
      </c>
      <c r="F635" s="18" t="str">
        <f>IF(ISNA(VLOOKUP((ROW(F635)-15),'List of tables'!$A$4:$F$621,6,FALSE))," ",VLOOKUP((ROW(F635)-15),'List of tables'!$A$4:$F$621,6,FALSE))</f>
        <v xml:space="preserve"> </v>
      </c>
    </row>
    <row r="636" spans="1:7" x14ac:dyDescent="0.3">
      <c r="D636" s="20" t="str">
        <f t="shared" si="9"/>
        <v/>
      </c>
      <c r="F636" s="18" t="str">
        <f>IF(ISNA(VLOOKUP((ROW(F636)-15),'List of tables'!$A$4:$F$621,6,FALSE))," ",VLOOKUP((ROW(F636)-15),'List of tables'!$A$4:$F$621,6,FALSE))</f>
        <v xml:space="preserve"> </v>
      </c>
    </row>
    <row r="637" spans="1:7" x14ac:dyDescent="0.3">
      <c r="D637" s="20" t="str">
        <f t="shared" si="9"/>
        <v/>
      </c>
      <c r="F637" s="18" t="str">
        <f>IF(ISNA(VLOOKUP((ROW(F637)-15),'List of tables'!$A$4:$F$621,6,FALSE))," ",VLOOKUP((ROW(F637)-15),'List of tables'!$A$4:$F$621,6,FALSE))</f>
        <v xml:space="preserve"> </v>
      </c>
    </row>
    <row r="638" spans="1:7" x14ac:dyDescent="0.3">
      <c r="D638" s="20" t="str">
        <f t="shared" si="9"/>
        <v/>
      </c>
      <c r="F638" s="18" t="str">
        <f>IF(ISNA(VLOOKUP((ROW(F638)-15),'List of tables'!$A$4:$F$621,6,FALSE))," ",VLOOKUP((ROW(F638)-15),'List of tables'!$A$4:$F$621,6,FALSE))</f>
        <v xml:space="preserve"> </v>
      </c>
    </row>
    <row r="639" spans="1:7" x14ac:dyDescent="0.3">
      <c r="D639" s="20" t="str">
        <f t="shared" si="9"/>
        <v/>
      </c>
      <c r="F639" s="18" t="str">
        <f>IF(ISNA(VLOOKUP((ROW(F639)-15),'List of tables'!$A$4:$F$621,6,FALSE))," ",VLOOKUP((ROW(F639)-15),'List of tables'!$A$4:$F$621,6,FALSE))</f>
        <v xml:space="preserve"> </v>
      </c>
    </row>
    <row r="640" spans="1:7" x14ac:dyDescent="0.3">
      <c r="D640" s="20" t="str">
        <f t="shared" si="9"/>
        <v/>
      </c>
      <c r="F640" s="18" t="str">
        <f>IF(ISNA(VLOOKUP((ROW(F640)-15),'List of tables'!$A$4:$F$621,6,FALSE))," ",VLOOKUP((ROW(F640)-15),'List of tables'!$A$4:$F$621,6,FALSE))</f>
        <v xml:space="preserve"> </v>
      </c>
    </row>
    <row r="641" spans="6:6" x14ac:dyDescent="0.3">
      <c r="F641" s="18" t="str">
        <f>IF(ISNA(VLOOKUP((ROW(F641)-15),'List of tables'!$A$4:$F$621,6,FALSE))," ",VLOOKUP((ROW(F641)-15),'List of tables'!$A$4:$F$621,6,FALSE))</f>
        <v xml:space="preserve"> </v>
      </c>
    </row>
    <row r="642" spans="6:6" x14ac:dyDescent="0.3">
      <c r="F642" s="18" t="str">
        <f>IF(ISNA(VLOOKUP((ROW(F642)-15),'List of tables'!$A$4:$F$621,6,FALSE))," ",VLOOKUP((ROW(F642)-15),'List of tables'!$A$4:$F$621,6,FALSE))</f>
        <v xml:space="preserve"> </v>
      </c>
    </row>
    <row r="643" spans="6:6" x14ac:dyDescent="0.3">
      <c r="F643" s="18" t="str">
        <f>IF(ISNA(VLOOKUP((ROW(F643)-15),'List of tables'!$A$4:$F$621,6,FALSE))," ",VLOOKUP((ROW(F643)-15),'List of tables'!$A$4:$F$621,6,FALSE))</f>
        <v xml:space="preserve"> </v>
      </c>
    </row>
    <row r="644" spans="6:6" x14ac:dyDescent="0.3">
      <c r="F644" s="18" t="str">
        <f>IF(ISNA(VLOOKUP((ROW(F644)-15),'List of tables'!$A$4:$F$621,6,FALSE))," ",VLOOKUP((ROW(F644)-15),'List of tables'!$A$4:$F$621,6,FALSE))</f>
        <v xml:space="preserve"> </v>
      </c>
    </row>
    <row r="645" spans="6:6" x14ac:dyDescent="0.3">
      <c r="F645" s="18" t="str">
        <f>IF(ISNA(VLOOKUP((ROW(F645)-15),'List of tables'!$A$4:$F$621,6,FALSE))," ",VLOOKUP((ROW(F645)-15),'List of tables'!$A$4:$F$621,6,FALSE))</f>
        <v xml:space="preserve"> </v>
      </c>
    </row>
    <row r="646" spans="6:6" x14ac:dyDescent="0.3">
      <c r="F646" s="18" t="str">
        <f>IF(ISNA(VLOOKUP((ROW(F646)-15),'List of tables'!$A$4:$F$621,6,FALSE))," ",VLOOKUP((ROW(F646)-15),'List of tables'!$A$4:$F$621,6,FALSE))</f>
        <v xml:space="preserve"> </v>
      </c>
    </row>
    <row r="647" spans="6:6" x14ac:dyDescent="0.3">
      <c r="F647" s="18" t="str">
        <f>IF(ISNA(VLOOKUP((ROW(F647)-15),'List of tables'!$A$4:$F$621,6,FALSE))," ",VLOOKUP((ROW(F647)-15),'List of tables'!$A$4:$F$621,6,FALSE))</f>
        <v xml:space="preserve"> </v>
      </c>
    </row>
    <row r="648" spans="6:6" x14ac:dyDescent="0.3">
      <c r="F648" s="18" t="str">
        <f>IF(ISNA(VLOOKUP((ROW(F648)-15),'List of tables'!$A$4:$F$621,6,FALSE))," ",VLOOKUP((ROW(F648)-15),'List of tables'!$A$4:$F$621,6,FALSE))</f>
        <v xml:space="preserve"> </v>
      </c>
    </row>
    <row r="649" spans="6:6" x14ac:dyDescent="0.3">
      <c r="F649" s="18" t="str">
        <f>IF(ISNA(VLOOKUP((ROW(F649)-15),'List of tables'!$A$4:$F$621,6,FALSE))," ",VLOOKUP((ROW(F649)-15),'List of tables'!$A$4:$F$621,6,FALSE))</f>
        <v xml:space="preserve"> </v>
      </c>
    </row>
    <row r="650" spans="6:6" x14ac:dyDescent="0.3">
      <c r="F650" s="18" t="str">
        <f>IF(ISNA(VLOOKUP((ROW(F650)-15),'List of tables'!$A$4:$F$621,6,FALSE))," ",VLOOKUP((ROW(F650)-15),'List of tables'!$A$4:$F$621,6,FALSE))</f>
        <v xml:space="preserve"> </v>
      </c>
    </row>
    <row r="651" spans="6:6" x14ac:dyDescent="0.3">
      <c r="F651" s="18" t="str">
        <f>IF(ISNA(VLOOKUP((ROW(F651)-15),'List of tables'!$A$4:$F$621,6,FALSE))," ",VLOOKUP((ROW(F651)-15),'List of tables'!$A$4:$F$621,6,FALSE))</f>
        <v xml:space="preserve"> </v>
      </c>
    </row>
    <row r="652" spans="6:6" x14ac:dyDescent="0.3">
      <c r="F652" s="18" t="str">
        <f>IF(ISNA(VLOOKUP((ROW(F652)-15),'List of tables'!$A$4:$F$621,6,FALSE))," ",VLOOKUP((ROW(F652)-15),'List of tables'!$A$4:$F$621,6,FALSE))</f>
        <v xml:space="preserve"> </v>
      </c>
    </row>
    <row r="653" spans="6:6" x14ac:dyDescent="0.3">
      <c r="F653" s="18" t="str">
        <f>IF(ISNA(VLOOKUP((ROW(F653)-15),'List of tables'!$A$4:$F$621,6,FALSE))," ",VLOOKUP((ROW(F653)-15),'List of tables'!$A$4:$F$621,6,FALSE))</f>
        <v xml:space="preserve"> </v>
      </c>
    </row>
    <row r="654" spans="6:6" x14ac:dyDescent="0.3">
      <c r="F654" s="18" t="str">
        <f>IF(ISNA(VLOOKUP((ROW(F654)-15),'List of tables'!$A$4:$F$621,6,FALSE))," ",VLOOKUP((ROW(F654)-15),'List of tables'!$A$4:$F$621,6,FALSE))</f>
        <v xml:space="preserve"> </v>
      </c>
    </row>
    <row r="655" spans="6:6" x14ac:dyDescent="0.3">
      <c r="F655" s="18" t="str">
        <f>IF(ISNA(VLOOKUP((ROW(F655)-15),'List of tables'!$A$4:$F$621,6,FALSE))," ",VLOOKUP((ROW(F655)-15),'List of tables'!$A$4:$F$621,6,FALSE))</f>
        <v xml:space="preserve"> </v>
      </c>
    </row>
    <row r="656" spans="6:6" x14ac:dyDescent="0.3">
      <c r="F656" s="18" t="str">
        <f>IF(ISNA(VLOOKUP((ROW(F656)-15),'List of tables'!$A$4:$F$621,6,FALSE))," ",VLOOKUP((ROW(F656)-15),'List of tables'!$A$4:$F$621,6,FALSE))</f>
        <v xml:space="preserve"> </v>
      </c>
    </row>
    <row r="657" spans="6:6" x14ac:dyDescent="0.3">
      <c r="F657" s="18" t="str">
        <f>IF(ISNA(VLOOKUP((ROW(F657)-15),'List of tables'!$A$4:$F$621,6,FALSE))," ",VLOOKUP((ROW(F657)-15),'List of tables'!$A$4:$F$621,6,FALSE))</f>
        <v xml:space="preserve"> </v>
      </c>
    </row>
    <row r="658" spans="6:6" x14ac:dyDescent="0.3">
      <c r="F658" s="18" t="str">
        <f>IF(ISNA(VLOOKUP((ROW(F658)-15),'List of tables'!$A$4:$F$621,6,FALSE))," ",VLOOKUP((ROW(F658)-15),'List of tables'!$A$4:$F$621,6,FALSE))</f>
        <v xml:space="preserve"> </v>
      </c>
    </row>
    <row r="659" spans="6:6" x14ac:dyDescent="0.3">
      <c r="F659" s="18" t="str">
        <f>IF(ISNA(VLOOKUP((ROW(F659)-15),'List of tables'!$A$4:$F$621,6,FALSE))," ",VLOOKUP((ROW(F659)-15),'List of tables'!$A$4:$F$621,6,FALSE))</f>
        <v xml:space="preserve"> </v>
      </c>
    </row>
    <row r="660" spans="6:6" x14ac:dyDescent="0.3">
      <c r="F660" s="18" t="str">
        <f>IF(ISNA(VLOOKUP((ROW(F660)-15),'List of tables'!$A$4:$F$621,6,FALSE))," ",VLOOKUP((ROW(F660)-15),'List of tables'!$A$4:$F$621,6,FALSE))</f>
        <v xml:space="preserve"> </v>
      </c>
    </row>
    <row r="661" spans="6:6" x14ac:dyDescent="0.3">
      <c r="F661" s="18" t="str">
        <f>IF(ISNA(VLOOKUP((ROW(F661)-15),'List of tables'!$A$4:$F$621,6,FALSE))," ",VLOOKUP((ROW(F661)-15),'List of tables'!$A$4:$F$621,6,FALSE))</f>
        <v xml:space="preserve"> </v>
      </c>
    </row>
    <row r="662" spans="6:6" x14ac:dyDescent="0.3">
      <c r="F662" s="18" t="str">
        <f>IF(ISNA(VLOOKUP((ROW(F662)-15),'List of tables'!$A$4:$F$621,6,FALSE))," ",VLOOKUP((ROW(F662)-15),'List of tables'!$A$4:$F$621,6,FALSE))</f>
        <v xml:space="preserve"> </v>
      </c>
    </row>
    <row r="663" spans="6:6" x14ac:dyDescent="0.3">
      <c r="F663" s="18" t="str">
        <f>IF(ISNA(VLOOKUP((ROW(F663)-15),'List of tables'!$A$4:$F$621,6,FALSE))," ",VLOOKUP((ROW(F663)-15),'List of tables'!$A$4:$F$621,6,FALSE))</f>
        <v xml:space="preserve"> </v>
      </c>
    </row>
    <row r="664" spans="6:6" x14ac:dyDescent="0.3">
      <c r="F664" s="18" t="str">
        <f>IF(ISNA(VLOOKUP((ROW(F664)-15),'List of tables'!$A$4:$F$621,6,FALSE))," ",VLOOKUP((ROW(F664)-15),'List of tables'!$A$4:$F$621,6,FALSE))</f>
        <v xml:space="preserve"> </v>
      </c>
    </row>
    <row r="665" spans="6:6" x14ac:dyDescent="0.3">
      <c r="F665" s="18" t="str">
        <f>IF(ISNA(VLOOKUP((ROW(F665)-15),'List of tables'!$A$4:$F$621,6,FALSE))," ",VLOOKUP((ROW(F665)-15),'List of tables'!$A$4:$F$621,6,FALSE))</f>
        <v xml:space="preserve"> </v>
      </c>
    </row>
    <row r="666" spans="6:6" x14ac:dyDescent="0.3">
      <c r="F666" s="18" t="str">
        <f>IF(ISNA(VLOOKUP((ROW(F666)-15),'List of tables'!$A$4:$F$621,6,FALSE))," ",VLOOKUP((ROW(F666)-15),'List of tables'!$A$4:$F$621,6,FALSE))</f>
        <v xml:space="preserve"> </v>
      </c>
    </row>
    <row r="667" spans="6:6" x14ac:dyDescent="0.3">
      <c r="F667" s="18" t="str">
        <f>IF(ISNA(VLOOKUP((ROW(F667)-15),'List of tables'!$A$4:$F$621,6,FALSE))," ",VLOOKUP((ROW(F667)-15),'List of tables'!$A$4:$F$621,6,FALSE))</f>
        <v xml:space="preserve"> </v>
      </c>
    </row>
    <row r="668" spans="6:6" x14ac:dyDescent="0.3">
      <c r="F668" s="18" t="str">
        <f>IF(ISNA(VLOOKUP((ROW(F668)-15),'List of tables'!$A$4:$F$621,6,FALSE))," ",VLOOKUP((ROW(F668)-15),'List of tables'!$A$4:$F$621,6,FALSE))</f>
        <v xml:space="preserve"> </v>
      </c>
    </row>
    <row r="669" spans="6:6" x14ac:dyDescent="0.3">
      <c r="F669" s="18" t="str">
        <f>IF(ISNA(VLOOKUP((ROW(F669)-15),'List of tables'!$A$4:$F$621,6,FALSE))," ",VLOOKUP((ROW(F669)-15),'List of tables'!$A$4:$F$621,6,FALSE))</f>
        <v xml:space="preserve"> </v>
      </c>
    </row>
    <row r="670" spans="6:6" x14ac:dyDescent="0.3">
      <c r="F670" s="18" t="str">
        <f>IF(ISNA(VLOOKUP((ROW(F670)-15),'List of tables'!$A$4:$F$621,6,FALSE))," ",VLOOKUP((ROW(F670)-15),'List of tables'!$A$4:$F$621,6,FALSE))</f>
        <v xml:space="preserve"> </v>
      </c>
    </row>
    <row r="671" spans="6:6" x14ac:dyDescent="0.3">
      <c r="F671" s="18" t="str">
        <f>IF(ISNA(VLOOKUP((ROW(F671)-15),'List of tables'!$A$4:$F$621,6,FALSE))," ",VLOOKUP((ROW(F671)-15),'List of tables'!$A$4:$F$621,6,FALSE))</f>
        <v xml:space="preserve"> </v>
      </c>
    </row>
    <row r="672" spans="6:6" x14ac:dyDescent="0.3">
      <c r="F672" s="18" t="str">
        <f>IF(ISNA(VLOOKUP((ROW(F672)-15),'List of tables'!$A$4:$F$621,6,FALSE))," ",VLOOKUP((ROW(F672)-15),'List of tables'!$A$4:$F$621,6,FALSE))</f>
        <v xml:space="preserve"> </v>
      </c>
    </row>
    <row r="673" spans="6:6" x14ac:dyDescent="0.3">
      <c r="F673" s="18" t="str">
        <f>IF(ISNA(VLOOKUP((ROW(F673)-15),'List of tables'!$A$4:$F$621,6,FALSE))," ",VLOOKUP((ROW(F673)-15),'List of tables'!$A$4:$F$621,6,FALSE))</f>
        <v xml:space="preserve"> </v>
      </c>
    </row>
    <row r="674" spans="6:6" x14ac:dyDescent="0.3">
      <c r="F674" s="18" t="str">
        <f>IF(ISNA(VLOOKUP((ROW(F674)-15),'List of tables'!$A$4:$F$621,6,FALSE))," ",VLOOKUP((ROW(F674)-15),'List of tables'!$A$4:$F$621,6,FALSE))</f>
        <v xml:space="preserve"> </v>
      </c>
    </row>
    <row r="675" spans="6:6" x14ac:dyDescent="0.3">
      <c r="F675" s="18" t="str">
        <f>IF(ISNA(VLOOKUP((ROW(F675)-15),'List of tables'!$A$4:$F$621,6,FALSE))," ",VLOOKUP((ROW(F675)-15),'List of tables'!$A$4:$F$621,6,FALSE))</f>
        <v xml:space="preserve"> </v>
      </c>
    </row>
    <row r="676" spans="6:6" x14ac:dyDescent="0.3">
      <c r="F676" s="18" t="str">
        <f>IF(ISNA(VLOOKUP((ROW(F676)-15),'List of tables'!$A$4:$F$621,6,FALSE))," ",VLOOKUP((ROW(F676)-15),'List of tables'!$A$4:$F$621,6,FALSE))</f>
        <v xml:space="preserve"> </v>
      </c>
    </row>
  </sheetData>
  <pageMargins left="0.23622047244094491" right="0.23622047244094491" top="0.74803149606299213" bottom="0.74803149606299213" header="0.31496062992125984" footer="0.31496062992125984"/>
  <pageSetup paperSize="8" scale="85" orientation="landscape" r:id="rId1"/>
  <headerFooter alignWithMargins="0">
    <oddHeader>&amp;C&amp;"Arial,Bold"2011 Census Standard Output - Find table</oddHeader>
    <oddFooter>Page &amp;P of &amp;N</oddFooter>
  </headerFooter>
  <ignoredErrors>
    <ignoredError sqref="E33 E74 E13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zoomScaleNormal="100" workbookViewId="0">
      <pane ySplit="2" topLeftCell="A3" activePane="bottomLeft" state="frozen"/>
      <selection pane="bottomLeft"/>
    </sheetView>
  </sheetViews>
  <sheetFormatPr defaultColWidth="9.1796875" defaultRowHeight="15.5" x14ac:dyDescent="0.35"/>
  <cols>
    <col min="1" max="1" width="53.81640625" style="42" bestFit="1" customWidth="1"/>
    <col min="2" max="16384" width="9.1796875" style="5"/>
  </cols>
  <sheetData>
    <row r="1" spans="1:1" ht="19" x14ac:dyDescent="0.4">
      <c r="A1" s="46" t="s">
        <v>1813</v>
      </c>
    </row>
    <row r="2" spans="1:1" s="52" customFormat="1" ht="30" customHeight="1" x14ac:dyDescent="0.25">
      <c r="A2" s="51" t="s">
        <v>5</v>
      </c>
    </row>
    <row r="3" spans="1:1" x14ac:dyDescent="0.35">
      <c r="A3" s="42" t="s">
        <v>1760</v>
      </c>
    </row>
  </sheetData>
  <pageMargins left="0.23622047244094491" right="0.23622047244094491" top="0.74803149606299213" bottom="0.74803149606299213" header="0.31496062992125984" footer="0.31496062992125984"/>
  <pageSetup paperSize="9" orientation="portrait" r:id="rId1"/>
  <headerFooter>
    <oddHeader>&amp;A</oddHeader>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16"/>
  <sheetViews>
    <sheetView workbookViewId="0">
      <selection activeCell="A16" sqref="A16"/>
    </sheetView>
  </sheetViews>
  <sheetFormatPr defaultRowHeight="12.5" x14ac:dyDescent="0.25"/>
  <cols>
    <col min="1" max="1" width="128.453125" style="2" customWidth="1"/>
  </cols>
  <sheetData>
    <row r="1" spans="1:1" ht="13" x14ac:dyDescent="0.3">
      <c r="A1" s="1" t="s">
        <v>18</v>
      </c>
    </row>
    <row r="3" spans="1:1" ht="13" x14ac:dyDescent="0.3">
      <c r="A3" s="3" t="s">
        <v>16</v>
      </c>
    </row>
    <row r="4" spans="1:1" ht="25" x14ac:dyDescent="0.25">
      <c r="A4" s="2" t="s">
        <v>17</v>
      </c>
    </row>
    <row r="7" spans="1:1" ht="13" x14ac:dyDescent="0.3">
      <c r="A7" s="3" t="s">
        <v>21</v>
      </c>
    </row>
    <row r="8" spans="1:1" ht="50" x14ac:dyDescent="0.25">
      <c r="A8" s="2" t="s">
        <v>19</v>
      </c>
    </row>
    <row r="11" spans="1:1" ht="13" x14ac:dyDescent="0.3">
      <c r="A11" s="3" t="s">
        <v>20</v>
      </c>
    </row>
    <row r="12" spans="1:1" x14ac:dyDescent="0.25">
      <c r="A12" s="2" t="s">
        <v>22</v>
      </c>
    </row>
    <row r="15" spans="1:1" ht="13" x14ac:dyDescent="0.3">
      <c r="A15" s="3" t="s">
        <v>24</v>
      </c>
    </row>
    <row r="16" spans="1:1" ht="25" x14ac:dyDescent="0.25">
      <c r="A16" s="2" t="s">
        <v>23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696"/>
  <sheetViews>
    <sheetView zoomScaleNormal="100" workbookViewId="0">
      <pane xSplit="1" ySplit="3" topLeftCell="B4" activePane="bottomRight" state="frozen"/>
      <selection pane="topRight"/>
      <selection pane="bottomLeft"/>
      <selection pane="bottomRight"/>
    </sheetView>
  </sheetViews>
  <sheetFormatPr defaultColWidth="9.1796875" defaultRowHeight="14" x14ac:dyDescent="0.25"/>
  <cols>
    <col min="1" max="1" width="9.26953125" style="36" customWidth="1"/>
    <col min="2" max="2" width="14.7265625" style="36" customWidth="1"/>
    <col min="3" max="3" width="63.90625" style="36" customWidth="1"/>
    <col min="4" max="4" width="60.90625" style="28" customWidth="1"/>
    <col min="5" max="5" width="68.453125" style="36" customWidth="1"/>
    <col min="6" max="6" width="73.453125" style="36" customWidth="1"/>
    <col min="7" max="7" width="13.7265625" style="36" customWidth="1"/>
    <col min="8" max="8" width="37.26953125" style="36" customWidth="1"/>
    <col min="9" max="10" width="12.81640625" style="36" customWidth="1"/>
    <col min="11" max="11" width="12" style="36" customWidth="1"/>
    <col min="12" max="16384" width="9.1796875" style="36"/>
  </cols>
  <sheetData>
    <row r="1" spans="1:14" ht="28" x14ac:dyDescent="0.25">
      <c r="A1" s="54"/>
      <c r="B1" s="54" t="s">
        <v>3</v>
      </c>
      <c r="C1" s="54"/>
    </row>
    <row r="3" spans="1:14" s="54" customFormat="1" x14ac:dyDescent="0.25">
      <c r="A3" s="54">
        <v>0</v>
      </c>
      <c r="B3" s="54" t="s">
        <v>6</v>
      </c>
      <c r="C3" s="54" t="s">
        <v>5</v>
      </c>
      <c r="D3" s="54" t="s">
        <v>7</v>
      </c>
      <c r="E3" s="54" t="s">
        <v>25</v>
      </c>
      <c r="F3" s="54" t="s">
        <v>29</v>
      </c>
      <c r="G3" s="54" t="s">
        <v>2</v>
      </c>
      <c r="H3" s="54" t="s">
        <v>1814</v>
      </c>
    </row>
    <row r="4" spans="1:14" ht="56" x14ac:dyDescent="0.25">
      <c r="A4" s="36">
        <f>IF(AND(NOT(ISERR(FIND($L$4,D4))),NOT(ISERR(FIND($L$5,D4))),NOT(ISERR(FIND($L$6,D4))),NOT(ISERR(FIND($L$7,D4))) ),A3+1,A3)</f>
        <v>1</v>
      </c>
      <c r="B4" s="55" t="s">
        <v>893</v>
      </c>
      <c r="C4" s="56" t="s">
        <v>888</v>
      </c>
      <c r="D4" s="28" t="s">
        <v>1394</v>
      </c>
      <c r="E4" s="27" t="s">
        <v>1907</v>
      </c>
      <c r="F4" s="30" t="s">
        <v>1920</v>
      </c>
      <c r="G4" s="57" t="s">
        <v>27</v>
      </c>
      <c r="H4" s="36" t="s">
        <v>1815</v>
      </c>
      <c r="K4" s="58" t="s">
        <v>8</v>
      </c>
      <c r="L4" s="36" t="str">
        <f>IF('Find table'!U8=0," ",'Find table'!U8)</f>
        <v/>
      </c>
      <c r="N4" s="36" t="s">
        <v>28</v>
      </c>
    </row>
    <row r="5" spans="1:14" ht="42" x14ac:dyDescent="0.25">
      <c r="A5" s="36">
        <f t="shared" ref="A5:A68" si="0">IF(AND(NOT(ISERR(FIND($L$4,D5))),NOT(ISERR(FIND($L$5,D5))),NOT(ISERR(FIND($L$6,D5))),NOT(ISERR(FIND($L$7,D5))) ),A4+1,A4)</f>
        <v>2</v>
      </c>
      <c r="B5" s="55" t="s">
        <v>893</v>
      </c>
      <c r="C5" s="56" t="s">
        <v>889</v>
      </c>
      <c r="D5" s="28" t="s">
        <v>1395</v>
      </c>
      <c r="E5" s="27" t="s">
        <v>1907</v>
      </c>
      <c r="F5" s="30" t="s">
        <v>1921</v>
      </c>
      <c r="G5" s="57" t="s">
        <v>27</v>
      </c>
      <c r="H5" s="36" t="s">
        <v>1815</v>
      </c>
      <c r="K5" s="58" t="s">
        <v>9</v>
      </c>
      <c r="L5" s="36" t="str">
        <f>IF('Find table'!U9=0," ",'Find table'!U9)</f>
        <v/>
      </c>
    </row>
    <row r="6" spans="1:14" ht="42" x14ac:dyDescent="0.25">
      <c r="A6" s="36">
        <f t="shared" si="0"/>
        <v>3</v>
      </c>
      <c r="B6" s="55" t="s">
        <v>893</v>
      </c>
      <c r="C6" s="56" t="s">
        <v>890</v>
      </c>
      <c r="D6" s="28" t="s">
        <v>1396</v>
      </c>
      <c r="E6" s="27" t="s">
        <v>1907</v>
      </c>
      <c r="F6" s="30" t="s">
        <v>1922</v>
      </c>
      <c r="G6" s="57" t="s">
        <v>27</v>
      </c>
      <c r="H6" s="36" t="s">
        <v>1815</v>
      </c>
      <c r="K6" s="58" t="s">
        <v>10</v>
      </c>
      <c r="L6" s="36" t="str">
        <f>IF('Find table'!U10=0," ",'Find table'!U10)</f>
        <v/>
      </c>
    </row>
    <row r="7" spans="1:14" ht="42" x14ac:dyDescent="0.25">
      <c r="A7" s="36">
        <f t="shared" si="0"/>
        <v>4</v>
      </c>
      <c r="B7" s="55" t="s">
        <v>893</v>
      </c>
      <c r="C7" s="56" t="s">
        <v>891</v>
      </c>
      <c r="D7" s="28" t="s">
        <v>1397</v>
      </c>
      <c r="E7" s="27" t="s">
        <v>1907</v>
      </c>
      <c r="F7" s="30" t="s">
        <v>1923</v>
      </c>
      <c r="G7" s="57" t="s">
        <v>27</v>
      </c>
      <c r="H7" s="36" t="s">
        <v>1815</v>
      </c>
      <c r="K7" s="58" t="s">
        <v>10</v>
      </c>
      <c r="L7" s="36" t="str">
        <f>IF('Find table'!U11=0," ",'Find table'!U11)</f>
        <v/>
      </c>
    </row>
    <row r="8" spans="1:14" ht="42" x14ac:dyDescent="0.25">
      <c r="A8" s="36">
        <f t="shared" si="0"/>
        <v>5</v>
      </c>
      <c r="B8" s="55" t="s">
        <v>893</v>
      </c>
      <c r="C8" s="56" t="s">
        <v>892</v>
      </c>
      <c r="D8" s="28" t="s">
        <v>1717</v>
      </c>
      <c r="E8" s="27" t="s">
        <v>1907</v>
      </c>
      <c r="F8" s="30" t="s">
        <v>1924</v>
      </c>
      <c r="G8" s="57" t="s">
        <v>27</v>
      </c>
      <c r="H8" s="36" t="s">
        <v>1902</v>
      </c>
    </row>
    <row r="9" spans="1:14" ht="42" x14ac:dyDescent="0.25">
      <c r="A9" s="36">
        <f t="shared" si="0"/>
        <v>6</v>
      </c>
      <c r="B9" s="59" t="s">
        <v>893</v>
      </c>
      <c r="C9" s="36" t="s">
        <v>1715</v>
      </c>
      <c r="D9" s="28" t="s">
        <v>1718</v>
      </c>
      <c r="E9" s="27" t="s">
        <v>1907</v>
      </c>
      <c r="F9" s="30" t="s">
        <v>1925</v>
      </c>
      <c r="H9" s="36" t="s">
        <v>1815</v>
      </c>
    </row>
    <row r="10" spans="1:14" ht="42" x14ac:dyDescent="0.25">
      <c r="A10" s="36">
        <f t="shared" si="0"/>
        <v>7</v>
      </c>
      <c r="B10" s="55" t="s">
        <v>893</v>
      </c>
      <c r="C10" s="56" t="s">
        <v>1716</v>
      </c>
      <c r="D10" s="28" t="s">
        <v>1719</v>
      </c>
      <c r="E10" s="27" t="s">
        <v>1907</v>
      </c>
      <c r="F10" s="30" t="s">
        <v>1926</v>
      </c>
      <c r="G10" s="57"/>
      <c r="H10" s="28" t="s">
        <v>1818</v>
      </c>
    </row>
    <row r="11" spans="1:14" ht="70" x14ac:dyDescent="0.25">
      <c r="A11" s="36">
        <f t="shared" si="0"/>
        <v>8</v>
      </c>
      <c r="B11" s="60" t="s">
        <v>56</v>
      </c>
      <c r="C11" s="56" t="s">
        <v>57</v>
      </c>
      <c r="D11" s="28" t="s">
        <v>680</v>
      </c>
      <c r="E11" s="27" t="s">
        <v>1908</v>
      </c>
      <c r="F11" s="30" t="s">
        <v>1927</v>
      </c>
      <c r="H11" s="29" t="s">
        <v>1815</v>
      </c>
    </row>
    <row r="12" spans="1:14" ht="70" x14ac:dyDescent="0.25">
      <c r="A12" s="36">
        <f t="shared" si="0"/>
        <v>9</v>
      </c>
      <c r="B12" s="60" t="s">
        <v>58</v>
      </c>
      <c r="C12" s="56" t="s">
        <v>30</v>
      </c>
      <c r="D12" s="28" t="s">
        <v>681</v>
      </c>
      <c r="E12" s="27" t="s">
        <v>1908</v>
      </c>
      <c r="F12" s="30" t="s">
        <v>1928</v>
      </c>
      <c r="G12" s="57" t="s">
        <v>27</v>
      </c>
      <c r="H12" s="29" t="s">
        <v>1815</v>
      </c>
    </row>
    <row r="13" spans="1:14" ht="70" x14ac:dyDescent="0.25">
      <c r="A13" s="36">
        <f t="shared" si="0"/>
        <v>10</v>
      </c>
      <c r="B13" s="60" t="s">
        <v>59</v>
      </c>
      <c r="C13" s="56" t="s">
        <v>60</v>
      </c>
      <c r="D13" s="28" t="s">
        <v>682</v>
      </c>
      <c r="E13" s="27" t="s">
        <v>1908</v>
      </c>
      <c r="F13" s="30" t="s">
        <v>1929</v>
      </c>
      <c r="G13" s="57" t="s">
        <v>27</v>
      </c>
      <c r="H13" s="29" t="s">
        <v>1816</v>
      </c>
    </row>
    <row r="14" spans="1:14" ht="70" x14ac:dyDescent="0.25">
      <c r="A14" s="36">
        <f t="shared" si="0"/>
        <v>11</v>
      </c>
      <c r="B14" s="60" t="s">
        <v>61</v>
      </c>
      <c r="C14" s="56" t="s">
        <v>31</v>
      </c>
      <c r="D14" s="28" t="s">
        <v>683</v>
      </c>
      <c r="E14" s="27" t="s">
        <v>1908</v>
      </c>
      <c r="F14" s="30" t="s">
        <v>1930</v>
      </c>
      <c r="G14" s="57" t="s">
        <v>27</v>
      </c>
      <c r="H14" s="29" t="s">
        <v>1817</v>
      </c>
    </row>
    <row r="15" spans="1:14" ht="70" x14ac:dyDescent="0.25">
      <c r="A15" s="36">
        <f t="shared" si="0"/>
        <v>12</v>
      </c>
      <c r="B15" s="60" t="s">
        <v>62</v>
      </c>
      <c r="C15" s="56" t="s">
        <v>41</v>
      </c>
      <c r="D15" s="28" t="s">
        <v>684</v>
      </c>
      <c r="E15" s="27" t="s">
        <v>1908</v>
      </c>
      <c r="F15" s="30" t="s">
        <v>1931</v>
      </c>
      <c r="G15" s="57" t="s">
        <v>27</v>
      </c>
      <c r="H15" s="28" t="s">
        <v>1818</v>
      </c>
    </row>
    <row r="16" spans="1:14" ht="56" x14ac:dyDescent="0.25">
      <c r="A16" s="36">
        <f t="shared" si="0"/>
        <v>13</v>
      </c>
      <c r="B16" s="60" t="s">
        <v>63</v>
      </c>
      <c r="C16" s="56" t="s">
        <v>64</v>
      </c>
      <c r="D16" s="28" t="s">
        <v>685</v>
      </c>
      <c r="E16" s="27" t="s">
        <v>1909</v>
      </c>
      <c r="F16" s="30" t="s">
        <v>1932</v>
      </c>
      <c r="G16" s="57" t="s">
        <v>27</v>
      </c>
      <c r="H16" s="28" t="s">
        <v>1818</v>
      </c>
    </row>
    <row r="17" spans="1:10" ht="70" x14ac:dyDescent="0.25">
      <c r="A17" s="36">
        <f t="shared" si="0"/>
        <v>14</v>
      </c>
      <c r="B17" s="60" t="s">
        <v>65</v>
      </c>
      <c r="C17" s="56" t="s">
        <v>42</v>
      </c>
      <c r="D17" s="28" t="s">
        <v>686</v>
      </c>
      <c r="E17" s="27" t="s">
        <v>1908</v>
      </c>
      <c r="F17" s="30" t="s">
        <v>1933</v>
      </c>
      <c r="G17" s="57" t="s">
        <v>27</v>
      </c>
      <c r="H17" s="28" t="s">
        <v>1819</v>
      </c>
    </row>
    <row r="18" spans="1:10" ht="56" x14ac:dyDescent="0.25">
      <c r="A18" s="36">
        <f t="shared" si="0"/>
        <v>15</v>
      </c>
      <c r="B18" s="60" t="s">
        <v>66</v>
      </c>
      <c r="C18" s="56" t="s">
        <v>33</v>
      </c>
      <c r="D18" s="28" t="s">
        <v>823</v>
      </c>
      <c r="E18" s="27" t="s">
        <v>1909</v>
      </c>
      <c r="F18" s="30" t="s">
        <v>1934</v>
      </c>
      <c r="G18" s="57" t="s">
        <v>27</v>
      </c>
      <c r="H18" s="28" t="s">
        <v>1815</v>
      </c>
    </row>
    <row r="19" spans="1:10" ht="56" x14ac:dyDescent="0.25">
      <c r="A19" s="36">
        <f t="shared" si="0"/>
        <v>16</v>
      </c>
      <c r="B19" s="60" t="s">
        <v>67</v>
      </c>
      <c r="C19" s="56" t="s">
        <v>68</v>
      </c>
      <c r="D19" s="28" t="s">
        <v>1398</v>
      </c>
      <c r="E19" s="27" t="s">
        <v>1909</v>
      </c>
      <c r="F19" s="30" t="s">
        <v>1935</v>
      </c>
      <c r="G19" s="57" t="s">
        <v>27</v>
      </c>
      <c r="H19" s="28" t="s">
        <v>1820</v>
      </c>
    </row>
    <row r="20" spans="1:10" ht="56" x14ac:dyDescent="0.25">
      <c r="A20" s="36">
        <f t="shared" si="0"/>
        <v>17</v>
      </c>
      <c r="B20" s="60" t="s">
        <v>69</v>
      </c>
      <c r="C20" s="56" t="s">
        <v>70</v>
      </c>
      <c r="D20" s="28" t="s">
        <v>1399</v>
      </c>
      <c r="E20" s="27" t="s">
        <v>1909</v>
      </c>
      <c r="F20" s="30" t="s">
        <v>1936</v>
      </c>
      <c r="G20" s="57" t="s">
        <v>27</v>
      </c>
      <c r="H20" s="28" t="s">
        <v>1815</v>
      </c>
    </row>
    <row r="21" spans="1:10" ht="56" x14ac:dyDescent="0.25">
      <c r="A21" s="36">
        <f t="shared" si="0"/>
        <v>18</v>
      </c>
      <c r="B21" s="60" t="s">
        <v>71</v>
      </c>
      <c r="C21" s="56" t="s">
        <v>32</v>
      </c>
      <c r="D21" s="28" t="s">
        <v>687</v>
      </c>
      <c r="E21" s="27" t="s">
        <v>1909</v>
      </c>
      <c r="F21" s="30" t="s">
        <v>1937</v>
      </c>
      <c r="G21" s="57" t="s">
        <v>27</v>
      </c>
      <c r="H21" s="29" t="s">
        <v>1815</v>
      </c>
    </row>
    <row r="22" spans="1:10" ht="56" x14ac:dyDescent="0.25">
      <c r="A22" s="36">
        <f t="shared" si="0"/>
        <v>19</v>
      </c>
      <c r="B22" s="60" t="s">
        <v>72</v>
      </c>
      <c r="C22" s="56" t="s">
        <v>73</v>
      </c>
      <c r="D22" s="28" t="s">
        <v>1400</v>
      </c>
      <c r="E22" s="27" t="s">
        <v>1909</v>
      </c>
      <c r="F22" s="30" t="s">
        <v>1938</v>
      </c>
      <c r="G22" s="57" t="s">
        <v>27</v>
      </c>
      <c r="H22" s="28" t="s">
        <v>1815</v>
      </c>
    </row>
    <row r="23" spans="1:10" ht="56" x14ac:dyDescent="0.25">
      <c r="A23" s="36">
        <f t="shared" si="0"/>
        <v>20</v>
      </c>
      <c r="B23" s="61" t="s">
        <v>74</v>
      </c>
      <c r="C23" s="56" t="s">
        <v>75</v>
      </c>
      <c r="D23" s="28" t="s">
        <v>1401</v>
      </c>
      <c r="E23" s="27" t="s">
        <v>1909</v>
      </c>
      <c r="F23" s="30" t="s">
        <v>1939</v>
      </c>
      <c r="G23" s="57" t="s">
        <v>27</v>
      </c>
      <c r="H23" s="28" t="s">
        <v>1815</v>
      </c>
    </row>
    <row r="24" spans="1:10" ht="56" x14ac:dyDescent="0.25">
      <c r="A24" s="36">
        <f t="shared" si="0"/>
        <v>21</v>
      </c>
      <c r="B24" s="60" t="s">
        <v>76</v>
      </c>
      <c r="C24" s="56" t="s">
        <v>77</v>
      </c>
      <c r="D24" s="28" t="s">
        <v>688</v>
      </c>
      <c r="E24" s="27" t="s">
        <v>1909</v>
      </c>
      <c r="F24" s="30" t="s">
        <v>1940</v>
      </c>
      <c r="G24" s="57" t="s">
        <v>27</v>
      </c>
      <c r="H24" s="28" t="s">
        <v>1821</v>
      </c>
    </row>
    <row r="25" spans="1:10" ht="56" x14ac:dyDescent="0.25">
      <c r="A25" s="36">
        <f t="shared" si="0"/>
        <v>22</v>
      </c>
      <c r="B25" s="60" t="s">
        <v>78</v>
      </c>
      <c r="C25" s="56" t="s">
        <v>79</v>
      </c>
      <c r="D25" s="28" t="s">
        <v>689</v>
      </c>
      <c r="E25" s="27" t="s">
        <v>1909</v>
      </c>
      <c r="F25" s="30" t="s">
        <v>1941</v>
      </c>
      <c r="G25" s="57" t="s">
        <v>27</v>
      </c>
      <c r="H25" s="28" t="s">
        <v>1818</v>
      </c>
    </row>
    <row r="26" spans="1:10" ht="56" x14ac:dyDescent="0.25">
      <c r="A26" s="36">
        <f t="shared" si="0"/>
        <v>23</v>
      </c>
      <c r="B26" s="60" t="s">
        <v>80</v>
      </c>
      <c r="C26" s="56" t="s">
        <v>81</v>
      </c>
      <c r="D26" s="28" t="s">
        <v>1224</v>
      </c>
      <c r="E26" s="27" t="s">
        <v>1909</v>
      </c>
      <c r="F26" s="30" t="s">
        <v>1942</v>
      </c>
      <c r="G26" s="57" t="s">
        <v>27</v>
      </c>
      <c r="H26" s="28" t="s">
        <v>1821</v>
      </c>
    </row>
    <row r="27" spans="1:10" ht="56" x14ac:dyDescent="0.25">
      <c r="A27" s="36">
        <f t="shared" si="0"/>
        <v>24</v>
      </c>
      <c r="B27" s="60" t="s">
        <v>82</v>
      </c>
      <c r="C27" s="56" t="s">
        <v>83</v>
      </c>
      <c r="D27" s="28" t="s">
        <v>1225</v>
      </c>
      <c r="E27" s="27" t="s">
        <v>1909</v>
      </c>
      <c r="F27" s="30" t="s">
        <v>1943</v>
      </c>
      <c r="G27" s="57" t="s">
        <v>27</v>
      </c>
      <c r="H27" s="28" t="s">
        <v>1821</v>
      </c>
      <c r="I27" s="57"/>
      <c r="J27" s="57"/>
    </row>
    <row r="28" spans="1:10" ht="56" x14ac:dyDescent="0.25">
      <c r="A28" s="36">
        <f t="shared" si="0"/>
        <v>25</v>
      </c>
      <c r="B28" s="60" t="s">
        <v>84</v>
      </c>
      <c r="C28" s="56" t="s">
        <v>44</v>
      </c>
      <c r="D28" s="28" t="s">
        <v>690</v>
      </c>
      <c r="E28" s="27" t="s">
        <v>1909</v>
      </c>
      <c r="F28" s="30" t="s">
        <v>1944</v>
      </c>
      <c r="G28" s="57" t="s">
        <v>27</v>
      </c>
      <c r="H28" s="28" t="s">
        <v>1815</v>
      </c>
    </row>
    <row r="29" spans="1:10" ht="70" x14ac:dyDescent="0.25">
      <c r="A29" s="36">
        <f t="shared" si="0"/>
        <v>26</v>
      </c>
      <c r="B29" s="60" t="s">
        <v>85</v>
      </c>
      <c r="C29" s="56" t="s">
        <v>86</v>
      </c>
      <c r="D29" s="28" t="s">
        <v>1220</v>
      </c>
      <c r="E29" s="27" t="s">
        <v>1908</v>
      </c>
      <c r="F29" s="30" t="s">
        <v>1945</v>
      </c>
      <c r="G29" s="57" t="s">
        <v>27</v>
      </c>
      <c r="H29" s="28" t="s">
        <v>1815</v>
      </c>
      <c r="I29" s="57"/>
      <c r="J29" s="57"/>
    </row>
    <row r="30" spans="1:10" ht="70" x14ac:dyDescent="0.25">
      <c r="A30" s="36">
        <f t="shared" si="0"/>
        <v>27</v>
      </c>
      <c r="B30" s="60" t="s">
        <v>87</v>
      </c>
      <c r="C30" s="56" t="s">
        <v>34</v>
      </c>
      <c r="D30" s="28" t="s">
        <v>691</v>
      </c>
      <c r="E30" s="27" t="s">
        <v>1908</v>
      </c>
      <c r="F30" s="30" t="s">
        <v>1946</v>
      </c>
      <c r="G30" s="57" t="s">
        <v>27</v>
      </c>
      <c r="H30" s="29" t="s">
        <v>1815</v>
      </c>
      <c r="I30" s="57"/>
      <c r="J30" s="57"/>
    </row>
    <row r="31" spans="1:10" ht="70" x14ac:dyDescent="0.25">
      <c r="A31" s="36">
        <f t="shared" si="0"/>
        <v>28</v>
      </c>
      <c r="B31" s="62" t="s">
        <v>88</v>
      </c>
      <c r="C31" s="56" t="s">
        <v>89</v>
      </c>
      <c r="D31" s="28" t="s">
        <v>692</v>
      </c>
      <c r="E31" s="27" t="s">
        <v>1908</v>
      </c>
      <c r="F31" s="30" t="s">
        <v>1947</v>
      </c>
      <c r="G31" s="57" t="s">
        <v>27</v>
      </c>
      <c r="H31" s="28" t="s">
        <v>1815</v>
      </c>
      <c r="I31" s="57"/>
      <c r="J31" s="57"/>
    </row>
    <row r="32" spans="1:10" ht="56" x14ac:dyDescent="0.25">
      <c r="A32" s="36">
        <f t="shared" si="0"/>
        <v>29</v>
      </c>
      <c r="B32" s="60" t="s">
        <v>90</v>
      </c>
      <c r="C32" s="56" t="s">
        <v>40</v>
      </c>
      <c r="D32" s="28" t="s">
        <v>693</v>
      </c>
      <c r="E32" s="27" t="s">
        <v>1909</v>
      </c>
      <c r="F32" s="30" t="s">
        <v>1948</v>
      </c>
      <c r="G32" s="57" t="s">
        <v>27</v>
      </c>
      <c r="H32" s="28" t="s">
        <v>1822</v>
      </c>
      <c r="I32" s="57"/>
      <c r="J32" s="57"/>
    </row>
    <row r="33" spans="1:10" ht="70" x14ac:dyDescent="0.25">
      <c r="A33" s="36">
        <f t="shared" si="0"/>
        <v>30</v>
      </c>
      <c r="B33" s="60" t="s">
        <v>91</v>
      </c>
      <c r="C33" s="56" t="s">
        <v>92</v>
      </c>
      <c r="D33" s="28" t="s">
        <v>694</v>
      </c>
      <c r="E33" s="27" t="s">
        <v>1908</v>
      </c>
      <c r="F33" s="30" t="s">
        <v>1949</v>
      </c>
      <c r="G33" s="57" t="s">
        <v>27</v>
      </c>
      <c r="H33" s="28" t="s">
        <v>1818</v>
      </c>
      <c r="I33" s="57"/>
      <c r="J33" s="57"/>
    </row>
    <row r="34" spans="1:10" ht="56" x14ac:dyDescent="0.25">
      <c r="A34" s="36">
        <f t="shared" si="0"/>
        <v>31</v>
      </c>
      <c r="B34" s="60" t="s">
        <v>93</v>
      </c>
      <c r="C34" s="63" t="s">
        <v>94</v>
      </c>
      <c r="D34" s="28" t="s">
        <v>695</v>
      </c>
      <c r="E34" s="27" t="s">
        <v>1909</v>
      </c>
      <c r="F34" s="30" t="s">
        <v>1950</v>
      </c>
      <c r="G34" s="57" t="s">
        <v>27</v>
      </c>
      <c r="H34" s="28" t="s">
        <v>1818</v>
      </c>
      <c r="I34" s="57"/>
      <c r="J34" s="57"/>
    </row>
    <row r="35" spans="1:10" ht="56" x14ac:dyDescent="0.25">
      <c r="A35" s="36">
        <f t="shared" si="0"/>
        <v>32</v>
      </c>
      <c r="B35" s="60" t="s">
        <v>95</v>
      </c>
      <c r="C35" s="56" t="s">
        <v>96</v>
      </c>
      <c r="D35" s="28" t="s">
        <v>696</v>
      </c>
      <c r="E35" s="27" t="s">
        <v>1909</v>
      </c>
      <c r="F35" s="30" t="s">
        <v>1951</v>
      </c>
      <c r="G35" s="57" t="s">
        <v>27</v>
      </c>
      <c r="H35" s="28" t="s">
        <v>1818</v>
      </c>
      <c r="I35" s="57"/>
      <c r="J35" s="57"/>
    </row>
    <row r="36" spans="1:10" ht="70" x14ac:dyDescent="0.25">
      <c r="A36" s="36">
        <f t="shared" si="0"/>
        <v>33</v>
      </c>
      <c r="B36" s="60" t="s">
        <v>97</v>
      </c>
      <c r="C36" s="56" t="s">
        <v>98</v>
      </c>
      <c r="D36" s="28" t="s">
        <v>697</v>
      </c>
      <c r="E36" s="27" t="s">
        <v>1908</v>
      </c>
      <c r="F36" s="30" t="s">
        <v>1952</v>
      </c>
      <c r="G36" s="57" t="s">
        <v>27</v>
      </c>
      <c r="H36" s="28" t="s">
        <v>1818</v>
      </c>
      <c r="I36" s="57"/>
      <c r="J36" s="57"/>
    </row>
    <row r="37" spans="1:10" ht="56" x14ac:dyDescent="0.25">
      <c r="A37" s="36">
        <f t="shared" si="0"/>
        <v>34</v>
      </c>
      <c r="B37" s="62" t="s">
        <v>99</v>
      </c>
      <c r="C37" s="56" t="s">
        <v>100</v>
      </c>
      <c r="D37" s="28" t="s">
        <v>698</v>
      </c>
      <c r="E37" s="27" t="s">
        <v>1909</v>
      </c>
      <c r="F37" s="30" t="s">
        <v>1953</v>
      </c>
      <c r="G37" s="57" t="s">
        <v>27</v>
      </c>
      <c r="H37" s="28" t="s">
        <v>1818</v>
      </c>
      <c r="I37" s="57"/>
      <c r="J37" s="57"/>
    </row>
    <row r="38" spans="1:10" ht="56" x14ac:dyDescent="0.25">
      <c r="A38" s="36">
        <f t="shared" si="0"/>
        <v>35</v>
      </c>
      <c r="B38" s="60" t="s">
        <v>101</v>
      </c>
      <c r="C38" s="56" t="s">
        <v>102</v>
      </c>
      <c r="D38" s="28" t="s">
        <v>699</v>
      </c>
      <c r="E38" s="27" t="s">
        <v>1909</v>
      </c>
      <c r="F38" s="30" t="s">
        <v>1954</v>
      </c>
      <c r="G38" s="57" t="s">
        <v>27</v>
      </c>
      <c r="H38" s="28" t="s">
        <v>1823</v>
      </c>
      <c r="I38" s="57"/>
      <c r="J38" s="57"/>
    </row>
    <row r="39" spans="1:10" ht="70" x14ac:dyDescent="0.25">
      <c r="A39" s="36">
        <f t="shared" si="0"/>
        <v>36</v>
      </c>
      <c r="B39" s="60" t="s">
        <v>103</v>
      </c>
      <c r="C39" s="56" t="s">
        <v>39</v>
      </c>
      <c r="D39" s="28" t="s">
        <v>875</v>
      </c>
      <c r="E39" s="27" t="s">
        <v>1908</v>
      </c>
      <c r="F39" s="30" t="s">
        <v>2010</v>
      </c>
      <c r="G39" s="57" t="s">
        <v>27</v>
      </c>
      <c r="H39" s="29" t="s">
        <v>1824</v>
      </c>
      <c r="I39" s="57"/>
      <c r="J39" s="57"/>
    </row>
    <row r="40" spans="1:10" ht="70" x14ac:dyDescent="0.25">
      <c r="A40" s="36">
        <f t="shared" si="0"/>
        <v>37</v>
      </c>
      <c r="B40" s="60" t="s">
        <v>104</v>
      </c>
      <c r="C40" s="56" t="s">
        <v>105</v>
      </c>
      <c r="D40" s="28" t="s">
        <v>844</v>
      </c>
      <c r="E40" s="27" t="s">
        <v>1908</v>
      </c>
      <c r="F40" s="30" t="s">
        <v>2011</v>
      </c>
      <c r="G40" s="57" t="s">
        <v>27</v>
      </c>
      <c r="H40" s="28" t="s">
        <v>1825</v>
      </c>
      <c r="I40" s="57"/>
      <c r="J40" s="57"/>
    </row>
    <row r="41" spans="1:10" ht="56" x14ac:dyDescent="0.25">
      <c r="A41" s="36">
        <f t="shared" si="0"/>
        <v>38</v>
      </c>
      <c r="B41" s="60" t="s">
        <v>106</v>
      </c>
      <c r="C41" s="56" t="s">
        <v>35</v>
      </c>
      <c r="D41" s="28" t="s">
        <v>845</v>
      </c>
      <c r="E41" s="27" t="s">
        <v>1909</v>
      </c>
      <c r="F41" s="30" t="s">
        <v>2015</v>
      </c>
      <c r="G41" s="57" t="s">
        <v>27</v>
      </c>
      <c r="H41" s="28" t="s">
        <v>1826</v>
      </c>
      <c r="I41" s="57"/>
      <c r="J41" s="57"/>
    </row>
    <row r="42" spans="1:10" ht="56" x14ac:dyDescent="0.25">
      <c r="A42" s="36">
        <f t="shared" si="0"/>
        <v>39</v>
      </c>
      <c r="B42" s="60" t="s">
        <v>107</v>
      </c>
      <c r="C42" s="56" t="s">
        <v>36</v>
      </c>
      <c r="D42" s="28" t="s">
        <v>846</v>
      </c>
      <c r="E42" s="27" t="s">
        <v>1909</v>
      </c>
      <c r="F42" s="30" t="s">
        <v>2016</v>
      </c>
      <c r="G42" s="57" t="s">
        <v>27</v>
      </c>
      <c r="H42" s="28" t="s">
        <v>1827</v>
      </c>
      <c r="I42" s="57"/>
      <c r="J42" s="57"/>
    </row>
    <row r="43" spans="1:10" ht="56" x14ac:dyDescent="0.25">
      <c r="A43" s="36">
        <f t="shared" si="0"/>
        <v>40</v>
      </c>
      <c r="B43" s="60" t="s">
        <v>108</v>
      </c>
      <c r="C43" s="56" t="s">
        <v>37</v>
      </c>
      <c r="D43" s="28" t="s">
        <v>700</v>
      </c>
      <c r="E43" s="27" t="s">
        <v>1909</v>
      </c>
      <c r="F43" s="30" t="s">
        <v>2017</v>
      </c>
      <c r="G43" s="57" t="s">
        <v>27</v>
      </c>
      <c r="H43" s="29" t="s">
        <v>1828</v>
      </c>
      <c r="I43" s="57"/>
      <c r="J43" s="57"/>
    </row>
    <row r="44" spans="1:10" ht="56" x14ac:dyDescent="0.25">
      <c r="A44" s="36">
        <f t="shared" si="0"/>
        <v>41</v>
      </c>
      <c r="B44" s="60" t="s">
        <v>109</v>
      </c>
      <c r="C44" s="56" t="s">
        <v>110</v>
      </c>
      <c r="D44" s="28" t="s">
        <v>701</v>
      </c>
      <c r="E44" s="27" t="s">
        <v>1909</v>
      </c>
      <c r="F44" s="30" t="s">
        <v>2018</v>
      </c>
      <c r="G44" s="57" t="s">
        <v>27</v>
      </c>
      <c r="H44" s="29" t="s">
        <v>1829</v>
      </c>
      <c r="I44" s="57"/>
      <c r="J44" s="57"/>
    </row>
    <row r="45" spans="1:10" ht="56" x14ac:dyDescent="0.25">
      <c r="A45" s="36">
        <f t="shared" si="0"/>
        <v>42</v>
      </c>
      <c r="B45" s="60" t="s">
        <v>111</v>
      </c>
      <c r="C45" s="56" t="s">
        <v>49</v>
      </c>
      <c r="D45" s="28" t="s">
        <v>702</v>
      </c>
      <c r="E45" s="27" t="s">
        <v>1909</v>
      </c>
      <c r="F45" s="30" t="s">
        <v>2019</v>
      </c>
      <c r="G45" s="57" t="s">
        <v>27</v>
      </c>
      <c r="H45" s="29" t="s">
        <v>1830</v>
      </c>
      <c r="I45" s="57"/>
      <c r="J45" s="57"/>
    </row>
    <row r="46" spans="1:10" ht="56" x14ac:dyDescent="0.25">
      <c r="A46" s="36">
        <f t="shared" si="0"/>
        <v>43</v>
      </c>
      <c r="B46" s="60" t="s">
        <v>112</v>
      </c>
      <c r="C46" s="56" t="s">
        <v>38</v>
      </c>
      <c r="D46" s="28" t="s">
        <v>703</v>
      </c>
      <c r="E46" s="27" t="s">
        <v>1909</v>
      </c>
      <c r="F46" s="30" t="s">
        <v>2020</v>
      </c>
      <c r="G46" s="57" t="s">
        <v>27</v>
      </c>
      <c r="H46" s="29" t="s">
        <v>1831</v>
      </c>
      <c r="I46" s="57"/>
      <c r="J46" s="57"/>
    </row>
    <row r="47" spans="1:10" ht="56" x14ac:dyDescent="0.25">
      <c r="A47" s="36">
        <f t="shared" si="0"/>
        <v>44</v>
      </c>
      <c r="B47" s="60" t="s">
        <v>113</v>
      </c>
      <c r="C47" s="56" t="s">
        <v>1808</v>
      </c>
      <c r="D47" s="28" t="s">
        <v>704</v>
      </c>
      <c r="E47" s="27" t="s">
        <v>1909</v>
      </c>
      <c r="F47" s="30" t="s">
        <v>2021</v>
      </c>
      <c r="G47" s="57" t="s">
        <v>27</v>
      </c>
      <c r="H47" s="29" t="s">
        <v>1829</v>
      </c>
      <c r="I47" s="57"/>
      <c r="J47" s="57"/>
    </row>
    <row r="48" spans="1:10" ht="56" x14ac:dyDescent="0.25">
      <c r="A48" s="36">
        <f t="shared" si="0"/>
        <v>45</v>
      </c>
      <c r="B48" s="60" t="s">
        <v>114</v>
      </c>
      <c r="C48" s="56" t="s">
        <v>1809</v>
      </c>
      <c r="D48" s="28" t="s">
        <v>705</v>
      </c>
      <c r="E48" s="27" t="s">
        <v>1909</v>
      </c>
      <c r="F48" s="30" t="s">
        <v>2022</v>
      </c>
      <c r="G48" s="57" t="s">
        <v>27</v>
      </c>
      <c r="H48" s="29" t="s">
        <v>1830</v>
      </c>
      <c r="I48" s="57"/>
      <c r="J48" s="57"/>
    </row>
    <row r="49" spans="1:10" ht="56" x14ac:dyDescent="0.25">
      <c r="A49" s="36">
        <f t="shared" si="0"/>
        <v>46</v>
      </c>
      <c r="B49" s="60" t="s">
        <v>115</v>
      </c>
      <c r="C49" s="56" t="s">
        <v>1810</v>
      </c>
      <c r="D49" s="28" t="s">
        <v>706</v>
      </c>
      <c r="E49" s="27" t="s">
        <v>1909</v>
      </c>
      <c r="F49" s="30" t="s">
        <v>2023</v>
      </c>
      <c r="G49" s="57" t="s">
        <v>27</v>
      </c>
      <c r="H49" s="29" t="s">
        <v>1832</v>
      </c>
      <c r="I49" s="57"/>
      <c r="J49" s="57"/>
    </row>
    <row r="50" spans="1:10" ht="70" x14ac:dyDescent="0.25">
      <c r="A50" s="36">
        <f t="shared" si="0"/>
        <v>47</v>
      </c>
      <c r="B50" s="60" t="s">
        <v>116</v>
      </c>
      <c r="C50" s="56" t="s">
        <v>117</v>
      </c>
      <c r="D50" s="28" t="s">
        <v>1402</v>
      </c>
      <c r="E50" s="27" t="s">
        <v>1908</v>
      </c>
      <c r="F50" s="30" t="s">
        <v>2024</v>
      </c>
      <c r="G50" s="57" t="s">
        <v>27</v>
      </c>
      <c r="H50" s="29" t="s">
        <v>1825</v>
      </c>
      <c r="I50" s="57"/>
      <c r="J50" s="57"/>
    </row>
    <row r="51" spans="1:10" ht="56" x14ac:dyDescent="0.25">
      <c r="A51" s="36">
        <f t="shared" si="0"/>
        <v>48</v>
      </c>
      <c r="B51" s="60" t="s">
        <v>118</v>
      </c>
      <c r="C51" s="56" t="s">
        <v>2045</v>
      </c>
      <c r="D51" s="28" t="s">
        <v>2047</v>
      </c>
      <c r="E51" s="27" t="s">
        <v>1909</v>
      </c>
      <c r="F51" s="30" t="s">
        <v>2025</v>
      </c>
      <c r="G51" s="57" t="s">
        <v>27</v>
      </c>
      <c r="H51" s="29" t="s">
        <v>1826</v>
      </c>
      <c r="I51" s="57"/>
      <c r="J51" s="57"/>
    </row>
    <row r="52" spans="1:10" ht="56" x14ac:dyDescent="0.25">
      <c r="A52" s="36">
        <f t="shared" si="0"/>
        <v>49</v>
      </c>
      <c r="B52" s="60" t="s">
        <v>119</v>
      </c>
      <c r="C52" s="56" t="s">
        <v>2046</v>
      </c>
      <c r="D52" s="28" t="s">
        <v>2048</v>
      </c>
      <c r="E52" s="27" t="s">
        <v>1909</v>
      </c>
      <c r="F52" s="30" t="s">
        <v>2026</v>
      </c>
      <c r="G52" s="57" t="s">
        <v>27</v>
      </c>
      <c r="H52" s="29" t="s">
        <v>1827</v>
      </c>
      <c r="I52" s="57"/>
      <c r="J52" s="57"/>
    </row>
    <row r="53" spans="1:10" ht="56" x14ac:dyDescent="0.25">
      <c r="A53" s="36">
        <f t="shared" si="0"/>
        <v>50</v>
      </c>
      <c r="B53" s="60" t="s">
        <v>120</v>
      </c>
      <c r="C53" s="56" t="s">
        <v>48</v>
      </c>
      <c r="D53" s="28" t="s">
        <v>1403</v>
      </c>
      <c r="E53" s="27" t="s">
        <v>1909</v>
      </c>
      <c r="F53" s="30" t="s">
        <v>2012</v>
      </c>
      <c r="G53" s="57" t="s">
        <v>27</v>
      </c>
      <c r="H53" s="28" t="s">
        <v>1833</v>
      </c>
      <c r="I53" s="57"/>
      <c r="J53" s="57"/>
    </row>
    <row r="54" spans="1:10" ht="56" x14ac:dyDescent="0.25">
      <c r="A54" s="36">
        <f t="shared" si="0"/>
        <v>51</v>
      </c>
      <c r="B54" s="60" t="s">
        <v>121</v>
      </c>
      <c r="C54" s="56" t="s">
        <v>122</v>
      </c>
      <c r="D54" s="28" t="s">
        <v>1404</v>
      </c>
      <c r="E54" s="27" t="s">
        <v>1909</v>
      </c>
      <c r="F54" s="30" t="s">
        <v>2013</v>
      </c>
      <c r="G54" s="57" t="s">
        <v>27</v>
      </c>
      <c r="H54" s="28" t="s">
        <v>1834</v>
      </c>
      <c r="I54" s="57"/>
      <c r="J54" s="57"/>
    </row>
    <row r="55" spans="1:10" ht="56" x14ac:dyDescent="0.25">
      <c r="A55" s="36">
        <f t="shared" si="0"/>
        <v>52</v>
      </c>
      <c r="B55" s="64" t="s">
        <v>123</v>
      </c>
      <c r="C55" s="30" t="s">
        <v>124</v>
      </c>
      <c r="D55" s="28" t="s">
        <v>707</v>
      </c>
      <c r="E55" s="27" t="s">
        <v>1909</v>
      </c>
      <c r="F55" s="30" t="s">
        <v>2014</v>
      </c>
      <c r="G55" s="57" t="s">
        <v>27</v>
      </c>
      <c r="H55" s="28" t="s">
        <v>1835</v>
      </c>
      <c r="I55" s="57"/>
      <c r="J55" s="57"/>
    </row>
    <row r="56" spans="1:10" ht="42" x14ac:dyDescent="0.25">
      <c r="A56" s="36">
        <f t="shared" si="0"/>
        <v>53</v>
      </c>
      <c r="B56" s="65" t="s">
        <v>126</v>
      </c>
      <c r="C56" s="66" t="s">
        <v>127</v>
      </c>
      <c r="D56" s="28" t="s">
        <v>708</v>
      </c>
      <c r="E56" s="27" t="s">
        <v>1910</v>
      </c>
      <c r="F56" s="30" t="s">
        <v>1955</v>
      </c>
      <c r="G56" s="57" t="s">
        <v>27</v>
      </c>
      <c r="H56" s="29" t="s">
        <v>1815</v>
      </c>
      <c r="I56" s="57"/>
      <c r="J56" s="57"/>
    </row>
    <row r="57" spans="1:10" ht="42" x14ac:dyDescent="0.25">
      <c r="A57" s="36">
        <f t="shared" si="0"/>
        <v>54</v>
      </c>
      <c r="B57" s="55" t="s">
        <v>128</v>
      </c>
      <c r="C57" s="67" t="s">
        <v>45</v>
      </c>
      <c r="D57" s="28" t="s">
        <v>709</v>
      </c>
      <c r="E57" s="27" t="s">
        <v>1907</v>
      </c>
      <c r="F57" s="30" t="s">
        <v>1956</v>
      </c>
      <c r="G57" s="57" t="s">
        <v>27</v>
      </c>
      <c r="H57" s="29" t="s">
        <v>1815</v>
      </c>
      <c r="I57" s="57"/>
      <c r="J57" s="57"/>
    </row>
    <row r="58" spans="1:10" ht="42" x14ac:dyDescent="0.25">
      <c r="A58" s="36">
        <f t="shared" si="0"/>
        <v>55</v>
      </c>
      <c r="B58" s="65" t="s">
        <v>129</v>
      </c>
      <c r="C58" s="66" t="s">
        <v>130</v>
      </c>
      <c r="D58" s="28" t="s">
        <v>710</v>
      </c>
      <c r="E58" s="27" t="s">
        <v>1910</v>
      </c>
      <c r="F58" s="30" t="s">
        <v>1957</v>
      </c>
      <c r="G58" s="57" t="s">
        <v>27</v>
      </c>
      <c r="H58" s="29" t="s">
        <v>1815</v>
      </c>
      <c r="I58" s="57"/>
      <c r="J58" s="57"/>
    </row>
    <row r="59" spans="1:10" ht="42" x14ac:dyDescent="0.25">
      <c r="A59" s="36">
        <f t="shared" si="0"/>
        <v>56</v>
      </c>
      <c r="B59" s="55" t="s">
        <v>131</v>
      </c>
      <c r="C59" s="66" t="s">
        <v>132</v>
      </c>
      <c r="D59" s="28" t="s">
        <v>711</v>
      </c>
      <c r="E59" s="27" t="s">
        <v>1910</v>
      </c>
      <c r="F59" s="30" t="s">
        <v>1958</v>
      </c>
      <c r="G59" s="57" t="s">
        <v>27</v>
      </c>
      <c r="H59" s="28" t="s">
        <v>1815</v>
      </c>
      <c r="I59" s="57"/>
      <c r="J59" s="57"/>
    </row>
    <row r="60" spans="1:10" ht="42" x14ac:dyDescent="0.25">
      <c r="A60" s="36">
        <f t="shared" si="0"/>
        <v>57</v>
      </c>
      <c r="B60" s="65" t="s">
        <v>133</v>
      </c>
      <c r="C60" s="66" t="s">
        <v>0</v>
      </c>
      <c r="D60" s="28" t="s">
        <v>712</v>
      </c>
      <c r="E60" s="27" t="s">
        <v>1910</v>
      </c>
      <c r="F60" s="30" t="s">
        <v>1959</v>
      </c>
      <c r="G60" s="57" t="s">
        <v>27</v>
      </c>
      <c r="H60" s="29" t="s">
        <v>1815</v>
      </c>
      <c r="I60" s="57"/>
      <c r="J60" s="57"/>
    </row>
    <row r="61" spans="1:10" ht="42" x14ac:dyDescent="0.25">
      <c r="A61" s="36">
        <f t="shared" si="0"/>
        <v>58</v>
      </c>
      <c r="B61" s="65" t="s">
        <v>134</v>
      </c>
      <c r="C61" s="66" t="s">
        <v>135</v>
      </c>
      <c r="D61" s="28" t="s">
        <v>713</v>
      </c>
      <c r="E61" s="27" t="s">
        <v>1910</v>
      </c>
      <c r="F61" s="30" t="s">
        <v>1960</v>
      </c>
      <c r="G61" s="57" t="s">
        <v>27</v>
      </c>
      <c r="H61" s="29" t="s">
        <v>1836</v>
      </c>
      <c r="I61" s="57"/>
      <c r="J61" s="57"/>
    </row>
    <row r="62" spans="1:10" ht="42" x14ac:dyDescent="0.25">
      <c r="A62" s="36">
        <f t="shared" si="0"/>
        <v>59</v>
      </c>
      <c r="B62" s="65" t="s">
        <v>136</v>
      </c>
      <c r="C62" s="66" t="s">
        <v>31</v>
      </c>
      <c r="D62" s="28" t="s">
        <v>683</v>
      </c>
      <c r="E62" s="27" t="s">
        <v>1910</v>
      </c>
      <c r="F62" s="30" t="s">
        <v>1961</v>
      </c>
      <c r="G62" s="57" t="s">
        <v>27</v>
      </c>
      <c r="H62" s="29" t="s">
        <v>1817</v>
      </c>
      <c r="I62" s="57"/>
      <c r="J62" s="57"/>
    </row>
    <row r="63" spans="1:10" ht="42" x14ac:dyDescent="0.25">
      <c r="A63" s="36">
        <f t="shared" si="0"/>
        <v>60</v>
      </c>
      <c r="B63" s="65" t="s">
        <v>137</v>
      </c>
      <c r="C63" s="66" t="s">
        <v>138</v>
      </c>
      <c r="D63" s="28" t="s">
        <v>1405</v>
      </c>
      <c r="E63" s="27" t="s">
        <v>1910</v>
      </c>
      <c r="F63" s="30" t="s">
        <v>1962</v>
      </c>
      <c r="G63" s="57" t="s">
        <v>27</v>
      </c>
      <c r="H63" s="29" t="s">
        <v>1817</v>
      </c>
      <c r="I63" s="57"/>
      <c r="J63" s="57"/>
    </row>
    <row r="64" spans="1:10" ht="42" x14ac:dyDescent="0.25">
      <c r="A64" s="36">
        <f t="shared" si="0"/>
        <v>61</v>
      </c>
      <c r="B64" s="65" t="s">
        <v>139</v>
      </c>
      <c r="C64" s="66" t="s">
        <v>1554</v>
      </c>
      <c r="D64" s="28" t="s">
        <v>714</v>
      </c>
      <c r="E64" s="27" t="s">
        <v>1910</v>
      </c>
      <c r="F64" s="30" t="s">
        <v>1963</v>
      </c>
      <c r="G64" s="57" t="s">
        <v>27</v>
      </c>
      <c r="H64" s="28" t="s">
        <v>1818</v>
      </c>
      <c r="I64" s="57"/>
      <c r="J64" s="57"/>
    </row>
    <row r="65" spans="1:10" ht="42" x14ac:dyDescent="0.25">
      <c r="A65" s="36">
        <f t="shared" si="0"/>
        <v>62</v>
      </c>
      <c r="B65" s="65" t="s">
        <v>141</v>
      </c>
      <c r="C65" s="66" t="s">
        <v>142</v>
      </c>
      <c r="D65" s="28" t="s">
        <v>715</v>
      </c>
      <c r="E65" s="27" t="s">
        <v>1910</v>
      </c>
      <c r="F65" s="30" t="s">
        <v>1964</v>
      </c>
      <c r="G65" s="57" t="s">
        <v>27</v>
      </c>
      <c r="H65" s="29" t="s">
        <v>1837</v>
      </c>
      <c r="I65" s="57"/>
      <c r="J65" s="57"/>
    </row>
    <row r="66" spans="1:10" ht="42" x14ac:dyDescent="0.25">
      <c r="A66" s="36">
        <f t="shared" si="0"/>
        <v>63</v>
      </c>
      <c r="B66" s="65" t="s">
        <v>143</v>
      </c>
      <c r="C66" s="66" t="s">
        <v>144</v>
      </c>
      <c r="D66" s="28" t="s">
        <v>716</v>
      </c>
      <c r="E66" s="27" t="s">
        <v>1910</v>
      </c>
      <c r="F66" s="30" t="s">
        <v>1965</v>
      </c>
      <c r="G66" s="57" t="s">
        <v>27</v>
      </c>
      <c r="H66" s="28" t="s">
        <v>1818</v>
      </c>
      <c r="I66" s="57"/>
      <c r="J66" s="57"/>
    </row>
    <row r="67" spans="1:10" ht="42" x14ac:dyDescent="0.25">
      <c r="A67" s="36">
        <f t="shared" si="0"/>
        <v>64</v>
      </c>
      <c r="B67" s="65" t="s">
        <v>145</v>
      </c>
      <c r="C67" s="66" t="s">
        <v>146</v>
      </c>
      <c r="D67" s="28" t="s">
        <v>1406</v>
      </c>
      <c r="E67" s="27" t="s">
        <v>1910</v>
      </c>
      <c r="F67" s="30" t="s">
        <v>1966</v>
      </c>
      <c r="G67" s="57" t="s">
        <v>27</v>
      </c>
      <c r="H67" s="29" t="s">
        <v>1837</v>
      </c>
      <c r="I67" s="57"/>
      <c r="J67" s="57"/>
    </row>
    <row r="68" spans="1:10" ht="42" x14ac:dyDescent="0.25">
      <c r="A68" s="36">
        <f t="shared" si="0"/>
        <v>65</v>
      </c>
      <c r="B68" s="65" t="s">
        <v>147</v>
      </c>
      <c r="C68" s="66" t="s">
        <v>148</v>
      </c>
      <c r="D68" s="28" t="s">
        <v>1407</v>
      </c>
      <c r="E68" s="27" t="s">
        <v>1910</v>
      </c>
      <c r="F68" s="30" t="s">
        <v>1967</v>
      </c>
      <c r="G68" s="57" t="s">
        <v>27</v>
      </c>
      <c r="H68" s="28" t="s">
        <v>1818</v>
      </c>
      <c r="I68" s="57"/>
      <c r="J68" s="57"/>
    </row>
    <row r="69" spans="1:10" ht="42" x14ac:dyDescent="0.25">
      <c r="A69" s="36">
        <f t="shared" ref="A69:A132" si="1">IF(AND(NOT(ISERR(FIND($L$4,D69))),NOT(ISERR(FIND($L$5,D69))),NOT(ISERR(FIND($L$6,D69))),NOT(ISERR(FIND($L$7,D69))) ),A68+1,A68)</f>
        <v>66</v>
      </c>
      <c r="B69" s="65" t="s">
        <v>149</v>
      </c>
      <c r="C69" s="66" t="s">
        <v>150</v>
      </c>
      <c r="D69" s="28" t="s">
        <v>717</v>
      </c>
      <c r="E69" s="27" t="s">
        <v>1910</v>
      </c>
      <c r="F69" s="30" t="s">
        <v>1968</v>
      </c>
      <c r="G69" s="57" t="s">
        <v>27</v>
      </c>
      <c r="H69" s="29" t="s">
        <v>1838</v>
      </c>
      <c r="I69" s="57"/>
      <c r="J69" s="57"/>
    </row>
    <row r="70" spans="1:10" ht="42" x14ac:dyDescent="0.25">
      <c r="A70" s="36">
        <f t="shared" si="1"/>
        <v>67</v>
      </c>
      <c r="B70" s="65" t="s">
        <v>151</v>
      </c>
      <c r="C70" s="66" t="s">
        <v>152</v>
      </c>
      <c r="D70" s="28" t="s">
        <v>718</v>
      </c>
      <c r="E70" s="27" t="s">
        <v>1910</v>
      </c>
      <c r="F70" s="30" t="s">
        <v>1969</v>
      </c>
      <c r="G70" s="57" t="s">
        <v>27</v>
      </c>
      <c r="H70" s="28" t="s">
        <v>1839</v>
      </c>
      <c r="I70" s="57"/>
      <c r="J70" s="57"/>
    </row>
    <row r="71" spans="1:10" ht="42" x14ac:dyDescent="0.25">
      <c r="A71" s="36">
        <f t="shared" si="1"/>
        <v>68</v>
      </c>
      <c r="B71" s="55" t="s">
        <v>153</v>
      </c>
      <c r="C71" s="66" t="s">
        <v>154</v>
      </c>
      <c r="D71" s="28" t="s">
        <v>719</v>
      </c>
      <c r="E71" s="27" t="s">
        <v>1910</v>
      </c>
      <c r="F71" s="30" t="s">
        <v>1970</v>
      </c>
      <c r="G71" s="57" t="s">
        <v>27</v>
      </c>
      <c r="H71" s="28" t="s">
        <v>1818</v>
      </c>
      <c r="I71" s="57"/>
      <c r="J71" s="57"/>
    </row>
    <row r="72" spans="1:10" ht="42" x14ac:dyDescent="0.25">
      <c r="A72" s="36">
        <f t="shared" si="1"/>
        <v>69</v>
      </c>
      <c r="B72" s="55" t="s">
        <v>155</v>
      </c>
      <c r="C72" s="66" t="s">
        <v>156</v>
      </c>
      <c r="D72" s="28" t="s">
        <v>720</v>
      </c>
      <c r="E72" s="27" t="s">
        <v>1910</v>
      </c>
      <c r="F72" s="30" t="s">
        <v>1971</v>
      </c>
      <c r="G72" s="57" t="s">
        <v>27</v>
      </c>
      <c r="H72" s="28" t="s">
        <v>1840</v>
      </c>
      <c r="I72" s="57"/>
      <c r="J72" s="57"/>
    </row>
    <row r="73" spans="1:10" x14ac:dyDescent="0.25">
      <c r="A73" s="36">
        <f t="shared" si="1"/>
        <v>70</v>
      </c>
      <c r="B73" s="65" t="s">
        <v>157</v>
      </c>
      <c r="C73" s="66" t="s">
        <v>158</v>
      </c>
      <c r="D73" s="28" t="s">
        <v>824</v>
      </c>
      <c r="E73" s="27" t="s">
        <v>43</v>
      </c>
      <c r="F73" s="30" t="s">
        <v>1972</v>
      </c>
      <c r="G73" s="57" t="s">
        <v>27</v>
      </c>
      <c r="H73" s="28" t="s">
        <v>1815</v>
      </c>
      <c r="I73" s="57"/>
      <c r="J73" s="57"/>
    </row>
    <row r="74" spans="1:10" ht="42" x14ac:dyDescent="0.25">
      <c r="A74" s="36">
        <f t="shared" si="1"/>
        <v>71</v>
      </c>
      <c r="B74" s="55" t="s">
        <v>159</v>
      </c>
      <c r="C74" s="66" t="s">
        <v>825</v>
      </c>
      <c r="D74" s="28" t="s">
        <v>1408</v>
      </c>
      <c r="E74" s="27" t="s">
        <v>1910</v>
      </c>
      <c r="F74" s="30" t="s">
        <v>1973</v>
      </c>
      <c r="G74" s="57" t="s">
        <v>27</v>
      </c>
      <c r="H74" s="28" t="s">
        <v>1841</v>
      </c>
      <c r="I74" s="57"/>
      <c r="J74" s="57"/>
    </row>
    <row r="75" spans="1:10" ht="42" x14ac:dyDescent="0.25">
      <c r="A75" s="36">
        <f t="shared" si="1"/>
        <v>72</v>
      </c>
      <c r="B75" s="55" t="s">
        <v>161</v>
      </c>
      <c r="C75" s="66" t="s">
        <v>826</v>
      </c>
      <c r="D75" s="28" t="s">
        <v>1409</v>
      </c>
      <c r="E75" s="27" t="s">
        <v>1910</v>
      </c>
      <c r="F75" s="30" t="s">
        <v>1974</v>
      </c>
      <c r="G75" s="57" t="s">
        <v>27</v>
      </c>
      <c r="H75" s="28" t="s">
        <v>1841</v>
      </c>
      <c r="I75" s="57"/>
      <c r="J75" s="57"/>
    </row>
    <row r="76" spans="1:10" ht="42" x14ac:dyDescent="0.25">
      <c r="A76" s="36">
        <f t="shared" si="1"/>
        <v>73</v>
      </c>
      <c r="B76" s="65" t="s">
        <v>163</v>
      </c>
      <c r="C76" s="66" t="s">
        <v>46</v>
      </c>
      <c r="D76" s="28" t="s">
        <v>827</v>
      </c>
      <c r="E76" s="27" t="s">
        <v>1910</v>
      </c>
      <c r="F76" s="30" t="s">
        <v>1975</v>
      </c>
      <c r="G76" s="57" t="s">
        <v>27</v>
      </c>
      <c r="H76" s="28" t="s">
        <v>1842</v>
      </c>
      <c r="I76" s="57"/>
      <c r="J76" s="57"/>
    </row>
    <row r="77" spans="1:10" x14ac:dyDescent="0.25">
      <c r="A77" s="36">
        <f t="shared" si="1"/>
        <v>74</v>
      </c>
      <c r="B77" s="65" t="s">
        <v>164</v>
      </c>
      <c r="C77" s="68" t="s">
        <v>165</v>
      </c>
      <c r="D77" s="28" t="s">
        <v>843</v>
      </c>
      <c r="E77" s="27" t="s">
        <v>43</v>
      </c>
      <c r="F77" s="30" t="s">
        <v>1976</v>
      </c>
      <c r="G77" s="57" t="s">
        <v>27</v>
      </c>
      <c r="H77" s="28" t="s">
        <v>1815</v>
      </c>
      <c r="I77" s="57"/>
      <c r="J77" s="57"/>
    </row>
    <row r="78" spans="1:10" x14ac:dyDescent="0.25">
      <c r="A78" s="36">
        <f t="shared" si="1"/>
        <v>75</v>
      </c>
      <c r="B78" s="65" t="s">
        <v>166</v>
      </c>
      <c r="C78" s="66" t="s">
        <v>167</v>
      </c>
      <c r="D78" s="28" t="s">
        <v>721</v>
      </c>
      <c r="E78" s="27" t="s">
        <v>43</v>
      </c>
      <c r="F78" s="30" t="s">
        <v>1977</v>
      </c>
      <c r="H78" s="29" t="s">
        <v>1815</v>
      </c>
      <c r="I78" s="57"/>
      <c r="J78" s="57"/>
    </row>
    <row r="79" spans="1:10" ht="42" x14ac:dyDescent="0.25">
      <c r="A79" s="36">
        <f t="shared" si="1"/>
        <v>76</v>
      </c>
      <c r="B79" s="55" t="s">
        <v>168</v>
      </c>
      <c r="C79" s="66" t="s">
        <v>169</v>
      </c>
      <c r="D79" s="28" t="s">
        <v>722</v>
      </c>
      <c r="E79" s="27" t="s">
        <v>1910</v>
      </c>
      <c r="F79" s="30" t="s">
        <v>1978</v>
      </c>
      <c r="H79" s="28" t="s">
        <v>1815</v>
      </c>
      <c r="I79" s="57"/>
      <c r="J79" s="57"/>
    </row>
    <row r="80" spans="1:10" ht="42" x14ac:dyDescent="0.25">
      <c r="A80" s="36">
        <f t="shared" si="1"/>
        <v>77</v>
      </c>
      <c r="B80" s="55" t="s">
        <v>170</v>
      </c>
      <c r="C80" s="66" t="s">
        <v>171</v>
      </c>
      <c r="D80" s="28" t="s">
        <v>723</v>
      </c>
      <c r="E80" s="27" t="s">
        <v>1910</v>
      </c>
      <c r="F80" s="30" t="s">
        <v>1979</v>
      </c>
      <c r="G80" s="57" t="s">
        <v>27</v>
      </c>
      <c r="H80" s="28" t="s">
        <v>1815</v>
      </c>
      <c r="I80" s="57"/>
      <c r="J80" s="57"/>
    </row>
    <row r="81" spans="1:10" x14ac:dyDescent="0.25">
      <c r="A81" s="36">
        <f t="shared" si="1"/>
        <v>78</v>
      </c>
      <c r="B81" s="55" t="s">
        <v>172</v>
      </c>
      <c r="C81" s="66" t="s">
        <v>1560</v>
      </c>
      <c r="D81" s="28" t="s">
        <v>724</v>
      </c>
      <c r="E81" s="27" t="s">
        <v>43</v>
      </c>
      <c r="F81" s="30" t="s">
        <v>1980</v>
      </c>
      <c r="G81" s="57" t="s">
        <v>27</v>
      </c>
      <c r="H81" s="28" t="s">
        <v>1815</v>
      </c>
      <c r="I81" s="57"/>
      <c r="J81" s="57"/>
    </row>
    <row r="82" spans="1:10" x14ac:dyDescent="0.25">
      <c r="A82" s="36">
        <f t="shared" si="1"/>
        <v>79</v>
      </c>
      <c r="B82" s="55" t="s">
        <v>174</v>
      </c>
      <c r="C82" s="66" t="s">
        <v>175</v>
      </c>
      <c r="D82" s="28" t="s">
        <v>725</v>
      </c>
      <c r="E82" s="27" t="s">
        <v>43</v>
      </c>
      <c r="F82" s="30" t="s">
        <v>1981</v>
      </c>
      <c r="G82" s="57" t="s">
        <v>27</v>
      </c>
      <c r="H82" s="28" t="s">
        <v>1821</v>
      </c>
      <c r="I82" s="57"/>
      <c r="J82" s="57"/>
    </row>
    <row r="83" spans="1:10" ht="42" x14ac:dyDescent="0.25">
      <c r="A83" s="36">
        <f t="shared" si="1"/>
        <v>80</v>
      </c>
      <c r="B83" s="55" t="s">
        <v>176</v>
      </c>
      <c r="C83" s="66" t="s">
        <v>177</v>
      </c>
      <c r="D83" s="28" t="s">
        <v>1226</v>
      </c>
      <c r="E83" s="27" t="s">
        <v>1910</v>
      </c>
      <c r="F83" s="30" t="s">
        <v>1982</v>
      </c>
      <c r="G83" s="57" t="s">
        <v>27</v>
      </c>
      <c r="H83" s="29" t="s">
        <v>1821</v>
      </c>
      <c r="I83" s="57"/>
      <c r="J83" s="57"/>
    </row>
    <row r="84" spans="1:10" ht="42" x14ac:dyDescent="0.25">
      <c r="A84" s="36">
        <f t="shared" si="1"/>
        <v>81</v>
      </c>
      <c r="B84" s="65" t="s">
        <v>178</v>
      </c>
      <c r="C84" s="66" t="s">
        <v>179</v>
      </c>
      <c r="D84" s="28" t="s">
        <v>726</v>
      </c>
      <c r="E84" s="27" t="s">
        <v>1910</v>
      </c>
      <c r="F84" s="30" t="s">
        <v>1983</v>
      </c>
      <c r="G84" s="57" t="s">
        <v>27</v>
      </c>
      <c r="H84" s="28" t="s">
        <v>1821</v>
      </c>
      <c r="I84" s="57"/>
      <c r="J84" s="57"/>
    </row>
    <row r="85" spans="1:10" ht="42" x14ac:dyDescent="0.25">
      <c r="A85" s="36">
        <f t="shared" si="1"/>
        <v>82</v>
      </c>
      <c r="B85" s="65" t="s">
        <v>180</v>
      </c>
      <c r="C85" s="66" t="s">
        <v>181</v>
      </c>
      <c r="D85" s="28" t="s">
        <v>727</v>
      </c>
      <c r="E85" s="27" t="s">
        <v>1910</v>
      </c>
      <c r="F85" s="30" t="s">
        <v>1984</v>
      </c>
      <c r="G85" s="57" t="s">
        <v>27</v>
      </c>
      <c r="H85" s="28" t="s">
        <v>1821</v>
      </c>
      <c r="I85" s="57"/>
      <c r="J85" s="57"/>
    </row>
    <row r="86" spans="1:10" ht="42" x14ac:dyDescent="0.25">
      <c r="A86" s="36">
        <f t="shared" si="1"/>
        <v>83</v>
      </c>
      <c r="B86" s="65" t="s">
        <v>182</v>
      </c>
      <c r="C86" s="66" t="s">
        <v>183</v>
      </c>
      <c r="D86" s="28" t="s">
        <v>1227</v>
      </c>
      <c r="E86" s="27" t="s">
        <v>1910</v>
      </c>
      <c r="F86" s="30" t="s">
        <v>1985</v>
      </c>
      <c r="G86" s="57" t="s">
        <v>27</v>
      </c>
      <c r="H86" s="28" t="s">
        <v>1821</v>
      </c>
      <c r="I86" s="57"/>
      <c r="J86" s="57"/>
    </row>
    <row r="87" spans="1:10" ht="42" x14ac:dyDescent="0.25">
      <c r="A87" s="36">
        <f t="shared" si="1"/>
        <v>84</v>
      </c>
      <c r="B87" s="65" t="s">
        <v>184</v>
      </c>
      <c r="C87" s="66" t="s">
        <v>185</v>
      </c>
      <c r="D87" s="28" t="s">
        <v>1228</v>
      </c>
      <c r="E87" s="27" t="s">
        <v>1910</v>
      </c>
      <c r="F87" s="30" t="s">
        <v>1986</v>
      </c>
      <c r="G87" s="57" t="s">
        <v>27</v>
      </c>
      <c r="H87" s="28" t="s">
        <v>1821</v>
      </c>
      <c r="I87" s="57"/>
      <c r="J87" s="57"/>
    </row>
    <row r="88" spans="1:10" x14ac:dyDescent="0.25">
      <c r="A88" s="36">
        <f t="shared" si="1"/>
        <v>85</v>
      </c>
      <c r="B88" s="55" t="s">
        <v>186</v>
      </c>
      <c r="C88" s="66" t="s">
        <v>187</v>
      </c>
      <c r="D88" s="28" t="s">
        <v>1229</v>
      </c>
      <c r="E88" s="27" t="s">
        <v>43</v>
      </c>
      <c r="F88" s="30" t="s">
        <v>1987</v>
      </c>
      <c r="G88" s="57" t="s">
        <v>27</v>
      </c>
      <c r="H88" s="28" t="s">
        <v>1821</v>
      </c>
      <c r="I88" s="57"/>
      <c r="J88" s="57"/>
    </row>
    <row r="89" spans="1:10" x14ac:dyDescent="0.25">
      <c r="A89" s="36">
        <f t="shared" si="1"/>
        <v>86</v>
      </c>
      <c r="B89" s="55" t="s">
        <v>188</v>
      </c>
      <c r="C89" s="66" t="s">
        <v>189</v>
      </c>
      <c r="D89" s="28" t="s">
        <v>1230</v>
      </c>
      <c r="E89" s="27" t="s">
        <v>43</v>
      </c>
      <c r="F89" s="30" t="s">
        <v>1988</v>
      </c>
      <c r="G89" s="57" t="s">
        <v>27</v>
      </c>
      <c r="H89" s="28" t="s">
        <v>1821</v>
      </c>
      <c r="I89" s="57"/>
      <c r="J89" s="57"/>
    </row>
    <row r="90" spans="1:10" x14ac:dyDescent="0.25">
      <c r="A90" s="36">
        <f t="shared" si="1"/>
        <v>87</v>
      </c>
      <c r="B90" s="65" t="s">
        <v>190</v>
      </c>
      <c r="C90" s="66" t="s">
        <v>191</v>
      </c>
      <c r="D90" s="28" t="s">
        <v>728</v>
      </c>
      <c r="E90" s="27" t="s">
        <v>43</v>
      </c>
      <c r="F90" s="30" t="s">
        <v>1989</v>
      </c>
      <c r="G90" s="57" t="s">
        <v>27</v>
      </c>
      <c r="H90" s="28" t="s">
        <v>1815</v>
      </c>
      <c r="I90" s="57"/>
      <c r="J90" s="57"/>
    </row>
    <row r="91" spans="1:10" ht="42" x14ac:dyDescent="0.25">
      <c r="A91" s="36">
        <f t="shared" si="1"/>
        <v>88</v>
      </c>
      <c r="B91" s="55" t="s">
        <v>192</v>
      </c>
      <c r="C91" s="66" t="s">
        <v>193</v>
      </c>
      <c r="D91" s="28" t="s">
        <v>1410</v>
      </c>
      <c r="E91" s="27" t="s">
        <v>1910</v>
      </c>
      <c r="F91" s="30" t="s">
        <v>1990</v>
      </c>
      <c r="G91" s="57" t="s">
        <v>27</v>
      </c>
      <c r="H91" s="28" t="s">
        <v>1841</v>
      </c>
      <c r="I91" s="57"/>
      <c r="J91" s="57"/>
    </row>
    <row r="92" spans="1:10" ht="42" x14ac:dyDescent="0.25">
      <c r="A92" s="36">
        <f t="shared" si="1"/>
        <v>89</v>
      </c>
      <c r="B92" s="55" t="s">
        <v>194</v>
      </c>
      <c r="C92" s="66" t="s">
        <v>195</v>
      </c>
      <c r="D92" s="28" t="s">
        <v>1411</v>
      </c>
      <c r="E92" s="27" t="s">
        <v>1910</v>
      </c>
      <c r="F92" s="30" t="s">
        <v>1991</v>
      </c>
      <c r="G92" s="57" t="s">
        <v>27</v>
      </c>
      <c r="H92" s="28" t="s">
        <v>1841</v>
      </c>
      <c r="I92" s="57"/>
      <c r="J92" s="57"/>
    </row>
    <row r="93" spans="1:10" ht="42" x14ac:dyDescent="0.25">
      <c r="A93" s="36">
        <f t="shared" si="1"/>
        <v>90</v>
      </c>
      <c r="B93" s="55" t="s">
        <v>196</v>
      </c>
      <c r="C93" s="66" t="s">
        <v>197</v>
      </c>
      <c r="D93" s="28" t="s">
        <v>1221</v>
      </c>
      <c r="E93" s="27" t="s">
        <v>1910</v>
      </c>
      <c r="F93" s="30" t="s">
        <v>1992</v>
      </c>
      <c r="G93" s="57" t="s">
        <v>27</v>
      </c>
      <c r="H93" s="28" t="s">
        <v>1842</v>
      </c>
      <c r="I93" s="57"/>
      <c r="J93" s="57"/>
    </row>
    <row r="94" spans="1:10" ht="42" x14ac:dyDescent="0.25">
      <c r="A94" s="36">
        <f t="shared" si="1"/>
        <v>91</v>
      </c>
      <c r="B94" s="65" t="s">
        <v>198</v>
      </c>
      <c r="C94" s="66" t="s">
        <v>50</v>
      </c>
      <c r="D94" s="28" t="s">
        <v>729</v>
      </c>
      <c r="E94" s="27" t="s">
        <v>1910</v>
      </c>
      <c r="F94" s="30" t="s">
        <v>1993</v>
      </c>
      <c r="G94" s="57" t="s">
        <v>27</v>
      </c>
      <c r="H94" s="29" t="s">
        <v>1815</v>
      </c>
      <c r="I94" s="57"/>
      <c r="J94" s="57"/>
    </row>
    <row r="95" spans="1:10" ht="42" x14ac:dyDescent="0.25">
      <c r="A95" s="36">
        <f t="shared" si="1"/>
        <v>92</v>
      </c>
      <c r="B95" s="65" t="s">
        <v>199</v>
      </c>
      <c r="C95" s="66" t="s">
        <v>47</v>
      </c>
      <c r="D95" s="28" t="s">
        <v>730</v>
      </c>
      <c r="E95" s="27" t="s">
        <v>1910</v>
      </c>
      <c r="F95" s="30" t="s">
        <v>1994</v>
      </c>
      <c r="G95" s="57" t="s">
        <v>27</v>
      </c>
      <c r="H95" s="29" t="s">
        <v>1815</v>
      </c>
      <c r="I95" s="57"/>
      <c r="J95" s="57"/>
    </row>
    <row r="96" spans="1:10" ht="56" x14ac:dyDescent="0.25">
      <c r="A96" s="36">
        <f t="shared" si="1"/>
        <v>93</v>
      </c>
      <c r="B96" s="65" t="s">
        <v>200</v>
      </c>
      <c r="C96" s="66" t="s">
        <v>201</v>
      </c>
      <c r="D96" s="28" t="s">
        <v>731</v>
      </c>
      <c r="E96" s="27" t="s">
        <v>1911</v>
      </c>
      <c r="F96" s="30" t="s">
        <v>1995</v>
      </c>
      <c r="G96" s="57" t="s">
        <v>27</v>
      </c>
      <c r="H96" s="29" t="s">
        <v>1815</v>
      </c>
      <c r="I96" s="57"/>
      <c r="J96" s="57"/>
    </row>
    <row r="97" spans="1:10" ht="42" x14ac:dyDescent="0.25">
      <c r="A97" s="36">
        <f t="shared" si="1"/>
        <v>94</v>
      </c>
      <c r="B97" s="65" t="s">
        <v>202</v>
      </c>
      <c r="C97" s="66" t="s">
        <v>203</v>
      </c>
      <c r="D97" s="28" t="s">
        <v>732</v>
      </c>
      <c r="E97" s="27" t="s">
        <v>1910</v>
      </c>
      <c r="F97" s="30" t="s">
        <v>1996</v>
      </c>
      <c r="G97" s="57" t="s">
        <v>27</v>
      </c>
      <c r="H97" s="29" t="s">
        <v>1837</v>
      </c>
      <c r="I97" s="57"/>
      <c r="J97" s="57"/>
    </row>
    <row r="98" spans="1:10" ht="42" x14ac:dyDescent="0.25">
      <c r="A98" s="36">
        <f t="shared" si="1"/>
        <v>95</v>
      </c>
      <c r="B98" s="65" t="s">
        <v>204</v>
      </c>
      <c r="C98" s="66" t="s">
        <v>205</v>
      </c>
      <c r="D98" s="28" t="s">
        <v>733</v>
      </c>
      <c r="E98" s="27" t="s">
        <v>1910</v>
      </c>
      <c r="F98" s="30" t="s">
        <v>1997</v>
      </c>
      <c r="G98" s="57" t="s">
        <v>27</v>
      </c>
      <c r="H98" s="28" t="s">
        <v>1818</v>
      </c>
      <c r="I98" s="57"/>
      <c r="J98" s="57"/>
    </row>
    <row r="99" spans="1:10" ht="42" x14ac:dyDescent="0.25">
      <c r="A99" s="36">
        <f t="shared" si="1"/>
        <v>96</v>
      </c>
      <c r="B99" s="65" t="s">
        <v>206</v>
      </c>
      <c r="C99" s="66" t="s">
        <v>207</v>
      </c>
      <c r="D99" s="28" t="s">
        <v>734</v>
      </c>
      <c r="E99" s="27" t="s">
        <v>1910</v>
      </c>
      <c r="F99" s="30" t="s">
        <v>1998</v>
      </c>
      <c r="G99" s="57" t="s">
        <v>27</v>
      </c>
      <c r="H99" s="28" t="s">
        <v>1837</v>
      </c>
      <c r="I99" s="57"/>
      <c r="J99" s="57"/>
    </row>
    <row r="100" spans="1:10" ht="42" x14ac:dyDescent="0.25">
      <c r="A100" s="36">
        <f t="shared" si="1"/>
        <v>97</v>
      </c>
      <c r="B100" s="65" t="s">
        <v>208</v>
      </c>
      <c r="C100" s="66" t="s">
        <v>209</v>
      </c>
      <c r="D100" s="28" t="s">
        <v>1412</v>
      </c>
      <c r="E100" s="27" t="s">
        <v>1910</v>
      </c>
      <c r="F100" s="30" t="s">
        <v>1999</v>
      </c>
      <c r="G100" s="57" t="s">
        <v>27</v>
      </c>
      <c r="H100" s="28" t="s">
        <v>1843</v>
      </c>
      <c r="I100" s="57"/>
      <c r="J100" s="57"/>
    </row>
    <row r="101" spans="1:10" ht="42" x14ac:dyDescent="0.25">
      <c r="A101" s="36">
        <f t="shared" si="1"/>
        <v>98</v>
      </c>
      <c r="B101" s="65" t="s">
        <v>210</v>
      </c>
      <c r="C101" s="66" t="s">
        <v>211</v>
      </c>
      <c r="D101" s="28" t="s">
        <v>735</v>
      </c>
      <c r="E101" s="27" t="s">
        <v>1910</v>
      </c>
      <c r="F101" s="30" t="s">
        <v>2000</v>
      </c>
      <c r="G101" s="57" t="s">
        <v>27</v>
      </c>
      <c r="H101" s="28" t="s">
        <v>1842</v>
      </c>
      <c r="I101" s="57"/>
      <c r="J101" s="57"/>
    </row>
    <row r="102" spans="1:10" ht="42" x14ac:dyDescent="0.25">
      <c r="A102" s="36">
        <f t="shared" si="1"/>
        <v>99</v>
      </c>
      <c r="B102" s="65" t="s">
        <v>212</v>
      </c>
      <c r="C102" s="66" t="s">
        <v>51</v>
      </c>
      <c r="D102" s="28" t="s">
        <v>736</v>
      </c>
      <c r="E102" s="27" t="s">
        <v>1910</v>
      </c>
      <c r="F102" s="30" t="s">
        <v>2001</v>
      </c>
      <c r="G102" s="57" t="s">
        <v>27</v>
      </c>
      <c r="H102" s="28" t="s">
        <v>1818</v>
      </c>
      <c r="I102" s="57"/>
      <c r="J102" s="57"/>
    </row>
    <row r="103" spans="1:10" ht="42" x14ac:dyDescent="0.25">
      <c r="A103" s="36">
        <f t="shared" si="1"/>
        <v>100</v>
      </c>
      <c r="B103" s="65" t="s">
        <v>213</v>
      </c>
      <c r="C103" s="66" t="s">
        <v>214</v>
      </c>
      <c r="D103" s="28" t="s">
        <v>737</v>
      </c>
      <c r="E103" s="27" t="s">
        <v>1910</v>
      </c>
      <c r="F103" s="30" t="s">
        <v>2002</v>
      </c>
      <c r="G103" s="57" t="s">
        <v>27</v>
      </c>
      <c r="H103" s="28" t="s">
        <v>1818</v>
      </c>
      <c r="I103" s="57"/>
      <c r="J103" s="57"/>
    </row>
    <row r="104" spans="1:10" ht="42" x14ac:dyDescent="0.25">
      <c r="A104" s="36">
        <f t="shared" si="1"/>
        <v>101</v>
      </c>
      <c r="B104" s="65" t="s">
        <v>215</v>
      </c>
      <c r="C104" s="66" t="s">
        <v>216</v>
      </c>
      <c r="D104" s="28" t="s">
        <v>738</v>
      </c>
      <c r="E104" s="27" t="s">
        <v>1910</v>
      </c>
      <c r="F104" s="30" t="s">
        <v>2003</v>
      </c>
      <c r="G104" s="57" t="s">
        <v>27</v>
      </c>
      <c r="H104" s="28" t="s">
        <v>1818</v>
      </c>
      <c r="I104" s="57"/>
      <c r="J104" s="57"/>
    </row>
    <row r="105" spans="1:10" ht="42" x14ac:dyDescent="0.25">
      <c r="A105" s="36">
        <f t="shared" si="1"/>
        <v>102</v>
      </c>
      <c r="B105" s="65" t="s">
        <v>217</v>
      </c>
      <c r="C105" s="66" t="s">
        <v>218</v>
      </c>
      <c r="D105" s="28" t="s">
        <v>739</v>
      </c>
      <c r="E105" s="27" t="s">
        <v>1910</v>
      </c>
      <c r="F105" s="30" t="s">
        <v>2004</v>
      </c>
      <c r="G105" s="57" t="s">
        <v>27</v>
      </c>
      <c r="H105" s="29" t="s">
        <v>1837</v>
      </c>
      <c r="I105" s="57"/>
      <c r="J105" s="57"/>
    </row>
    <row r="106" spans="1:10" ht="42" x14ac:dyDescent="0.25">
      <c r="A106" s="36">
        <f t="shared" si="1"/>
        <v>103</v>
      </c>
      <c r="B106" s="65" t="s">
        <v>219</v>
      </c>
      <c r="C106" s="66" t="s">
        <v>220</v>
      </c>
      <c r="D106" s="28" t="s">
        <v>740</v>
      </c>
      <c r="E106" s="27" t="s">
        <v>1910</v>
      </c>
      <c r="F106" s="30" t="s">
        <v>2005</v>
      </c>
      <c r="G106" s="57" t="s">
        <v>27</v>
      </c>
      <c r="H106" s="28" t="s">
        <v>1844</v>
      </c>
      <c r="I106" s="57"/>
      <c r="J106" s="57"/>
    </row>
    <row r="107" spans="1:10" ht="42" x14ac:dyDescent="0.25">
      <c r="A107" s="36">
        <f t="shared" si="1"/>
        <v>104</v>
      </c>
      <c r="B107" s="65" t="s">
        <v>221</v>
      </c>
      <c r="C107" s="66" t="s">
        <v>1</v>
      </c>
      <c r="D107" s="28" t="s">
        <v>741</v>
      </c>
      <c r="E107" s="27" t="s">
        <v>1910</v>
      </c>
      <c r="F107" s="30" t="s">
        <v>2006</v>
      </c>
      <c r="G107" s="57" t="s">
        <v>27</v>
      </c>
      <c r="H107" s="28" t="s">
        <v>1845</v>
      </c>
      <c r="I107" s="57"/>
      <c r="J107" s="57"/>
    </row>
    <row r="108" spans="1:10" ht="42" x14ac:dyDescent="0.25">
      <c r="A108" s="36">
        <f t="shared" si="1"/>
        <v>105</v>
      </c>
      <c r="B108" s="65" t="s">
        <v>222</v>
      </c>
      <c r="C108" s="66" t="s">
        <v>223</v>
      </c>
      <c r="D108" s="28" t="s">
        <v>742</v>
      </c>
      <c r="E108" s="27" t="s">
        <v>1910</v>
      </c>
      <c r="F108" s="30" t="s">
        <v>2007</v>
      </c>
      <c r="G108" s="57" t="s">
        <v>27</v>
      </c>
      <c r="H108" s="29" t="s">
        <v>1846</v>
      </c>
      <c r="I108" s="57"/>
      <c r="J108" s="57"/>
    </row>
    <row r="109" spans="1:10" ht="42" x14ac:dyDescent="0.25">
      <c r="A109" s="36">
        <f t="shared" si="1"/>
        <v>106</v>
      </c>
      <c r="B109" s="65" t="s">
        <v>224</v>
      </c>
      <c r="C109" s="66" t="s">
        <v>225</v>
      </c>
      <c r="D109" s="28" t="s">
        <v>743</v>
      </c>
      <c r="E109" s="27" t="s">
        <v>1910</v>
      </c>
      <c r="F109" s="30" t="s">
        <v>2008</v>
      </c>
      <c r="G109" s="57" t="s">
        <v>27</v>
      </c>
      <c r="H109" s="29" t="s">
        <v>1823</v>
      </c>
      <c r="I109" s="57"/>
      <c r="J109" s="57"/>
    </row>
    <row r="110" spans="1:10" ht="42" x14ac:dyDescent="0.25">
      <c r="A110" s="36">
        <f t="shared" si="1"/>
        <v>107</v>
      </c>
      <c r="B110" s="65" t="s">
        <v>226</v>
      </c>
      <c r="C110" s="66" t="s">
        <v>227</v>
      </c>
      <c r="D110" s="28" t="s">
        <v>744</v>
      </c>
      <c r="E110" s="27" t="s">
        <v>1910</v>
      </c>
      <c r="F110" s="30" t="s">
        <v>2009</v>
      </c>
      <c r="G110" s="57" t="s">
        <v>27</v>
      </c>
      <c r="H110" s="29" t="s">
        <v>1846</v>
      </c>
      <c r="I110" s="57"/>
      <c r="J110" s="57"/>
    </row>
    <row r="111" spans="1:10" ht="42" x14ac:dyDescent="0.25">
      <c r="A111" s="36">
        <f t="shared" si="1"/>
        <v>108</v>
      </c>
      <c r="B111" s="65" t="s">
        <v>228</v>
      </c>
      <c r="C111" s="66" t="s">
        <v>105</v>
      </c>
      <c r="D111" s="28" t="s">
        <v>844</v>
      </c>
      <c r="E111" s="27" t="s">
        <v>1910</v>
      </c>
      <c r="F111" s="30" t="s">
        <v>2027</v>
      </c>
      <c r="G111" s="57" t="s">
        <v>27</v>
      </c>
      <c r="H111" s="29" t="s">
        <v>1825</v>
      </c>
      <c r="I111" s="57"/>
      <c r="J111" s="57"/>
    </row>
    <row r="112" spans="1:10" ht="42" x14ac:dyDescent="0.25">
      <c r="A112" s="36">
        <f t="shared" si="1"/>
        <v>109</v>
      </c>
      <c r="B112" s="65" t="s">
        <v>229</v>
      </c>
      <c r="C112" s="66" t="s">
        <v>230</v>
      </c>
      <c r="D112" s="28" t="s">
        <v>1413</v>
      </c>
      <c r="E112" s="27" t="s">
        <v>1910</v>
      </c>
      <c r="F112" s="30" t="s">
        <v>2034</v>
      </c>
      <c r="G112" s="57" t="s">
        <v>27</v>
      </c>
      <c r="H112" s="30" t="s">
        <v>1847</v>
      </c>
      <c r="I112" s="57"/>
      <c r="J112" s="57"/>
    </row>
    <row r="113" spans="1:10" ht="42" x14ac:dyDescent="0.25">
      <c r="A113" s="36">
        <f t="shared" si="1"/>
        <v>110</v>
      </c>
      <c r="B113" s="65" t="s">
        <v>231</v>
      </c>
      <c r="C113" s="66" t="s">
        <v>232</v>
      </c>
      <c r="D113" s="28" t="s">
        <v>847</v>
      </c>
      <c r="E113" s="27" t="s">
        <v>1910</v>
      </c>
      <c r="F113" s="30" t="s">
        <v>2035</v>
      </c>
      <c r="G113" s="57" t="s">
        <v>27</v>
      </c>
      <c r="H113" s="28" t="s">
        <v>1848</v>
      </c>
      <c r="I113" s="57"/>
      <c r="J113" s="57"/>
    </row>
    <row r="114" spans="1:10" ht="42" x14ac:dyDescent="0.25">
      <c r="A114" s="36">
        <f t="shared" si="1"/>
        <v>111</v>
      </c>
      <c r="B114" s="65" t="s">
        <v>233</v>
      </c>
      <c r="C114" s="66" t="s">
        <v>234</v>
      </c>
      <c r="D114" s="28" t="s">
        <v>745</v>
      </c>
      <c r="E114" s="27" t="s">
        <v>1910</v>
      </c>
      <c r="F114" s="30" t="s">
        <v>2036</v>
      </c>
      <c r="G114" s="57" t="s">
        <v>27</v>
      </c>
      <c r="H114" s="29" t="s">
        <v>1829</v>
      </c>
      <c r="I114" s="57"/>
      <c r="J114" s="57"/>
    </row>
    <row r="115" spans="1:10" ht="42" x14ac:dyDescent="0.25">
      <c r="A115" s="36">
        <f t="shared" si="1"/>
        <v>112</v>
      </c>
      <c r="B115" s="65" t="s">
        <v>235</v>
      </c>
      <c r="C115" s="66" t="s">
        <v>236</v>
      </c>
      <c r="D115" s="28" t="s">
        <v>746</v>
      </c>
      <c r="E115" s="27" t="s">
        <v>1910</v>
      </c>
      <c r="F115" s="30" t="s">
        <v>2037</v>
      </c>
      <c r="G115" s="57" t="s">
        <v>27</v>
      </c>
      <c r="H115" s="29" t="s">
        <v>1829</v>
      </c>
      <c r="I115" s="57"/>
      <c r="J115" s="57"/>
    </row>
    <row r="116" spans="1:10" ht="42" x14ac:dyDescent="0.25">
      <c r="A116" s="36">
        <f t="shared" si="1"/>
        <v>113</v>
      </c>
      <c r="B116" s="65" t="s">
        <v>237</v>
      </c>
      <c r="C116" s="66" t="s">
        <v>117</v>
      </c>
      <c r="D116" s="28" t="s">
        <v>1402</v>
      </c>
      <c r="E116" s="27" t="s">
        <v>1910</v>
      </c>
      <c r="F116" s="30" t="s">
        <v>2038</v>
      </c>
      <c r="G116" s="57" t="s">
        <v>27</v>
      </c>
      <c r="H116" s="29" t="s">
        <v>1849</v>
      </c>
      <c r="I116" s="57"/>
      <c r="J116" s="57"/>
    </row>
    <row r="117" spans="1:10" ht="42" x14ac:dyDescent="0.25">
      <c r="A117" s="36">
        <f t="shared" si="1"/>
        <v>114</v>
      </c>
      <c r="B117" s="65" t="s">
        <v>238</v>
      </c>
      <c r="C117" s="66" t="s">
        <v>239</v>
      </c>
      <c r="D117" s="28" t="s">
        <v>1414</v>
      </c>
      <c r="E117" s="27" t="s">
        <v>1910</v>
      </c>
      <c r="F117" s="30" t="s">
        <v>2039</v>
      </c>
      <c r="G117" s="57" t="s">
        <v>27</v>
      </c>
      <c r="H117" s="29" t="s">
        <v>1850</v>
      </c>
      <c r="I117" s="57"/>
      <c r="J117" s="57"/>
    </row>
    <row r="118" spans="1:10" ht="42" x14ac:dyDescent="0.25">
      <c r="A118" s="36">
        <f t="shared" si="1"/>
        <v>115</v>
      </c>
      <c r="B118" s="65" t="s">
        <v>240</v>
      </c>
      <c r="C118" s="66" t="s">
        <v>241</v>
      </c>
      <c r="D118" s="28" t="s">
        <v>1415</v>
      </c>
      <c r="E118" s="27" t="s">
        <v>1910</v>
      </c>
      <c r="F118" s="30" t="s">
        <v>2040</v>
      </c>
      <c r="G118" s="57" t="s">
        <v>27</v>
      </c>
      <c r="H118" s="29" t="s">
        <v>1837</v>
      </c>
      <c r="I118" s="57"/>
      <c r="J118" s="57"/>
    </row>
    <row r="119" spans="1:10" ht="42" x14ac:dyDescent="0.25">
      <c r="A119" s="36">
        <f t="shared" si="1"/>
        <v>116</v>
      </c>
      <c r="B119" s="65" t="s">
        <v>242</v>
      </c>
      <c r="C119" s="66" t="s">
        <v>243</v>
      </c>
      <c r="D119" s="28" t="s">
        <v>1416</v>
      </c>
      <c r="E119" s="27" t="s">
        <v>1910</v>
      </c>
      <c r="F119" s="30" t="s">
        <v>2041</v>
      </c>
      <c r="G119" s="57" t="s">
        <v>27</v>
      </c>
      <c r="H119" s="29" t="s">
        <v>1851</v>
      </c>
      <c r="I119" s="57"/>
      <c r="J119" s="57"/>
    </row>
    <row r="120" spans="1:10" ht="56" x14ac:dyDescent="0.25">
      <c r="A120" s="36">
        <f t="shared" si="1"/>
        <v>117</v>
      </c>
      <c r="B120" s="65" t="s">
        <v>244</v>
      </c>
      <c r="C120" s="66" t="s">
        <v>245</v>
      </c>
      <c r="D120" s="28" t="s">
        <v>747</v>
      </c>
      <c r="E120" s="27" t="s">
        <v>1911</v>
      </c>
      <c r="F120" s="30" t="s">
        <v>2042</v>
      </c>
      <c r="G120" s="57" t="s">
        <v>27</v>
      </c>
      <c r="H120" s="29" t="s">
        <v>1825</v>
      </c>
      <c r="I120" s="57"/>
      <c r="J120" s="57"/>
    </row>
    <row r="121" spans="1:10" ht="56" x14ac:dyDescent="0.25">
      <c r="A121" s="36">
        <f t="shared" si="1"/>
        <v>118</v>
      </c>
      <c r="B121" s="65" t="s">
        <v>246</v>
      </c>
      <c r="C121" s="66" t="s">
        <v>247</v>
      </c>
      <c r="D121" s="28" t="s">
        <v>1417</v>
      </c>
      <c r="E121" s="27" t="s">
        <v>1911</v>
      </c>
      <c r="F121" s="30" t="s">
        <v>2043</v>
      </c>
      <c r="G121" s="57" t="s">
        <v>27</v>
      </c>
      <c r="H121" s="30" t="s">
        <v>1852</v>
      </c>
      <c r="I121" s="57"/>
      <c r="J121" s="57"/>
    </row>
    <row r="122" spans="1:10" ht="28" x14ac:dyDescent="0.25">
      <c r="A122" s="36">
        <f t="shared" si="1"/>
        <v>119</v>
      </c>
      <c r="B122" s="61" t="s">
        <v>1761</v>
      </c>
      <c r="C122" s="28" t="s">
        <v>1762</v>
      </c>
      <c r="D122" s="28" t="s">
        <v>1778</v>
      </c>
      <c r="E122" s="27" t="s">
        <v>1912</v>
      </c>
      <c r="F122" s="30" t="s">
        <v>2028</v>
      </c>
      <c r="H122" s="30" t="s">
        <v>1853</v>
      </c>
      <c r="I122" s="57"/>
      <c r="J122" s="57"/>
    </row>
    <row r="123" spans="1:10" ht="28" x14ac:dyDescent="0.25">
      <c r="A123" s="36">
        <f t="shared" si="1"/>
        <v>120</v>
      </c>
      <c r="B123" s="61" t="s">
        <v>1763</v>
      </c>
      <c r="C123" s="28" t="s">
        <v>1764</v>
      </c>
      <c r="D123" s="28" t="s">
        <v>1779</v>
      </c>
      <c r="E123" s="27" t="s">
        <v>1912</v>
      </c>
      <c r="F123" s="30" t="s">
        <v>2029</v>
      </c>
      <c r="H123" s="30" t="s">
        <v>1853</v>
      </c>
      <c r="I123" s="57"/>
      <c r="J123" s="57"/>
    </row>
    <row r="124" spans="1:10" ht="28" x14ac:dyDescent="0.25">
      <c r="A124" s="36">
        <f t="shared" si="1"/>
        <v>121</v>
      </c>
      <c r="B124" s="61" t="s">
        <v>1765</v>
      </c>
      <c r="C124" s="28" t="s">
        <v>1766</v>
      </c>
      <c r="D124" s="28" t="s">
        <v>1780</v>
      </c>
      <c r="E124" s="27" t="s">
        <v>1912</v>
      </c>
      <c r="F124" s="30" t="s">
        <v>2030</v>
      </c>
      <c r="H124" s="30" t="s">
        <v>1853</v>
      </c>
      <c r="I124" s="57"/>
      <c r="J124" s="57"/>
    </row>
    <row r="125" spans="1:10" ht="42" x14ac:dyDescent="0.25">
      <c r="A125" s="36">
        <f t="shared" si="1"/>
        <v>122</v>
      </c>
      <c r="B125" s="61" t="s">
        <v>1767</v>
      </c>
      <c r="C125" s="28" t="s">
        <v>1768</v>
      </c>
      <c r="D125" s="28" t="s">
        <v>1789</v>
      </c>
      <c r="E125" s="27" t="s">
        <v>1912</v>
      </c>
      <c r="F125" s="30" t="s">
        <v>2031</v>
      </c>
      <c r="H125" s="30" t="s">
        <v>1854</v>
      </c>
      <c r="I125" s="57"/>
      <c r="J125" s="57"/>
    </row>
    <row r="126" spans="1:10" ht="42" x14ac:dyDescent="0.25">
      <c r="A126" s="36">
        <f t="shared" si="1"/>
        <v>123</v>
      </c>
      <c r="B126" s="61" t="s">
        <v>1769</v>
      </c>
      <c r="C126" s="28" t="s">
        <v>1770</v>
      </c>
      <c r="D126" s="28" t="s">
        <v>1781</v>
      </c>
      <c r="E126" s="27" t="s">
        <v>1912</v>
      </c>
      <c r="F126" s="30" t="s">
        <v>2032</v>
      </c>
      <c r="H126" s="30" t="s">
        <v>1854</v>
      </c>
      <c r="I126" s="57"/>
      <c r="J126" s="57"/>
    </row>
    <row r="127" spans="1:10" ht="42" x14ac:dyDescent="0.25">
      <c r="A127" s="36">
        <f t="shared" si="1"/>
        <v>124</v>
      </c>
      <c r="B127" s="61" t="s">
        <v>1771</v>
      </c>
      <c r="C127" s="28" t="s">
        <v>1772</v>
      </c>
      <c r="D127" s="28" t="s">
        <v>1790</v>
      </c>
      <c r="E127" s="27" t="s">
        <v>1912</v>
      </c>
      <c r="F127" s="30" t="s">
        <v>2033</v>
      </c>
      <c r="H127" s="30" t="s">
        <v>1854</v>
      </c>
      <c r="I127" s="57"/>
      <c r="J127" s="57"/>
    </row>
    <row r="128" spans="1:10" ht="42" x14ac:dyDescent="0.3">
      <c r="A128" s="36">
        <f t="shared" si="1"/>
        <v>125</v>
      </c>
      <c r="B128" s="69" t="s">
        <v>249</v>
      </c>
      <c r="C128" s="70" t="s">
        <v>250</v>
      </c>
      <c r="D128" s="28" t="s">
        <v>748</v>
      </c>
      <c r="E128" s="37" t="s">
        <v>1915</v>
      </c>
      <c r="F128" s="30" t="str">
        <f t="shared" ref="F128:F140" si="2">"http://www.ninis2.nisra.gov.uk/public/SearchResults.aspx?sk="&amp;B128&amp;";"</f>
        <v>http://www.ninis2.nisra.gov.uk/public/SearchResults.aspx?sk=DC1101NI;</v>
      </c>
      <c r="G128" s="57" t="s">
        <v>27</v>
      </c>
      <c r="H128" s="28" t="s">
        <v>1815</v>
      </c>
      <c r="I128" s="57"/>
      <c r="J128" s="57"/>
    </row>
    <row r="129" spans="1:10" ht="42" x14ac:dyDescent="0.3">
      <c r="A129" s="36">
        <f t="shared" si="1"/>
        <v>126</v>
      </c>
      <c r="B129" s="69" t="s">
        <v>251</v>
      </c>
      <c r="C129" s="70" t="s">
        <v>252</v>
      </c>
      <c r="D129" s="28" t="s">
        <v>749</v>
      </c>
      <c r="E129" s="37" t="s">
        <v>1915</v>
      </c>
      <c r="F129" s="30" t="str">
        <f t="shared" si="2"/>
        <v>http://www.ninis2.nisra.gov.uk/public/SearchResults.aspx?sk=DC1102NI;</v>
      </c>
      <c r="G129" s="57" t="s">
        <v>27</v>
      </c>
      <c r="H129" s="28" t="s">
        <v>1836</v>
      </c>
      <c r="I129" s="57"/>
      <c r="J129" s="57"/>
    </row>
    <row r="130" spans="1:10" ht="28" x14ac:dyDescent="0.25">
      <c r="A130" s="36">
        <f t="shared" si="1"/>
        <v>127</v>
      </c>
      <c r="B130" s="69" t="s">
        <v>253</v>
      </c>
      <c r="C130" s="70" t="s">
        <v>254</v>
      </c>
      <c r="D130" s="28" t="s">
        <v>750</v>
      </c>
      <c r="E130" s="36" t="s">
        <v>1912</v>
      </c>
      <c r="F130" s="30" t="str">
        <f t="shared" si="2"/>
        <v>http://www.ninis2.nisra.gov.uk/public/SearchResults.aspx?sk=DC1103NI;</v>
      </c>
      <c r="G130" s="57" t="s">
        <v>27</v>
      </c>
      <c r="H130" s="28" t="s">
        <v>1816</v>
      </c>
      <c r="I130" s="57"/>
      <c r="J130" s="57"/>
    </row>
    <row r="131" spans="1:10" ht="28" x14ac:dyDescent="0.25">
      <c r="A131" s="36">
        <f t="shared" si="1"/>
        <v>128</v>
      </c>
      <c r="B131" s="69" t="s">
        <v>255</v>
      </c>
      <c r="C131" s="70" t="s">
        <v>256</v>
      </c>
      <c r="D131" s="28" t="s">
        <v>751</v>
      </c>
      <c r="E131" s="36" t="s">
        <v>1912</v>
      </c>
      <c r="F131" s="30" t="str">
        <f t="shared" si="2"/>
        <v>http://www.ninis2.nisra.gov.uk/public/SearchResults.aspx?sk=DC1104NI;</v>
      </c>
      <c r="G131" s="57" t="s">
        <v>27</v>
      </c>
      <c r="H131" s="28" t="s">
        <v>1841</v>
      </c>
      <c r="I131" s="57"/>
      <c r="J131" s="57"/>
    </row>
    <row r="132" spans="1:10" ht="28" x14ac:dyDescent="0.25">
      <c r="A132" s="36">
        <f t="shared" si="1"/>
        <v>129</v>
      </c>
      <c r="B132" s="69" t="s">
        <v>257</v>
      </c>
      <c r="C132" s="70" t="s">
        <v>258</v>
      </c>
      <c r="D132" s="28" t="s">
        <v>752</v>
      </c>
      <c r="E132" s="36" t="s">
        <v>1912</v>
      </c>
      <c r="F132" s="30" t="str">
        <f t="shared" si="2"/>
        <v>http://www.ninis2.nisra.gov.uk/public/SearchResults.aspx?sk=DC1105NI;</v>
      </c>
      <c r="G132" s="57" t="s">
        <v>27</v>
      </c>
      <c r="H132" s="28" t="s">
        <v>1817</v>
      </c>
      <c r="I132" s="57"/>
      <c r="J132" s="57"/>
    </row>
    <row r="133" spans="1:10" ht="28" x14ac:dyDescent="0.25">
      <c r="A133" s="36">
        <f t="shared" ref="A133:A196" si="3">IF(AND(NOT(ISERR(FIND($L$4,D133))),NOT(ISERR(FIND($L$5,D133))),NOT(ISERR(FIND($L$6,D133))),NOT(ISERR(FIND($L$7,D133))) ),A132+1,A132)</f>
        <v>130</v>
      </c>
      <c r="B133" s="69" t="s">
        <v>259</v>
      </c>
      <c r="C133" s="70" t="s">
        <v>260</v>
      </c>
      <c r="D133" s="28" t="s">
        <v>753</v>
      </c>
      <c r="E133" s="36" t="s">
        <v>1912</v>
      </c>
      <c r="F133" s="30" t="str">
        <f t="shared" si="2"/>
        <v>http://www.ninis2.nisra.gov.uk/public/SearchResults.aspx?sk=DC1106NI;</v>
      </c>
      <c r="G133" s="57" t="s">
        <v>27</v>
      </c>
      <c r="H133" s="28" t="s">
        <v>1841</v>
      </c>
      <c r="I133" s="57"/>
      <c r="J133" s="57"/>
    </row>
    <row r="134" spans="1:10" ht="28" x14ac:dyDescent="0.25">
      <c r="A134" s="36">
        <f t="shared" si="3"/>
        <v>131</v>
      </c>
      <c r="B134" s="69" t="s">
        <v>261</v>
      </c>
      <c r="C134" s="70" t="s">
        <v>262</v>
      </c>
      <c r="D134" s="28" t="s">
        <v>754</v>
      </c>
      <c r="E134" s="36" t="s">
        <v>1912</v>
      </c>
      <c r="F134" s="30" t="str">
        <f t="shared" si="2"/>
        <v>http://www.ninis2.nisra.gov.uk/public/SearchResults.aspx?sk=DC1107NI;</v>
      </c>
      <c r="G134" s="57" t="s">
        <v>27</v>
      </c>
      <c r="H134" s="28" t="s">
        <v>1846</v>
      </c>
      <c r="I134" s="57"/>
      <c r="J134" s="57"/>
    </row>
    <row r="135" spans="1:10" ht="28" x14ac:dyDescent="0.25">
      <c r="A135" s="36">
        <f t="shared" si="3"/>
        <v>132</v>
      </c>
      <c r="B135" s="69" t="s">
        <v>263</v>
      </c>
      <c r="C135" s="70" t="s">
        <v>264</v>
      </c>
      <c r="D135" s="28" t="s">
        <v>755</v>
      </c>
      <c r="E135" s="36" t="s">
        <v>1912</v>
      </c>
      <c r="F135" s="30" t="str">
        <f t="shared" si="2"/>
        <v>http://www.ninis2.nisra.gov.uk/public/SearchResults.aspx?sk=DC1108NI;</v>
      </c>
      <c r="G135" s="57" t="s">
        <v>27</v>
      </c>
      <c r="H135" s="28" t="s">
        <v>1837</v>
      </c>
      <c r="I135" s="57"/>
      <c r="J135" s="57"/>
    </row>
    <row r="136" spans="1:10" ht="28" x14ac:dyDescent="0.25">
      <c r="A136" s="36">
        <f t="shared" si="3"/>
        <v>133</v>
      </c>
      <c r="B136" s="69" t="s">
        <v>265</v>
      </c>
      <c r="C136" s="70" t="s">
        <v>266</v>
      </c>
      <c r="D136" s="28" t="s">
        <v>756</v>
      </c>
      <c r="E136" s="36" t="s">
        <v>1912</v>
      </c>
      <c r="F136" s="30" t="str">
        <f t="shared" si="2"/>
        <v>http://www.ninis2.nisra.gov.uk/public/SearchResults.aspx?sk=DC1111NI;</v>
      </c>
      <c r="G136" s="57" t="s">
        <v>27</v>
      </c>
      <c r="H136" s="28" t="s">
        <v>1855</v>
      </c>
      <c r="I136" s="57"/>
      <c r="J136" s="57"/>
    </row>
    <row r="137" spans="1:10" ht="28" x14ac:dyDescent="0.25">
      <c r="A137" s="36">
        <f t="shared" si="3"/>
        <v>134</v>
      </c>
      <c r="B137" s="69" t="s">
        <v>267</v>
      </c>
      <c r="C137" s="70" t="s">
        <v>268</v>
      </c>
      <c r="D137" s="28" t="s">
        <v>757</v>
      </c>
      <c r="E137" s="36" t="s">
        <v>1912</v>
      </c>
      <c r="F137" s="30" t="str">
        <f t="shared" si="2"/>
        <v>http://www.ninis2.nisra.gov.uk/public/SearchResults.aspx?sk=DC1112NI;</v>
      </c>
      <c r="G137" s="57" t="s">
        <v>27</v>
      </c>
      <c r="H137" s="28" t="s">
        <v>1818</v>
      </c>
      <c r="I137" s="57"/>
      <c r="J137" s="57"/>
    </row>
    <row r="138" spans="1:10" ht="28" x14ac:dyDescent="0.25">
      <c r="A138" s="36">
        <f t="shared" si="3"/>
        <v>135</v>
      </c>
      <c r="B138" s="69" t="s">
        <v>269</v>
      </c>
      <c r="C138" s="70" t="s">
        <v>270</v>
      </c>
      <c r="D138" s="28" t="s">
        <v>828</v>
      </c>
      <c r="E138" s="36" t="s">
        <v>1912</v>
      </c>
      <c r="F138" s="30" t="str">
        <f t="shared" si="2"/>
        <v>http://www.ninis2.nisra.gov.uk/public/SearchResults.aspx?sk=DC2101NI;</v>
      </c>
      <c r="G138" s="57" t="s">
        <v>27</v>
      </c>
      <c r="H138" s="28" t="s">
        <v>1815</v>
      </c>
      <c r="I138" s="57"/>
      <c r="J138" s="57"/>
    </row>
    <row r="139" spans="1:10" ht="28" x14ac:dyDescent="0.25">
      <c r="A139" s="36">
        <f t="shared" si="3"/>
        <v>136</v>
      </c>
      <c r="B139" s="69" t="s">
        <v>271</v>
      </c>
      <c r="C139" s="70" t="s">
        <v>272</v>
      </c>
      <c r="D139" s="28" t="s">
        <v>841</v>
      </c>
      <c r="E139" s="36" t="s">
        <v>1912</v>
      </c>
      <c r="F139" s="30" t="str">
        <f t="shared" si="2"/>
        <v>http://www.ninis2.nisra.gov.uk/public/SearchResults.aspx?sk=DC2102NI;</v>
      </c>
      <c r="G139" s="57" t="s">
        <v>27</v>
      </c>
      <c r="H139" s="28" t="s">
        <v>1841</v>
      </c>
      <c r="I139" s="57"/>
      <c r="J139" s="57"/>
    </row>
    <row r="140" spans="1:10" ht="28" x14ac:dyDescent="0.25">
      <c r="A140" s="36">
        <f t="shared" si="3"/>
        <v>137</v>
      </c>
      <c r="B140" s="69" t="s">
        <v>273</v>
      </c>
      <c r="C140" s="70" t="s">
        <v>274</v>
      </c>
      <c r="D140" s="28" t="s">
        <v>842</v>
      </c>
      <c r="E140" s="36" t="s">
        <v>1912</v>
      </c>
      <c r="F140" s="30" t="str">
        <f t="shared" si="2"/>
        <v>http://www.ninis2.nisra.gov.uk/public/SearchResults.aspx?sk=DC2104NI;</v>
      </c>
      <c r="G140" s="57" t="s">
        <v>27</v>
      </c>
      <c r="H140" s="28" t="s">
        <v>1817</v>
      </c>
      <c r="I140" s="57"/>
      <c r="J140" s="57"/>
    </row>
    <row r="141" spans="1:10" ht="42" x14ac:dyDescent="0.3">
      <c r="A141" s="36">
        <f t="shared" si="3"/>
        <v>138</v>
      </c>
      <c r="B141" s="71" t="s">
        <v>275</v>
      </c>
      <c r="C141" s="70" t="s">
        <v>276</v>
      </c>
      <c r="D141" s="28" t="s">
        <v>1418</v>
      </c>
      <c r="E141" s="37" t="s">
        <v>1915</v>
      </c>
      <c r="F141" s="30" t="str">
        <f t="shared" ref="F141:F204" si="4">"http://www.ninis2.nisra.gov.uk/public/SearchResults.aspx?sk="&amp;B141&amp;";"</f>
        <v>http://www.ninis2.nisra.gov.uk/public/SearchResults.aspx?sk=DC2105NI;</v>
      </c>
      <c r="G141" s="57" t="s">
        <v>27</v>
      </c>
      <c r="H141" s="28" t="s">
        <v>1815</v>
      </c>
      <c r="I141" s="57"/>
      <c r="J141" s="57"/>
    </row>
    <row r="142" spans="1:10" ht="42" x14ac:dyDescent="0.3">
      <c r="A142" s="36">
        <f t="shared" si="3"/>
        <v>139</v>
      </c>
      <c r="B142" s="71" t="s">
        <v>277</v>
      </c>
      <c r="C142" s="70" t="s">
        <v>278</v>
      </c>
      <c r="D142" s="28" t="s">
        <v>1419</v>
      </c>
      <c r="E142" s="37" t="s">
        <v>1915</v>
      </c>
      <c r="F142" s="30" t="str">
        <f t="shared" si="4"/>
        <v>http://www.ninis2.nisra.gov.uk/public/SearchResults.aspx?sk=DC2106NI;</v>
      </c>
      <c r="G142" s="57" t="s">
        <v>27</v>
      </c>
      <c r="H142" s="28" t="s">
        <v>1815</v>
      </c>
      <c r="I142" s="57"/>
      <c r="J142" s="57"/>
    </row>
    <row r="143" spans="1:10" ht="28" x14ac:dyDescent="0.25">
      <c r="A143" s="36">
        <f t="shared" si="3"/>
        <v>140</v>
      </c>
      <c r="B143" s="69" t="s">
        <v>279</v>
      </c>
      <c r="C143" s="70" t="s">
        <v>280</v>
      </c>
      <c r="D143" s="28" t="s">
        <v>758</v>
      </c>
      <c r="E143" s="36" t="s">
        <v>1912</v>
      </c>
      <c r="F143" s="30" t="str">
        <f t="shared" si="4"/>
        <v>http://www.ninis2.nisra.gov.uk/public/SearchResults.aspx?sk=DC2107NI;</v>
      </c>
      <c r="G143" s="57" t="s">
        <v>27</v>
      </c>
      <c r="H143" s="28" t="s">
        <v>1815</v>
      </c>
      <c r="I143" s="57"/>
      <c r="J143" s="57"/>
    </row>
    <row r="144" spans="1:10" ht="42" x14ac:dyDescent="0.3">
      <c r="A144" s="36">
        <f t="shared" si="3"/>
        <v>141</v>
      </c>
      <c r="B144" s="69" t="s">
        <v>281</v>
      </c>
      <c r="C144" s="70" t="s">
        <v>282</v>
      </c>
      <c r="D144" s="28" t="s">
        <v>759</v>
      </c>
      <c r="E144" s="37" t="s">
        <v>1915</v>
      </c>
      <c r="F144" s="30" t="str">
        <f t="shared" si="4"/>
        <v>http://www.ninis2.nisra.gov.uk/public/SearchResults.aspx?sk=DC2108NI;</v>
      </c>
      <c r="G144" s="57" t="s">
        <v>27</v>
      </c>
      <c r="H144" s="28" t="s">
        <v>1817</v>
      </c>
      <c r="I144" s="57"/>
      <c r="J144" s="57"/>
    </row>
    <row r="145" spans="1:10" ht="42" x14ac:dyDescent="0.3">
      <c r="A145" s="36">
        <f t="shared" si="3"/>
        <v>142</v>
      </c>
      <c r="B145" s="69" t="s">
        <v>283</v>
      </c>
      <c r="C145" s="70" t="s">
        <v>284</v>
      </c>
      <c r="D145" s="28" t="s">
        <v>1420</v>
      </c>
      <c r="E145" s="37" t="s">
        <v>1915</v>
      </c>
      <c r="F145" s="30" t="str">
        <f t="shared" si="4"/>
        <v>http://www.ninis2.nisra.gov.uk/public/SearchResults.aspx?sk=DC2109NI;</v>
      </c>
      <c r="G145" s="57" t="s">
        <v>27</v>
      </c>
      <c r="H145" s="28" t="s">
        <v>1815</v>
      </c>
      <c r="I145" s="57"/>
      <c r="J145" s="57"/>
    </row>
    <row r="146" spans="1:10" ht="42" x14ac:dyDescent="0.3">
      <c r="A146" s="36">
        <f t="shared" si="3"/>
        <v>143</v>
      </c>
      <c r="B146" s="69" t="s">
        <v>285</v>
      </c>
      <c r="C146" s="70" t="s">
        <v>286</v>
      </c>
      <c r="D146" s="28" t="s">
        <v>1421</v>
      </c>
      <c r="E146" s="37" t="s">
        <v>1915</v>
      </c>
      <c r="F146" s="30" t="str">
        <f t="shared" si="4"/>
        <v>http://www.ninis2.nisra.gov.uk/public/SearchResults.aspx?sk=DC2110NI;</v>
      </c>
      <c r="G146" s="57" t="s">
        <v>27</v>
      </c>
      <c r="H146" s="28" t="s">
        <v>1815</v>
      </c>
      <c r="I146" s="57"/>
      <c r="J146" s="57"/>
    </row>
    <row r="147" spans="1:10" ht="42" x14ac:dyDescent="0.3">
      <c r="A147" s="36">
        <f t="shared" si="3"/>
        <v>144</v>
      </c>
      <c r="B147" s="69" t="s">
        <v>287</v>
      </c>
      <c r="C147" s="70" t="s">
        <v>288</v>
      </c>
      <c r="D147" s="28" t="s">
        <v>760</v>
      </c>
      <c r="E147" s="37" t="s">
        <v>1915</v>
      </c>
      <c r="F147" s="30" t="str">
        <f t="shared" si="4"/>
        <v>http://www.ninis2.nisra.gov.uk/public/SearchResults.aspx?sk=DC2111NI;</v>
      </c>
      <c r="G147" s="57" t="s">
        <v>27</v>
      </c>
      <c r="H147" s="28" t="s">
        <v>1821</v>
      </c>
      <c r="I147" s="57"/>
      <c r="J147" s="57"/>
    </row>
    <row r="148" spans="1:10" ht="28" x14ac:dyDescent="0.25">
      <c r="A148" s="36">
        <f t="shared" si="3"/>
        <v>145</v>
      </c>
      <c r="B148" s="69" t="s">
        <v>289</v>
      </c>
      <c r="C148" s="70" t="s">
        <v>290</v>
      </c>
      <c r="D148" s="28" t="s">
        <v>1250</v>
      </c>
      <c r="E148" s="36" t="s">
        <v>1912</v>
      </c>
      <c r="F148" s="30" t="str">
        <f t="shared" si="4"/>
        <v>http://www.ninis2.nisra.gov.uk/public/SearchResults.aspx?sk=DC2112NI;</v>
      </c>
      <c r="G148" s="57" t="s">
        <v>27</v>
      </c>
      <c r="H148" s="28" t="s">
        <v>1821</v>
      </c>
      <c r="I148" s="57"/>
      <c r="J148" s="57"/>
    </row>
    <row r="149" spans="1:10" ht="28" x14ac:dyDescent="0.25">
      <c r="A149" s="36">
        <f t="shared" si="3"/>
        <v>146</v>
      </c>
      <c r="B149" s="69" t="s">
        <v>291</v>
      </c>
      <c r="C149" s="70" t="s">
        <v>292</v>
      </c>
      <c r="D149" s="28" t="s">
        <v>1251</v>
      </c>
      <c r="E149" s="36" t="s">
        <v>1912</v>
      </c>
      <c r="F149" s="30" t="str">
        <f t="shared" si="4"/>
        <v>http://www.ninis2.nisra.gov.uk/public/SearchResults.aspx?sk=DC2113NI;</v>
      </c>
      <c r="G149" s="57" t="s">
        <v>27</v>
      </c>
      <c r="H149" s="28" t="s">
        <v>1856</v>
      </c>
      <c r="I149" s="57"/>
      <c r="J149" s="57"/>
    </row>
    <row r="150" spans="1:10" ht="42" x14ac:dyDescent="0.3">
      <c r="A150" s="36">
        <f t="shared" si="3"/>
        <v>147</v>
      </c>
      <c r="B150" s="71" t="s">
        <v>293</v>
      </c>
      <c r="C150" s="70" t="s">
        <v>294</v>
      </c>
      <c r="D150" s="28" t="s">
        <v>761</v>
      </c>
      <c r="E150" s="37" t="s">
        <v>1915</v>
      </c>
      <c r="F150" s="30" t="str">
        <f t="shared" si="4"/>
        <v>http://www.ninis2.nisra.gov.uk/public/SearchResults.aspx?sk=DC2114NI;</v>
      </c>
      <c r="G150" s="57" t="s">
        <v>27</v>
      </c>
      <c r="H150" s="28" t="s">
        <v>1815</v>
      </c>
      <c r="I150" s="57"/>
      <c r="J150" s="57"/>
    </row>
    <row r="151" spans="1:10" ht="42" x14ac:dyDescent="0.3">
      <c r="A151" s="36">
        <f t="shared" si="3"/>
        <v>148</v>
      </c>
      <c r="B151" s="71" t="s">
        <v>295</v>
      </c>
      <c r="C151" s="70" t="s">
        <v>296</v>
      </c>
      <c r="D151" s="28" t="s">
        <v>1205</v>
      </c>
      <c r="E151" s="37" t="s">
        <v>1915</v>
      </c>
      <c r="F151" s="30" t="str">
        <f t="shared" si="4"/>
        <v>http://www.ninis2.nisra.gov.uk/public/SearchResults.aspx?sk=DC2115NI;</v>
      </c>
      <c r="G151" s="57" t="s">
        <v>27</v>
      </c>
      <c r="H151" s="28" t="s">
        <v>1815</v>
      </c>
      <c r="I151" s="57"/>
      <c r="J151" s="57"/>
    </row>
    <row r="152" spans="1:10" ht="42" x14ac:dyDescent="0.3">
      <c r="A152" s="36">
        <f t="shared" si="3"/>
        <v>149</v>
      </c>
      <c r="B152" s="71" t="s">
        <v>297</v>
      </c>
      <c r="C152" s="70" t="s">
        <v>298</v>
      </c>
      <c r="D152" s="28" t="s">
        <v>762</v>
      </c>
      <c r="E152" s="37" t="s">
        <v>1915</v>
      </c>
      <c r="F152" s="30" t="str">
        <f t="shared" si="4"/>
        <v>http://www.ninis2.nisra.gov.uk/public/SearchResults.aspx?sk=DC2116NI;</v>
      </c>
      <c r="G152" s="57" t="s">
        <v>27</v>
      </c>
      <c r="H152" s="28" t="s">
        <v>1815</v>
      </c>
      <c r="I152" s="57"/>
      <c r="J152" s="57"/>
    </row>
    <row r="153" spans="1:10" ht="42" x14ac:dyDescent="0.3">
      <c r="A153" s="36">
        <f t="shared" si="3"/>
        <v>150</v>
      </c>
      <c r="B153" s="71" t="s">
        <v>299</v>
      </c>
      <c r="C153" s="70" t="s">
        <v>300</v>
      </c>
      <c r="D153" s="28" t="s">
        <v>1175</v>
      </c>
      <c r="E153" s="37" t="s">
        <v>1915</v>
      </c>
      <c r="F153" s="30" t="str">
        <f t="shared" si="4"/>
        <v>http://www.ninis2.nisra.gov.uk/public/SearchResults.aspx?sk=DC2117NI;</v>
      </c>
      <c r="G153" s="57" t="s">
        <v>27</v>
      </c>
      <c r="H153" s="28" t="s">
        <v>1815</v>
      </c>
      <c r="I153" s="57"/>
      <c r="J153" s="57"/>
    </row>
    <row r="154" spans="1:10" x14ac:dyDescent="0.25">
      <c r="A154" s="36">
        <f t="shared" si="3"/>
        <v>151</v>
      </c>
      <c r="B154" s="71" t="s">
        <v>301</v>
      </c>
      <c r="C154" s="70" t="s">
        <v>302</v>
      </c>
      <c r="D154" s="28" t="s">
        <v>1422</v>
      </c>
      <c r="E154" s="36" t="s">
        <v>43</v>
      </c>
      <c r="F154" s="30" t="str">
        <f t="shared" si="4"/>
        <v>http://www.ninis2.nisra.gov.uk/public/SearchResults.aspx?sk=DC2118NI;</v>
      </c>
      <c r="G154" s="57" t="s">
        <v>27</v>
      </c>
      <c r="H154" s="28" t="s">
        <v>1815</v>
      </c>
      <c r="I154" s="57"/>
      <c r="J154" s="57"/>
    </row>
    <row r="155" spans="1:10" ht="42" x14ac:dyDescent="0.3">
      <c r="A155" s="36">
        <f t="shared" si="3"/>
        <v>152</v>
      </c>
      <c r="B155" s="71" t="s">
        <v>303</v>
      </c>
      <c r="C155" s="70" t="s">
        <v>304</v>
      </c>
      <c r="D155" s="28" t="s">
        <v>763</v>
      </c>
      <c r="E155" s="37" t="s">
        <v>1915</v>
      </c>
      <c r="F155" s="30" t="str">
        <f t="shared" si="4"/>
        <v>http://www.ninis2.nisra.gov.uk/public/SearchResults.aspx?sk=DC2119NI;</v>
      </c>
      <c r="G155" s="57" t="s">
        <v>27</v>
      </c>
      <c r="H155" s="28" t="s">
        <v>1841</v>
      </c>
      <c r="I155" s="57"/>
      <c r="J155" s="57"/>
    </row>
    <row r="156" spans="1:10" ht="42" x14ac:dyDescent="0.3">
      <c r="A156" s="36">
        <f t="shared" si="3"/>
        <v>153</v>
      </c>
      <c r="B156" s="71" t="s">
        <v>305</v>
      </c>
      <c r="C156" s="70" t="s">
        <v>306</v>
      </c>
      <c r="D156" s="28" t="s">
        <v>1177</v>
      </c>
      <c r="E156" s="37" t="s">
        <v>1915</v>
      </c>
      <c r="F156" s="30" t="str">
        <f t="shared" si="4"/>
        <v>http://www.ninis2.nisra.gov.uk/public/SearchResults.aspx?sk=DC2120NI;</v>
      </c>
      <c r="G156" s="57" t="s">
        <v>27</v>
      </c>
      <c r="H156" s="28" t="s">
        <v>1841</v>
      </c>
      <c r="I156" s="57"/>
      <c r="J156" s="57"/>
    </row>
    <row r="157" spans="1:10" ht="42" x14ac:dyDescent="0.3">
      <c r="A157" s="36">
        <f t="shared" si="3"/>
        <v>154</v>
      </c>
      <c r="B157" s="71" t="s">
        <v>307</v>
      </c>
      <c r="C157" s="70" t="s">
        <v>308</v>
      </c>
      <c r="D157" s="28" t="s">
        <v>764</v>
      </c>
      <c r="E157" s="37" t="s">
        <v>1915</v>
      </c>
      <c r="F157" s="30" t="str">
        <f t="shared" si="4"/>
        <v>http://www.ninis2.nisra.gov.uk/public/SearchResults.aspx?sk=DC2121NI;</v>
      </c>
      <c r="G157" s="57" t="s">
        <v>27</v>
      </c>
      <c r="H157" s="28" t="s">
        <v>1817</v>
      </c>
      <c r="I157" s="57"/>
      <c r="J157" s="57"/>
    </row>
    <row r="158" spans="1:10" ht="42" x14ac:dyDescent="0.3">
      <c r="A158" s="36">
        <f t="shared" si="3"/>
        <v>155</v>
      </c>
      <c r="B158" s="71" t="s">
        <v>309</v>
      </c>
      <c r="C158" s="70" t="s">
        <v>310</v>
      </c>
      <c r="D158" s="28" t="s">
        <v>1178</v>
      </c>
      <c r="E158" s="37" t="s">
        <v>1915</v>
      </c>
      <c r="F158" s="30" t="str">
        <f t="shared" si="4"/>
        <v>http://www.ninis2.nisra.gov.uk/public/SearchResults.aspx?sk=DC2122NI;</v>
      </c>
      <c r="G158" s="57" t="s">
        <v>27</v>
      </c>
      <c r="H158" s="28" t="s">
        <v>1817</v>
      </c>
      <c r="I158" s="57"/>
      <c r="J158" s="57"/>
    </row>
    <row r="159" spans="1:10" ht="28" x14ac:dyDescent="0.25">
      <c r="A159" s="36">
        <f t="shared" si="3"/>
        <v>156</v>
      </c>
      <c r="B159" s="71" t="s">
        <v>311</v>
      </c>
      <c r="C159" s="70" t="s">
        <v>312</v>
      </c>
      <c r="D159" s="28" t="s">
        <v>1233</v>
      </c>
      <c r="E159" s="36" t="s">
        <v>1912</v>
      </c>
      <c r="F159" s="36" t="str">
        <f t="shared" si="4"/>
        <v>http://www.ninis2.nisra.gov.uk/public/SearchResults.aspx?sk=DC2123NI;</v>
      </c>
      <c r="G159" s="57" t="s">
        <v>27</v>
      </c>
      <c r="H159" s="28" t="s">
        <v>1821</v>
      </c>
    </row>
    <row r="160" spans="1:10" ht="28" x14ac:dyDescent="0.25">
      <c r="A160" s="36">
        <f t="shared" si="3"/>
        <v>157</v>
      </c>
      <c r="B160" s="71" t="s">
        <v>313</v>
      </c>
      <c r="C160" s="70" t="s">
        <v>314</v>
      </c>
      <c r="D160" s="28" t="s">
        <v>1232</v>
      </c>
      <c r="E160" s="36" t="s">
        <v>1912</v>
      </c>
      <c r="F160" s="36" t="str">
        <f t="shared" si="4"/>
        <v>http://www.ninis2.nisra.gov.uk/public/SearchResults.aspx?sk=DC2124NI;</v>
      </c>
      <c r="G160" s="57" t="s">
        <v>27</v>
      </c>
      <c r="H160" s="28" t="s">
        <v>1821</v>
      </c>
      <c r="I160" s="57"/>
      <c r="J160" s="57"/>
    </row>
    <row r="161" spans="1:10" ht="42" x14ac:dyDescent="0.3">
      <c r="A161" s="36">
        <f t="shared" si="3"/>
        <v>158</v>
      </c>
      <c r="B161" s="69" t="s">
        <v>315</v>
      </c>
      <c r="C161" s="70" t="s">
        <v>316</v>
      </c>
      <c r="D161" s="28" t="s">
        <v>765</v>
      </c>
      <c r="E161" s="37" t="s">
        <v>1915</v>
      </c>
      <c r="F161" s="36" t="str">
        <f t="shared" si="4"/>
        <v>http://www.ninis2.nisra.gov.uk/public/SearchResults.aspx?sk=DC2125NI;</v>
      </c>
      <c r="G161" s="57" t="s">
        <v>27</v>
      </c>
      <c r="H161" s="28" t="s">
        <v>1815</v>
      </c>
      <c r="I161" s="57"/>
      <c r="J161" s="57"/>
    </row>
    <row r="162" spans="1:10" ht="42" x14ac:dyDescent="0.3">
      <c r="A162" s="36">
        <f t="shared" si="3"/>
        <v>159</v>
      </c>
      <c r="B162" s="69" t="s">
        <v>317</v>
      </c>
      <c r="C162" s="70" t="s">
        <v>318</v>
      </c>
      <c r="D162" s="28" t="s">
        <v>1206</v>
      </c>
      <c r="E162" s="37" t="s">
        <v>1915</v>
      </c>
      <c r="F162" s="36" t="str">
        <f t="shared" si="4"/>
        <v>http://www.ninis2.nisra.gov.uk/public/SearchResults.aspx?sk=DC2126NI;</v>
      </c>
      <c r="G162" s="57" t="s">
        <v>27</v>
      </c>
      <c r="H162" s="28" t="s">
        <v>1815</v>
      </c>
      <c r="I162" s="57"/>
      <c r="J162" s="57"/>
    </row>
    <row r="163" spans="1:10" ht="28" x14ac:dyDescent="0.25">
      <c r="A163" s="36">
        <f t="shared" si="3"/>
        <v>160</v>
      </c>
      <c r="B163" s="69" t="s">
        <v>319</v>
      </c>
      <c r="C163" s="70" t="s">
        <v>53</v>
      </c>
      <c r="D163" s="28" t="s">
        <v>829</v>
      </c>
      <c r="E163" s="36" t="s">
        <v>1912</v>
      </c>
      <c r="F163" s="36" t="str">
        <f t="shared" si="4"/>
        <v>http://www.ninis2.nisra.gov.uk/public/SearchResults.aspx?sk=DC2201NI;</v>
      </c>
      <c r="G163" s="57" t="s">
        <v>27</v>
      </c>
      <c r="H163" s="28" t="s">
        <v>1815</v>
      </c>
      <c r="I163" s="57"/>
      <c r="J163" s="57"/>
    </row>
    <row r="164" spans="1:10" ht="28" x14ac:dyDescent="0.25">
      <c r="A164" s="36">
        <f t="shared" si="3"/>
        <v>161</v>
      </c>
      <c r="B164" s="69" t="s">
        <v>320</v>
      </c>
      <c r="C164" s="70" t="s">
        <v>321</v>
      </c>
      <c r="D164" s="28" t="s">
        <v>830</v>
      </c>
      <c r="E164" s="36" t="s">
        <v>1912</v>
      </c>
      <c r="F164" s="36" t="str">
        <f t="shared" si="4"/>
        <v>http://www.ninis2.nisra.gov.uk/public/SearchResults.aspx?sk=DC2202NI;</v>
      </c>
      <c r="G164" s="57" t="s">
        <v>27</v>
      </c>
      <c r="H164" s="28" t="s">
        <v>1821</v>
      </c>
      <c r="I164" s="57"/>
      <c r="J164" s="57"/>
    </row>
    <row r="165" spans="1:10" ht="28" x14ac:dyDescent="0.25">
      <c r="A165" s="36">
        <f t="shared" si="3"/>
        <v>162</v>
      </c>
      <c r="B165" s="69" t="s">
        <v>322</v>
      </c>
      <c r="C165" s="70" t="s">
        <v>323</v>
      </c>
      <c r="D165" s="28" t="s">
        <v>1231</v>
      </c>
      <c r="E165" s="36" t="s">
        <v>1912</v>
      </c>
      <c r="F165" s="36" t="str">
        <f t="shared" si="4"/>
        <v>http://www.ninis2.nisra.gov.uk/public/SearchResults.aspx?sk=DC2203NI;</v>
      </c>
      <c r="G165" s="57" t="s">
        <v>27</v>
      </c>
      <c r="H165" s="28" t="s">
        <v>1821</v>
      </c>
      <c r="I165" s="57"/>
      <c r="J165" s="57"/>
    </row>
    <row r="166" spans="1:10" ht="28" x14ac:dyDescent="0.25">
      <c r="A166" s="36">
        <f t="shared" si="3"/>
        <v>163</v>
      </c>
      <c r="B166" s="69" t="s">
        <v>324</v>
      </c>
      <c r="C166" s="70" t="s">
        <v>325</v>
      </c>
      <c r="D166" s="28" t="s">
        <v>1423</v>
      </c>
      <c r="E166" s="36" t="s">
        <v>1912</v>
      </c>
      <c r="F166" s="36" t="str">
        <f t="shared" si="4"/>
        <v>http://www.ninis2.nisra.gov.uk/public/SearchResults.aspx?sk=DC2204NI;</v>
      </c>
      <c r="G166" s="57" t="s">
        <v>27</v>
      </c>
      <c r="H166" s="28" t="s">
        <v>1815</v>
      </c>
      <c r="I166" s="57"/>
      <c r="J166" s="57"/>
    </row>
    <row r="167" spans="1:10" ht="28" x14ac:dyDescent="0.25">
      <c r="A167" s="36">
        <f t="shared" si="3"/>
        <v>164</v>
      </c>
      <c r="B167" s="69" t="s">
        <v>326</v>
      </c>
      <c r="C167" s="70" t="s">
        <v>327</v>
      </c>
      <c r="D167" s="28" t="s">
        <v>1424</v>
      </c>
      <c r="E167" s="36" t="s">
        <v>1912</v>
      </c>
      <c r="F167" s="36" t="str">
        <f t="shared" si="4"/>
        <v>http://www.ninis2.nisra.gov.uk/public/SearchResults.aspx?sk=DC2205NI;</v>
      </c>
      <c r="G167" s="57" t="s">
        <v>27</v>
      </c>
      <c r="H167" s="28" t="s">
        <v>1815</v>
      </c>
      <c r="I167" s="57"/>
      <c r="J167" s="57"/>
    </row>
    <row r="168" spans="1:10" ht="28" x14ac:dyDescent="0.25">
      <c r="A168" s="36">
        <f t="shared" si="3"/>
        <v>165</v>
      </c>
      <c r="B168" s="71" t="s">
        <v>328</v>
      </c>
      <c r="C168" s="70" t="s">
        <v>329</v>
      </c>
      <c r="D168" s="28" t="s">
        <v>1425</v>
      </c>
      <c r="E168" s="36" t="s">
        <v>1912</v>
      </c>
      <c r="F168" s="36" t="str">
        <f t="shared" si="4"/>
        <v>http://www.ninis2.nisra.gov.uk/public/SearchResults.aspx?sk=DC2206NI;</v>
      </c>
      <c r="G168" s="57" t="s">
        <v>27</v>
      </c>
      <c r="H168" s="28" t="s">
        <v>1815</v>
      </c>
      <c r="I168" s="57"/>
      <c r="J168" s="57"/>
    </row>
    <row r="169" spans="1:10" ht="28" x14ac:dyDescent="0.25">
      <c r="A169" s="36">
        <f t="shared" si="3"/>
        <v>166</v>
      </c>
      <c r="B169" s="71" t="s">
        <v>330</v>
      </c>
      <c r="C169" s="70" t="s">
        <v>331</v>
      </c>
      <c r="D169" s="28" t="s">
        <v>1426</v>
      </c>
      <c r="E169" s="36" t="s">
        <v>1912</v>
      </c>
      <c r="F169" s="36" t="str">
        <f t="shared" si="4"/>
        <v>http://www.ninis2.nisra.gov.uk/public/SearchResults.aspx?sk=DC2207NI;</v>
      </c>
      <c r="G169" s="57" t="s">
        <v>27</v>
      </c>
      <c r="H169" s="28" t="s">
        <v>1815</v>
      </c>
      <c r="I169" s="57"/>
      <c r="J169" s="57"/>
    </row>
    <row r="170" spans="1:10" ht="28" x14ac:dyDescent="0.25">
      <c r="A170" s="36">
        <f t="shared" si="3"/>
        <v>167</v>
      </c>
      <c r="B170" s="71" t="s">
        <v>332</v>
      </c>
      <c r="C170" s="70" t="s">
        <v>333</v>
      </c>
      <c r="D170" s="28" t="s">
        <v>1427</v>
      </c>
      <c r="E170" s="36" t="s">
        <v>1912</v>
      </c>
      <c r="F170" s="36" t="str">
        <f t="shared" si="4"/>
        <v>http://www.ninis2.nisra.gov.uk/public/SearchResults.aspx?sk=DC2208NI;</v>
      </c>
      <c r="G170" s="57" t="s">
        <v>27</v>
      </c>
      <c r="H170" s="28" t="s">
        <v>1821</v>
      </c>
      <c r="I170" s="57"/>
      <c r="J170" s="57"/>
    </row>
    <row r="171" spans="1:10" ht="28" x14ac:dyDescent="0.25">
      <c r="A171" s="36">
        <f t="shared" si="3"/>
        <v>168</v>
      </c>
      <c r="B171" s="71" t="s">
        <v>334</v>
      </c>
      <c r="C171" s="70" t="s">
        <v>335</v>
      </c>
      <c r="D171" s="28" t="s">
        <v>1428</v>
      </c>
      <c r="E171" s="36" t="s">
        <v>1912</v>
      </c>
      <c r="F171" s="36" t="str">
        <f t="shared" si="4"/>
        <v>http://www.ninis2.nisra.gov.uk/public/SearchResults.aspx?sk=DC2209NI;</v>
      </c>
      <c r="G171" s="57" t="s">
        <v>27</v>
      </c>
      <c r="H171" s="28" t="s">
        <v>1821</v>
      </c>
      <c r="I171" s="57"/>
      <c r="J171" s="57"/>
    </row>
    <row r="172" spans="1:10" ht="28" x14ac:dyDescent="0.25">
      <c r="A172" s="36">
        <f t="shared" si="3"/>
        <v>169</v>
      </c>
      <c r="B172" s="71" t="s">
        <v>336</v>
      </c>
      <c r="C172" s="70" t="s">
        <v>337</v>
      </c>
      <c r="D172" s="28" t="s">
        <v>1429</v>
      </c>
      <c r="E172" s="36" t="s">
        <v>1912</v>
      </c>
      <c r="F172" s="36" t="str">
        <f t="shared" si="4"/>
        <v>http://www.ninis2.nisra.gov.uk/public/SearchResults.aspx?sk=DC2210NI;</v>
      </c>
      <c r="G172" s="57" t="s">
        <v>27</v>
      </c>
      <c r="H172" s="28" t="s">
        <v>1821</v>
      </c>
      <c r="I172" s="57"/>
      <c r="J172" s="57"/>
    </row>
    <row r="173" spans="1:10" ht="28" x14ac:dyDescent="0.25">
      <c r="A173" s="36">
        <f t="shared" si="3"/>
        <v>170</v>
      </c>
      <c r="B173" s="71" t="s">
        <v>338</v>
      </c>
      <c r="C173" s="70" t="s">
        <v>339</v>
      </c>
      <c r="D173" s="28" t="s">
        <v>1430</v>
      </c>
      <c r="E173" s="36" t="s">
        <v>1912</v>
      </c>
      <c r="F173" s="36" t="str">
        <f t="shared" si="4"/>
        <v>http://www.ninis2.nisra.gov.uk/public/SearchResults.aspx?sk=DC2211NI;</v>
      </c>
      <c r="G173" s="57" t="s">
        <v>27</v>
      </c>
      <c r="H173" s="28" t="s">
        <v>1821</v>
      </c>
      <c r="I173" s="57"/>
      <c r="J173" s="57"/>
    </row>
    <row r="174" spans="1:10" ht="28" x14ac:dyDescent="0.25">
      <c r="A174" s="36">
        <f t="shared" si="3"/>
        <v>171</v>
      </c>
      <c r="B174" s="71" t="s">
        <v>340</v>
      </c>
      <c r="C174" s="70" t="s">
        <v>341</v>
      </c>
      <c r="D174" s="28" t="s">
        <v>1431</v>
      </c>
      <c r="E174" s="36" t="s">
        <v>1912</v>
      </c>
      <c r="F174" s="36" t="str">
        <f t="shared" si="4"/>
        <v>http://www.ninis2.nisra.gov.uk/public/SearchResults.aspx?sk=DC2212NI;</v>
      </c>
      <c r="G174" s="57" t="s">
        <v>27</v>
      </c>
      <c r="H174" s="28" t="s">
        <v>1815</v>
      </c>
      <c r="I174" s="57"/>
      <c r="J174" s="57"/>
    </row>
    <row r="175" spans="1:10" ht="28" x14ac:dyDescent="0.25">
      <c r="A175" s="36">
        <f t="shared" si="3"/>
        <v>172</v>
      </c>
      <c r="B175" s="71" t="s">
        <v>342</v>
      </c>
      <c r="C175" s="70" t="s">
        <v>343</v>
      </c>
      <c r="D175" s="28" t="s">
        <v>1432</v>
      </c>
      <c r="E175" s="36" t="s">
        <v>1912</v>
      </c>
      <c r="F175" s="36" t="str">
        <f t="shared" si="4"/>
        <v>http://www.ninis2.nisra.gov.uk/public/SearchResults.aspx?sk=DC2213NI;</v>
      </c>
      <c r="G175" s="57" t="s">
        <v>27</v>
      </c>
      <c r="H175" s="28" t="s">
        <v>1815</v>
      </c>
      <c r="I175" s="57"/>
      <c r="J175" s="57"/>
    </row>
    <row r="176" spans="1:10" ht="28" x14ac:dyDescent="0.25">
      <c r="A176" s="36">
        <f t="shared" si="3"/>
        <v>173</v>
      </c>
      <c r="B176" s="69" t="s">
        <v>344</v>
      </c>
      <c r="C176" s="70" t="s">
        <v>345</v>
      </c>
      <c r="D176" s="28" t="s">
        <v>1433</v>
      </c>
      <c r="E176" s="36" t="s">
        <v>1912</v>
      </c>
      <c r="F176" s="36" t="str">
        <f t="shared" si="4"/>
        <v>http://www.ninis2.nisra.gov.uk/public/SearchResults.aspx?sk=DC2214NI;</v>
      </c>
      <c r="G176" s="57" t="s">
        <v>27</v>
      </c>
      <c r="H176" s="28" t="s">
        <v>1821</v>
      </c>
      <c r="I176" s="57"/>
      <c r="J176" s="57"/>
    </row>
    <row r="177" spans="1:10" ht="28" x14ac:dyDescent="0.25">
      <c r="A177" s="36">
        <f t="shared" si="3"/>
        <v>174</v>
      </c>
      <c r="B177" s="69" t="s">
        <v>346</v>
      </c>
      <c r="C177" s="70" t="s">
        <v>347</v>
      </c>
      <c r="D177" s="28" t="s">
        <v>1434</v>
      </c>
      <c r="E177" s="36" t="s">
        <v>1912</v>
      </c>
      <c r="F177" s="36" t="str">
        <f t="shared" si="4"/>
        <v>http://www.ninis2.nisra.gov.uk/public/SearchResults.aspx?sk=DC2215NI;</v>
      </c>
      <c r="G177" s="57" t="s">
        <v>27</v>
      </c>
      <c r="H177" s="28" t="s">
        <v>1821</v>
      </c>
      <c r="I177" s="57"/>
      <c r="J177" s="57"/>
    </row>
    <row r="178" spans="1:10" ht="28" x14ac:dyDescent="0.25">
      <c r="A178" s="36">
        <f t="shared" si="3"/>
        <v>175</v>
      </c>
      <c r="B178" s="69" t="s">
        <v>348</v>
      </c>
      <c r="C178" s="70" t="s">
        <v>349</v>
      </c>
      <c r="D178" s="28" t="s">
        <v>1435</v>
      </c>
      <c r="E178" s="36" t="s">
        <v>1912</v>
      </c>
      <c r="F178" s="36" t="str">
        <f t="shared" si="4"/>
        <v>http://www.ninis2.nisra.gov.uk/public/SearchResults.aspx?sk=DC2216NI;</v>
      </c>
      <c r="G178" s="57" t="s">
        <v>27</v>
      </c>
      <c r="H178" s="28" t="s">
        <v>1821</v>
      </c>
      <c r="I178" s="57"/>
      <c r="J178" s="57"/>
    </row>
    <row r="179" spans="1:10" ht="28" x14ac:dyDescent="0.25">
      <c r="A179" s="36">
        <f t="shared" si="3"/>
        <v>176</v>
      </c>
      <c r="B179" s="69" t="s">
        <v>350</v>
      </c>
      <c r="C179" s="70" t="s">
        <v>351</v>
      </c>
      <c r="D179" s="28" t="s">
        <v>1436</v>
      </c>
      <c r="E179" s="36" t="s">
        <v>1912</v>
      </c>
      <c r="F179" s="36" t="str">
        <f t="shared" si="4"/>
        <v>http://www.ninis2.nisra.gov.uk/public/SearchResults.aspx?sk=DC2217NI;</v>
      </c>
      <c r="G179" s="57"/>
      <c r="H179" s="28" t="s">
        <v>1821</v>
      </c>
      <c r="I179" s="57"/>
      <c r="J179" s="57"/>
    </row>
    <row r="180" spans="1:10" ht="28" x14ac:dyDescent="0.25">
      <c r="A180" s="36">
        <f t="shared" si="3"/>
        <v>177</v>
      </c>
      <c r="B180" s="71" t="s">
        <v>352</v>
      </c>
      <c r="C180" s="70" t="s">
        <v>353</v>
      </c>
      <c r="D180" s="28" t="s">
        <v>1437</v>
      </c>
      <c r="E180" s="36" t="s">
        <v>1912</v>
      </c>
      <c r="F180" s="36" t="str">
        <f t="shared" si="4"/>
        <v>http://www.ninis2.nisra.gov.uk/public/SearchResults.aspx?sk=DC2218NI;</v>
      </c>
      <c r="G180" s="57"/>
      <c r="H180" s="28" t="s">
        <v>1815</v>
      </c>
      <c r="I180" s="57"/>
      <c r="J180" s="57"/>
    </row>
    <row r="181" spans="1:10" ht="28" x14ac:dyDescent="0.25">
      <c r="A181" s="36">
        <f t="shared" si="3"/>
        <v>178</v>
      </c>
      <c r="B181" s="71" t="s">
        <v>354</v>
      </c>
      <c r="C181" s="70" t="s">
        <v>355</v>
      </c>
      <c r="D181" s="28" t="s">
        <v>1438</v>
      </c>
      <c r="E181" s="36" t="s">
        <v>1912</v>
      </c>
      <c r="F181" s="36" t="str">
        <f t="shared" si="4"/>
        <v>http://www.ninis2.nisra.gov.uk/public/SearchResults.aspx?sk=DC2219NI;</v>
      </c>
      <c r="G181" s="57" t="s">
        <v>27</v>
      </c>
      <c r="H181" s="28" t="s">
        <v>1815</v>
      </c>
      <c r="I181" s="57"/>
      <c r="J181" s="57"/>
    </row>
    <row r="182" spans="1:10" ht="28" x14ac:dyDescent="0.25">
      <c r="A182" s="36">
        <f t="shared" si="3"/>
        <v>179</v>
      </c>
      <c r="B182" s="71" t="s">
        <v>356</v>
      </c>
      <c r="C182" s="70" t="s">
        <v>357</v>
      </c>
      <c r="D182" s="28" t="s">
        <v>1439</v>
      </c>
      <c r="E182" s="36" t="s">
        <v>1912</v>
      </c>
      <c r="F182" s="36" t="str">
        <f t="shared" si="4"/>
        <v>http://www.ninis2.nisra.gov.uk/public/SearchResults.aspx?sk=DC2220NI;</v>
      </c>
      <c r="G182" s="57" t="s">
        <v>27</v>
      </c>
      <c r="H182" s="28" t="s">
        <v>1815</v>
      </c>
      <c r="I182" s="57"/>
      <c r="J182" s="57"/>
    </row>
    <row r="183" spans="1:10" ht="28" x14ac:dyDescent="0.25">
      <c r="A183" s="36">
        <f t="shared" si="3"/>
        <v>180</v>
      </c>
      <c r="B183" s="71" t="s">
        <v>358</v>
      </c>
      <c r="C183" s="70" t="s">
        <v>359</v>
      </c>
      <c r="D183" s="28" t="s">
        <v>1440</v>
      </c>
      <c r="E183" s="36" t="s">
        <v>1912</v>
      </c>
      <c r="F183" s="36" t="str">
        <f t="shared" si="4"/>
        <v>http://www.ninis2.nisra.gov.uk/public/SearchResults.aspx?sk=DC2221NI;</v>
      </c>
      <c r="G183" s="57" t="s">
        <v>27</v>
      </c>
      <c r="H183" s="28" t="s">
        <v>1815</v>
      </c>
      <c r="I183" s="57"/>
      <c r="J183" s="57"/>
    </row>
    <row r="184" spans="1:10" ht="28" x14ac:dyDescent="0.25">
      <c r="A184" s="36">
        <f t="shared" si="3"/>
        <v>181</v>
      </c>
      <c r="B184" s="69" t="s">
        <v>360</v>
      </c>
      <c r="C184" s="70" t="s">
        <v>361</v>
      </c>
      <c r="D184" s="28" t="s">
        <v>766</v>
      </c>
      <c r="E184" s="36" t="s">
        <v>1912</v>
      </c>
      <c r="F184" s="36" t="str">
        <f t="shared" si="4"/>
        <v>http://www.ninis2.nisra.gov.uk/public/SearchResults.aspx?sk=DC2222NI;</v>
      </c>
      <c r="G184" s="57" t="s">
        <v>27</v>
      </c>
      <c r="H184" s="28" t="s">
        <v>1821</v>
      </c>
      <c r="I184" s="57"/>
      <c r="J184" s="57"/>
    </row>
    <row r="185" spans="1:10" ht="28" x14ac:dyDescent="0.25">
      <c r="A185" s="36">
        <f t="shared" si="3"/>
        <v>182</v>
      </c>
      <c r="B185" s="69" t="s">
        <v>362</v>
      </c>
      <c r="C185" s="70" t="s">
        <v>363</v>
      </c>
      <c r="D185" s="28" t="s">
        <v>1234</v>
      </c>
      <c r="E185" s="36" t="s">
        <v>1912</v>
      </c>
      <c r="F185" s="36" t="str">
        <f t="shared" si="4"/>
        <v>http://www.ninis2.nisra.gov.uk/public/SearchResults.aspx?sk=DC2223NI;</v>
      </c>
      <c r="G185" s="57" t="s">
        <v>27</v>
      </c>
      <c r="H185" s="28" t="s">
        <v>1821</v>
      </c>
      <c r="I185" s="57"/>
      <c r="J185" s="57"/>
    </row>
    <row r="186" spans="1:10" ht="28" x14ac:dyDescent="0.25">
      <c r="A186" s="36">
        <f t="shared" si="3"/>
        <v>183</v>
      </c>
      <c r="B186" s="69" t="s">
        <v>364</v>
      </c>
      <c r="C186" s="70" t="s">
        <v>365</v>
      </c>
      <c r="D186" s="28" t="s">
        <v>1441</v>
      </c>
      <c r="E186" s="36" t="s">
        <v>1912</v>
      </c>
      <c r="F186" s="36" t="str">
        <f t="shared" si="4"/>
        <v>http://www.ninis2.nisra.gov.uk/public/SearchResults.aspx?sk=DC2224NI;</v>
      </c>
      <c r="G186" s="57" t="s">
        <v>27</v>
      </c>
      <c r="H186" s="28" t="s">
        <v>1815</v>
      </c>
      <c r="I186" s="57"/>
      <c r="J186" s="57"/>
    </row>
    <row r="187" spans="1:10" ht="28" x14ac:dyDescent="0.25">
      <c r="A187" s="36">
        <f t="shared" si="3"/>
        <v>184</v>
      </c>
      <c r="B187" s="69" t="s">
        <v>366</v>
      </c>
      <c r="C187" s="70" t="s">
        <v>367</v>
      </c>
      <c r="D187" s="28" t="s">
        <v>1442</v>
      </c>
      <c r="E187" s="36" t="s">
        <v>1912</v>
      </c>
      <c r="F187" s="36" t="str">
        <f t="shared" si="4"/>
        <v>http://www.ninis2.nisra.gov.uk/public/SearchResults.aspx?sk=DC2225NI;</v>
      </c>
      <c r="G187" s="57" t="s">
        <v>27</v>
      </c>
      <c r="H187" s="28" t="s">
        <v>1815</v>
      </c>
      <c r="I187" s="57"/>
      <c r="J187" s="57"/>
    </row>
    <row r="188" spans="1:10" ht="28" x14ac:dyDescent="0.25">
      <c r="A188" s="36">
        <f t="shared" si="3"/>
        <v>185</v>
      </c>
      <c r="B188" s="69" t="s">
        <v>368</v>
      </c>
      <c r="C188" s="70" t="s">
        <v>369</v>
      </c>
      <c r="D188" s="28" t="s">
        <v>1235</v>
      </c>
      <c r="E188" s="36" t="s">
        <v>43</v>
      </c>
      <c r="F188" s="36" t="str">
        <f t="shared" si="4"/>
        <v>http://www.ninis2.nisra.gov.uk/public/SearchResults.aspx?sk=DC2226NI;</v>
      </c>
      <c r="G188" s="57" t="s">
        <v>27</v>
      </c>
      <c r="H188" s="28" t="s">
        <v>1821</v>
      </c>
      <c r="I188" s="57"/>
      <c r="J188" s="57"/>
    </row>
    <row r="189" spans="1:10" ht="28" x14ac:dyDescent="0.25">
      <c r="A189" s="36">
        <f t="shared" si="3"/>
        <v>186</v>
      </c>
      <c r="B189" s="69" t="s">
        <v>370</v>
      </c>
      <c r="C189" s="70" t="s">
        <v>371</v>
      </c>
      <c r="D189" s="28" t="s">
        <v>1236</v>
      </c>
      <c r="E189" s="36" t="s">
        <v>43</v>
      </c>
      <c r="F189" s="36" t="str">
        <f t="shared" si="4"/>
        <v>http://www.ninis2.nisra.gov.uk/public/SearchResults.aspx?sk=DC2227NI;</v>
      </c>
      <c r="G189" s="57" t="s">
        <v>27</v>
      </c>
      <c r="H189" s="28" t="s">
        <v>1821</v>
      </c>
      <c r="I189" s="57"/>
      <c r="J189" s="57"/>
    </row>
    <row r="190" spans="1:10" ht="28" x14ac:dyDescent="0.25">
      <c r="A190" s="36">
        <f t="shared" si="3"/>
        <v>187</v>
      </c>
      <c r="B190" s="71" t="s">
        <v>372</v>
      </c>
      <c r="C190" s="70" t="s">
        <v>373</v>
      </c>
      <c r="D190" s="28" t="s">
        <v>1443</v>
      </c>
      <c r="E190" s="36" t="s">
        <v>1912</v>
      </c>
      <c r="F190" s="36" t="str">
        <f t="shared" si="4"/>
        <v>http://www.ninis2.nisra.gov.uk/public/SearchResults.aspx?sk=DC2228NI;</v>
      </c>
      <c r="G190" s="57" t="s">
        <v>27</v>
      </c>
      <c r="H190" s="28" t="s">
        <v>1821</v>
      </c>
      <c r="I190" s="57"/>
      <c r="J190" s="57"/>
    </row>
    <row r="191" spans="1:10" ht="28" x14ac:dyDescent="0.25">
      <c r="A191" s="36">
        <f t="shared" si="3"/>
        <v>188</v>
      </c>
      <c r="B191" s="71" t="s">
        <v>374</v>
      </c>
      <c r="C191" s="70" t="s">
        <v>375</v>
      </c>
      <c r="D191" s="28" t="s">
        <v>1444</v>
      </c>
      <c r="E191" s="36" t="s">
        <v>1912</v>
      </c>
      <c r="F191" s="36" t="str">
        <f t="shared" si="4"/>
        <v>http://www.ninis2.nisra.gov.uk/public/SearchResults.aspx?sk=DC2229NI;</v>
      </c>
      <c r="G191" s="57" t="s">
        <v>27</v>
      </c>
      <c r="H191" s="28" t="s">
        <v>1821</v>
      </c>
      <c r="I191" s="57"/>
      <c r="J191" s="57"/>
    </row>
    <row r="192" spans="1:10" ht="28" x14ac:dyDescent="0.25">
      <c r="A192" s="36">
        <f t="shared" si="3"/>
        <v>189</v>
      </c>
      <c r="B192" s="71" t="s">
        <v>376</v>
      </c>
      <c r="C192" s="70" t="s">
        <v>377</v>
      </c>
      <c r="D192" s="28" t="s">
        <v>1445</v>
      </c>
      <c r="E192" s="36" t="s">
        <v>1912</v>
      </c>
      <c r="F192" s="36" t="str">
        <f t="shared" si="4"/>
        <v>http://www.ninis2.nisra.gov.uk/public/SearchResults.aspx?sk=DC2230NI;</v>
      </c>
      <c r="G192" s="57" t="s">
        <v>27</v>
      </c>
      <c r="H192" s="28" t="s">
        <v>1821</v>
      </c>
    </row>
    <row r="193" spans="1:8" ht="28" x14ac:dyDescent="0.25">
      <c r="A193" s="36">
        <f t="shared" si="3"/>
        <v>190</v>
      </c>
      <c r="B193" s="71" t="s">
        <v>378</v>
      </c>
      <c r="C193" s="70" t="s">
        <v>379</v>
      </c>
      <c r="D193" s="28" t="s">
        <v>1446</v>
      </c>
      <c r="E193" s="36" t="s">
        <v>1912</v>
      </c>
      <c r="F193" s="36" t="str">
        <f t="shared" si="4"/>
        <v>http://www.ninis2.nisra.gov.uk/public/SearchResults.aspx?sk=DC2231NI;</v>
      </c>
      <c r="G193" s="57" t="s">
        <v>27</v>
      </c>
      <c r="H193" s="28" t="s">
        <v>1821</v>
      </c>
    </row>
    <row r="194" spans="1:8" ht="28" x14ac:dyDescent="0.25">
      <c r="A194" s="36">
        <f t="shared" si="3"/>
        <v>191</v>
      </c>
      <c r="B194" s="69" t="s">
        <v>380</v>
      </c>
      <c r="C194" s="70" t="s">
        <v>381</v>
      </c>
      <c r="D194" s="28" t="s">
        <v>767</v>
      </c>
      <c r="E194" s="36" t="s">
        <v>1912</v>
      </c>
      <c r="F194" s="36" t="str">
        <f t="shared" si="4"/>
        <v>http://www.ninis2.nisra.gov.uk/public/SearchResults.aspx?sk=DC2232NI;</v>
      </c>
      <c r="G194" s="57" t="s">
        <v>27</v>
      </c>
      <c r="H194" s="28" t="s">
        <v>1821</v>
      </c>
    </row>
    <row r="195" spans="1:8" ht="28" x14ac:dyDescent="0.25">
      <c r="A195" s="36">
        <f t="shared" si="3"/>
        <v>192</v>
      </c>
      <c r="B195" s="69" t="s">
        <v>382</v>
      </c>
      <c r="C195" s="70" t="s">
        <v>383</v>
      </c>
      <c r="D195" s="28" t="s">
        <v>1447</v>
      </c>
      <c r="E195" s="36" t="s">
        <v>1912</v>
      </c>
      <c r="F195" s="36" t="str">
        <f t="shared" si="4"/>
        <v>http://www.ninis2.nisra.gov.uk/public/SearchResults.aspx?sk=DC2233NI;</v>
      </c>
      <c r="G195" s="57" t="s">
        <v>27</v>
      </c>
      <c r="H195" s="28" t="s">
        <v>1821</v>
      </c>
    </row>
    <row r="196" spans="1:8" ht="28" x14ac:dyDescent="0.25">
      <c r="A196" s="36">
        <f t="shared" si="3"/>
        <v>193</v>
      </c>
      <c r="B196" s="69" t="s">
        <v>384</v>
      </c>
      <c r="C196" s="70" t="s">
        <v>385</v>
      </c>
      <c r="D196" s="28" t="s">
        <v>1448</v>
      </c>
      <c r="E196" s="36" t="s">
        <v>1912</v>
      </c>
      <c r="F196" s="36" t="str">
        <f t="shared" si="4"/>
        <v>http://www.ninis2.nisra.gov.uk/public/SearchResults.aspx?sk=DC2234NI;</v>
      </c>
      <c r="G196" s="57" t="s">
        <v>27</v>
      </c>
      <c r="H196" s="28" t="s">
        <v>1821</v>
      </c>
    </row>
    <row r="197" spans="1:8" ht="28" x14ac:dyDescent="0.25">
      <c r="A197" s="36">
        <f t="shared" ref="A197:A260" si="5">IF(AND(NOT(ISERR(FIND($L$4,D197))),NOT(ISERR(FIND($L$5,D197))),NOT(ISERR(FIND($L$6,D197))),NOT(ISERR(FIND($L$7,D197))) ),A196+1,A196)</f>
        <v>194</v>
      </c>
      <c r="B197" s="69" t="s">
        <v>386</v>
      </c>
      <c r="C197" s="70" t="s">
        <v>387</v>
      </c>
      <c r="D197" s="28" t="s">
        <v>1449</v>
      </c>
      <c r="E197" s="36" t="s">
        <v>1912</v>
      </c>
      <c r="F197" s="36" t="str">
        <f t="shared" si="4"/>
        <v>http://www.ninis2.nisra.gov.uk/public/SearchResults.aspx?sk=DC2235NI;</v>
      </c>
      <c r="G197" s="57" t="s">
        <v>27</v>
      </c>
      <c r="H197" s="28" t="s">
        <v>1821</v>
      </c>
    </row>
    <row r="198" spans="1:8" ht="28" x14ac:dyDescent="0.25">
      <c r="A198" s="36">
        <f t="shared" si="5"/>
        <v>195</v>
      </c>
      <c r="B198" s="69" t="s">
        <v>388</v>
      </c>
      <c r="C198" s="70" t="s">
        <v>389</v>
      </c>
      <c r="D198" s="28" t="s">
        <v>1450</v>
      </c>
      <c r="E198" s="36" t="s">
        <v>1912</v>
      </c>
      <c r="F198" s="36" t="str">
        <f t="shared" si="4"/>
        <v>http://www.ninis2.nisra.gov.uk/public/SearchResults.aspx?sk=DC2236NI;</v>
      </c>
      <c r="G198" s="57" t="s">
        <v>27</v>
      </c>
      <c r="H198" s="28" t="s">
        <v>1821</v>
      </c>
    </row>
    <row r="199" spans="1:8" ht="28" x14ac:dyDescent="0.25">
      <c r="A199" s="36">
        <f t="shared" si="5"/>
        <v>196</v>
      </c>
      <c r="B199" s="71" t="s">
        <v>390</v>
      </c>
      <c r="C199" s="70" t="s">
        <v>391</v>
      </c>
      <c r="D199" s="28" t="s">
        <v>1451</v>
      </c>
      <c r="E199" s="36" t="s">
        <v>1912</v>
      </c>
      <c r="F199" s="36" t="str">
        <f t="shared" si="4"/>
        <v>http://www.ninis2.nisra.gov.uk/public/SearchResults.aspx?sk=DC2237NI;</v>
      </c>
      <c r="G199" s="57" t="s">
        <v>27</v>
      </c>
      <c r="H199" s="28" t="s">
        <v>1815</v>
      </c>
    </row>
    <row r="200" spans="1:8" ht="28" x14ac:dyDescent="0.25">
      <c r="A200" s="36">
        <f t="shared" si="5"/>
        <v>197</v>
      </c>
      <c r="B200" s="71" t="s">
        <v>392</v>
      </c>
      <c r="C200" s="70" t="s">
        <v>393</v>
      </c>
      <c r="D200" s="28" t="s">
        <v>1452</v>
      </c>
      <c r="E200" s="36" t="s">
        <v>1912</v>
      </c>
      <c r="F200" s="36" t="str">
        <f t="shared" si="4"/>
        <v>http://www.ninis2.nisra.gov.uk/public/SearchResults.aspx?sk=DC2238NI;</v>
      </c>
      <c r="G200" s="57" t="s">
        <v>27</v>
      </c>
      <c r="H200" s="28" t="s">
        <v>1815</v>
      </c>
    </row>
    <row r="201" spans="1:8" ht="28" x14ac:dyDescent="0.25">
      <c r="A201" s="36">
        <f t="shared" si="5"/>
        <v>198</v>
      </c>
      <c r="B201" s="71" t="s">
        <v>394</v>
      </c>
      <c r="C201" s="70" t="s">
        <v>395</v>
      </c>
      <c r="D201" s="28" t="s">
        <v>1453</v>
      </c>
      <c r="E201" s="36" t="s">
        <v>1912</v>
      </c>
      <c r="F201" s="36" t="str">
        <f t="shared" si="4"/>
        <v>http://www.ninis2.nisra.gov.uk/public/SearchResults.aspx?sk=DC2239NI;</v>
      </c>
      <c r="G201" s="57" t="s">
        <v>27</v>
      </c>
      <c r="H201" s="28" t="s">
        <v>1815</v>
      </c>
    </row>
    <row r="202" spans="1:8" ht="28" x14ac:dyDescent="0.25">
      <c r="A202" s="36">
        <f t="shared" si="5"/>
        <v>199</v>
      </c>
      <c r="B202" s="71" t="s">
        <v>396</v>
      </c>
      <c r="C202" s="70" t="s">
        <v>397</v>
      </c>
      <c r="D202" s="28" t="s">
        <v>1454</v>
      </c>
      <c r="E202" s="36" t="s">
        <v>1912</v>
      </c>
      <c r="F202" s="36" t="str">
        <f t="shared" si="4"/>
        <v>http://www.ninis2.nisra.gov.uk/public/SearchResults.aspx?sk=DC2240NI;</v>
      </c>
      <c r="G202" s="57" t="s">
        <v>27</v>
      </c>
      <c r="H202" s="28" t="s">
        <v>1815</v>
      </c>
    </row>
    <row r="203" spans="1:8" ht="28" x14ac:dyDescent="0.25">
      <c r="A203" s="36">
        <f t="shared" si="5"/>
        <v>200</v>
      </c>
      <c r="B203" s="71" t="s">
        <v>398</v>
      </c>
      <c r="C203" s="70" t="s">
        <v>399</v>
      </c>
      <c r="D203" s="28" t="s">
        <v>768</v>
      </c>
      <c r="E203" s="36" t="s">
        <v>1912</v>
      </c>
      <c r="F203" s="36" t="str">
        <f t="shared" si="4"/>
        <v>http://www.ninis2.nisra.gov.uk/public/SearchResults.aspx?sk=DC2241NI;</v>
      </c>
      <c r="G203" s="57" t="s">
        <v>27</v>
      </c>
      <c r="H203" s="28" t="s">
        <v>1815</v>
      </c>
    </row>
    <row r="204" spans="1:8" ht="28" x14ac:dyDescent="0.25">
      <c r="A204" s="36">
        <f t="shared" si="5"/>
        <v>201</v>
      </c>
      <c r="B204" s="71" t="s">
        <v>400</v>
      </c>
      <c r="C204" s="70" t="s">
        <v>401</v>
      </c>
      <c r="D204" s="28" t="s">
        <v>1179</v>
      </c>
      <c r="E204" s="36" t="s">
        <v>1912</v>
      </c>
      <c r="F204" s="36" t="str">
        <f t="shared" si="4"/>
        <v>http://www.ninis2.nisra.gov.uk/public/SearchResults.aspx?sk=DC2242NI;</v>
      </c>
      <c r="G204" s="57" t="s">
        <v>27</v>
      </c>
      <c r="H204" s="28" t="s">
        <v>1815</v>
      </c>
    </row>
    <row r="205" spans="1:8" x14ac:dyDescent="0.25">
      <c r="A205" s="36">
        <f t="shared" si="5"/>
        <v>202</v>
      </c>
      <c r="B205" s="71" t="s">
        <v>402</v>
      </c>
      <c r="C205" s="70" t="s">
        <v>403</v>
      </c>
      <c r="D205" s="28" t="s">
        <v>1237</v>
      </c>
      <c r="E205" s="36" t="s">
        <v>43</v>
      </c>
      <c r="F205" s="36" t="str">
        <f t="shared" ref="F205:F268" si="6">"http://www.ninis2.nisra.gov.uk/public/SearchResults.aspx?sk="&amp;B205&amp;";"</f>
        <v>http://www.ninis2.nisra.gov.uk/public/SearchResults.aspx?sk=DC2243NI;</v>
      </c>
      <c r="G205" s="57" t="s">
        <v>27</v>
      </c>
      <c r="H205" s="28" t="s">
        <v>1821</v>
      </c>
    </row>
    <row r="206" spans="1:8" ht="28" x14ac:dyDescent="0.25">
      <c r="A206" s="36">
        <f t="shared" si="5"/>
        <v>203</v>
      </c>
      <c r="B206" s="71" t="s">
        <v>404</v>
      </c>
      <c r="C206" s="70" t="s">
        <v>405</v>
      </c>
      <c r="D206" s="28" t="s">
        <v>1238</v>
      </c>
      <c r="E206" s="36" t="s">
        <v>43</v>
      </c>
      <c r="F206" s="36" t="str">
        <f t="shared" si="6"/>
        <v>http://www.ninis2.nisra.gov.uk/public/SearchResults.aspx?sk=DC2244NI;</v>
      </c>
      <c r="G206" s="57" t="s">
        <v>27</v>
      </c>
      <c r="H206" s="28" t="s">
        <v>1821</v>
      </c>
    </row>
    <row r="207" spans="1:8" ht="28" x14ac:dyDescent="0.25">
      <c r="A207" s="36">
        <f t="shared" si="5"/>
        <v>204</v>
      </c>
      <c r="B207" s="71" t="s">
        <v>406</v>
      </c>
      <c r="C207" s="70" t="s">
        <v>407</v>
      </c>
      <c r="D207" s="28" t="s">
        <v>1239</v>
      </c>
      <c r="E207" s="36" t="s">
        <v>43</v>
      </c>
      <c r="F207" s="36" t="str">
        <f t="shared" si="6"/>
        <v>http://www.ninis2.nisra.gov.uk/public/SearchResults.aspx?sk=DC2245NI;</v>
      </c>
      <c r="G207" s="57" t="s">
        <v>27</v>
      </c>
      <c r="H207" s="28" t="s">
        <v>1821</v>
      </c>
    </row>
    <row r="208" spans="1:8" ht="28" x14ac:dyDescent="0.25">
      <c r="A208" s="36">
        <f t="shared" si="5"/>
        <v>205</v>
      </c>
      <c r="B208" s="71" t="s">
        <v>408</v>
      </c>
      <c r="C208" s="70" t="s">
        <v>409</v>
      </c>
      <c r="D208" s="28" t="s">
        <v>1240</v>
      </c>
      <c r="E208" s="36" t="s">
        <v>43</v>
      </c>
      <c r="F208" s="36" t="str">
        <f t="shared" si="6"/>
        <v>http://www.ninis2.nisra.gov.uk/public/SearchResults.aspx?sk=DC2246NI;</v>
      </c>
      <c r="G208" s="57" t="s">
        <v>27</v>
      </c>
      <c r="H208" s="28" t="s">
        <v>1821</v>
      </c>
    </row>
    <row r="209" spans="1:8" ht="42" x14ac:dyDescent="0.3">
      <c r="A209" s="36">
        <f t="shared" si="5"/>
        <v>206</v>
      </c>
      <c r="B209" s="71" t="s">
        <v>410</v>
      </c>
      <c r="C209" s="70" t="s">
        <v>411</v>
      </c>
      <c r="D209" s="28" t="s">
        <v>831</v>
      </c>
      <c r="E209" s="37" t="s">
        <v>1915</v>
      </c>
      <c r="F209" s="36" t="str">
        <f t="shared" si="6"/>
        <v>http://www.ninis2.nisra.gov.uk/public/SearchResults.aspx?sk=DC2247NI;</v>
      </c>
      <c r="G209" s="57" t="s">
        <v>27</v>
      </c>
      <c r="H209" s="28" t="s">
        <v>1815</v>
      </c>
    </row>
    <row r="210" spans="1:8" ht="42" x14ac:dyDescent="0.3">
      <c r="A210" s="36">
        <f t="shared" si="5"/>
        <v>207</v>
      </c>
      <c r="B210" s="71" t="s">
        <v>412</v>
      </c>
      <c r="C210" s="70" t="s">
        <v>413</v>
      </c>
      <c r="D210" s="28" t="s">
        <v>1207</v>
      </c>
      <c r="E210" s="37" t="s">
        <v>1915</v>
      </c>
      <c r="F210" s="36" t="str">
        <f t="shared" si="6"/>
        <v>http://www.ninis2.nisra.gov.uk/public/SearchResults.aspx?sk=DC2248NI;</v>
      </c>
      <c r="G210" s="57" t="s">
        <v>27</v>
      </c>
      <c r="H210" s="28" t="s">
        <v>1815</v>
      </c>
    </row>
    <row r="211" spans="1:8" ht="42" x14ac:dyDescent="0.3">
      <c r="A211" s="36">
        <f t="shared" si="5"/>
        <v>208</v>
      </c>
      <c r="B211" s="71" t="s">
        <v>414</v>
      </c>
      <c r="C211" s="70" t="s">
        <v>415</v>
      </c>
      <c r="D211" s="28" t="s">
        <v>1455</v>
      </c>
      <c r="E211" s="37" t="s">
        <v>1915</v>
      </c>
      <c r="F211" s="36" t="str">
        <f t="shared" si="6"/>
        <v>http://www.ninis2.nisra.gov.uk/public/SearchResults.aspx?sk=DC2249NI;</v>
      </c>
      <c r="G211" s="57" t="s">
        <v>27</v>
      </c>
      <c r="H211" s="28" t="s">
        <v>1815</v>
      </c>
    </row>
    <row r="212" spans="1:8" ht="42" x14ac:dyDescent="0.3">
      <c r="A212" s="36">
        <f t="shared" si="5"/>
        <v>209</v>
      </c>
      <c r="B212" s="71" t="s">
        <v>416</v>
      </c>
      <c r="C212" s="70" t="s">
        <v>417</v>
      </c>
      <c r="D212" s="28" t="s">
        <v>1456</v>
      </c>
      <c r="E212" s="37" t="s">
        <v>1915</v>
      </c>
      <c r="F212" s="36" t="str">
        <f t="shared" si="6"/>
        <v>http://www.ninis2.nisra.gov.uk/public/SearchResults.aspx?sk=DC2250NI;</v>
      </c>
      <c r="G212" s="57" t="s">
        <v>27</v>
      </c>
      <c r="H212" s="28" t="s">
        <v>1815</v>
      </c>
    </row>
    <row r="213" spans="1:8" ht="42" x14ac:dyDescent="0.3">
      <c r="A213" s="36">
        <f t="shared" si="5"/>
        <v>210</v>
      </c>
      <c r="B213" s="71" t="s">
        <v>418</v>
      </c>
      <c r="C213" s="70" t="s">
        <v>419</v>
      </c>
      <c r="D213" s="28" t="s">
        <v>1457</v>
      </c>
      <c r="E213" s="37" t="s">
        <v>1915</v>
      </c>
      <c r="F213" s="36" t="str">
        <f t="shared" si="6"/>
        <v>http://www.ninis2.nisra.gov.uk/public/SearchResults.aspx?sk=DC2251NI;</v>
      </c>
      <c r="G213" s="57" t="s">
        <v>27</v>
      </c>
      <c r="H213" s="28" t="s">
        <v>1815</v>
      </c>
    </row>
    <row r="214" spans="1:8" ht="42" x14ac:dyDescent="0.3">
      <c r="A214" s="36">
        <f t="shared" si="5"/>
        <v>211</v>
      </c>
      <c r="B214" s="71" t="s">
        <v>420</v>
      </c>
      <c r="C214" s="70" t="s">
        <v>421</v>
      </c>
      <c r="D214" s="28" t="s">
        <v>1458</v>
      </c>
      <c r="E214" s="37" t="s">
        <v>1915</v>
      </c>
      <c r="F214" s="36" t="str">
        <f t="shared" si="6"/>
        <v>http://www.ninis2.nisra.gov.uk/public/SearchResults.aspx?sk=DC2252NI;</v>
      </c>
      <c r="G214" s="57" t="s">
        <v>27</v>
      </c>
      <c r="H214" s="28" t="s">
        <v>1815</v>
      </c>
    </row>
    <row r="215" spans="1:8" x14ac:dyDescent="0.25">
      <c r="A215" s="36">
        <f t="shared" si="5"/>
        <v>212</v>
      </c>
      <c r="B215" s="71" t="s">
        <v>422</v>
      </c>
      <c r="C215" s="70" t="s">
        <v>423</v>
      </c>
      <c r="D215" s="28" t="s">
        <v>769</v>
      </c>
      <c r="E215" s="36" t="s">
        <v>43</v>
      </c>
      <c r="F215" s="36" t="str">
        <f t="shared" si="6"/>
        <v>http://www.ninis2.nisra.gov.uk/public/SearchResults.aspx?sk=DC2253NI;</v>
      </c>
      <c r="G215" s="57" t="s">
        <v>27</v>
      </c>
      <c r="H215" s="28" t="s">
        <v>1815</v>
      </c>
    </row>
    <row r="216" spans="1:8" ht="28" x14ac:dyDescent="0.25">
      <c r="A216" s="36">
        <f t="shared" si="5"/>
        <v>213</v>
      </c>
      <c r="B216" s="71" t="s">
        <v>424</v>
      </c>
      <c r="C216" s="70" t="s">
        <v>425</v>
      </c>
      <c r="D216" s="28" t="s">
        <v>1222</v>
      </c>
      <c r="E216" s="36" t="s">
        <v>43</v>
      </c>
      <c r="F216" s="36" t="str">
        <f t="shared" si="6"/>
        <v>http://www.ninis2.nisra.gov.uk/public/SearchResults.aspx?sk=DC2254NI;</v>
      </c>
      <c r="G216" s="57" t="s">
        <v>27</v>
      </c>
      <c r="H216" s="28" t="s">
        <v>1815</v>
      </c>
    </row>
    <row r="217" spans="1:8" x14ac:dyDescent="0.25">
      <c r="A217" s="36">
        <f t="shared" si="5"/>
        <v>214</v>
      </c>
      <c r="B217" s="69" t="s">
        <v>426</v>
      </c>
      <c r="C217" s="70" t="s">
        <v>427</v>
      </c>
      <c r="D217" s="28" t="s">
        <v>832</v>
      </c>
      <c r="E217" s="36" t="s">
        <v>43</v>
      </c>
      <c r="F217" s="36" t="str">
        <f t="shared" si="6"/>
        <v>http://www.ninis2.nisra.gov.uk/public/SearchResults.aspx?sk=DC2301NI;</v>
      </c>
      <c r="G217" s="57" t="s">
        <v>27</v>
      </c>
      <c r="H217" s="28" t="s">
        <v>1815</v>
      </c>
    </row>
    <row r="218" spans="1:8" ht="28" x14ac:dyDescent="0.25">
      <c r="A218" s="36">
        <f t="shared" si="5"/>
        <v>215</v>
      </c>
      <c r="B218" s="69" t="s">
        <v>428</v>
      </c>
      <c r="C218" s="70" t="s">
        <v>429</v>
      </c>
      <c r="D218" s="28" t="s">
        <v>833</v>
      </c>
      <c r="E218" s="36" t="s">
        <v>43</v>
      </c>
      <c r="F218" s="36" t="str">
        <f t="shared" si="6"/>
        <v>http://www.ninis2.nisra.gov.uk/public/SearchResults.aspx?sk=DC2302NI;</v>
      </c>
      <c r="G218" s="57" t="s">
        <v>27</v>
      </c>
      <c r="H218" s="28" t="s">
        <v>1815</v>
      </c>
    </row>
    <row r="219" spans="1:8" ht="28" x14ac:dyDescent="0.25">
      <c r="A219" s="36">
        <f t="shared" si="5"/>
        <v>216</v>
      </c>
      <c r="B219" s="69" t="s">
        <v>430</v>
      </c>
      <c r="C219" s="70" t="s">
        <v>431</v>
      </c>
      <c r="D219" s="28" t="s">
        <v>834</v>
      </c>
      <c r="E219" s="36" t="s">
        <v>43</v>
      </c>
      <c r="F219" s="36" t="str">
        <f t="shared" si="6"/>
        <v>http://www.ninis2.nisra.gov.uk/public/SearchResults.aspx?sk=DC2303NI;</v>
      </c>
      <c r="G219" s="57" t="s">
        <v>27</v>
      </c>
      <c r="H219" s="28" t="s">
        <v>1815</v>
      </c>
    </row>
    <row r="220" spans="1:8" ht="28" x14ac:dyDescent="0.25">
      <c r="A220" s="36">
        <f t="shared" si="5"/>
        <v>217</v>
      </c>
      <c r="B220" s="69" t="s">
        <v>432</v>
      </c>
      <c r="C220" s="70" t="s">
        <v>433</v>
      </c>
      <c r="D220" s="28" t="s">
        <v>770</v>
      </c>
      <c r="E220" s="36" t="s">
        <v>1912</v>
      </c>
      <c r="F220" s="36" t="str">
        <f t="shared" si="6"/>
        <v>http://www.ninis2.nisra.gov.uk/public/SearchResults.aspx?sk=DC2304NI;</v>
      </c>
      <c r="G220" s="57" t="s">
        <v>27</v>
      </c>
      <c r="H220" s="28" t="s">
        <v>1815</v>
      </c>
    </row>
    <row r="221" spans="1:8" ht="28" x14ac:dyDescent="0.25">
      <c r="A221" s="36">
        <f t="shared" si="5"/>
        <v>218</v>
      </c>
      <c r="B221" s="69" t="s">
        <v>434</v>
      </c>
      <c r="C221" s="70" t="s">
        <v>435</v>
      </c>
      <c r="D221" s="28" t="s">
        <v>1241</v>
      </c>
      <c r="E221" s="36" t="s">
        <v>43</v>
      </c>
      <c r="F221" s="36" t="str">
        <f t="shared" si="6"/>
        <v>http://www.ninis2.nisra.gov.uk/public/SearchResults.aspx?sk=DC2305NI;</v>
      </c>
      <c r="G221" s="57" t="s">
        <v>27</v>
      </c>
      <c r="H221" s="28" t="s">
        <v>1821</v>
      </c>
    </row>
    <row r="222" spans="1:8" ht="28" x14ac:dyDescent="0.25">
      <c r="A222" s="36">
        <f t="shared" si="5"/>
        <v>219</v>
      </c>
      <c r="B222" s="71" t="s">
        <v>436</v>
      </c>
      <c r="C222" s="70" t="s">
        <v>437</v>
      </c>
      <c r="D222" s="28" t="s">
        <v>771</v>
      </c>
      <c r="E222" s="36" t="s">
        <v>1912</v>
      </c>
      <c r="F222" s="36" t="str">
        <f t="shared" si="6"/>
        <v>http://www.ninis2.nisra.gov.uk/public/SearchResults.aspx?sk=DC2306NI;</v>
      </c>
      <c r="G222" s="57" t="s">
        <v>27</v>
      </c>
      <c r="H222" s="28" t="s">
        <v>1815</v>
      </c>
    </row>
    <row r="223" spans="1:8" ht="28" x14ac:dyDescent="0.25">
      <c r="A223" s="36">
        <f t="shared" si="5"/>
        <v>220</v>
      </c>
      <c r="B223" s="71" t="s">
        <v>438</v>
      </c>
      <c r="C223" s="70" t="s">
        <v>439</v>
      </c>
      <c r="D223" s="28" t="s">
        <v>1208</v>
      </c>
      <c r="E223" s="36" t="s">
        <v>1912</v>
      </c>
      <c r="F223" s="36" t="str">
        <f t="shared" si="6"/>
        <v>http://www.ninis2.nisra.gov.uk/public/SearchResults.aspx?sk=DC2307NI;</v>
      </c>
      <c r="G223" s="57" t="s">
        <v>27</v>
      </c>
      <c r="H223" s="28" t="s">
        <v>1815</v>
      </c>
    </row>
    <row r="224" spans="1:8" ht="28" x14ac:dyDescent="0.25">
      <c r="A224" s="36">
        <f t="shared" si="5"/>
        <v>221</v>
      </c>
      <c r="B224" s="71" t="s">
        <v>440</v>
      </c>
      <c r="C224" s="70" t="s">
        <v>441</v>
      </c>
      <c r="D224" s="28" t="s">
        <v>772</v>
      </c>
      <c r="E224" s="36" t="s">
        <v>1912</v>
      </c>
      <c r="F224" s="36" t="str">
        <f t="shared" si="6"/>
        <v>http://www.ninis2.nisra.gov.uk/public/SearchResults.aspx?sk=DC2308NI;</v>
      </c>
      <c r="G224" s="57" t="s">
        <v>27</v>
      </c>
      <c r="H224" s="28" t="s">
        <v>1815</v>
      </c>
    </row>
    <row r="225" spans="1:8" ht="28" x14ac:dyDescent="0.25">
      <c r="A225" s="36">
        <f t="shared" si="5"/>
        <v>222</v>
      </c>
      <c r="B225" s="71" t="s">
        <v>442</v>
      </c>
      <c r="C225" s="70" t="s">
        <v>443</v>
      </c>
      <c r="D225" s="28" t="s">
        <v>1209</v>
      </c>
      <c r="E225" s="36" t="s">
        <v>1912</v>
      </c>
      <c r="F225" s="36" t="str">
        <f t="shared" si="6"/>
        <v>http://www.ninis2.nisra.gov.uk/public/SearchResults.aspx?sk=DC2309NI;</v>
      </c>
      <c r="G225" s="57" t="s">
        <v>27</v>
      </c>
      <c r="H225" s="28" t="s">
        <v>1815</v>
      </c>
    </row>
    <row r="226" spans="1:8" ht="28" x14ac:dyDescent="0.25">
      <c r="A226" s="36">
        <f t="shared" si="5"/>
        <v>223</v>
      </c>
      <c r="B226" s="69" t="s">
        <v>444</v>
      </c>
      <c r="C226" s="70" t="s">
        <v>445</v>
      </c>
      <c r="D226" s="28" t="s">
        <v>835</v>
      </c>
      <c r="E226" s="36" t="s">
        <v>43</v>
      </c>
      <c r="F226" s="36" t="str">
        <f t="shared" si="6"/>
        <v>http://www.ninis2.nisra.gov.uk/public/SearchResults.aspx?sk=DC2401NI;</v>
      </c>
      <c r="G226" s="57" t="s">
        <v>27</v>
      </c>
      <c r="H226" s="28" t="s">
        <v>1846</v>
      </c>
    </row>
    <row r="227" spans="1:8" ht="28" x14ac:dyDescent="0.25">
      <c r="A227" s="36">
        <f t="shared" si="5"/>
        <v>224</v>
      </c>
      <c r="B227" s="69" t="s">
        <v>446</v>
      </c>
      <c r="C227" s="70" t="s">
        <v>447</v>
      </c>
      <c r="D227" s="28" t="s">
        <v>836</v>
      </c>
      <c r="E227" s="36" t="s">
        <v>1912</v>
      </c>
      <c r="F227" s="36" t="str">
        <f t="shared" si="6"/>
        <v>http://www.ninis2.nisra.gov.uk/public/SearchResults.aspx?sk=DC2402NI;</v>
      </c>
      <c r="G227" s="57" t="s">
        <v>27</v>
      </c>
      <c r="H227" s="28" t="s">
        <v>1841</v>
      </c>
    </row>
    <row r="228" spans="1:8" ht="28" x14ac:dyDescent="0.25">
      <c r="A228" s="36">
        <f t="shared" si="5"/>
        <v>225</v>
      </c>
      <c r="B228" s="69" t="s">
        <v>448</v>
      </c>
      <c r="C228" s="70" t="s">
        <v>449</v>
      </c>
      <c r="D228" s="28" t="s">
        <v>1459</v>
      </c>
      <c r="E228" s="36" t="s">
        <v>1912</v>
      </c>
      <c r="F228" s="36" t="str">
        <f t="shared" si="6"/>
        <v>http://www.ninis2.nisra.gov.uk/public/SearchResults.aspx?sk=DC2403NI;</v>
      </c>
      <c r="G228" s="57" t="s">
        <v>27</v>
      </c>
      <c r="H228" s="28" t="s">
        <v>1837</v>
      </c>
    </row>
    <row r="229" spans="1:8" ht="28" x14ac:dyDescent="0.25">
      <c r="A229" s="36">
        <f t="shared" si="5"/>
        <v>226</v>
      </c>
      <c r="B229" s="69" t="s">
        <v>450</v>
      </c>
      <c r="C229" s="70" t="s">
        <v>451</v>
      </c>
      <c r="D229" s="28" t="s">
        <v>1460</v>
      </c>
      <c r="E229" s="36" t="s">
        <v>1912</v>
      </c>
      <c r="F229" s="36" t="str">
        <f t="shared" si="6"/>
        <v>http://www.ninis2.nisra.gov.uk/public/SearchResults.aspx?sk=DC2404NI;</v>
      </c>
      <c r="G229" s="57" t="s">
        <v>27</v>
      </c>
      <c r="H229" s="28" t="s">
        <v>1841</v>
      </c>
    </row>
    <row r="230" spans="1:8" ht="28" x14ac:dyDescent="0.25">
      <c r="A230" s="36">
        <f t="shared" si="5"/>
        <v>227</v>
      </c>
      <c r="B230" s="69" t="s">
        <v>452</v>
      </c>
      <c r="C230" s="70" t="s">
        <v>453</v>
      </c>
      <c r="D230" s="28" t="s">
        <v>837</v>
      </c>
      <c r="E230" s="36" t="s">
        <v>1912</v>
      </c>
      <c r="F230" s="36" t="str">
        <f t="shared" si="6"/>
        <v>http://www.ninis2.nisra.gov.uk/public/SearchResults.aspx?sk=DC2405NI;</v>
      </c>
      <c r="G230" s="57" t="s">
        <v>27</v>
      </c>
      <c r="H230" s="28" t="s">
        <v>1818</v>
      </c>
    </row>
    <row r="231" spans="1:8" ht="28" x14ac:dyDescent="0.25">
      <c r="A231" s="36">
        <f t="shared" si="5"/>
        <v>228</v>
      </c>
      <c r="B231" s="69" t="s">
        <v>454</v>
      </c>
      <c r="C231" s="70" t="s">
        <v>455</v>
      </c>
      <c r="D231" s="28" t="s">
        <v>773</v>
      </c>
      <c r="E231" s="36" t="s">
        <v>1912</v>
      </c>
      <c r="F231" s="36" t="str">
        <f t="shared" si="6"/>
        <v>http://www.ninis2.nisra.gov.uk/public/SearchResults.aspx?sk=DC2406NI;</v>
      </c>
      <c r="G231" s="57" t="s">
        <v>27</v>
      </c>
      <c r="H231" s="28" t="s">
        <v>1846</v>
      </c>
    </row>
    <row r="232" spans="1:8" ht="28" x14ac:dyDescent="0.25">
      <c r="A232" s="36">
        <f t="shared" si="5"/>
        <v>229</v>
      </c>
      <c r="B232" s="69" t="s">
        <v>456</v>
      </c>
      <c r="C232" s="70" t="s">
        <v>457</v>
      </c>
      <c r="D232" s="28" t="s">
        <v>1461</v>
      </c>
      <c r="E232" s="36" t="s">
        <v>1912</v>
      </c>
      <c r="F232" s="36" t="str">
        <f t="shared" si="6"/>
        <v>http://www.ninis2.nisra.gov.uk/public/SearchResults.aspx?sk=DC2407NI;</v>
      </c>
      <c r="G232" s="57" t="s">
        <v>27</v>
      </c>
      <c r="H232" s="28" t="s">
        <v>1837</v>
      </c>
    </row>
    <row r="233" spans="1:8" ht="28" x14ac:dyDescent="0.25">
      <c r="A233" s="36">
        <f t="shared" si="5"/>
        <v>230</v>
      </c>
      <c r="B233" s="69" t="s">
        <v>458</v>
      </c>
      <c r="C233" s="70" t="s">
        <v>459</v>
      </c>
      <c r="D233" s="28" t="s">
        <v>774</v>
      </c>
      <c r="E233" s="36" t="s">
        <v>1912</v>
      </c>
      <c r="F233" s="36" t="str">
        <f t="shared" si="6"/>
        <v>http://www.ninis2.nisra.gov.uk/public/SearchResults.aspx?sk=DC2409NI;</v>
      </c>
      <c r="G233" s="57" t="s">
        <v>27</v>
      </c>
      <c r="H233" s="28" t="s">
        <v>1818</v>
      </c>
    </row>
    <row r="234" spans="1:8" ht="28" x14ac:dyDescent="0.25">
      <c r="A234" s="36">
        <f t="shared" si="5"/>
        <v>231</v>
      </c>
      <c r="B234" s="71" t="s">
        <v>460</v>
      </c>
      <c r="C234" s="70" t="s">
        <v>461</v>
      </c>
      <c r="D234" s="28" t="s">
        <v>775</v>
      </c>
      <c r="E234" s="36" t="s">
        <v>1912</v>
      </c>
      <c r="F234" s="36" t="str">
        <f t="shared" si="6"/>
        <v>http://www.ninis2.nisra.gov.uk/public/SearchResults.aspx?sk=DC2412NI;</v>
      </c>
      <c r="G234" s="57" t="s">
        <v>27</v>
      </c>
      <c r="H234" s="28" t="s">
        <v>1846</v>
      </c>
    </row>
    <row r="235" spans="1:8" ht="28" x14ac:dyDescent="0.25">
      <c r="A235" s="36">
        <f t="shared" si="5"/>
        <v>232</v>
      </c>
      <c r="B235" s="71" t="s">
        <v>462</v>
      </c>
      <c r="C235" s="70" t="s">
        <v>463</v>
      </c>
      <c r="D235" s="28" t="s">
        <v>1210</v>
      </c>
      <c r="E235" s="36" t="s">
        <v>1912</v>
      </c>
      <c r="F235" s="36" t="str">
        <f t="shared" si="6"/>
        <v>http://www.ninis2.nisra.gov.uk/public/SearchResults.aspx?sk=DC2413NI;</v>
      </c>
      <c r="G235" s="57" t="s">
        <v>27</v>
      </c>
      <c r="H235" s="28" t="s">
        <v>1846</v>
      </c>
    </row>
    <row r="236" spans="1:8" ht="28" x14ac:dyDescent="0.25">
      <c r="A236" s="36">
        <f t="shared" si="5"/>
        <v>233</v>
      </c>
      <c r="B236" s="71" t="s">
        <v>464</v>
      </c>
      <c r="C236" s="70" t="s">
        <v>465</v>
      </c>
      <c r="D236" s="28" t="s">
        <v>776</v>
      </c>
      <c r="E236" s="36" t="s">
        <v>1912</v>
      </c>
      <c r="F236" s="36" t="str">
        <f t="shared" si="6"/>
        <v>http://www.ninis2.nisra.gov.uk/public/SearchResults.aspx?sk=DC2414NI;</v>
      </c>
      <c r="G236" s="57" t="s">
        <v>27</v>
      </c>
      <c r="H236" s="28" t="s">
        <v>1841</v>
      </c>
    </row>
    <row r="237" spans="1:8" ht="28" x14ac:dyDescent="0.25">
      <c r="A237" s="36">
        <f t="shared" si="5"/>
        <v>234</v>
      </c>
      <c r="B237" s="71" t="s">
        <v>466</v>
      </c>
      <c r="C237" s="70" t="s">
        <v>467</v>
      </c>
      <c r="D237" s="28" t="s">
        <v>1211</v>
      </c>
      <c r="E237" s="36" t="s">
        <v>1912</v>
      </c>
      <c r="F237" s="36" t="str">
        <f t="shared" si="6"/>
        <v>http://www.ninis2.nisra.gov.uk/public/SearchResults.aspx?sk=DC2415NI;</v>
      </c>
      <c r="G237" s="57" t="s">
        <v>27</v>
      </c>
      <c r="H237" s="28" t="s">
        <v>1841</v>
      </c>
    </row>
    <row r="238" spans="1:8" ht="42" x14ac:dyDescent="0.3">
      <c r="A238" s="36">
        <f t="shared" si="5"/>
        <v>235</v>
      </c>
      <c r="B238" s="71" t="s">
        <v>468</v>
      </c>
      <c r="C238" s="70" t="s">
        <v>469</v>
      </c>
      <c r="D238" s="28" t="s">
        <v>1462</v>
      </c>
      <c r="E238" s="37" t="s">
        <v>1915</v>
      </c>
      <c r="F238" s="36" t="str">
        <f t="shared" si="6"/>
        <v>http://www.ninis2.nisra.gov.uk/public/SearchResults.aspx?sk=DC2416NI;</v>
      </c>
      <c r="G238" s="57" t="s">
        <v>27</v>
      </c>
      <c r="H238" s="28" t="s">
        <v>1837</v>
      </c>
    </row>
    <row r="239" spans="1:8" ht="42" x14ac:dyDescent="0.3">
      <c r="A239" s="36">
        <f t="shared" si="5"/>
        <v>236</v>
      </c>
      <c r="B239" s="71" t="s">
        <v>470</v>
      </c>
      <c r="C239" s="70" t="s">
        <v>471</v>
      </c>
      <c r="D239" s="28" t="s">
        <v>1463</v>
      </c>
      <c r="E239" s="37" t="s">
        <v>1915</v>
      </c>
      <c r="F239" s="36" t="str">
        <f t="shared" si="6"/>
        <v>http://www.ninis2.nisra.gov.uk/public/SearchResults.aspx?sk=DC2417NI;</v>
      </c>
      <c r="G239" s="57" t="s">
        <v>27</v>
      </c>
      <c r="H239" s="28" t="s">
        <v>1837</v>
      </c>
    </row>
    <row r="240" spans="1:8" ht="42" x14ac:dyDescent="0.3">
      <c r="A240" s="36">
        <f t="shared" si="5"/>
        <v>237</v>
      </c>
      <c r="B240" s="71" t="s">
        <v>472</v>
      </c>
      <c r="C240" s="70" t="s">
        <v>473</v>
      </c>
      <c r="D240" s="28" t="s">
        <v>777</v>
      </c>
      <c r="E240" s="37" t="s">
        <v>1915</v>
      </c>
      <c r="F240" s="36" t="str">
        <f t="shared" si="6"/>
        <v>http://www.ninis2.nisra.gov.uk/public/SearchResults.aspx?sk=DC2418NI;</v>
      </c>
      <c r="G240" s="57" t="s">
        <v>27</v>
      </c>
      <c r="H240" s="28" t="s">
        <v>1841</v>
      </c>
    </row>
    <row r="241" spans="1:8" ht="42" x14ac:dyDescent="0.3">
      <c r="A241" s="36">
        <f t="shared" si="5"/>
        <v>238</v>
      </c>
      <c r="B241" s="71" t="s">
        <v>474</v>
      </c>
      <c r="C241" s="70" t="s">
        <v>979</v>
      </c>
      <c r="D241" s="28" t="s">
        <v>1184</v>
      </c>
      <c r="E241" s="37" t="s">
        <v>1915</v>
      </c>
      <c r="F241" s="36" t="str">
        <f t="shared" si="6"/>
        <v>http://www.ninis2.nisra.gov.uk/public/SearchResults.aspx?sk=DC2419NI;</v>
      </c>
      <c r="G241" s="57" t="s">
        <v>27</v>
      </c>
      <c r="H241" s="28" t="s">
        <v>1841</v>
      </c>
    </row>
    <row r="242" spans="1:8" ht="42" x14ac:dyDescent="0.3">
      <c r="A242" s="36">
        <f t="shared" si="5"/>
        <v>239</v>
      </c>
      <c r="B242" s="71" t="s">
        <v>476</v>
      </c>
      <c r="C242" s="70" t="s">
        <v>477</v>
      </c>
      <c r="D242" s="28" t="s">
        <v>778</v>
      </c>
      <c r="E242" s="37" t="s">
        <v>1915</v>
      </c>
      <c r="F242" s="36" t="str">
        <f t="shared" si="6"/>
        <v>http://www.ninis2.nisra.gov.uk/public/SearchResults.aspx?sk=DC2420NI;</v>
      </c>
      <c r="G242" s="57" t="s">
        <v>27</v>
      </c>
      <c r="H242" s="28" t="s">
        <v>1818</v>
      </c>
    </row>
    <row r="243" spans="1:8" ht="42" x14ac:dyDescent="0.3">
      <c r="A243" s="36">
        <f t="shared" si="5"/>
        <v>240</v>
      </c>
      <c r="B243" s="71" t="s">
        <v>478</v>
      </c>
      <c r="C243" s="70" t="s">
        <v>479</v>
      </c>
      <c r="D243" s="28" t="s">
        <v>1183</v>
      </c>
      <c r="E243" s="37" t="s">
        <v>1915</v>
      </c>
      <c r="F243" s="36" t="str">
        <f t="shared" si="6"/>
        <v>http://www.ninis2.nisra.gov.uk/public/SearchResults.aspx?sk=DC2421NI;</v>
      </c>
      <c r="G243" s="57" t="s">
        <v>27</v>
      </c>
      <c r="H243" s="28" t="s">
        <v>1818</v>
      </c>
    </row>
    <row r="244" spans="1:8" ht="28" x14ac:dyDescent="0.25">
      <c r="A244" s="36">
        <f t="shared" si="5"/>
        <v>241</v>
      </c>
      <c r="B244" s="69" t="s">
        <v>480</v>
      </c>
      <c r="C244" s="70" t="s">
        <v>481</v>
      </c>
      <c r="D244" s="28" t="s">
        <v>876</v>
      </c>
      <c r="E244" s="36" t="s">
        <v>43</v>
      </c>
      <c r="F244" s="36" t="str">
        <f t="shared" si="6"/>
        <v>http://www.ninis2.nisra.gov.uk/public/SearchResults.aspx?sk=DC2501NI;</v>
      </c>
      <c r="G244" s="57" t="s">
        <v>27</v>
      </c>
      <c r="H244" s="28" t="s">
        <v>1816</v>
      </c>
    </row>
    <row r="245" spans="1:8" ht="28" x14ac:dyDescent="0.25">
      <c r="A245" s="36">
        <f t="shared" si="5"/>
        <v>242</v>
      </c>
      <c r="B245" s="69" t="s">
        <v>482</v>
      </c>
      <c r="C245" s="70" t="s">
        <v>483</v>
      </c>
      <c r="D245" s="28" t="s">
        <v>877</v>
      </c>
      <c r="E245" s="36" t="s">
        <v>43</v>
      </c>
      <c r="F245" s="36" t="str">
        <f t="shared" si="6"/>
        <v>http://www.ninis2.nisra.gov.uk/public/SearchResults.aspx?sk=DC2502NI;</v>
      </c>
      <c r="G245" s="57" t="s">
        <v>27</v>
      </c>
      <c r="H245" s="28" t="s">
        <v>1816</v>
      </c>
    </row>
    <row r="246" spans="1:8" ht="42" x14ac:dyDescent="0.3">
      <c r="A246" s="36">
        <f t="shared" si="5"/>
        <v>243</v>
      </c>
      <c r="B246" s="69" t="s">
        <v>484</v>
      </c>
      <c r="C246" s="70" t="s">
        <v>485</v>
      </c>
      <c r="D246" s="28" t="s">
        <v>881</v>
      </c>
      <c r="E246" s="37" t="s">
        <v>1915</v>
      </c>
      <c r="F246" s="36" t="str">
        <f t="shared" si="6"/>
        <v>http://www.ninis2.nisra.gov.uk/public/SearchResults.aspx?sk=DC2503NI;</v>
      </c>
      <c r="G246" s="57" t="s">
        <v>27</v>
      </c>
      <c r="H246" s="28" t="s">
        <v>1816</v>
      </c>
    </row>
    <row r="247" spans="1:8" ht="42" x14ac:dyDescent="0.3">
      <c r="A247" s="36">
        <f t="shared" si="5"/>
        <v>244</v>
      </c>
      <c r="B247" s="69" t="s">
        <v>486</v>
      </c>
      <c r="C247" s="70" t="s">
        <v>487</v>
      </c>
      <c r="D247" s="28" t="s">
        <v>878</v>
      </c>
      <c r="E247" s="37" t="s">
        <v>1915</v>
      </c>
      <c r="F247" s="36" t="str">
        <f t="shared" si="6"/>
        <v>http://www.ninis2.nisra.gov.uk/public/SearchResults.aspx?sk=DC2506NI;</v>
      </c>
      <c r="G247" s="57" t="s">
        <v>27</v>
      </c>
      <c r="H247" s="28" t="s">
        <v>1816</v>
      </c>
    </row>
    <row r="248" spans="1:8" ht="28" x14ac:dyDescent="0.25">
      <c r="A248" s="36">
        <f t="shared" si="5"/>
        <v>245</v>
      </c>
      <c r="B248" s="69" t="s">
        <v>488</v>
      </c>
      <c r="C248" s="70" t="s">
        <v>489</v>
      </c>
      <c r="D248" s="28" t="s">
        <v>1252</v>
      </c>
      <c r="E248" s="36" t="s">
        <v>43</v>
      </c>
      <c r="F248" s="36" t="str">
        <f t="shared" si="6"/>
        <v>http://www.ninis2.nisra.gov.uk/public/SearchResults.aspx?sk=DC2507NI;</v>
      </c>
      <c r="G248" s="57" t="s">
        <v>27</v>
      </c>
      <c r="H248" s="28" t="s">
        <v>1816</v>
      </c>
    </row>
    <row r="249" spans="1:8" ht="42" x14ac:dyDescent="0.3">
      <c r="A249" s="36">
        <f t="shared" si="5"/>
        <v>246</v>
      </c>
      <c r="B249" s="71" t="s">
        <v>490</v>
      </c>
      <c r="C249" s="70" t="s">
        <v>491</v>
      </c>
      <c r="D249" s="28" t="s">
        <v>879</v>
      </c>
      <c r="E249" s="37" t="s">
        <v>1915</v>
      </c>
      <c r="F249" s="36" t="str">
        <f t="shared" si="6"/>
        <v>http://www.ninis2.nisra.gov.uk/public/SearchResults.aspx?sk=DC2508NI;</v>
      </c>
      <c r="G249" s="57" t="s">
        <v>27</v>
      </c>
      <c r="H249" s="28" t="s">
        <v>1816</v>
      </c>
    </row>
    <row r="250" spans="1:8" ht="42" x14ac:dyDescent="0.3">
      <c r="A250" s="36">
        <f t="shared" si="5"/>
        <v>247</v>
      </c>
      <c r="B250" s="71" t="s">
        <v>492</v>
      </c>
      <c r="C250" s="70" t="s">
        <v>493</v>
      </c>
      <c r="D250" s="28" t="s">
        <v>1212</v>
      </c>
      <c r="E250" s="37" t="s">
        <v>1915</v>
      </c>
      <c r="F250" s="36" t="str">
        <f t="shared" si="6"/>
        <v>http://www.ninis2.nisra.gov.uk/public/SearchResults.aspx?sk=DC2509NI;</v>
      </c>
      <c r="G250" s="57" t="s">
        <v>27</v>
      </c>
      <c r="H250" s="28" t="s">
        <v>1816</v>
      </c>
    </row>
    <row r="251" spans="1:8" x14ac:dyDescent="0.25">
      <c r="A251" s="36">
        <f t="shared" si="5"/>
        <v>248</v>
      </c>
      <c r="B251" s="71" t="s">
        <v>494</v>
      </c>
      <c r="C251" s="70" t="s">
        <v>495</v>
      </c>
      <c r="D251" s="28" t="s">
        <v>880</v>
      </c>
      <c r="E251" s="36" t="s">
        <v>43</v>
      </c>
      <c r="F251" s="36" t="str">
        <f t="shared" si="6"/>
        <v>http://www.ninis2.nisra.gov.uk/public/SearchResults.aspx?sk=DC2510NI;</v>
      </c>
      <c r="G251" s="57" t="s">
        <v>27</v>
      </c>
      <c r="H251" s="28" t="s">
        <v>1816</v>
      </c>
    </row>
    <row r="252" spans="1:8" ht="28" x14ac:dyDescent="0.25">
      <c r="A252" s="36">
        <f t="shared" si="5"/>
        <v>249</v>
      </c>
      <c r="B252" s="71" t="s">
        <v>496</v>
      </c>
      <c r="C252" s="70" t="s">
        <v>497</v>
      </c>
      <c r="D252" s="28" t="s">
        <v>1213</v>
      </c>
      <c r="E252" s="36" t="s">
        <v>43</v>
      </c>
      <c r="F252" s="36" t="str">
        <f t="shared" si="6"/>
        <v>http://www.ninis2.nisra.gov.uk/public/SearchResults.aspx?sk=DC2511NI;</v>
      </c>
      <c r="G252" s="57" t="s">
        <v>27</v>
      </c>
      <c r="H252" s="28" t="s">
        <v>1816</v>
      </c>
    </row>
    <row r="253" spans="1:8" ht="28" x14ac:dyDescent="0.25">
      <c r="A253" s="36">
        <f t="shared" si="5"/>
        <v>250</v>
      </c>
      <c r="B253" s="69" t="s">
        <v>498</v>
      </c>
      <c r="C253" s="70" t="s">
        <v>499</v>
      </c>
      <c r="D253" s="28" t="s">
        <v>848</v>
      </c>
      <c r="E253" s="36" t="s">
        <v>43</v>
      </c>
      <c r="F253" s="36" t="str">
        <f t="shared" si="6"/>
        <v>http://www.ninis2.nisra.gov.uk/public/SearchResults.aspx?sk=DC2601NI;</v>
      </c>
      <c r="G253" s="57" t="s">
        <v>27</v>
      </c>
      <c r="H253" s="28" t="s">
        <v>1825</v>
      </c>
    </row>
    <row r="254" spans="1:8" ht="28" x14ac:dyDescent="0.25">
      <c r="A254" s="36">
        <f t="shared" si="5"/>
        <v>251</v>
      </c>
      <c r="B254" s="69" t="s">
        <v>500</v>
      </c>
      <c r="C254" s="70" t="s">
        <v>501</v>
      </c>
      <c r="D254" s="28" t="s">
        <v>838</v>
      </c>
      <c r="E254" s="36" t="s">
        <v>43</v>
      </c>
      <c r="F254" s="36" t="str">
        <f t="shared" si="6"/>
        <v>http://www.ninis2.nisra.gov.uk/public/SearchResults.aspx?sk=DC2603NI;</v>
      </c>
      <c r="G254" s="57" t="s">
        <v>27</v>
      </c>
      <c r="H254" s="28" t="s">
        <v>1829</v>
      </c>
    </row>
    <row r="255" spans="1:8" ht="28" x14ac:dyDescent="0.25">
      <c r="A255" s="36">
        <f t="shared" si="5"/>
        <v>252</v>
      </c>
      <c r="B255" s="69" t="s">
        <v>502</v>
      </c>
      <c r="C255" s="70" t="s">
        <v>503</v>
      </c>
      <c r="D255" s="28" t="s">
        <v>839</v>
      </c>
      <c r="E255" s="36" t="s">
        <v>43</v>
      </c>
      <c r="F255" s="36" t="str">
        <f t="shared" si="6"/>
        <v>http://www.ninis2.nisra.gov.uk/public/SearchResults.aspx?sk=DC2604NI;</v>
      </c>
      <c r="G255" s="57" t="s">
        <v>27</v>
      </c>
      <c r="H255" s="28" t="s">
        <v>1829</v>
      </c>
    </row>
    <row r="256" spans="1:8" ht="28" x14ac:dyDescent="0.25">
      <c r="A256" s="36">
        <f t="shared" si="5"/>
        <v>253</v>
      </c>
      <c r="B256" s="69" t="s">
        <v>504</v>
      </c>
      <c r="C256" s="70" t="s">
        <v>505</v>
      </c>
      <c r="D256" s="28" t="s">
        <v>871</v>
      </c>
      <c r="E256" s="36" t="s">
        <v>43</v>
      </c>
      <c r="F256" s="36" t="str">
        <f t="shared" si="6"/>
        <v>http://www.ninis2.nisra.gov.uk/public/SearchResults.aspx?sk=DC2605NI;</v>
      </c>
      <c r="G256" s="57" t="s">
        <v>27</v>
      </c>
      <c r="H256" s="28" t="s">
        <v>1825</v>
      </c>
    </row>
    <row r="257" spans="1:8" ht="28" x14ac:dyDescent="0.25">
      <c r="A257" s="36">
        <f t="shared" si="5"/>
        <v>254</v>
      </c>
      <c r="B257" s="69" t="s">
        <v>506</v>
      </c>
      <c r="C257" s="70" t="s">
        <v>507</v>
      </c>
      <c r="D257" s="28" t="s">
        <v>849</v>
      </c>
      <c r="E257" s="36" t="s">
        <v>43</v>
      </c>
      <c r="F257" s="36" t="str">
        <f t="shared" si="6"/>
        <v>http://www.ninis2.nisra.gov.uk/public/SearchResults.aspx?sk=DC2606NI;</v>
      </c>
      <c r="G257" s="57" t="s">
        <v>27</v>
      </c>
      <c r="H257" s="28" t="s">
        <v>1825</v>
      </c>
    </row>
    <row r="258" spans="1:8" x14ac:dyDescent="0.25">
      <c r="A258" s="36">
        <f t="shared" si="5"/>
        <v>255</v>
      </c>
      <c r="B258" s="69" t="s">
        <v>508</v>
      </c>
      <c r="C258" s="70" t="s">
        <v>509</v>
      </c>
      <c r="D258" s="28" t="s">
        <v>779</v>
      </c>
      <c r="E258" s="36" t="s">
        <v>43</v>
      </c>
      <c r="F258" s="36" t="str">
        <f t="shared" si="6"/>
        <v>http://www.ninis2.nisra.gov.uk/public/SearchResults.aspx?sk=DC2607NI;</v>
      </c>
      <c r="G258" s="57" t="s">
        <v>27</v>
      </c>
      <c r="H258" s="28" t="s">
        <v>1825</v>
      </c>
    </row>
    <row r="259" spans="1:8" x14ac:dyDescent="0.25">
      <c r="A259" s="36">
        <f t="shared" si="5"/>
        <v>256</v>
      </c>
      <c r="B259" s="69" t="s">
        <v>510</v>
      </c>
      <c r="C259" s="70" t="s">
        <v>511</v>
      </c>
      <c r="D259" s="28" t="s">
        <v>780</v>
      </c>
      <c r="E259" s="36" t="s">
        <v>43</v>
      </c>
      <c r="F259" s="36" t="str">
        <f t="shared" si="6"/>
        <v>http://www.ninis2.nisra.gov.uk/public/SearchResults.aspx?sk=DC2608NI;</v>
      </c>
      <c r="G259" s="57" t="s">
        <v>27</v>
      </c>
      <c r="H259" s="28" t="s">
        <v>1825</v>
      </c>
    </row>
    <row r="260" spans="1:8" ht="28" x14ac:dyDescent="0.25">
      <c r="A260" s="36">
        <f t="shared" si="5"/>
        <v>257</v>
      </c>
      <c r="B260" s="69" t="s">
        <v>512</v>
      </c>
      <c r="C260" s="70" t="s">
        <v>513</v>
      </c>
      <c r="D260" s="28" t="s">
        <v>1253</v>
      </c>
      <c r="E260" s="36" t="s">
        <v>43</v>
      </c>
      <c r="F260" s="36" t="str">
        <f t="shared" si="6"/>
        <v>http://www.ninis2.nisra.gov.uk/public/SearchResults.aspx?sk=DC2611NI;</v>
      </c>
      <c r="G260" s="57" t="s">
        <v>27</v>
      </c>
      <c r="H260" s="28" t="s">
        <v>1828</v>
      </c>
    </row>
    <row r="261" spans="1:8" ht="42" x14ac:dyDescent="0.3">
      <c r="A261" s="36">
        <f t="shared" ref="A261:A324" si="7">IF(AND(NOT(ISERR(FIND($L$4,D261))),NOT(ISERR(FIND($L$5,D261))),NOT(ISERR(FIND($L$6,D261))),NOT(ISERR(FIND($L$7,D261))) ),A260+1,A260)</f>
        <v>258</v>
      </c>
      <c r="B261" s="69" t="s">
        <v>514</v>
      </c>
      <c r="C261" s="70" t="s">
        <v>515</v>
      </c>
      <c r="D261" s="28" t="s">
        <v>850</v>
      </c>
      <c r="E261" s="37" t="s">
        <v>1915</v>
      </c>
      <c r="F261" s="36" t="str">
        <f t="shared" si="6"/>
        <v>http://www.ninis2.nisra.gov.uk/public/SearchResults.aspx?sk=DC2612NI;</v>
      </c>
      <c r="G261" s="57" t="s">
        <v>27</v>
      </c>
      <c r="H261" s="28" t="s">
        <v>1825</v>
      </c>
    </row>
    <row r="262" spans="1:8" ht="28" x14ac:dyDescent="0.25">
      <c r="A262" s="36">
        <f t="shared" si="7"/>
        <v>259</v>
      </c>
      <c r="B262" s="69" t="s">
        <v>516</v>
      </c>
      <c r="C262" s="70" t="s">
        <v>517</v>
      </c>
      <c r="D262" s="28" t="s">
        <v>1254</v>
      </c>
      <c r="E262" s="36" t="s">
        <v>1912</v>
      </c>
      <c r="F262" s="36" t="str">
        <f t="shared" si="6"/>
        <v>http://www.ninis2.nisra.gov.uk/public/SearchResults.aspx?sk=DC2613NI;</v>
      </c>
      <c r="G262" s="57" t="s">
        <v>27</v>
      </c>
      <c r="H262" s="28" t="s">
        <v>1828</v>
      </c>
    </row>
    <row r="263" spans="1:8" ht="42" x14ac:dyDescent="0.3">
      <c r="A263" s="36">
        <f t="shared" si="7"/>
        <v>260</v>
      </c>
      <c r="B263" s="71" t="s">
        <v>518</v>
      </c>
      <c r="C263" s="70" t="s">
        <v>519</v>
      </c>
      <c r="D263" s="28" t="s">
        <v>851</v>
      </c>
      <c r="E263" s="37" t="s">
        <v>1915</v>
      </c>
      <c r="F263" s="36" t="str">
        <f t="shared" si="6"/>
        <v>http://www.ninis2.nisra.gov.uk/public/SearchResults.aspx?sk=DC2614NI;</v>
      </c>
      <c r="G263" s="57" t="s">
        <v>27</v>
      </c>
      <c r="H263" s="28" t="s">
        <v>1825</v>
      </c>
    </row>
    <row r="264" spans="1:8" ht="42" x14ac:dyDescent="0.3">
      <c r="A264" s="36">
        <f t="shared" si="7"/>
        <v>261</v>
      </c>
      <c r="B264" s="71" t="s">
        <v>520</v>
      </c>
      <c r="C264" s="70" t="s">
        <v>521</v>
      </c>
      <c r="D264" s="28" t="s">
        <v>1214</v>
      </c>
      <c r="E264" s="37" t="s">
        <v>1915</v>
      </c>
      <c r="F264" s="36" t="str">
        <f t="shared" si="6"/>
        <v>http://www.ninis2.nisra.gov.uk/public/SearchResults.aspx?sk=DC2615NI;</v>
      </c>
      <c r="G264" s="57" t="s">
        <v>27</v>
      </c>
      <c r="H264" s="28" t="s">
        <v>1825</v>
      </c>
    </row>
    <row r="265" spans="1:8" ht="28" x14ac:dyDescent="0.25">
      <c r="A265" s="36">
        <f t="shared" si="7"/>
        <v>262</v>
      </c>
      <c r="B265" s="71" t="s">
        <v>522</v>
      </c>
      <c r="C265" s="70" t="s">
        <v>523</v>
      </c>
      <c r="D265" s="28" t="s">
        <v>852</v>
      </c>
      <c r="E265" s="36" t="s">
        <v>43</v>
      </c>
      <c r="F265" s="36" t="str">
        <f t="shared" si="6"/>
        <v>http://www.ninis2.nisra.gov.uk/public/SearchResults.aspx?sk=DC2616NI;</v>
      </c>
      <c r="G265" s="57" t="s">
        <v>27</v>
      </c>
      <c r="H265" s="28" t="s">
        <v>1825</v>
      </c>
    </row>
    <row r="266" spans="1:8" ht="28" x14ac:dyDescent="0.25">
      <c r="A266" s="36">
        <f t="shared" si="7"/>
        <v>263</v>
      </c>
      <c r="B266" s="71" t="s">
        <v>524</v>
      </c>
      <c r="C266" s="70" t="s">
        <v>525</v>
      </c>
      <c r="D266" s="28" t="s">
        <v>1215</v>
      </c>
      <c r="E266" s="36" t="s">
        <v>43</v>
      </c>
      <c r="F266" s="36" t="str">
        <f t="shared" si="6"/>
        <v>http://www.ninis2.nisra.gov.uk/public/SearchResults.aspx?sk=DC2617NI;</v>
      </c>
      <c r="G266" s="57" t="s">
        <v>27</v>
      </c>
      <c r="H266" s="28" t="s">
        <v>1825</v>
      </c>
    </row>
    <row r="267" spans="1:8" ht="28" x14ac:dyDescent="0.25">
      <c r="A267" s="36">
        <f t="shared" si="7"/>
        <v>264</v>
      </c>
      <c r="B267" s="71" t="s">
        <v>526</v>
      </c>
      <c r="C267" s="70" t="s">
        <v>527</v>
      </c>
      <c r="D267" s="28" t="s">
        <v>781</v>
      </c>
      <c r="E267" s="36" t="s">
        <v>1912</v>
      </c>
      <c r="F267" s="36" t="str">
        <f t="shared" si="6"/>
        <v>http://www.ninis2.nisra.gov.uk/public/SearchResults.aspx?sk=DC2618NI;</v>
      </c>
      <c r="G267" s="57" t="s">
        <v>27</v>
      </c>
      <c r="H267" s="28" t="s">
        <v>1829</v>
      </c>
    </row>
    <row r="268" spans="1:8" ht="28" x14ac:dyDescent="0.25">
      <c r="A268" s="36">
        <f t="shared" si="7"/>
        <v>265</v>
      </c>
      <c r="B268" s="71" t="s">
        <v>528</v>
      </c>
      <c r="C268" s="70" t="s">
        <v>529</v>
      </c>
      <c r="D268" s="28" t="s">
        <v>1216</v>
      </c>
      <c r="E268" s="36" t="s">
        <v>1912</v>
      </c>
      <c r="F268" s="36" t="str">
        <f t="shared" si="6"/>
        <v>http://www.ninis2.nisra.gov.uk/public/SearchResults.aspx?sk=DC2619NI;</v>
      </c>
      <c r="G268" s="57" t="s">
        <v>27</v>
      </c>
      <c r="H268" s="28" t="s">
        <v>1829</v>
      </c>
    </row>
    <row r="269" spans="1:8" ht="28" x14ac:dyDescent="0.25">
      <c r="A269" s="36">
        <f t="shared" si="7"/>
        <v>266</v>
      </c>
      <c r="B269" s="71" t="s">
        <v>530</v>
      </c>
      <c r="C269" s="70" t="s">
        <v>531</v>
      </c>
      <c r="D269" s="28" t="s">
        <v>782</v>
      </c>
      <c r="E269" s="36" t="s">
        <v>1912</v>
      </c>
      <c r="F269" s="36" t="str">
        <f t="shared" ref="F269:F332" si="8">"http://www.ninis2.nisra.gov.uk/public/SearchResults.aspx?sk="&amp;B269&amp;";"</f>
        <v>http://www.ninis2.nisra.gov.uk/public/SearchResults.aspx?sk=DC2620NI;</v>
      </c>
      <c r="G269" s="57"/>
      <c r="H269" s="28" t="s">
        <v>1829</v>
      </c>
    </row>
    <row r="270" spans="1:8" ht="28" x14ac:dyDescent="0.25">
      <c r="A270" s="36">
        <f t="shared" si="7"/>
        <v>267</v>
      </c>
      <c r="B270" s="71" t="s">
        <v>532</v>
      </c>
      <c r="C270" s="70" t="s">
        <v>533</v>
      </c>
      <c r="D270" s="28" t="s">
        <v>1217</v>
      </c>
      <c r="E270" s="36" t="s">
        <v>1912</v>
      </c>
      <c r="F270" s="36" t="str">
        <f t="shared" si="8"/>
        <v>http://www.ninis2.nisra.gov.uk/public/SearchResults.aspx?sk=DC2621NI;</v>
      </c>
      <c r="G270" s="57" t="s">
        <v>27</v>
      </c>
      <c r="H270" s="28" t="s">
        <v>1829</v>
      </c>
    </row>
    <row r="271" spans="1:8" ht="42" x14ac:dyDescent="0.3">
      <c r="A271" s="36">
        <f t="shared" si="7"/>
        <v>268</v>
      </c>
      <c r="B271" s="71" t="s">
        <v>534</v>
      </c>
      <c r="C271" s="70" t="s">
        <v>535</v>
      </c>
      <c r="D271" s="28" t="s">
        <v>872</v>
      </c>
      <c r="E271" s="37" t="s">
        <v>1915</v>
      </c>
      <c r="F271" s="36" t="str">
        <f t="shared" si="8"/>
        <v>http://www.ninis2.nisra.gov.uk/public/SearchResults.aspx?sk=DC2622NI;</v>
      </c>
      <c r="G271" s="57" t="s">
        <v>27</v>
      </c>
      <c r="H271" s="28" t="s">
        <v>1825</v>
      </c>
    </row>
    <row r="272" spans="1:8" ht="42" x14ac:dyDescent="0.3">
      <c r="A272" s="36">
        <f t="shared" si="7"/>
        <v>269</v>
      </c>
      <c r="B272" s="71" t="s">
        <v>536</v>
      </c>
      <c r="C272" s="70" t="s">
        <v>537</v>
      </c>
      <c r="D272" s="28" t="s">
        <v>1218</v>
      </c>
      <c r="E272" s="37" t="s">
        <v>1915</v>
      </c>
      <c r="F272" s="36" t="str">
        <f t="shared" si="8"/>
        <v>http://www.ninis2.nisra.gov.uk/public/SearchResults.aspx?sk=DC2623NI;</v>
      </c>
      <c r="G272" s="57" t="s">
        <v>27</v>
      </c>
      <c r="H272" s="28" t="s">
        <v>1825</v>
      </c>
    </row>
    <row r="273" spans="1:8" ht="28" x14ac:dyDescent="0.25">
      <c r="A273" s="36">
        <f t="shared" si="7"/>
        <v>270</v>
      </c>
      <c r="B273" s="69" t="s">
        <v>538</v>
      </c>
      <c r="C273" s="70" t="s">
        <v>539</v>
      </c>
      <c r="D273" s="28" t="s">
        <v>1255</v>
      </c>
      <c r="E273" s="36" t="s">
        <v>43</v>
      </c>
      <c r="F273" s="36" t="str">
        <f t="shared" si="8"/>
        <v>http://www.ninis2.nisra.gov.uk/public/SearchResults.aspx?sk=DC2624NI;</v>
      </c>
      <c r="G273" s="57" t="s">
        <v>27</v>
      </c>
      <c r="H273" s="28" t="s">
        <v>1825</v>
      </c>
    </row>
    <row r="274" spans="1:8" ht="28" x14ac:dyDescent="0.25">
      <c r="A274" s="36">
        <f t="shared" si="7"/>
        <v>271</v>
      </c>
      <c r="B274" s="69" t="s">
        <v>540</v>
      </c>
      <c r="C274" s="70" t="s">
        <v>541</v>
      </c>
      <c r="D274" s="28" t="s">
        <v>853</v>
      </c>
      <c r="E274" s="36" t="s">
        <v>1912</v>
      </c>
      <c r="F274" s="36" t="str">
        <f t="shared" si="8"/>
        <v>http://www.ninis2.nisra.gov.uk/public/SearchResults.aspx?sk=DC2625NI;</v>
      </c>
      <c r="G274" s="57" t="s">
        <v>27</v>
      </c>
      <c r="H274" s="28" t="s">
        <v>1825</v>
      </c>
    </row>
    <row r="275" spans="1:8" ht="28" x14ac:dyDescent="0.25">
      <c r="A275" s="36">
        <f t="shared" si="7"/>
        <v>272</v>
      </c>
      <c r="B275" s="69" t="s">
        <v>542</v>
      </c>
      <c r="C275" s="70" t="s">
        <v>543</v>
      </c>
      <c r="D275" s="28" t="s">
        <v>1219</v>
      </c>
      <c r="E275" s="36" t="s">
        <v>1912</v>
      </c>
      <c r="F275" s="36" t="str">
        <f t="shared" si="8"/>
        <v>http://www.ninis2.nisra.gov.uk/public/SearchResults.aspx?sk=DC2626NI;</v>
      </c>
      <c r="G275" s="57" t="s">
        <v>27</v>
      </c>
      <c r="H275" s="28" t="s">
        <v>1825</v>
      </c>
    </row>
    <row r="276" spans="1:8" ht="28" x14ac:dyDescent="0.25">
      <c r="A276" s="36">
        <f t="shared" si="7"/>
        <v>273</v>
      </c>
      <c r="B276" s="71" t="s">
        <v>544</v>
      </c>
      <c r="C276" s="72" t="s">
        <v>545</v>
      </c>
      <c r="D276" s="28" t="s">
        <v>783</v>
      </c>
      <c r="E276" s="36" t="s">
        <v>1912</v>
      </c>
      <c r="F276" s="36" t="str">
        <f t="shared" si="8"/>
        <v>http://www.ninis2.nisra.gov.uk/public/SearchResults.aspx?sk=DC3101NI;</v>
      </c>
      <c r="G276" s="57" t="s">
        <v>27</v>
      </c>
      <c r="H276" s="28" t="s">
        <v>1815</v>
      </c>
    </row>
    <row r="277" spans="1:8" x14ac:dyDescent="0.25">
      <c r="A277" s="36">
        <f t="shared" si="7"/>
        <v>274</v>
      </c>
      <c r="B277" s="55" t="s">
        <v>546</v>
      </c>
      <c r="C277" s="67" t="s">
        <v>547</v>
      </c>
      <c r="D277" s="28" t="s">
        <v>784</v>
      </c>
      <c r="E277" s="36" t="s">
        <v>43</v>
      </c>
      <c r="F277" s="36" t="str">
        <f t="shared" si="8"/>
        <v>http://www.ninis2.nisra.gov.uk/public/SearchResults.aspx?sk=DC3301NI;</v>
      </c>
      <c r="G277" s="57" t="s">
        <v>27</v>
      </c>
      <c r="H277" s="28" t="s">
        <v>1837</v>
      </c>
    </row>
    <row r="278" spans="1:8" ht="28" x14ac:dyDescent="0.25">
      <c r="A278" s="36">
        <f t="shared" si="7"/>
        <v>275</v>
      </c>
      <c r="B278" s="55" t="s">
        <v>548</v>
      </c>
      <c r="C278" s="67" t="s">
        <v>549</v>
      </c>
      <c r="D278" s="28" t="s">
        <v>854</v>
      </c>
      <c r="E278" s="36" t="s">
        <v>43</v>
      </c>
      <c r="F278" s="36" t="str">
        <f t="shared" si="8"/>
        <v>http://www.ninis2.nisra.gov.uk/public/SearchResults.aspx?sk=DC3302NI;</v>
      </c>
      <c r="G278" s="57" t="s">
        <v>27</v>
      </c>
      <c r="H278" s="28" t="s">
        <v>1825</v>
      </c>
    </row>
    <row r="279" spans="1:8" ht="28" x14ac:dyDescent="0.25">
      <c r="A279" s="36">
        <f t="shared" si="7"/>
        <v>276</v>
      </c>
      <c r="B279" s="55" t="s">
        <v>550</v>
      </c>
      <c r="C279" s="67" t="s">
        <v>551</v>
      </c>
      <c r="D279" s="28" t="s">
        <v>785</v>
      </c>
      <c r="E279" s="36" t="s">
        <v>43</v>
      </c>
      <c r="F279" s="36" t="str">
        <f t="shared" si="8"/>
        <v>http://www.ninis2.nisra.gov.uk/public/SearchResults.aspx?sk=DC3304NI;</v>
      </c>
      <c r="G279" s="57" t="s">
        <v>27</v>
      </c>
      <c r="H279" s="28" t="s">
        <v>1815</v>
      </c>
    </row>
    <row r="280" spans="1:8" ht="28" x14ac:dyDescent="0.25">
      <c r="A280" s="36">
        <f t="shared" si="7"/>
        <v>277</v>
      </c>
      <c r="B280" s="55" t="s">
        <v>552</v>
      </c>
      <c r="C280" s="67" t="s">
        <v>553</v>
      </c>
      <c r="D280" s="28" t="s">
        <v>786</v>
      </c>
      <c r="E280" s="36" t="s">
        <v>43</v>
      </c>
      <c r="F280" s="36" t="str">
        <f t="shared" si="8"/>
        <v>http://www.ninis2.nisra.gov.uk/public/SearchResults.aspx?sk=DC3305NI;</v>
      </c>
      <c r="G280" s="57" t="s">
        <v>27</v>
      </c>
      <c r="H280" s="28" t="s">
        <v>1837</v>
      </c>
    </row>
    <row r="281" spans="1:8" ht="28" x14ac:dyDescent="0.25">
      <c r="A281" s="36">
        <f t="shared" si="7"/>
        <v>278</v>
      </c>
      <c r="B281" s="55" t="s">
        <v>554</v>
      </c>
      <c r="C281" s="67" t="s">
        <v>555</v>
      </c>
      <c r="D281" s="28" t="s">
        <v>787</v>
      </c>
      <c r="E281" s="36" t="s">
        <v>43</v>
      </c>
      <c r="F281" s="36" t="str">
        <f t="shared" si="8"/>
        <v>http://www.ninis2.nisra.gov.uk/public/SearchResults.aspx?sk=DC3306NI;</v>
      </c>
      <c r="G281" s="57" t="s">
        <v>27</v>
      </c>
      <c r="H281" s="28" t="s">
        <v>1837</v>
      </c>
    </row>
    <row r="282" spans="1:8" ht="28" x14ac:dyDescent="0.25">
      <c r="A282" s="36">
        <f t="shared" si="7"/>
        <v>279</v>
      </c>
      <c r="B282" s="55" t="s">
        <v>556</v>
      </c>
      <c r="C282" s="67" t="s">
        <v>557</v>
      </c>
      <c r="D282" s="28" t="s">
        <v>788</v>
      </c>
      <c r="E282" s="36" t="s">
        <v>43</v>
      </c>
      <c r="F282" s="36" t="str">
        <f t="shared" si="8"/>
        <v>http://www.ninis2.nisra.gov.uk/public/SearchResults.aspx?sk=DC3308NI;</v>
      </c>
      <c r="G282" s="57" t="s">
        <v>27</v>
      </c>
      <c r="H282" s="28" t="s">
        <v>1837</v>
      </c>
    </row>
    <row r="283" spans="1:8" ht="42" x14ac:dyDescent="0.25">
      <c r="A283" s="36">
        <f t="shared" si="7"/>
        <v>280</v>
      </c>
      <c r="B283" s="55" t="s">
        <v>558</v>
      </c>
      <c r="C283" s="67" t="s">
        <v>559</v>
      </c>
      <c r="D283" s="28" t="s">
        <v>789</v>
      </c>
      <c r="E283" s="36" t="s">
        <v>43</v>
      </c>
      <c r="F283" s="36" t="str">
        <f t="shared" si="8"/>
        <v>http://www.ninis2.nisra.gov.uk/public/SearchResults.aspx?sk=DC3309NI;</v>
      </c>
      <c r="G283" s="57" t="s">
        <v>27</v>
      </c>
      <c r="H283" s="28" t="s">
        <v>1857</v>
      </c>
    </row>
    <row r="284" spans="1:8" ht="28" x14ac:dyDescent="0.25">
      <c r="A284" s="36">
        <f t="shared" si="7"/>
        <v>281</v>
      </c>
      <c r="B284" s="55" t="s">
        <v>560</v>
      </c>
      <c r="C284" s="67" t="s">
        <v>1558</v>
      </c>
      <c r="D284" s="28" t="s">
        <v>790</v>
      </c>
      <c r="E284" s="36" t="s">
        <v>1912</v>
      </c>
      <c r="F284" s="36" t="str">
        <f t="shared" si="8"/>
        <v>http://www.ninis2.nisra.gov.uk/public/SearchResults.aspx?sk=DC3310NI;</v>
      </c>
      <c r="G284" s="57" t="s">
        <v>27</v>
      </c>
      <c r="H284" s="28" t="s">
        <v>1815</v>
      </c>
    </row>
    <row r="285" spans="1:8" ht="42" x14ac:dyDescent="0.3">
      <c r="A285" s="36">
        <f t="shared" si="7"/>
        <v>282</v>
      </c>
      <c r="B285" s="55" t="s">
        <v>562</v>
      </c>
      <c r="C285" s="67" t="s">
        <v>563</v>
      </c>
      <c r="D285" s="28" t="s">
        <v>791</v>
      </c>
      <c r="E285" s="37" t="s">
        <v>1915</v>
      </c>
      <c r="F285" s="36" t="str">
        <f t="shared" si="8"/>
        <v>http://www.ninis2.nisra.gov.uk/public/SearchResults.aspx?sk=DC3401NI;</v>
      </c>
      <c r="G285" s="57" t="s">
        <v>27</v>
      </c>
      <c r="H285" s="28" t="s">
        <v>1815</v>
      </c>
    </row>
    <row r="286" spans="1:8" ht="28" x14ac:dyDescent="0.25">
      <c r="A286" s="36">
        <f t="shared" si="7"/>
        <v>283</v>
      </c>
      <c r="B286" s="55" t="s">
        <v>564</v>
      </c>
      <c r="C286" s="67" t="s">
        <v>565</v>
      </c>
      <c r="D286" s="28" t="s">
        <v>792</v>
      </c>
      <c r="E286" s="36" t="s">
        <v>1912</v>
      </c>
      <c r="F286" s="36" t="str">
        <f t="shared" si="8"/>
        <v>http://www.ninis2.nisra.gov.uk/public/SearchResults.aspx?sk=DC3402NI;</v>
      </c>
      <c r="G286" s="57" t="s">
        <v>27</v>
      </c>
      <c r="H286" s="28" t="s">
        <v>1837</v>
      </c>
    </row>
    <row r="287" spans="1:8" ht="42" x14ac:dyDescent="0.3">
      <c r="A287" s="36">
        <f t="shared" si="7"/>
        <v>284</v>
      </c>
      <c r="B287" s="55" t="s">
        <v>566</v>
      </c>
      <c r="C287" s="67" t="s">
        <v>567</v>
      </c>
      <c r="D287" s="28" t="s">
        <v>793</v>
      </c>
      <c r="E287" s="37" t="s">
        <v>1915</v>
      </c>
      <c r="F287" s="36" t="str">
        <f t="shared" si="8"/>
        <v>http://www.ninis2.nisra.gov.uk/public/SearchResults.aspx?sk=DC3601NI;</v>
      </c>
      <c r="G287" s="57" t="s">
        <v>27</v>
      </c>
      <c r="H287" s="28" t="s">
        <v>1828</v>
      </c>
    </row>
    <row r="288" spans="1:8" ht="28" x14ac:dyDescent="0.25">
      <c r="A288" s="36">
        <f t="shared" si="7"/>
        <v>285</v>
      </c>
      <c r="B288" s="55" t="s">
        <v>568</v>
      </c>
      <c r="C288" s="67" t="s">
        <v>569</v>
      </c>
      <c r="D288" s="28" t="s">
        <v>1464</v>
      </c>
      <c r="E288" s="36" t="s">
        <v>43</v>
      </c>
      <c r="F288" s="36" t="str">
        <f t="shared" si="8"/>
        <v>http://www.ninis2.nisra.gov.uk/public/SearchResults.aspx?sk=DC3602NI;</v>
      </c>
      <c r="G288" s="57" t="s">
        <v>27</v>
      </c>
      <c r="H288" s="28" t="s">
        <v>1837</v>
      </c>
    </row>
    <row r="289" spans="1:8" ht="28" x14ac:dyDescent="0.25">
      <c r="A289" s="36">
        <f t="shared" si="7"/>
        <v>286</v>
      </c>
      <c r="B289" s="55" t="s">
        <v>570</v>
      </c>
      <c r="C289" s="67" t="s">
        <v>571</v>
      </c>
      <c r="D289" s="28" t="s">
        <v>873</v>
      </c>
      <c r="E289" s="36" t="s">
        <v>43</v>
      </c>
      <c r="F289" s="36" t="str">
        <f t="shared" si="8"/>
        <v>http://www.ninis2.nisra.gov.uk/public/SearchResults.aspx?sk=DC3603NI;</v>
      </c>
      <c r="G289" s="57" t="s">
        <v>27</v>
      </c>
      <c r="H289" s="28" t="s">
        <v>1825</v>
      </c>
    </row>
    <row r="290" spans="1:8" ht="28" x14ac:dyDescent="0.25">
      <c r="A290" s="36">
        <f t="shared" si="7"/>
        <v>287</v>
      </c>
      <c r="B290" s="55" t="s">
        <v>572</v>
      </c>
      <c r="C290" s="67" t="s">
        <v>573</v>
      </c>
      <c r="D290" s="28" t="s">
        <v>855</v>
      </c>
      <c r="E290" s="36" t="s">
        <v>1912</v>
      </c>
      <c r="F290" s="36" t="str">
        <f t="shared" si="8"/>
        <v>http://www.ninis2.nisra.gov.uk/public/SearchResults.aspx?sk=DC3604NI;</v>
      </c>
      <c r="G290" s="57" t="s">
        <v>27</v>
      </c>
      <c r="H290" s="28" t="s">
        <v>1825</v>
      </c>
    </row>
    <row r="291" spans="1:8" ht="28" x14ac:dyDescent="0.25">
      <c r="A291" s="36">
        <f t="shared" si="7"/>
        <v>288</v>
      </c>
      <c r="B291" s="55" t="s">
        <v>574</v>
      </c>
      <c r="C291" s="67" t="s">
        <v>575</v>
      </c>
      <c r="D291" s="28" t="s">
        <v>874</v>
      </c>
      <c r="E291" s="36" t="s">
        <v>43</v>
      </c>
      <c r="F291" s="36" t="str">
        <f t="shared" si="8"/>
        <v>http://www.ninis2.nisra.gov.uk/public/SearchResults.aspx?sk=DC3605NI;</v>
      </c>
      <c r="G291" s="57" t="s">
        <v>27</v>
      </c>
      <c r="H291" s="28" t="s">
        <v>1825</v>
      </c>
    </row>
    <row r="292" spans="1:8" ht="42" x14ac:dyDescent="0.3">
      <c r="A292" s="36">
        <f t="shared" si="7"/>
        <v>289</v>
      </c>
      <c r="B292" s="71" t="s">
        <v>576</v>
      </c>
      <c r="C292" s="72" t="s">
        <v>577</v>
      </c>
      <c r="D292" s="28" t="s">
        <v>856</v>
      </c>
      <c r="E292" s="37" t="s">
        <v>1915</v>
      </c>
      <c r="F292" s="36" t="str">
        <f t="shared" si="8"/>
        <v>http://www.ninis2.nisra.gov.uk/public/SearchResults.aspx?sk=DC3606NI;</v>
      </c>
      <c r="G292" s="57" t="s">
        <v>27</v>
      </c>
      <c r="H292" s="28" t="s">
        <v>1825</v>
      </c>
    </row>
    <row r="293" spans="1:8" ht="28" x14ac:dyDescent="0.25">
      <c r="A293" s="36">
        <f t="shared" si="7"/>
        <v>290</v>
      </c>
      <c r="B293" s="55" t="s">
        <v>578</v>
      </c>
      <c r="C293" s="67" t="s">
        <v>579</v>
      </c>
      <c r="D293" s="28" t="s">
        <v>794</v>
      </c>
      <c r="E293" s="36" t="s">
        <v>1912</v>
      </c>
      <c r="F293" s="36" t="str">
        <f t="shared" si="8"/>
        <v>http://www.ninis2.nisra.gov.uk/public/SearchResults.aspx?sk=DC4101NI;</v>
      </c>
      <c r="G293" s="57" t="s">
        <v>27</v>
      </c>
      <c r="H293" s="28" t="s">
        <v>1818</v>
      </c>
    </row>
    <row r="294" spans="1:8" ht="42" x14ac:dyDescent="0.3">
      <c r="A294" s="36">
        <f t="shared" si="7"/>
        <v>291</v>
      </c>
      <c r="B294" s="55" t="s">
        <v>580</v>
      </c>
      <c r="C294" s="67" t="s">
        <v>581</v>
      </c>
      <c r="D294" s="28" t="s">
        <v>795</v>
      </c>
      <c r="E294" s="37" t="s">
        <v>1915</v>
      </c>
      <c r="F294" s="36" t="str">
        <f t="shared" si="8"/>
        <v>http://www.ninis2.nisra.gov.uk/public/SearchResults.aspx?sk=DC4103NI;</v>
      </c>
      <c r="G294" s="57" t="s">
        <v>27</v>
      </c>
      <c r="H294" s="28" t="s">
        <v>1818</v>
      </c>
    </row>
    <row r="295" spans="1:8" ht="28" x14ac:dyDescent="0.25">
      <c r="A295" s="36">
        <f t="shared" si="7"/>
        <v>292</v>
      </c>
      <c r="B295" s="55" t="s">
        <v>582</v>
      </c>
      <c r="C295" s="67" t="s">
        <v>1559</v>
      </c>
      <c r="D295" s="28" t="s">
        <v>796</v>
      </c>
      <c r="E295" s="36" t="s">
        <v>1912</v>
      </c>
      <c r="F295" s="36" t="str">
        <f t="shared" si="8"/>
        <v>http://www.ninis2.nisra.gov.uk/public/SearchResults.aspx?sk=DC4104NI;</v>
      </c>
      <c r="G295" s="57" t="s">
        <v>27</v>
      </c>
      <c r="H295" s="28" t="s">
        <v>1846</v>
      </c>
    </row>
    <row r="296" spans="1:8" ht="28" x14ac:dyDescent="0.25">
      <c r="A296" s="36">
        <f t="shared" si="7"/>
        <v>293</v>
      </c>
      <c r="B296" s="55" t="s">
        <v>584</v>
      </c>
      <c r="C296" s="67" t="s">
        <v>555</v>
      </c>
      <c r="D296" s="28" t="s">
        <v>787</v>
      </c>
      <c r="E296" s="36" t="s">
        <v>43</v>
      </c>
      <c r="F296" s="36" t="str">
        <f t="shared" si="8"/>
        <v>http://www.ninis2.nisra.gov.uk/public/SearchResults.aspx?sk=DC4301NI;</v>
      </c>
      <c r="G296" s="57" t="s">
        <v>27</v>
      </c>
      <c r="H296" s="28" t="s">
        <v>1837</v>
      </c>
    </row>
    <row r="297" spans="1:8" ht="42" x14ac:dyDescent="0.25">
      <c r="A297" s="36">
        <f t="shared" si="7"/>
        <v>294</v>
      </c>
      <c r="B297" s="55" t="s">
        <v>585</v>
      </c>
      <c r="C297" s="67" t="s">
        <v>586</v>
      </c>
      <c r="D297" s="28" t="s">
        <v>797</v>
      </c>
      <c r="E297" s="36" t="s">
        <v>1912</v>
      </c>
      <c r="F297" s="36" t="str">
        <f t="shared" si="8"/>
        <v>http://www.ninis2.nisra.gov.uk/public/SearchResults.aspx?sk=DC4302NI;</v>
      </c>
      <c r="G297" s="57" t="s">
        <v>27</v>
      </c>
      <c r="H297" s="28" t="s">
        <v>1858</v>
      </c>
    </row>
    <row r="298" spans="1:8" ht="42" x14ac:dyDescent="0.25">
      <c r="A298" s="36">
        <f t="shared" si="7"/>
        <v>295</v>
      </c>
      <c r="B298" s="55" t="s">
        <v>587</v>
      </c>
      <c r="C298" s="67" t="s">
        <v>588</v>
      </c>
      <c r="D298" s="28" t="s">
        <v>798</v>
      </c>
      <c r="E298" s="36" t="s">
        <v>1912</v>
      </c>
      <c r="F298" s="36" t="str">
        <f t="shared" si="8"/>
        <v>http://www.ninis2.nisra.gov.uk/public/SearchResults.aspx?sk=DC4303NI;</v>
      </c>
      <c r="G298" s="57" t="s">
        <v>27</v>
      </c>
      <c r="H298" s="28" t="s">
        <v>1858</v>
      </c>
    </row>
    <row r="299" spans="1:8" ht="28" x14ac:dyDescent="0.25">
      <c r="A299" s="36">
        <f t="shared" si="7"/>
        <v>296</v>
      </c>
      <c r="B299" s="55" t="s">
        <v>589</v>
      </c>
      <c r="C299" s="67" t="s">
        <v>590</v>
      </c>
      <c r="D299" s="28" t="s">
        <v>799</v>
      </c>
      <c r="E299" s="36" t="s">
        <v>1912</v>
      </c>
      <c r="F299" s="36" t="str">
        <f t="shared" si="8"/>
        <v>http://www.ninis2.nisra.gov.uk/public/SearchResults.aspx?sk=DC4304NI;</v>
      </c>
      <c r="G299" s="57" t="s">
        <v>27</v>
      </c>
      <c r="H299" s="28" t="s">
        <v>1837</v>
      </c>
    </row>
    <row r="300" spans="1:8" ht="28" x14ac:dyDescent="0.25">
      <c r="A300" s="36">
        <f t="shared" si="7"/>
        <v>297</v>
      </c>
      <c r="B300" s="55" t="s">
        <v>591</v>
      </c>
      <c r="C300" s="67" t="s">
        <v>592</v>
      </c>
      <c r="D300" s="28" t="s">
        <v>800</v>
      </c>
      <c r="E300" s="36" t="s">
        <v>1912</v>
      </c>
      <c r="F300" s="36" t="str">
        <f t="shared" si="8"/>
        <v>http://www.ninis2.nisra.gov.uk/public/SearchResults.aspx?sk=DC4305NI;</v>
      </c>
      <c r="G300" s="57" t="s">
        <v>27</v>
      </c>
      <c r="H300" s="28" t="s">
        <v>1837</v>
      </c>
    </row>
    <row r="301" spans="1:8" ht="28" x14ac:dyDescent="0.25">
      <c r="A301" s="36">
        <f t="shared" si="7"/>
        <v>298</v>
      </c>
      <c r="B301" s="55" t="s">
        <v>593</v>
      </c>
      <c r="C301" s="67" t="s">
        <v>594</v>
      </c>
      <c r="D301" s="28" t="s">
        <v>801</v>
      </c>
      <c r="E301" s="36" t="s">
        <v>1912</v>
      </c>
      <c r="F301" s="36" t="str">
        <f t="shared" si="8"/>
        <v>http://www.ninis2.nisra.gov.uk/public/SearchResults.aspx?sk=DC4306NI;</v>
      </c>
      <c r="G301" s="57" t="s">
        <v>27</v>
      </c>
      <c r="H301" s="28" t="s">
        <v>1837</v>
      </c>
    </row>
    <row r="302" spans="1:8" ht="42" x14ac:dyDescent="0.3">
      <c r="A302" s="36">
        <f t="shared" si="7"/>
        <v>299</v>
      </c>
      <c r="B302" s="55" t="s">
        <v>595</v>
      </c>
      <c r="C302" s="67" t="s">
        <v>596</v>
      </c>
      <c r="D302" s="28" t="s">
        <v>802</v>
      </c>
      <c r="E302" s="37" t="s">
        <v>1915</v>
      </c>
      <c r="F302" s="36" t="str">
        <f t="shared" si="8"/>
        <v>http://www.ninis2.nisra.gov.uk/public/SearchResults.aspx?sk=DC4401NI;</v>
      </c>
      <c r="G302" s="57" t="s">
        <v>27</v>
      </c>
      <c r="H302" s="28" t="s">
        <v>1844</v>
      </c>
    </row>
    <row r="303" spans="1:8" ht="42" x14ac:dyDescent="0.3">
      <c r="A303" s="36">
        <f t="shared" si="7"/>
        <v>300</v>
      </c>
      <c r="B303" s="55" t="s">
        <v>597</v>
      </c>
      <c r="C303" s="67" t="s">
        <v>598</v>
      </c>
      <c r="D303" s="28" t="s">
        <v>803</v>
      </c>
      <c r="E303" s="37" t="s">
        <v>1915</v>
      </c>
      <c r="F303" s="36" t="str">
        <f t="shared" si="8"/>
        <v>http://www.ninis2.nisra.gov.uk/public/SearchResults.aspx?sk=DC4402NI;</v>
      </c>
      <c r="G303" s="57" t="s">
        <v>27</v>
      </c>
      <c r="H303" s="31" t="s">
        <v>1859</v>
      </c>
    </row>
    <row r="304" spans="1:8" ht="42" x14ac:dyDescent="0.3">
      <c r="A304" s="36">
        <f t="shared" si="7"/>
        <v>301</v>
      </c>
      <c r="B304" s="55" t="s">
        <v>599</v>
      </c>
      <c r="C304" s="67" t="s">
        <v>600</v>
      </c>
      <c r="D304" s="28" t="s">
        <v>804</v>
      </c>
      <c r="E304" s="37" t="s">
        <v>1915</v>
      </c>
      <c r="F304" s="36" t="str">
        <f t="shared" si="8"/>
        <v>http://www.ninis2.nisra.gov.uk/public/SearchResults.aspx?sk=DC4403NI;</v>
      </c>
      <c r="G304" s="57" t="s">
        <v>27</v>
      </c>
      <c r="H304" s="28" t="s">
        <v>1837</v>
      </c>
    </row>
    <row r="305" spans="1:8" ht="42" x14ac:dyDescent="0.3">
      <c r="A305" s="36">
        <f t="shared" si="7"/>
        <v>302</v>
      </c>
      <c r="B305" s="55" t="s">
        <v>601</v>
      </c>
      <c r="C305" s="67" t="s">
        <v>602</v>
      </c>
      <c r="D305" s="28" t="s">
        <v>805</v>
      </c>
      <c r="E305" s="37" t="s">
        <v>1915</v>
      </c>
      <c r="F305" s="36" t="str">
        <f t="shared" si="8"/>
        <v>http://www.ninis2.nisra.gov.uk/public/SearchResults.aspx?sk=DC4405NI;</v>
      </c>
      <c r="G305" s="57" t="s">
        <v>27</v>
      </c>
      <c r="H305" s="30" t="s">
        <v>1818</v>
      </c>
    </row>
    <row r="306" spans="1:8" ht="42" x14ac:dyDescent="0.3">
      <c r="A306" s="36">
        <f t="shared" si="7"/>
        <v>303</v>
      </c>
      <c r="B306" s="55" t="s">
        <v>603</v>
      </c>
      <c r="C306" s="67" t="s">
        <v>604</v>
      </c>
      <c r="D306" s="28" t="s">
        <v>806</v>
      </c>
      <c r="E306" s="37" t="s">
        <v>1915</v>
      </c>
      <c r="F306" s="36" t="str">
        <f t="shared" si="8"/>
        <v>http://www.ninis2.nisra.gov.uk/public/SearchResults.aspx?sk=DC4406NI;</v>
      </c>
      <c r="G306" s="57" t="s">
        <v>27</v>
      </c>
      <c r="H306" s="28" t="s">
        <v>1818</v>
      </c>
    </row>
    <row r="307" spans="1:8" ht="42" x14ac:dyDescent="0.3">
      <c r="A307" s="36">
        <f t="shared" si="7"/>
        <v>304</v>
      </c>
      <c r="B307" s="55" t="s">
        <v>605</v>
      </c>
      <c r="C307" s="67" t="s">
        <v>606</v>
      </c>
      <c r="D307" s="28" t="s">
        <v>807</v>
      </c>
      <c r="E307" s="37" t="s">
        <v>1915</v>
      </c>
      <c r="F307" s="36" t="str">
        <f t="shared" si="8"/>
        <v>http://www.ninis2.nisra.gov.uk/public/SearchResults.aspx?sk=DC4407NI;</v>
      </c>
      <c r="G307" s="57" t="s">
        <v>27</v>
      </c>
      <c r="H307" s="28" t="s">
        <v>1818</v>
      </c>
    </row>
    <row r="308" spans="1:8" x14ac:dyDescent="0.25">
      <c r="A308" s="36">
        <f t="shared" si="7"/>
        <v>305</v>
      </c>
      <c r="B308" s="55" t="s">
        <v>607</v>
      </c>
      <c r="C308" s="67" t="s">
        <v>608</v>
      </c>
      <c r="D308" s="28" t="s">
        <v>1465</v>
      </c>
      <c r="E308" s="36" t="s">
        <v>43</v>
      </c>
      <c r="F308" s="36" t="str">
        <f t="shared" si="8"/>
        <v>http://www.ninis2.nisra.gov.uk/public/SearchResults.aspx?sk=DC4408NI;</v>
      </c>
      <c r="G308" s="57" t="s">
        <v>27</v>
      </c>
      <c r="H308" s="28" t="s">
        <v>1818</v>
      </c>
    </row>
    <row r="309" spans="1:8" x14ac:dyDescent="0.25">
      <c r="A309" s="36">
        <f t="shared" si="7"/>
        <v>306</v>
      </c>
      <c r="B309" s="55" t="s">
        <v>609</v>
      </c>
      <c r="C309" s="67" t="s">
        <v>610</v>
      </c>
      <c r="D309" s="28" t="s">
        <v>808</v>
      </c>
      <c r="E309" s="36" t="s">
        <v>43</v>
      </c>
      <c r="F309" s="36" t="str">
        <f t="shared" si="8"/>
        <v>http://www.ninis2.nisra.gov.uk/public/SearchResults.aspx?sk=DC4409NI;</v>
      </c>
      <c r="G309" s="57" t="s">
        <v>27</v>
      </c>
      <c r="H309" s="28" t="s">
        <v>1818</v>
      </c>
    </row>
    <row r="310" spans="1:8" ht="42" x14ac:dyDescent="0.3">
      <c r="A310" s="36">
        <f t="shared" si="7"/>
        <v>307</v>
      </c>
      <c r="B310" s="55" t="s">
        <v>611</v>
      </c>
      <c r="C310" s="67" t="s">
        <v>612</v>
      </c>
      <c r="D310" s="28" t="s">
        <v>809</v>
      </c>
      <c r="E310" s="37" t="s">
        <v>1915</v>
      </c>
      <c r="F310" s="36" t="str">
        <f t="shared" si="8"/>
        <v>http://www.ninis2.nisra.gov.uk/public/SearchResults.aspx?sk=DC4410NI;</v>
      </c>
      <c r="G310" s="57" t="s">
        <v>27</v>
      </c>
      <c r="H310" s="28" t="s">
        <v>1818</v>
      </c>
    </row>
    <row r="311" spans="1:8" ht="28" x14ac:dyDescent="0.25">
      <c r="A311" s="36">
        <f t="shared" si="7"/>
        <v>308</v>
      </c>
      <c r="B311" s="55" t="s">
        <v>613</v>
      </c>
      <c r="C311" s="67" t="s">
        <v>614</v>
      </c>
      <c r="D311" s="28" t="s">
        <v>810</v>
      </c>
      <c r="E311" s="36" t="s">
        <v>1912</v>
      </c>
      <c r="F311" s="36" t="str">
        <f t="shared" si="8"/>
        <v>http://www.ninis2.nisra.gov.uk/public/SearchResults.aspx?sk=DC4413NI;</v>
      </c>
      <c r="G311" s="57" t="s">
        <v>27</v>
      </c>
      <c r="H311" s="28" t="s">
        <v>1837</v>
      </c>
    </row>
    <row r="312" spans="1:8" ht="42" x14ac:dyDescent="0.3">
      <c r="A312" s="36">
        <f t="shared" si="7"/>
        <v>309</v>
      </c>
      <c r="B312" s="55" t="s">
        <v>615</v>
      </c>
      <c r="C312" s="67" t="s">
        <v>616</v>
      </c>
      <c r="D312" s="28" t="s">
        <v>882</v>
      </c>
      <c r="E312" s="37" t="s">
        <v>1915</v>
      </c>
      <c r="F312" s="36" t="str">
        <f t="shared" si="8"/>
        <v>http://www.ninis2.nisra.gov.uk/public/SearchResults.aspx?sk=DC5101NI;</v>
      </c>
      <c r="G312" s="57" t="s">
        <v>27</v>
      </c>
      <c r="H312" s="28" t="s">
        <v>1816</v>
      </c>
    </row>
    <row r="313" spans="1:8" ht="42" x14ac:dyDescent="0.3">
      <c r="A313" s="36">
        <f t="shared" si="7"/>
        <v>310</v>
      </c>
      <c r="B313" s="55" t="s">
        <v>617</v>
      </c>
      <c r="C313" s="67" t="s">
        <v>618</v>
      </c>
      <c r="D313" s="28" t="s">
        <v>857</v>
      </c>
      <c r="E313" s="37" t="s">
        <v>1915</v>
      </c>
      <c r="F313" s="36" t="str">
        <f t="shared" si="8"/>
        <v>http://www.ninis2.nisra.gov.uk/public/SearchResults.aspx?sk=DC6101NI;</v>
      </c>
      <c r="G313" s="57" t="s">
        <v>27</v>
      </c>
      <c r="H313" s="28" t="s">
        <v>1825</v>
      </c>
    </row>
    <row r="314" spans="1:8" ht="42" x14ac:dyDescent="0.3">
      <c r="A314" s="36">
        <f t="shared" si="7"/>
        <v>311</v>
      </c>
      <c r="B314" s="55" t="s">
        <v>619</v>
      </c>
      <c r="C314" s="67" t="s">
        <v>620</v>
      </c>
      <c r="D314" s="28" t="s">
        <v>858</v>
      </c>
      <c r="E314" s="37" t="s">
        <v>1915</v>
      </c>
      <c r="F314" s="36" t="str">
        <f t="shared" si="8"/>
        <v>http://www.ninis2.nisra.gov.uk/public/SearchResults.aspx?sk=DC6102NI;</v>
      </c>
      <c r="G314" s="57" t="s">
        <v>27</v>
      </c>
      <c r="H314" s="28" t="s">
        <v>1860</v>
      </c>
    </row>
    <row r="315" spans="1:8" ht="42" x14ac:dyDescent="0.25">
      <c r="A315" s="36">
        <f t="shared" si="7"/>
        <v>312</v>
      </c>
      <c r="B315" s="55" t="s">
        <v>621</v>
      </c>
      <c r="C315" s="67" t="s">
        <v>622</v>
      </c>
      <c r="D315" s="28" t="s">
        <v>859</v>
      </c>
      <c r="E315" s="36" t="s">
        <v>1912</v>
      </c>
      <c r="F315" s="36" t="str">
        <f t="shared" si="8"/>
        <v>http://www.ninis2.nisra.gov.uk/public/SearchResults.aspx?sk=DC6104NI;</v>
      </c>
      <c r="G315" s="57" t="s">
        <v>27</v>
      </c>
      <c r="H315" s="28" t="s">
        <v>1861</v>
      </c>
    </row>
    <row r="316" spans="1:8" ht="42" x14ac:dyDescent="0.3">
      <c r="A316" s="36">
        <f t="shared" si="7"/>
        <v>313</v>
      </c>
      <c r="B316" s="55" t="s">
        <v>623</v>
      </c>
      <c r="C316" s="67" t="s">
        <v>624</v>
      </c>
      <c r="D316" s="28" t="s">
        <v>811</v>
      </c>
      <c r="E316" s="37" t="s">
        <v>1915</v>
      </c>
      <c r="F316" s="36" t="str">
        <f t="shared" si="8"/>
        <v>http://www.ninis2.nisra.gov.uk/public/SearchResults.aspx?sk=DC6105NI;</v>
      </c>
      <c r="G316" s="57" t="s">
        <v>27</v>
      </c>
      <c r="H316" s="28" t="s">
        <v>1828</v>
      </c>
    </row>
    <row r="317" spans="1:8" ht="28" x14ac:dyDescent="0.25">
      <c r="A317" s="36">
        <f t="shared" si="7"/>
        <v>314</v>
      </c>
      <c r="B317" s="55" t="s">
        <v>625</v>
      </c>
      <c r="C317" s="67" t="s">
        <v>626</v>
      </c>
      <c r="D317" s="28" t="s">
        <v>812</v>
      </c>
      <c r="E317" s="36" t="s">
        <v>1912</v>
      </c>
      <c r="F317" s="36" t="str">
        <f t="shared" si="8"/>
        <v>http://www.ninis2.nisra.gov.uk/public/SearchResults.aspx?sk=DC6106NI;</v>
      </c>
      <c r="G317" s="57" t="s">
        <v>27</v>
      </c>
      <c r="H317" s="28" t="s">
        <v>1828</v>
      </c>
    </row>
    <row r="318" spans="1:8" ht="28" x14ac:dyDescent="0.25">
      <c r="A318" s="36">
        <f t="shared" si="7"/>
        <v>315</v>
      </c>
      <c r="B318" s="55" t="s">
        <v>627</v>
      </c>
      <c r="C318" s="67" t="s">
        <v>628</v>
      </c>
      <c r="D318" s="28" t="s">
        <v>813</v>
      </c>
      <c r="E318" s="36" t="s">
        <v>1912</v>
      </c>
      <c r="F318" s="36" t="str">
        <f t="shared" si="8"/>
        <v>http://www.ninis2.nisra.gov.uk/public/SearchResults.aspx?sk=DC6107NI;</v>
      </c>
      <c r="G318" s="57" t="s">
        <v>27</v>
      </c>
      <c r="H318" s="28" t="s">
        <v>1862</v>
      </c>
    </row>
    <row r="319" spans="1:8" ht="28" x14ac:dyDescent="0.25">
      <c r="A319" s="36">
        <f t="shared" si="7"/>
        <v>316</v>
      </c>
      <c r="B319" s="55" t="s">
        <v>629</v>
      </c>
      <c r="C319" s="67" t="s">
        <v>630</v>
      </c>
      <c r="D319" s="28" t="s">
        <v>814</v>
      </c>
      <c r="E319" s="36" t="s">
        <v>1912</v>
      </c>
      <c r="F319" s="36" t="str">
        <f t="shared" si="8"/>
        <v>http://www.ninis2.nisra.gov.uk/public/SearchResults.aspx?sk=DC6108NI;</v>
      </c>
      <c r="G319" s="57" t="s">
        <v>27</v>
      </c>
      <c r="H319" s="28" t="s">
        <v>1828</v>
      </c>
    </row>
    <row r="320" spans="1:8" ht="28" x14ac:dyDescent="0.25">
      <c r="A320" s="36">
        <f t="shared" si="7"/>
        <v>317</v>
      </c>
      <c r="B320" s="55" t="s">
        <v>631</v>
      </c>
      <c r="C320" s="67" t="s">
        <v>632</v>
      </c>
      <c r="D320" s="28" t="s">
        <v>815</v>
      </c>
      <c r="E320" s="36" t="s">
        <v>1912</v>
      </c>
      <c r="F320" s="36" t="str">
        <f t="shared" si="8"/>
        <v>http://www.ninis2.nisra.gov.uk/public/SearchResults.aspx?sk=DC6109NI;</v>
      </c>
      <c r="G320" s="57" t="s">
        <v>27</v>
      </c>
      <c r="H320" s="28" t="s">
        <v>1863</v>
      </c>
    </row>
    <row r="321" spans="1:8" ht="28" x14ac:dyDescent="0.25">
      <c r="A321" s="36">
        <f t="shared" si="7"/>
        <v>318</v>
      </c>
      <c r="B321" s="55" t="s">
        <v>633</v>
      </c>
      <c r="C321" s="67" t="s">
        <v>634</v>
      </c>
      <c r="D321" s="28" t="s">
        <v>867</v>
      </c>
      <c r="E321" s="36" t="s">
        <v>1912</v>
      </c>
      <c r="F321" s="36" t="str">
        <f t="shared" si="8"/>
        <v>http://www.ninis2.nisra.gov.uk/public/SearchResults.aspx?sk=DC6110NI;</v>
      </c>
      <c r="G321" s="57" t="s">
        <v>27</v>
      </c>
      <c r="H321" s="28" t="s">
        <v>1825</v>
      </c>
    </row>
    <row r="322" spans="1:8" ht="42" x14ac:dyDescent="0.3">
      <c r="A322" s="36">
        <f t="shared" si="7"/>
        <v>319</v>
      </c>
      <c r="B322" s="55" t="s">
        <v>635</v>
      </c>
      <c r="C322" s="67" t="s">
        <v>636</v>
      </c>
      <c r="D322" s="28" t="s">
        <v>868</v>
      </c>
      <c r="E322" s="37" t="s">
        <v>1915</v>
      </c>
      <c r="F322" s="36" t="str">
        <f t="shared" si="8"/>
        <v>http://www.ninis2.nisra.gov.uk/public/SearchResults.aspx?sk=DC6111NI;</v>
      </c>
      <c r="G322" s="57" t="s">
        <v>27</v>
      </c>
      <c r="H322" s="28" t="s">
        <v>1847</v>
      </c>
    </row>
    <row r="323" spans="1:8" ht="42" x14ac:dyDescent="0.3">
      <c r="A323" s="36">
        <f t="shared" si="7"/>
        <v>320</v>
      </c>
      <c r="B323" s="55" t="s">
        <v>637</v>
      </c>
      <c r="C323" s="67" t="s">
        <v>638</v>
      </c>
      <c r="D323" s="28" t="s">
        <v>869</v>
      </c>
      <c r="E323" s="37" t="s">
        <v>1915</v>
      </c>
      <c r="F323" s="36" t="str">
        <f t="shared" si="8"/>
        <v>http://www.ninis2.nisra.gov.uk/public/SearchResults.aspx?sk=DC6112NI;</v>
      </c>
      <c r="G323" s="57" t="s">
        <v>27</v>
      </c>
      <c r="H323" s="28" t="s">
        <v>1847</v>
      </c>
    </row>
    <row r="324" spans="1:8" ht="70" x14ac:dyDescent="0.25">
      <c r="A324" s="36">
        <f t="shared" si="7"/>
        <v>321</v>
      </c>
      <c r="B324" s="55" t="s">
        <v>639</v>
      </c>
      <c r="C324" s="67" t="s">
        <v>640</v>
      </c>
      <c r="D324" s="28" t="s">
        <v>870</v>
      </c>
      <c r="E324" s="36" t="s">
        <v>43</v>
      </c>
      <c r="F324" s="36" t="str">
        <f t="shared" si="8"/>
        <v>http://www.ninis2.nisra.gov.uk/public/SearchResults.aspx?sk=DC6113NI;</v>
      </c>
      <c r="G324" s="57" t="s">
        <v>27</v>
      </c>
      <c r="H324" s="28" t="s">
        <v>1864</v>
      </c>
    </row>
    <row r="325" spans="1:8" ht="42" x14ac:dyDescent="0.3">
      <c r="A325" s="36">
        <f t="shared" ref="A325:A388" si="9">IF(AND(NOT(ISERR(FIND($L$4,D325))),NOT(ISERR(FIND($L$5,D325))),NOT(ISERR(FIND($L$6,D325))),NOT(ISERR(FIND($L$7,D325))) ),A324+1,A324)</f>
        <v>322</v>
      </c>
      <c r="B325" s="55" t="s">
        <v>641</v>
      </c>
      <c r="C325" s="67" t="s">
        <v>642</v>
      </c>
      <c r="D325" s="28" t="s">
        <v>816</v>
      </c>
      <c r="E325" s="37" t="s">
        <v>1915</v>
      </c>
      <c r="F325" s="36" t="str">
        <f t="shared" si="8"/>
        <v>http://www.ninis2.nisra.gov.uk/public/SearchResults.aspx?sk=DC6116NI;</v>
      </c>
      <c r="G325" s="57" t="s">
        <v>27</v>
      </c>
      <c r="H325" s="28" t="s">
        <v>1816</v>
      </c>
    </row>
    <row r="326" spans="1:8" ht="28" x14ac:dyDescent="0.25">
      <c r="A326" s="36">
        <f t="shared" si="9"/>
        <v>323</v>
      </c>
      <c r="B326" s="61" t="s">
        <v>1720</v>
      </c>
      <c r="C326" s="28" t="s">
        <v>1721</v>
      </c>
      <c r="D326" s="28" t="s">
        <v>1773</v>
      </c>
      <c r="E326" s="36" t="s">
        <v>1912</v>
      </c>
      <c r="F326" s="36" t="str">
        <f t="shared" si="8"/>
        <v>http://www.ninis2.nisra.gov.uk/public/SearchResults.aspx?sk=DC6117NI;</v>
      </c>
      <c r="H326" s="28" t="s">
        <v>1865</v>
      </c>
    </row>
    <row r="327" spans="1:8" ht="28" x14ac:dyDescent="0.25">
      <c r="A327" s="36">
        <f t="shared" si="9"/>
        <v>324</v>
      </c>
      <c r="B327" s="61" t="s">
        <v>1722</v>
      </c>
      <c r="C327" s="28" t="s">
        <v>1723</v>
      </c>
      <c r="D327" s="28" t="s">
        <v>1782</v>
      </c>
      <c r="E327" s="36" t="s">
        <v>1912</v>
      </c>
      <c r="F327" s="36" t="str">
        <f t="shared" si="8"/>
        <v>http://www.ninis2.nisra.gov.uk/public/SearchResults.aspx?sk=DC6118NI;</v>
      </c>
      <c r="H327" s="28" t="s">
        <v>1865</v>
      </c>
    </row>
    <row r="328" spans="1:8" ht="28" x14ac:dyDescent="0.25">
      <c r="A328" s="36">
        <f t="shared" si="9"/>
        <v>325</v>
      </c>
      <c r="B328" s="61" t="s">
        <v>1724</v>
      </c>
      <c r="C328" s="28" t="s">
        <v>1725</v>
      </c>
      <c r="D328" s="28" t="s">
        <v>1783</v>
      </c>
      <c r="E328" s="36" t="s">
        <v>1912</v>
      </c>
      <c r="F328" s="36" t="str">
        <f t="shared" si="8"/>
        <v>http://www.ninis2.nisra.gov.uk/public/SearchResults.aspx?sk=DC6119NI;</v>
      </c>
      <c r="H328" s="28" t="s">
        <v>1852</v>
      </c>
    </row>
    <row r="329" spans="1:8" ht="28" x14ac:dyDescent="0.25">
      <c r="A329" s="36">
        <f t="shared" si="9"/>
        <v>326</v>
      </c>
      <c r="B329" s="61" t="s">
        <v>1726</v>
      </c>
      <c r="C329" s="28" t="s">
        <v>1727</v>
      </c>
      <c r="D329" s="28" t="s">
        <v>1774</v>
      </c>
      <c r="E329" s="36" t="s">
        <v>1912</v>
      </c>
      <c r="F329" s="36" t="str">
        <f t="shared" si="8"/>
        <v>http://www.ninis2.nisra.gov.uk/public/SearchResults.aspx?sk=DC6120NI;</v>
      </c>
      <c r="H329" s="28" t="s">
        <v>1852</v>
      </c>
    </row>
    <row r="330" spans="1:8" ht="28" x14ac:dyDescent="0.25">
      <c r="A330" s="36">
        <f t="shared" si="9"/>
        <v>327</v>
      </c>
      <c r="B330" s="55" t="s">
        <v>643</v>
      </c>
      <c r="C330" s="67" t="s">
        <v>644</v>
      </c>
      <c r="D330" s="28" t="s">
        <v>840</v>
      </c>
      <c r="E330" s="36" t="s">
        <v>1912</v>
      </c>
      <c r="F330" s="36" t="str">
        <f t="shared" si="8"/>
        <v>http://www.ninis2.nisra.gov.uk/public/SearchResults.aspx?sk=DC6201NI;</v>
      </c>
      <c r="G330" s="57" t="s">
        <v>27</v>
      </c>
      <c r="H330" s="28" t="s">
        <v>1816</v>
      </c>
    </row>
    <row r="331" spans="1:8" ht="42" x14ac:dyDescent="0.3">
      <c r="A331" s="36">
        <f t="shared" si="9"/>
        <v>328</v>
      </c>
      <c r="B331" s="55" t="s">
        <v>645</v>
      </c>
      <c r="C331" s="67" t="s">
        <v>1557</v>
      </c>
      <c r="D331" s="28" t="s">
        <v>1223</v>
      </c>
      <c r="E331" s="37" t="s">
        <v>1915</v>
      </c>
      <c r="F331" s="36" t="str">
        <f t="shared" si="8"/>
        <v>http://www.ninis2.nisra.gov.uk/public/SearchResults.aspx?sk=DC6202NI;</v>
      </c>
      <c r="G331" s="57" t="s">
        <v>27</v>
      </c>
      <c r="H331" s="28" t="s">
        <v>1816</v>
      </c>
    </row>
    <row r="332" spans="1:8" ht="28" x14ac:dyDescent="0.25">
      <c r="A332" s="36">
        <f t="shared" si="9"/>
        <v>329</v>
      </c>
      <c r="B332" s="61" t="s">
        <v>1728</v>
      </c>
      <c r="C332" s="28" t="s">
        <v>1729</v>
      </c>
      <c r="D332" s="28" t="s">
        <v>1775</v>
      </c>
      <c r="E332" s="36" t="s">
        <v>1912</v>
      </c>
      <c r="F332" s="36" t="str">
        <f t="shared" si="8"/>
        <v>http://www.ninis2.nisra.gov.uk/public/SearchResults.aspx?sk=DC6203NI;</v>
      </c>
      <c r="H332" s="31" t="s">
        <v>1865</v>
      </c>
    </row>
    <row r="333" spans="1:8" ht="28" x14ac:dyDescent="0.25">
      <c r="A333" s="36">
        <f t="shared" si="9"/>
        <v>330</v>
      </c>
      <c r="B333" s="61" t="s">
        <v>1730</v>
      </c>
      <c r="C333" s="28" t="s">
        <v>1731</v>
      </c>
      <c r="D333" s="28" t="s">
        <v>1784</v>
      </c>
      <c r="E333" s="36" t="s">
        <v>1912</v>
      </c>
      <c r="F333" s="36" t="str">
        <f t="shared" ref="F333:F396" si="10">"http://www.ninis2.nisra.gov.uk/public/SearchResults.aspx?sk="&amp;B333&amp;";"</f>
        <v>http://www.ninis2.nisra.gov.uk/public/SearchResults.aspx?sk=DC6204NI;</v>
      </c>
      <c r="H333" s="31" t="s">
        <v>1865</v>
      </c>
    </row>
    <row r="334" spans="1:8" ht="28" x14ac:dyDescent="0.25">
      <c r="A334" s="36">
        <f t="shared" si="9"/>
        <v>331</v>
      </c>
      <c r="B334" s="61" t="s">
        <v>1732</v>
      </c>
      <c r="C334" s="28" t="s">
        <v>1733</v>
      </c>
      <c r="D334" s="28" t="s">
        <v>1776</v>
      </c>
      <c r="E334" s="36" t="s">
        <v>1912</v>
      </c>
      <c r="F334" s="36" t="str">
        <f t="shared" si="10"/>
        <v>http://www.ninis2.nisra.gov.uk/public/SearchResults.aspx?sk=DC6205NI;</v>
      </c>
      <c r="H334" s="31" t="s">
        <v>1865</v>
      </c>
    </row>
    <row r="335" spans="1:8" ht="28" x14ac:dyDescent="0.25">
      <c r="A335" s="36">
        <f t="shared" si="9"/>
        <v>332</v>
      </c>
      <c r="B335" s="61" t="s">
        <v>1734</v>
      </c>
      <c r="C335" s="28" t="s">
        <v>1735</v>
      </c>
      <c r="D335" s="28" t="s">
        <v>1791</v>
      </c>
      <c r="E335" s="36" t="s">
        <v>1912</v>
      </c>
      <c r="F335" s="36" t="str">
        <f t="shared" si="10"/>
        <v>http://www.ninis2.nisra.gov.uk/public/SearchResults.aspx?sk=DC6206NI;</v>
      </c>
      <c r="H335" s="31" t="s">
        <v>1865</v>
      </c>
    </row>
    <row r="336" spans="1:8" ht="42" x14ac:dyDescent="0.3">
      <c r="A336" s="36">
        <f t="shared" si="9"/>
        <v>333</v>
      </c>
      <c r="B336" s="55" t="s">
        <v>647</v>
      </c>
      <c r="C336" s="67" t="s">
        <v>648</v>
      </c>
      <c r="D336" s="28" t="s">
        <v>817</v>
      </c>
      <c r="E336" s="37" t="s">
        <v>1915</v>
      </c>
      <c r="F336" s="36" t="str">
        <f t="shared" si="10"/>
        <v>http://www.ninis2.nisra.gov.uk/public/SearchResults.aspx?sk=DC6301NI;</v>
      </c>
      <c r="G336" s="57" t="s">
        <v>27</v>
      </c>
      <c r="H336" s="28" t="s">
        <v>1816</v>
      </c>
    </row>
    <row r="337" spans="1:8" ht="42" x14ac:dyDescent="0.3">
      <c r="A337" s="36">
        <f t="shared" si="9"/>
        <v>334</v>
      </c>
      <c r="B337" s="55" t="s">
        <v>649</v>
      </c>
      <c r="C337" s="67" t="s">
        <v>650</v>
      </c>
      <c r="D337" s="28" t="s">
        <v>818</v>
      </c>
      <c r="E337" s="37" t="s">
        <v>1915</v>
      </c>
      <c r="F337" s="36" t="str">
        <f t="shared" si="10"/>
        <v>http://www.ninis2.nisra.gov.uk/public/SearchResults.aspx?sk=DC6302NI;</v>
      </c>
      <c r="G337" s="57" t="s">
        <v>27</v>
      </c>
      <c r="H337" s="28" t="s">
        <v>1816</v>
      </c>
    </row>
    <row r="338" spans="1:8" ht="42" x14ac:dyDescent="0.3">
      <c r="A338" s="36">
        <f t="shared" si="9"/>
        <v>335</v>
      </c>
      <c r="B338" s="55" t="s">
        <v>651</v>
      </c>
      <c r="C338" s="67" t="s">
        <v>652</v>
      </c>
      <c r="D338" s="28" t="s">
        <v>861</v>
      </c>
      <c r="E338" s="37" t="s">
        <v>1915</v>
      </c>
      <c r="F338" s="36" t="str">
        <f t="shared" si="10"/>
        <v>http://www.ninis2.nisra.gov.uk/public/SearchResults.aspx?sk=DC6401NI;</v>
      </c>
      <c r="G338" s="57" t="s">
        <v>27</v>
      </c>
      <c r="H338" s="28" t="s">
        <v>1866</v>
      </c>
    </row>
    <row r="339" spans="1:8" ht="42" x14ac:dyDescent="0.3">
      <c r="A339" s="36">
        <f t="shared" si="9"/>
        <v>336</v>
      </c>
      <c r="B339" s="55" t="s">
        <v>653</v>
      </c>
      <c r="C339" s="67" t="s">
        <v>654</v>
      </c>
      <c r="D339" s="28" t="s">
        <v>862</v>
      </c>
      <c r="E339" s="37" t="s">
        <v>1915</v>
      </c>
      <c r="F339" s="36" t="str">
        <f t="shared" si="10"/>
        <v>http://www.ninis2.nisra.gov.uk/public/SearchResults.aspx?sk=DC6402NI;</v>
      </c>
      <c r="G339" s="57" t="s">
        <v>27</v>
      </c>
      <c r="H339" s="28" t="s">
        <v>1860</v>
      </c>
    </row>
    <row r="340" spans="1:8" ht="42" x14ac:dyDescent="0.3">
      <c r="A340" s="36">
        <f t="shared" si="9"/>
        <v>337</v>
      </c>
      <c r="B340" s="55" t="s">
        <v>655</v>
      </c>
      <c r="C340" s="67" t="s">
        <v>656</v>
      </c>
      <c r="D340" s="28" t="s">
        <v>864</v>
      </c>
      <c r="E340" s="37" t="s">
        <v>1915</v>
      </c>
      <c r="F340" s="36" t="str">
        <f t="shared" si="10"/>
        <v>http://www.ninis2.nisra.gov.uk/public/SearchResults.aspx?sk=DC6403NI;</v>
      </c>
      <c r="G340" s="57" t="s">
        <v>27</v>
      </c>
      <c r="H340" s="28" t="s">
        <v>1847</v>
      </c>
    </row>
    <row r="341" spans="1:8" ht="28" x14ac:dyDescent="0.25">
      <c r="A341" s="36">
        <f t="shared" si="9"/>
        <v>338</v>
      </c>
      <c r="B341" s="55" t="s">
        <v>657</v>
      </c>
      <c r="C341" s="67" t="s">
        <v>52</v>
      </c>
      <c r="D341" s="28" t="s">
        <v>865</v>
      </c>
      <c r="E341" s="36" t="s">
        <v>1912</v>
      </c>
      <c r="F341" s="36" t="str">
        <f t="shared" si="10"/>
        <v>http://www.ninis2.nisra.gov.uk/public/SearchResults.aspx?sk=DC6404NI;</v>
      </c>
      <c r="H341" s="28" t="s">
        <v>1867</v>
      </c>
    </row>
    <row r="342" spans="1:8" ht="28" x14ac:dyDescent="0.25">
      <c r="A342" s="36">
        <f t="shared" si="9"/>
        <v>339</v>
      </c>
      <c r="B342" s="61" t="s">
        <v>1736</v>
      </c>
      <c r="C342" s="28" t="s">
        <v>1737</v>
      </c>
      <c r="D342" s="28" t="s">
        <v>1777</v>
      </c>
      <c r="E342" s="36" t="s">
        <v>1912</v>
      </c>
      <c r="F342" s="36" t="str">
        <f t="shared" si="10"/>
        <v>http://www.ninis2.nisra.gov.uk/public/SearchResults.aspx?sk=DC6405NI;</v>
      </c>
      <c r="H342" s="28" t="s">
        <v>1865</v>
      </c>
    </row>
    <row r="343" spans="1:8" ht="28" x14ac:dyDescent="0.25">
      <c r="A343" s="36">
        <f t="shared" si="9"/>
        <v>340</v>
      </c>
      <c r="B343" s="55" t="s">
        <v>658</v>
      </c>
      <c r="C343" s="67" t="s">
        <v>659</v>
      </c>
      <c r="D343" s="28" t="s">
        <v>884</v>
      </c>
      <c r="E343" s="36" t="s">
        <v>43</v>
      </c>
      <c r="F343" s="36" t="str">
        <f t="shared" si="10"/>
        <v>http://www.ninis2.nisra.gov.uk/public/SearchResults.aspx?sk=DC6501NI;</v>
      </c>
      <c r="G343" s="57" t="s">
        <v>27</v>
      </c>
      <c r="H343" s="28" t="s">
        <v>1825</v>
      </c>
    </row>
    <row r="344" spans="1:8" ht="28" x14ac:dyDescent="0.25">
      <c r="A344" s="36">
        <f t="shared" si="9"/>
        <v>341</v>
      </c>
      <c r="B344" s="55" t="s">
        <v>660</v>
      </c>
      <c r="C344" s="67" t="s">
        <v>661</v>
      </c>
      <c r="D344" s="28" t="s">
        <v>883</v>
      </c>
      <c r="E344" s="36" t="s">
        <v>43</v>
      </c>
      <c r="F344" s="36" t="str">
        <f t="shared" si="10"/>
        <v>http://www.ninis2.nisra.gov.uk/public/SearchResults.aspx?sk=DC6504NI;</v>
      </c>
      <c r="H344" s="30" t="s">
        <v>1825</v>
      </c>
    </row>
    <row r="345" spans="1:8" ht="28" x14ac:dyDescent="0.25">
      <c r="A345" s="36">
        <f t="shared" si="9"/>
        <v>342</v>
      </c>
      <c r="B345" s="55" t="s">
        <v>662</v>
      </c>
      <c r="C345" s="67" t="s">
        <v>663</v>
      </c>
      <c r="D345" s="28" t="s">
        <v>885</v>
      </c>
      <c r="E345" s="36" t="s">
        <v>43</v>
      </c>
      <c r="F345" s="36" t="str">
        <f t="shared" si="10"/>
        <v>http://www.ninis2.nisra.gov.uk/public/SearchResults.aspx?sk=DC6505NI;</v>
      </c>
      <c r="H345" s="30" t="s">
        <v>1849</v>
      </c>
    </row>
    <row r="346" spans="1:8" ht="42" x14ac:dyDescent="0.3">
      <c r="A346" s="36">
        <f t="shared" si="9"/>
        <v>343</v>
      </c>
      <c r="B346" s="55" t="s">
        <v>664</v>
      </c>
      <c r="C346" s="67" t="s">
        <v>665</v>
      </c>
      <c r="D346" s="28" t="s">
        <v>886</v>
      </c>
      <c r="E346" s="37" t="s">
        <v>1915</v>
      </c>
      <c r="F346" s="36" t="str">
        <f t="shared" si="10"/>
        <v>http://www.ninis2.nisra.gov.uk/public/SearchResults.aspx?sk=DC6506NI;</v>
      </c>
      <c r="H346" s="30" t="s">
        <v>1816</v>
      </c>
    </row>
    <row r="347" spans="1:8" ht="28" x14ac:dyDescent="0.25">
      <c r="A347" s="36">
        <f t="shared" si="9"/>
        <v>344</v>
      </c>
      <c r="B347" s="55" t="s">
        <v>666</v>
      </c>
      <c r="C347" s="67" t="s">
        <v>667</v>
      </c>
      <c r="D347" s="28" t="s">
        <v>860</v>
      </c>
      <c r="E347" s="36" t="s">
        <v>43</v>
      </c>
      <c r="F347" s="36" t="str">
        <f t="shared" si="10"/>
        <v>http://www.ninis2.nisra.gov.uk/public/SearchResults.aspx?sk=DC6601NI;</v>
      </c>
      <c r="H347" s="28" t="s">
        <v>1825</v>
      </c>
    </row>
    <row r="348" spans="1:8" ht="42" x14ac:dyDescent="0.25">
      <c r="A348" s="36">
        <f t="shared" si="9"/>
        <v>345</v>
      </c>
      <c r="B348" s="55" t="s">
        <v>668</v>
      </c>
      <c r="C348" s="67" t="s">
        <v>669</v>
      </c>
      <c r="D348" s="28" t="s">
        <v>866</v>
      </c>
      <c r="E348" s="36" t="s">
        <v>1912</v>
      </c>
      <c r="F348" s="36" t="str">
        <f t="shared" si="10"/>
        <v>http://www.ninis2.nisra.gov.uk/public/SearchResults.aspx?sk=DC6602NI;</v>
      </c>
      <c r="H348" s="28" t="s">
        <v>1825</v>
      </c>
    </row>
    <row r="349" spans="1:8" ht="28" x14ac:dyDescent="0.25">
      <c r="A349" s="36">
        <f t="shared" si="9"/>
        <v>346</v>
      </c>
      <c r="B349" s="55" t="s">
        <v>670</v>
      </c>
      <c r="C349" s="67" t="s">
        <v>671</v>
      </c>
      <c r="D349" s="28" t="s">
        <v>819</v>
      </c>
      <c r="E349" s="36" t="s">
        <v>43</v>
      </c>
      <c r="F349" s="36" t="str">
        <f t="shared" si="10"/>
        <v>http://www.ninis2.nisra.gov.uk/public/SearchResults.aspx?sk=DC6603NI;</v>
      </c>
      <c r="H349" s="32" t="s">
        <v>1828</v>
      </c>
    </row>
    <row r="350" spans="1:8" ht="28" x14ac:dyDescent="0.25">
      <c r="A350" s="36">
        <f t="shared" si="9"/>
        <v>347</v>
      </c>
      <c r="B350" s="55" t="s">
        <v>672</v>
      </c>
      <c r="C350" s="67" t="s">
        <v>673</v>
      </c>
      <c r="D350" s="28" t="s">
        <v>820</v>
      </c>
      <c r="E350" s="36" t="s">
        <v>43</v>
      </c>
      <c r="F350" s="36" t="str">
        <f t="shared" si="10"/>
        <v>http://www.ninis2.nisra.gov.uk/public/SearchResults.aspx?sk=DC6604NI;</v>
      </c>
      <c r="H350" s="28" t="s">
        <v>1828</v>
      </c>
    </row>
    <row r="351" spans="1:8" ht="28" x14ac:dyDescent="0.25">
      <c r="A351" s="36">
        <f t="shared" si="9"/>
        <v>348</v>
      </c>
      <c r="B351" s="55" t="s">
        <v>674</v>
      </c>
      <c r="C351" s="67" t="s">
        <v>54</v>
      </c>
      <c r="D351" s="28" t="s">
        <v>821</v>
      </c>
      <c r="E351" s="36" t="s">
        <v>1912</v>
      </c>
      <c r="F351" s="36" t="str">
        <f t="shared" si="10"/>
        <v>http://www.ninis2.nisra.gov.uk/public/SearchResults.aspx?sk=DC6605NI;</v>
      </c>
      <c r="H351" s="30" t="s">
        <v>1828</v>
      </c>
    </row>
    <row r="352" spans="1:8" ht="28" x14ac:dyDescent="0.25">
      <c r="A352" s="36">
        <f t="shared" si="9"/>
        <v>349</v>
      </c>
      <c r="B352" s="55" t="s">
        <v>675</v>
      </c>
      <c r="C352" s="67" t="s">
        <v>676</v>
      </c>
      <c r="D352" s="28" t="s">
        <v>822</v>
      </c>
      <c r="E352" s="36" t="s">
        <v>43</v>
      </c>
      <c r="F352" s="36" t="str">
        <f t="shared" si="10"/>
        <v>http://www.ninis2.nisra.gov.uk/public/SearchResults.aspx?sk=DC6606NI;</v>
      </c>
      <c r="H352" s="28" t="s">
        <v>1828</v>
      </c>
    </row>
    <row r="353" spans="1:8" ht="42" x14ac:dyDescent="0.3">
      <c r="A353" s="36">
        <f t="shared" si="9"/>
        <v>350</v>
      </c>
      <c r="B353" s="55" t="s">
        <v>677</v>
      </c>
      <c r="C353" s="67" t="s">
        <v>678</v>
      </c>
      <c r="D353" s="28" t="s">
        <v>863</v>
      </c>
      <c r="E353" s="37" t="s">
        <v>1915</v>
      </c>
      <c r="F353" s="36" t="str">
        <f t="shared" si="10"/>
        <v>http://www.ninis2.nisra.gov.uk/public/SearchResults.aspx?sk=DC6607NI;</v>
      </c>
      <c r="H353" s="28" t="s">
        <v>1825</v>
      </c>
    </row>
    <row r="354" spans="1:8" ht="42" x14ac:dyDescent="0.25">
      <c r="A354" s="36">
        <f t="shared" si="9"/>
        <v>351</v>
      </c>
      <c r="B354" s="55" t="s">
        <v>1563</v>
      </c>
      <c r="C354" s="67" t="s">
        <v>1564</v>
      </c>
      <c r="D354" s="28" t="s">
        <v>1565</v>
      </c>
      <c r="E354" s="36" t="s">
        <v>1912</v>
      </c>
      <c r="F354" s="36" t="str">
        <f t="shared" si="10"/>
        <v>http://www.ninis2.nisra.gov.uk/public/SearchResults.aspx?sk=DC7101NI;</v>
      </c>
      <c r="H354" s="31" t="s">
        <v>1833</v>
      </c>
    </row>
    <row r="355" spans="1:8" ht="42" x14ac:dyDescent="0.25">
      <c r="A355" s="36">
        <f t="shared" si="9"/>
        <v>352</v>
      </c>
      <c r="B355" s="55" t="s">
        <v>1566</v>
      </c>
      <c r="C355" s="67" t="s">
        <v>1567</v>
      </c>
      <c r="D355" s="28" t="s">
        <v>1568</v>
      </c>
      <c r="E355" s="36" t="s">
        <v>1912</v>
      </c>
      <c r="F355" s="36" t="str">
        <f t="shared" si="10"/>
        <v>http://www.ninis2.nisra.gov.uk/public/SearchResults.aspx?sk=DC7102NI;</v>
      </c>
      <c r="H355" s="31" t="s">
        <v>1833</v>
      </c>
    </row>
    <row r="356" spans="1:8" ht="28" x14ac:dyDescent="0.25">
      <c r="A356" s="36">
        <f t="shared" si="9"/>
        <v>353</v>
      </c>
      <c r="B356" s="55" t="s">
        <v>1569</v>
      </c>
      <c r="C356" s="67" t="s">
        <v>1570</v>
      </c>
      <c r="D356" s="28" t="s">
        <v>1571</v>
      </c>
      <c r="E356" s="36" t="s">
        <v>1912</v>
      </c>
      <c r="F356" s="36" t="str">
        <f t="shared" si="10"/>
        <v>http://www.ninis2.nisra.gov.uk/public/SearchResults.aspx?sk=DC7103NI;</v>
      </c>
      <c r="H356" s="30" t="s">
        <v>1868</v>
      </c>
    </row>
    <row r="357" spans="1:8" ht="28" x14ac:dyDescent="0.25">
      <c r="A357" s="36">
        <f t="shared" si="9"/>
        <v>354</v>
      </c>
      <c r="B357" s="55" t="s">
        <v>1572</v>
      </c>
      <c r="C357" s="67" t="s">
        <v>1573</v>
      </c>
      <c r="D357" s="28" t="s">
        <v>1574</v>
      </c>
      <c r="E357" s="36" t="s">
        <v>1912</v>
      </c>
      <c r="F357" s="36" t="str">
        <f t="shared" si="10"/>
        <v>http://www.ninis2.nisra.gov.uk/public/SearchResults.aspx?sk=DC7104NI;</v>
      </c>
      <c r="H357" s="30" t="s">
        <v>1868</v>
      </c>
    </row>
    <row r="358" spans="1:8" ht="42" x14ac:dyDescent="0.25">
      <c r="A358" s="36">
        <f t="shared" si="9"/>
        <v>355</v>
      </c>
      <c r="B358" s="55" t="s">
        <v>1575</v>
      </c>
      <c r="C358" s="67" t="s">
        <v>1576</v>
      </c>
      <c r="D358" s="28" t="s">
        <v>1577</v>
      </c>
      <c r="E358" s="36" t="s">
        <v>43</v>
      </c>
      <c r="F358" s="36" t="str">
        <f t="shared" si="10"/>
        <v>http://www.ninis2.nisra.gov.uk/public/SearchResults.aspx?sk=DC7201NI;</v>
      </c>
      <c r="H358" s="30" t="s">
        <v>1869</v>
      </c>
    </row>
    <row r="359" spans="1:8" ht="42" x14ac:dyDescent="0.25">
      <c r="A359" s="36">
        <f t="shared" si="9"/>
        <v>356</v>
      </c>
      <c r="B359" s="55" t="s">
        <v>1578</v>
      </c>
      <c r="C359" s="67" t="s">
        <v>1579</v>
      </c>
      <c r="D359" s="28" t="s">
        <v>1580</v>
      </c>
      <c r="E359" s="36" t="s">
        <v>43</v>
      </c>
      <c r="F359" s="36" t="str">
        <f t="shared" si="10"/>
        <v>http://www.ninis2.nisra.gov.uk/public/SearchResults.aspx?sk=DC7202NI;</v>
      </c>
      <c r="H359" s="30" t="s">
        <v>1869</v>
      </c>
    </row>
    <row r="360" spans="1:8" ht="42" x14ac:dyDescent="0.25">
      <c r="A360" s="36">
        <f t="shared" si="9"/>
        <v>357</v>
      </c>
      <c r="B360" s="55" t="s">
        <v>1581</v>
      </c>
      <c r="C360" s="67" t="s">
        <v>1582</v>
      </c>
      <c r="D360" s="28" t="s">
        <v>1583</v>
      </c>
      <c r="E360" s="36" t="s">
        <v>1912</v>
      </c>
      <c r="F360" s="36" t="str">
        <f t="shared" si="10"/>
        <v>http://www.ninis2.nisra.gov.uk/public/SearchResults.aspx?sk=DC7203NI;</v>
      </c>
      <c r="H360" s="30" t="s">
        <v>1869</v>
      </c>
    </row>
    <row r="361" spans="1:8" ht="42" x14ac:dyDescent="0.25">
      <c r="A361" s="36">
        <f t="shared" si="9"/>
        <v>358</v>
      </c>
      <c r="B361" s="55" t="s">
        <v>1584</v>
      </c>
      <c r="C361" s="67" t="s">
        <v>1585</v>
      </c>
      <c r="D361" s="28" t="s">
        <v>1586</v>
      </c>
      <c r="E361" s="36" t="s">
        <v>1912</v>
      </c>
      <c r="F361" s="36" t="str">
        <f t="shared" si="10"/>
        <v>http://www.ninis2.nisra.gov.uk/public/SearchResults.aspx?sk=DC7204NI;</v>
      </c>
      <c r="H361" s="30" t="s">
        <v>1833</v>
      </c>
    </row>
    <row r="362" spans="1:8" ht="28" x14ac:dyDescent="0.25">
      <c r="A362" s="36">
        <f t="shared" si="9"/>
        <v>359</v>
      </c>
      <c r="B362" s="55" t="s">
        <v>1587</v>
      </c>
      <c r="C362" s="67" t="s">
        <v>1588</v>
      </c>
      <c r="D362" s="28" t="s">
        <v>1589</v>
      </c>
      <c r="E362" s="36" t="s">
        <v>1912</v>
      </c>
      <c r="F362" s="36" t="str">
        <f t="shared" si="10"/>
        <v>http://www.ninis2.nisra.gov.uk/public/SearchResults.aspx?sk=DC7205NI;</v>
      </c>
      <c r="H362" s="30" t="s">
        <v>1868</v>
      </c>
    </row>
    <row r="363" spans="1:8" ht="28" x14ac:dyDescent="0.25">
      <c r="A363" s="36">
        <f t="shared" si="9"/>
        <v>360</v>
      </c>
      <c r="B363" s="55" t="s">
        <v>1590</v>
      </c>
      <c r="C363" s="67" t="s">
        <v>1707</v>
      </c>
      <c r="D363" s="28" t="s">
        <v>1708</v>
      </c>
      <c r="E363" s="36" t="s">
        <v>1912</v>
      </c>
      <c r="F363" s="36" t="str">
        <f t="shared" si="10"/>
        <v>http://www.ninis2.nisra.gov.uk/public/SearchResults.aspx?sk=DC7206NI;</v>
      </c>
      <c r="H363" s="30" t="s">
        <v>1868</v>
      </c>
    </row>
    <row r="364" spans="1:8" ht="42" x14ac:dyDescent="0.25">
      <c r="A364" s="36">
        <f t="shared" si="9"/>
        <v>361</v>
      </c>
      <c r="B364" s="55" t="s">
        <v>1591</v>
      </c>
      <c r="C364" s="67" t="s">
        <v>1592</v>
      </c>
      <c r="D364" s="28" t="s">
        <v>1593</v>
      </c>
      <c r="E364" s="36" t="s">
        <v>1912</v>
      </c>
      <c r="F364" s="36" t="str">
        <f t="shared" si="10"/>
        <v>http://www.ninis2.nisra.gov.uk/public/SearchResults.aspx?sk=DC7301NI;</v>
      </c>
      <c r="H364" s="30" t="s">
        <v>1833</v>
      </c>
    </row>
    <row r="365" spans="1:8" ht="42" x14ac:dyDescent="0.25">
      <c r="A365" s="36">
        <f t="shared" si="9"/>
        <v>362</v>
      </c>
      <c r="B365" s="55" t="s">
        <v>1594</v>
      </c>
      <c r="C365" s="67" t="s">
        <v>1595</v>
      </c>
      <c r="D365" s="28" t="s">
        <v>1596</v>
      </c>
      <c r="E365" s="36" t="s">
        <v>1912</v>
      </c>
      <c r="F365" s="36" t="str">
        <f t="shared" si="10"/>
        <v>http://www.ninis2.nisra.gov.uk/public/SearchResults.aspx?sk=DC7302NI;</v>
      </c>
      <c r="H365" s="30" t="s">
        <v>1833</v>
      </c>
    </row>
    <row r="366" spans="1:8" ht="28" x14ac:dyDescent="0.25">
      <c r="A366" s="36">
        <f t="shared" si="9"/>
        <v>363</v>
      </c>
      <c r="B366" s="55" t="s">
        <v>1597</v>
      </c>
      <c r="C366" s="67" t="s">
        <v>1598</v>
      </c>
      <c r="D366" s="28" t="s">
        <v>1599</v>
      </c>
      <c r="E366" s="36" t="s">
        <v>1912</v>
      </c>
      <c r="F366" s="36" t="str">
        <f t="shared" si="10"/>
        <v>http://www.ninis2.nisra.gov.uk/public/SearchResults.aspx?sk=DC7303NI;</v>
      </c>
      <c r="H366" s="30" t="s">
        <v>1868</v>
      </c>
    </row>
    <row r="367" spans="1:8" ht="28" x14ac:dyDescent="0.25">
      <c r="A367" s="36">
        <f t="shared" si="9"/>
        <v>364</v>
      </c>
      <c r="B367" s="55" t="s">
        <v>1600</v>
      </c>
      <c r="C367" s="67" t="s">
        <v>1601</v>
      </c>
      <c r="D367" s="28" t="s">
        <v>1602</v>
      </c>
      <c r="E367" s="36" t="s">
        <v>1912</v>
      </c>
      <c r="F367" s="36" t="str">
        <f t="shared" si="10"/>
        <v>http://www.ninis2.nisra.gov.uk/public/SearchResults.aspx?sk=DC7304NI;</v>
      </c>
      <c r="H367" s="30" t="s">
        <v>1868</v>
      </c>
    </row>
    <row r="368" spans="1:8" ht="42" x14ac:dyDescent="0.25">
      <c r="A368" s="36">
        <f t="shared" si="9"/>
        <v>365</v>
      </c>
      <c r="B368" s="55" t="s">
        <v>1603</v>
      </c>
      <c r="C368" s="67" t="s">
        <v>1604</v>
      </c>
      <c r="D368" s="28" t="s">
        <v>1605</v>
      </c>
      <c r="E368" s="36" t="s">
        <v>1912</v>
      </c>
      <c r="F368" s="36" t="str">
        <f t="shared" si="10"/>
        <v>http://www.ninis2.nisra.gov.uk/public/SearchResults.aspx?sk=DC7401NI;</v>
      </c>
      <c r="H368" s="30" t="s">
        <v>1870</v>
      </c>
    </row>
    <row r="369" spans="1:8" ht="42" x14ac:dyDescent="0.25">
      <c r="A369" s="36">
        <f t="shared" si="9"/>
        <v>366</v>
      </c>
      <c r="B369" s="55" t="s">
        <v>1606</v>
      </c>
      <c r="C369" s="67" t="s">
        <v>1607</v>
      </c>
      <c r="D369" s="28" t="s">
        <v>1608</v>
      </c>
      <c r="E369" s="36" t="s">
        <v>1912</v>
      </c>
      <c r="F369" s="36" t="str">
        <f t="shared" si="10"/>
        <v>http://www.ninis2.nisra.gov.uk/public/SearchResults.aspx?sk=DC7402NI;</v>
      </c>
      <c r="H369" s="30" t="s">
        <v>1870</v>
      </c>
    </row>
    <row r="370" spans="1:8" ht="42" x14ac:dyDescent="0.25">
      <c r="A370" s="36">
        <f t="shared" si="9"/>
        <v>367</v>
      </c>
      <c r="B370" s="55" t="s">
        <v>1609</v>
      </c>
      <c r="C370" s="67" t="s">
        <v>1709</v>
      </c>
      <c r="D370" s="28" t="s">
        <v>1710</v>
      </c>
      <c r="E370" s="36" t="s">
        <v>1912</v>
      </c>
      <c r="F370" s="36" t="str">
        <f t="shared" si="10"/>
        <v>http://www.ninis2.nisra.gov.uk/public/SearchResults.aspx?sk=DC7403NI;</v>
      </c>
      <c r="H370" s="30" t="s">
        <v>1871</v>
      </c>
    </row>
    <row r="371" spans="1:8" ht="42" x14ac:dyDescent="0.25">
      <c r="A371" s="36">
        <f t="shared" si="9"/>
        <v>368</v>
      </c>
      <c r="B371" s="55" t="s">
        <v>1610</v>
      </c>
      <c r="C371" s="67" t="s">
        <v>1711</v>
      </c>
      <c r="D371" s="28" t="s">
        <v>1712</v>
      </c>
      <c r="E371" s="36" t="s">
        <v>1912</v>
      </c>
      <c r="F371" s="36" t="str">
        <f t="shared" si="10"/>
        <v>http://www.ninis2.nisra.gov.uk/public/SearchResults.aspx?sk=DC7404NI;</v>
      </c>
      <c r="H371" s="30" t="s">
        <v>1871</v>
      </c>
    </row>
    <row r="372" spans="1:8" ht="42" x14ac:dyDescent="0.25">
      <c r="A372" s="36">
        <f t="shared" si="9"/>
        <v>369</v>
      </c>
      <c r="B372" s="55" t="s">
        <v>1611</v>
      </c>
      <c r="C372" s="67" t="s">
        <v>1612</v>
      </c>
      <c r="D372" s="28" t="s">
        <v>1613</v>
      </c>
      <c r="E372" s="36" t="s">
        <v>1912</v>
      </c>
      <c r="F372" s="36" t="str">
        <f t="shared" si="10"/>
        <v>http://www.ninis2.nisra.gov.uk/public/SearchResults.aspx?sk=DC7501NI;</v>
      </c>
      <c r="H372" s="30" t="s">
        <v>1833</v>
      </c>
    </row>
    <row r="373" spans="1:8" ht="42" x14ac:dyDescent="0.25">
      <c r="A373" s="36">
        <f t="shared" si="9"/>
        <v>370</v>
      </c>
      <c r="B373" s="55" t="s">
        <v>1614</v>
      </c>
      <c r="C373" s="67" t="s">
        <v>1615</v>
      </c>
      <c r="D373" s="28" t="s">
        <v>1616</v>
      </c>
      <c r="E373" s="36" t="s">
        <v>1912</v>
      </c>
      <c r="F373" s="36" t="str">
        <f t="shared" si="10"/>
        <v>http://www.ninis2.nisra.gov.uk/public/SearchResults.aspx?sk=DC7502NI;</v>
      </c>
      <c r="H373" s="30" t="s">
        <v>1833</v>
      </c>
    </row>
    <row r="374" spans="1:8" ht="42" x14ac:dyDescent="0.25">
      <c r="A374" s="36">
        <f t="shared" si="9"/>
        <v>371</v>
      </c>
      <c r="B374" s="55" t="s">
        <v>1617</v>
      </c>
      <c r="C374" s="67" t="s">
        <v>1618</v>
      </c>
      <c r="D374" s="28" t="s">
        <v>1619</v>
      </c>
      <c r="E374" s="36" t="s">
        <v>1912</v>
      </c>
      <c r="F374" s="36" t="str">
        <f t="shared" si="10"/>
        <v>http://www.ninis2.nisra.gov.uk/public/SearchResults.aspx?sk=DC7601NI;</v>
      </c>
      <c r="H374" s="30" t="s">
        <v>1833</v>
      </c>
    </row>
    <row r="375" spans="1:8" ht="42" x14ac:dyDescent="0.25">
      <c r="A375" s="36">
        <f t="shared" si="9"/>
        <v>372</v>
      </c>
      <c r="B375" s="55" t="s">
        <v>1620</v>
      </c>
      <c r="C375" s="67" t="s">
        <v>1621</v>
      </c>
      <c r="D375" s="28" t="s">
        <v>1622</v>
      </c>
      <c r="E375" s="36" t="s">
        <v>1912</v>
      </c>
      <c r="F375" s="36" t="str">
        <f t="shared" si="10"/>
        <v>http://www.ninis2.nisra.gov.uk/public/SearchResults.aspx?sk=DC7602NI;</v>
      </c>
      <c r="H375" s="30" t="s">
        <v>1833</v>
      </c>
    </row>
    <row r="376" spans="1:8" ht="42" x14ac:dyDescent="0.25">
      <c r="A376" s="36">
        <f t="shared" si="9"/>
        <v>373</v>
      </c>
      <c r="B376" s="55" t="s">
        <v>1623</v>
      </c>
      <c r="C376" s="67" t="s">
        <v>1624</v>
      </c>
      <c r="D376" s="28" t="s">
        <v>1625</v>
      </c>
      <c r="E376" s="36" t="s">
        <v>1912</v>
      </c>
      <c r="F376" s="36" t="str">
        <f t="shared" si="10"/>
        <v>http://www.ninis2.nisra.gov.uk/public/SearchResults.aspx?sk=DC7603NI;</v>
      </c>
      <c r="H376" s="30" t="s">
        <v>1833</v>
      </c>
    </row>
    <row r="377" spans="1:8" ht="42" x14ac:dyDescent="0.25">
      <c r="A377" s="36">
        <f t="shared" si="9"/>
        <v>374</v>
      </c>
      <c r="B377" s="55" t="s">
        <v>1626</v>
      </c>
      <c r="C377" s="67" t="s">
        <v>1627</v>
      </c>
      <c r="D377" s="28" t="s">
        <v>1628</v>
      </c>
      <c r="E377" s="36" t="s">
        <v>1912</v>
      </c>
      <c r="F377" s="36" t="str">
        <f t="shared" si="10"/>
        <v>http://www.ninis2.nisra.gov.uk/public/SearchResults.aspx?sk=DC7604NI;</v>
      </c>
      <c r="H377" s="30" t="s">
        <v>1833</v>
      </c>
    </row>
    <row r="378" spans="1:8" ht="42" x14ac:dyDescent="0.25">
      <c r="A378" s="36">
        <f t="shared" si="9"/>
        <v>375</v>
      </c>
      <c r="B378" s="55" t="s">
        <v>1629</v>
      </c>
      <c r="C378" s="67" t="s">
        <v>1630</v>
      </c>
      <c r="D378" s="28" t="s">
        <v>1631</v>
      </c>
      <c r="E378" s="36" t="s">
        <v>1912</v>
      </c>
      <c r="F378" s="36" t="str">
        <f t="shared" si="10"/>
        <v>http://www.ninis2.nisra.gov.uk/public/SearchResults.aspx?sk=DC7605NI;</v>
      </c>
      <c r="H378" s="30" t="s">
        <v>1833</v>
      </c>
    </row>
    <row r="379" spans="1:8" ht="42" x14ac:dyDescent="0.25">
      <c r="A379" s="36">
        <f t="shared" si="9"/>
        <v>376</v>
      </c>
      <c r="B379" s="55" t="s">
        <v>1632</v>
      </c>
      <c r="C379" s="67" t="s">
        <v>1633</v>
      </c>
      <c r="D379" s="28" t="s">
        <v>1634</v>
      </c>
      <c r="E379" s="36" t="s">
        <v>1912</v>
      </c>
      <c r="F379" s="36" t="str">
        <f t="shared" si="10"/>
        <v>http://www.ninis2.nisra.gov.uk/public/SearchResults.aspx?sk=DC7606NI;</v>
      </c>
      <c r="H379" s="30" t="s">
        <v>1833</v>
      </c>
    </row>
    <row r="380" spans="1:8" ht="42" x14ac:dyDescent="0.25">
      <c r="A380" s="36">
        <f t="shared" si="9"/>
        <v>377</v>
      </c>
      <c r="B380" s="55" t="s">
        <v>1635</v>
      </c>
      <c r="C380" s="67" t="s">
        <v>1636</v>
      </c>
      <c r="D380" s="28" t="s">
        <v>1637</v>
      </c>
      <c r="E380" s="36" t="s">
        <v>1912</v>
      </c>
      <c r="F380" s="36" t="str">
        <f t="shared" si="10"/>
        <v>http://www.ninis2.nisra.gov.uk/public/SearchResults.aspx?sk=DC7607NI;</v>
      </c>
      <c r="H380" s="30" t="s">
        <v>1833</v>
      </c>
    </row>
    <row r="381" spans="1:8" ht="42" x14ac:dyDescent="0.25">
      <c r="A381" s="36">
        <f t="shared" si="9"/>
        <v>378</v>
      </c>
      <c r="B381" s="55" t="s">
        <v>1638</v>
      </c>
      <c r="C381" s="67" t="s">
        <v>1713</v>
      </c>
      <c r="D381" s="28" t="s">
        <v>1714</v>
      </c>
      <c r="E381" s="36" t="s">
        <v>1912</v>
      </c>
      <c r="F381" s="36" t="str">
        <f t="shared" si="10"/>
        <v>http://www.ninis2.nisra.gov.uk/public/SearchResults.aspx?sk=DC7608NI;</v>
      </c>
      <c r="H381" s="30" t="s">
        <v>1833</v>
      </c>
    </row>
    <row r="382" spans="1:8" ht="42" x14ac:dyDescent="0.25">
      <c r="A382" s="36">
        <f t="shared" si="9"/>
        <v>379</v>
      </c>
      <c r="B382" s="55" t="s">
        <v>1639</v>
      </c>
      <c r="C382" s="67" t="s">
        <v>1640</v>
      </c>
      <c r="D382" s="28" t="s">
        <v>1641</v>
      </c>
      <c r="E382" s="36" t="s">
        <v>1912</v>
      </c>
      <c r="F382" s="36" t="str">
        <f t="shared" si="10"/>
        <v>http://www.ninis2.nisra.gov.uk/public/SearchResults.aspx?sk=DC7609NI;</v>
      </c>
      <c r="H382" s="30" t="s">
        <v>1833</v>
      </c>
    </row>
    <row r="383" spans="1:8" ht="42" x14ac:dyDescent="0.25">
      <c r="A383" s="36">
        <f t="shared" si="9"/>
        <v>380</v>
      </c>
      <c r="B383" s="55" t="s">
        <v>1642</v>
      </c>
      <c r="C383" s="67" t="s">
        <v>1643</v>
      </c>
      <c r="D383" s="28" t="s">
        <v>1644</v>
      </c>
      <c r="E383" s="36" t="s">
        <v>1912</v>
      </c>
      <c r="F383" s="36" t="str">
        <f t="shared" si="10"/>
        <v>http://www.ninis2.nisra.gov.uk/public/SearchResults.aspx?sk=DC7701NI;</v>
      </c>
      <c r="H383" s="30" t="s">
        <v>1833</v>
      </c>
    </row>
    <row r="384" spans="1:8" ht="28" x14ac:dyDescent="0.25">
      <c r="A384" s="36">
        <f t="shared" si="9"/>
        <v>381</v>
      </c>
      <c r="B384" s="55" t="s">
        <v>1645</v>
      </c>
      <c r="C384" s="67" t="s">
        <v>1646</v>
      </c>
      <c r="D384" s="28" t="s">
        <v>1647</v>
      </c>
      <c r="E384" s="36" t="s">
        <v>1912</v>
      </c>
      <c r="F384" s="36" t="str">
        <f t="shared" si="10"/>
        <v>http://www.ninis2.nisra.gov.uk/public/SearchResults.aspx?sk=DC7702NI;</v>
      </c>
      <c r="H384" s="30" t="s">
        <v>1868</v>
      </c>
    </row>
    <row r="385" spans="1:8" ht="28" x14ac:dyDescent="0.25">
      <c r="A385" s="36">
        <f t="shared" si="9"/>
        <v>382</v>
      </c>
      <c r="B385" s="61" t="s">
        <v>1738</v>
      </c>
      <c r="C385" s="28" t="s">
        <v>1739</v>
      </c>
      <c r="D385" s="28" t="s">
        <v>1785</v>
      </c>
      <c r="E385" s="36" t="s">
        <v>43</v>
      </c>
      <c r="F385" s="36" t="str">
        <f t="shared" si="10"/>
        <v>http://www.ninis2.nisra.gov.uk/public/SearchResults.aspx?sk=DC8101NI;</v>
      </c>
      <c r="H385" s="28" t="s">
        <v>1872</v>
      </c>
    </row>
    <row r="386" spans="1:8" ht="42" x14ac:dyDescent="0.25">
      <c r="A386" s="36">
        <f t="shared" si="9"/>
        <v>383</v>
      </c>
      <c r="B386" s="61" t="s">
        <v>1740</v>
      </c>
      <c r="C386" s="28" t="s">
        <v>1741</v>
      </c>
      <c r="D386" s="28" t="s">
        <v>1786</v>
      </c>
      <c r="E386" s="36" t="s">
        <v>43</v>
      </c>
      <c r="F386" s="36" t="str">
        <f t="shared" si="10"/>
        <v>http://www.ninis2.nisra.gov.uk/public/SearchResults.aspx?sk=DC8102NI;</v>
      </c>
      <c r="H386" s="28" t="s">
        <v>1854</v>
      </c>
    </row>
    <row r="387" spans="1:8" ht="28" x14ac:dyDescent="0.25">
      <c r="A387" s="36">
        <f t="shared" si="9"/>
        <v>384</v>
      </c>
      <c r="B387" s="61" t="s">
        <v>1742</v>
      </c>
      <c r="C387" s="28" t="s">
        <v>1743</v>
      </c>
      <c r="D387" s="28" t="s">
        <v>1792</v>
      </c>
      <c r="E387" s="36" t="s">
        <v>43</v>
      </c>
      <c r="F387" s="36" t="str">
        <f t="shared" si="10"/>
        <v>http://www.ninis2.nisra.gov.uk/public/SearchResults.aspx?sk=DC8201NI;</v>
      </c>
      <c r="H387" s="28" t="s">
        <v>1872</v>
      </c>
    </row>
    <row r="388" spans="1:8" ht="28" x14ac:dyDescent="0.25">
      <c r="A388" s="36">
        <f t="shared" si="9"/>
        <v>385</v>
      </c>
      <c r="B388" s="61" t="s">
        <v>1744</v>
      </c>
      <c r="C388" s="28" t="s">
        <v>1745</v>
      </c>
      <c r="D388" s="28" t="s">
        <v>1787</v>
      </c>
      <c r="E388" s="36" t="s">
        <v>43</v>
      </c>
      <c r="F388" s="36" t="str">
        <f t="shared" si="10"/>
        <v>http://www.ninis2.nisra.gov.uk/public/SearchResults.aspx?sk=DC8202NI;</v>
      </c>
      <c r="H388" s="28" t="s">
        <v>1872</v>
      </c>
    </row>
    <row r="389" spans="1:8" ht="28" x14ac:dyDescent="0.25">
      <c r="A389" s="36">
        <f t="shared" ref="A389:A452" si="11">IF(AND(NOT(ISERR(FIND($L$4,D389))),NOT(ISERR(FIND($L$5,D389))),NOT(ISERR(FIND($L$6,D389))),NOT(ISERR(FIND($L$7,D389))) ),A388+1,A388)</f>
        <v>386</v>
      </c>
      <c r="B389" s="61" t="s">
        <v>1746</v>
      </c>
      <c r="C389" s="28" t="s">
        <v>1747</v>
      </c>
      <c r="D389" s="28" t="s">
        <v>1793</v>
      </c>
      <c r="E389" s="36" t="s">
        <v>43</v>
      </c>
      <c r="F389" s="36" t="str">
        <f t="shared" si="10"/>
        <v>http://www.ninis2.nisra.gov.uk/public/SearchResults.aspx?sk=DC8203NI;</v>
      </c>
      <c r="H389" s="28" t="s">
        <v>1872</v>
      </c>
    </row>
    <row r="390" spans="1:8" ht="42" x14ac:dyDescent="0.25">
      <c r="A390" s="36">
        <f t="shared" si="11"/>
        <v>387</v>
      </c>
      <c r="B390" s="59" t="s">
        <v>1799</v>
      </c>
      <c r="C390" s="36" t="s">
        <v>1802</v>
      </c>
      <c r="D390" s="28" t="s">
        <v>1805</v>
      </c>
      <c r="E390" s="38" t="s">
        <v>1914</v>
      </c>
      <c r="F390" s="36" t="str">
        <f t="shared" si="10"/>
        <v>http://www.ninis2.nisra.gov.uk/public/SearchResults.aspx?sk=DC8204NI;</v>
      </c>
      <c r="H390" s="31" t="s">
        <v>1873</v>
      </c>
    </row>
    <row r="391" spans="1:8" ht="42" x14ac:dyDescent="0.25">
      <c r="A391" s="36">
        <f t="shared" si="11"/>
        <v>388</v>
      </c>
      <c r="B391" s="59" t="s">
        <v>1800</v>
      </c>
      <c r="C391" s="36" t="s">
        <v>1804</v>
      </c>
      <c r="D391" s="28" t="s">
        <v>1806</v>
      </c>
      <c r="E391" s="38" t="s">
        <v>1914</v>
      </c>
      <c r="F391" s="36" t="str">
        <f t="shared" si="10"/>
        <v>http://www.ninis2.nisra.gov.uk/public/SearchResults.aspx?sk=DC8205NI;</v>
      </c>
      <c r="H391" s="31" t="s">
        <v>1873</v>
      </c>
    </row>
    <row r="392" spans="1:8" ht="42" x14ac:dyDescent="0.25">
      <c r="A392" s="36">
        <f t="shared" si="11"/>
        <v>389</v>
      </c>
      <c r="B392" s="61" t="s">
        <v>1748</v>
      </c>
      <c r="C392" s="28" t="s">
        <v>1749</v>
      </c>
      <c r="D392" s="28" t="s">
        <v>1797</v>
      </c>
      <c r="E392" s="36" t="s">
        <v>43</v>
      </c>
      <c r="F392" s="36" t="str">
        <f t="shared" si="10"/>
        <v>http://www.ninis2.nisra.gov.uk/public/SearchResults.aspx?sk=DC8501NI;</v>
      </c>
      <c r="H392" s="31" t="s">
        <v>1874</v>
      </c>
    </row>
    <row r="393" spans="1:8" ht="42" x14ac:dyDescent="0.25">
      <c r="A393" s="36">
        <f t="shared" si="11"/>
        <v>390</v>
      </c>
      <c r="B393" s="61" t="s">
        <v>1750</v>
      </c>
      <c r="C393" s="28" t="s">
        <v>1751</v>
      </c>
      <c r="D393" s="28" t="s">
        <v>1794</v>
      </c>
      <c r="E393" s="36" t="s">
        <v>43</v>
      </c>
      <c r="F393" s="36" t="str">
        <f t="shared" si="10"/>
        <v>http://www.ninis2.nisra.gov.uk/public/SearchResults.aspx?sk=DC8502NI;</v>
      </c>
      <c r="H393" s="31" t="s">
        <v>1875</v>
      </c>
    </row>
    <row r="394" spans="1:8" ht="56" x14ac:dyDescent="0.25">
      <c r="A394" s="36">
        <f t="shared" si="11"/>
        <v>391</v>
      </c>
      <c r="B394" s="59" t="s">
        <v>1801</v>
      </c>
      <c r="C394" s="36" t="s">
        <v>1803</v>
      </c>
      <c r="D394" s="28" t="s">
        <v>1807</v>
      </c>
      <c r="E394" s="38" t="s">
        <v>1914</v>
      </c>
      <c r="F394" s="36" t="str">
        <f t="shared" si="10"/>
        <v>http://www.ninis2.nisra.gov.uk/public/SearchResults.aspx?sk=DC8503NI;</v>
      </c>
      <c r="H394" s="31" t="s">
        <v>1876</v>
      </c>
    </row>
    <row r="395" spans="1:8" ht="42" x14ac:dyDescent="0.25">
      <c r="A395" s="36">
        <f t="shared" si="11"/>
        <v>392</v>
      </c>
      <c r="B395" s="61" t="s">
        <v>1752</v>
      </c>
      <c r="C395" s="28" t="s">
        <v>1753</v>
      </c>
      <c r="D395" s="28" t="s">
        <v>1795</v>
      </c>
      <c r="E395" s="36" t="s">
        <v>43</v>
      </c>
      <c r="F395" s="36" t="str">
        <f t="shared" si="10"/>
        <v>http://www.ninis2.nisra.gov.uk/public/SearchResults.aspx?sk=DC8601NI;</v>
      </c>
      <c r="H395" s="31" t="s">
        <v>1877</v>
      </c>
    </row>
    <row r="396" spans="1:8" ht="42" x14ac:dyDescent="0.25">
      <c r="A396" s="36">
        <f t="shared" si="11"/>
        <v>393</v>
      </c>
      <c r="B396" s="61" t="s">
        <v>1754</v>
      </c>
      <c r="C396" s="28" t="s">
        <v>1755</v>
      </c>
      <c r="D396" s="28" t="s">
        <v>1796</v>
      </c>
      <c r="E396" s="36" t="s">
        <v>43</v>
      </c>
      <c r="F396" s="36" t="str">
        <f t="shared" si="10"/>
        <v>http://www.ninis2.nisra.gov.uk/public/SearchResults.aspx?sk=DC8602NI;</v>
      </c>
      <c r="H396" s="31" t="s">
        <v>1878</v>
      </c>
    </row>
    <row r="397" spans="1:8" ht="28" x14ac:dyDescent="0.25">
      <c r="A397" s="36">
        <f t="shared" si="11"/>
        <v>394</v>
      </c>
      <c r="B397" s="61" t="s">
        <v>1756</v>
      </c>
      <c r="C397" s="28" t="s">
        <v>1757</v>
      </c>
      <c r="D397" s="28" t="s">
        <v>1788</v>
      </c>
      <c r="E397" s="36" t="s">
        <v>43</v>
      </c>
      <c r="F397" s="36" t="str">
        <f t="shared" ref="F397:F460" si="12">"http://www.ninis2.nisra.gov.uk/public/SearchResults.aspx?sk="&amp;B397&amp;";"</f>
        <v>http://www.ninis2.nisra.gov.uk/public/SearchResults.aspx?sk=DC8801NI;</v>
      </c>
      <c r="H397" s="31" t="s">
        <v>1853</v>
      </c>
    </row>
    <row r="398" spans="1:8" ht="28" x14ac:dyDescent="0.25">
      <c r="A398" s="36">
        <f t="shared" si="11"/>
        <v>395</v>
      </c>
      <c r="B398" s="55" t="s">
        <v>893</v>
      </c>
      <c r="C398" s="30" t="s">
        <v>894</v>
      </c>
      <c r="D398" s="28" t="s">
        <v>896</v>
      </c>
      <c r="E398" s="36" t="s">
        <v>895</v>
      </c>
      <c r="F398" s="36" t="s">
        <v>1811</v>
      </c>
      <c r="H398" s="36" t="s">
        <v>1904</v>
      </c>
    </row>
    <row r="399" spans="1:8" ht="42" x14ac:dyDescent="0.3">
      <c r="A399" s="36">
        <f t="shared" si="11"/>
        <v>396</v>
      </c>
      <c r="B399" s="61" t="s">
        <v>897</v>
      </c>
      <c r="C399" s="28" t="s">
        <v>898</v>
      </c>
      <c r="D399" s="28" t="s">
        <v>1120</v>
      </c>
      <c r="E399" s="37" t="s">
        <v>1910</v>
      </c>
      <c r="F399" s="36" t="str">
        <f t="shared" si="12"/>
        <v>http://www.ninis2.nisra.gov.uk/public/SearchResults.aspx?sk=LC1101NI;</v>
      </c>
      <c r="H399" s="30" t="s">
        <v>1816</v>
      </c>
    </row>
    <row r="400" spans="1:8" ht="42" x14ac:dyDescent="0.3">
      <c r="A400" s="36">
        <f t="shared" si="11"/>
        <v>397</v>
      </c>
      <c r="B400" s="61" t="s">
        <v>899</v>
      </c>
      <c r="C400" s="28" t="s">
        <v>900</v>
      </c>
      <c r="D400" s="28" t="s">
        <v>1121</v>
      </c>
      <c r="E400" s="37" t="s">
        <v>1910</v>
      </c>
      <c r="F400" s="36" t="str">
        <f t="shared" si="12"/>
        <v>http://www.ninis2.nisra.gov.uk/public/SearchResults.aspx?sk=LC1102NI;</v>
      </c>
      <c r="H400" s="30" t="s">
        <v>1816</v>
      </c>
    </row>
    <row r="401" spans="1:8" ht="42" x14ac:dyDescent="0.3">
      <c r="A401" s="36">
        <f t="shared" si="11"/>
        <v>398</v>
      </c>
      <c r="B401" s="61" t="s">
        <v>901</v>
      </c>
      <c r="C401" s="28" t="s">
        <v>256</v>
      </c>
      <c r="D401" s="28" t="s">
        <v>751</v>
      </c>
      <c r="E401" s="37" t="s">
        <v>1910</v>
      </c>
      <c r="F401" s="36" t="str">
        <f t="shared" si="12"/>
        <v>http://www.ninis2.nisra.gov.uk/public/SearchResults.aspx?sk=LC1103NI;</v>
      </c>
      <c r="H401" s="28" t="s">
        <v>1841</v>
      </c>
    </row>
    <row r="402" spans="1:8" ht="42" x14ac:dyDescent="0.3">
      <c r="A402" s="36">
        <f t="shared" si="11"/>
        <v>399</v>
      </c>
      <c r="B402" s="61" t="s">
        <v>902</v>
      </c>
      <c r="C402" s="28" t="s">
        <v>258</v>
      </c>
      <c r="D402" s="28" t="s">
        <v>752</v>
      </c>
      <c r="E402" s="37" t="s">
        <v>1910</v>
      </c>
      <c r="F402" s="36" t="str">
        <f t="shared" si="12"/>
        <v>http://www.ninis2.nisra.gov.uk/public/SearchResults.aspx?sk=LC1104NI;</v>
      </c>
      <c r="H402" s="28" t="s">
        <v>1817</v>
      </c>
    </row>
    <row r="403" spans="1:8" ht="42" x14ac:dyDescent="0.3">
      <c r="A403" s="36">
        <f t="shared" si="11"/>
        <v>400</v>
      </c>
      <c r="B403" s="61" t="s">
        <v>903</v>
      </c>
      <c r="C403" s="28" t="s">
        <v>904</v>
      </c>
      <c r="D403" s="28" t="s">
        <v>1122</v>
      </c>
      <c r="E403" s="37" t="s">
        <v>1910</v>
      </c>
      <c r="F403" s="36" t="str">
        <f t="shared" si="12"/>
        <v>http://www.ninis2.nisra.gov.uk/public/SearchResults.aspx?sk=LC1105NI;</v>
      </c>
      <c r="H403" s="28" t="s">
        <v>1841</v>
      </c>
    </row>
    <row r="404" spans="1:8" ht="42" x14ac:dyDescent="0.3">
      <c r="A404" s="36">
        <f t="shared" si="11"/>
        <v>401</v>
      </c>
      <c r="B404" s="61" t="s">
        <v>905</v>
      </c>
      <c r="C404" s="28" t="s">
        <v>906</v>
      </c>
      <c r="D404" s="28" t="s">
        <v>1466</v>
      </c>
      <c r="E404" s="37" t="s">
        <v>1910</v>
      </c>
      <c r="F404" s="36" t="str">
        <f t="shared" si="12"/>
        <v>http://www.ninis2.nisra.gov.uk/public/SearchResults.aspx?sk=LC2101NI;</v>
      </c>
      <c r="H404" s="28" t="s">
        <v>1815</v>
      </c>
    </row>
    <row r="405" spans="1:8" ht="42" x14ac:dyDescent="0.3">
      <c r="A405" s="36">
        <f t="shared" si="11"/>
        <v>402</v>
      </c>
      <c r="B405" s="61" t="s">
        <v>907</v>
      </c>
      <c r="C405" s="28" t="s">
        <v>908</v>
      </c>
      <c r="D405" s="28" t="s">
        <v>1467</v>
      </c>
      <c r="E405" s="37" t="s">
        <v>1910</v>
      </c>
      <c r="F405" s="36" t="str">
        <f t="shared" si="12"/>
        <v>http://www.ninis2.nisra.gov.uk/public/SearchResults.aspx?sk=LC2102NI;</v>
      </c>
      <c r="H405" s="28" t="s">
        <v>1815</v>
      </c>
    </row>
    <row r="406" spans="1:8" ht="42" x14ac:dyDescent="0.3">
      <c r="A406" s="36">
        <f t="shared" si="11"/>
        <v>403</v>
      </c>
      <c r="B406" s="61" t="s">
        <v>909</v>
      </c>
      <c r="C406" s="28" t="s">
        <v>910</v>
      </c>
      <c r="D406" s="28" t="s">
        <v>1123</v>
      </c>
      <c r="E406" s="37" t="s">
        <v>1910</v>
      </c>
      <c r="F406" s="36" t="str">
        <f t="shared" si="12"/>
        <v>http://www.ninis2.nisra.gov.uk/public/SearchResults.aspx?sk=LC2103NI;</v>
      </c>
      <c r="H406" s="28" t="s">
        <v>1815</v>
      </c>
    </row>
    <row r="407" spans="1:8" ht="42" x14ac:dyDescent="0.3">
      <c r="A407" s="36">
        <f t="shared" si="11"/>
        <v>404</v>
      </c>
      <c r="B407" s="61" t="s">
        <v>911</v>
      </c>
      <c r="C407" s="28" t="s">
        <v>912</v>
      </c>
      <c r="D407" s="28" t="s">
        <v>1124</v>
      </c>
      <c r="E407" s="37" t="s">
        <v>1910</v>
      </c>
      <c r="F407" s="36" t="str">
        <f t="shared" si="12"/>
        <v>http://www.ninis2.nisra.gov.uk/public/SearchResults.aspx?sk=LC2104NI;</v>
      </c>
      <c r="H407" s="28" t="s">
        <v>1815</v>
      </c>
    </row>
    <row r="408" spans="1:8" ht="42" x14ac:dyDescent="0.3">
      <c r="A408" s="36">
        <f t="shared" si="11"/>
        <v>405</v>
      </c>
      <c r="B408" s="61" t="s">
        <v>913</v>
      </c>
      <c r="C408" s="28" t="s">
        <v>914</v>
      </c>
      <c r="D408" s="28" t="s">
        <v>1468</v>
      </c>
      <c r="E408" s="37" t="s">
        <v>1910</v>
      </c>
      <c r="F408" s="36" t="str">
        <f t="shared" si="12"/>
        <v>http://www.ninis2.nisra.gov.uk/public/SearchResults.aspx?sk=LC2105NI;</v>
      </c>
      <c r="H408" s="28" t="s">
        <v>1815</v>
      </c>
    </row>
    <row r="409" spans="1:8" ht="42" x14ac:dyDescent="0.3">
      <c r="A409" s="36">
        <f t="shared" si="11"/>
        <v>406</v>
      </c>
      <c r="B409" s="61" t="s">
        <v>915</v>
      </c>
      <c r="C409" s="28" t="s">
        <v>916</v>
      </c>
      <c r="D409" s="28" t="s">
        <v>1469</v>
      </c>
      <c r="E409" s="37" t="s">
        <v>1910</v>
      </c>
      <c r="F409" s="36" t="str">
        <f t="shared" si="12"/>
        <v>http://www.ninis2.nisra.gov.uk/public/SearchResults.aspx?sk=LC2106NI;</v>
      </c>
      <c r="H409" s="28" t="s">
        <v>1815</v>
      </c>
    </row>
    <row r="410" spans="1:8" ht="42" x14ac:dyDescent="0.3">
      <c r="A410" s="36">
        <f t="shared" si="11"/>
        <v>407</v>
      </c>
      <c r="B410" s="61" t="s">
        <v>917</v>
      </c>
      <c r="C410" s="28" t="s">
        <v>918</v>
      </c>
      <c r="D410" s="28" t="s">
        <v>1125</v>
      </c>
      <c r="E410" s="37" t="s">
        <v>1910</v>
      </c>
      <c r="F410" s="36" t="str">
        <f t="shared" si="12"/>
        <v>http://www.ninis2.nisra.gov.uk/public/SearchResults.aspx?sk=LC2107NI;</v>
      </c>
      <c r="H410" s="28" t="s">
        <v>1821</v>
      </c>
    </row>
    <row r="411" spans="1:8" ht="42" x14ac:dyDescent="0.3">
      <c r="A411" s="36">
        <f t="shared" si="11"/>
        <v>408</v>
      </c>
      <c r="B411" s="61" t="s">
        <v>919</v>
      </c>
      <c r="C411" s="28" t="s">
        <v>920</v>
      </c>
      <c r="D411" s="28" t="s">
        <v>1126</v>
      </c>
      <c r="E411" s="37" t="s">
        <v>1910</v>
      </c>
      <c r="F411" s="36" t="str">
        <f t="shared" si="12"/>
        <v>http://www.ninis2.nisra.gov.uk/public/SearchResults.aspx?sk=LC2108NI;</v>
      </c>
      <c r="H411" s="30" t="s">
        <v>1821</v>
      </c>
    </row>
    <row r="412" spans="1:8" ht="42" x14ac:dyDescent="0.3">
      <c r="A412" s="36">
        <f t="shared" si="11"/>
        <v>409</v>
      </c>
      <c r="B412" s="61" t="s">
        <v>921</v>
      </c>
      <c r="C412" s="28" t="s">
        <v>298</v>
      </c>
      <c r="D412" s="28" t="s">
        <v>762</v>
      </c>
      <c r="E412" s="37" t="s">
        <v>1910</v>
      </c>
      <c r="F412" s="36" t="str">
        <f t="shared" si="12"/>
        <v>http://www.ninis2.nisra.gov.uk/public/SearchResults.aspx?sk=LC2109NI;</v>
      </c>
      <c r="H412" s="28" t="s">
        <v>1820</v>
      </c>
    </row>
    <row r="413" spans="1:8" ht="42" x14ac:dyDescent="0.3">
      <c r="A413" s="36">
        <f t="shared" si="11"/>
        <v>410</v>
      </c>
      <c r="B413" s="61" t="s">
        <v>922</v>
      </c>
      <c r="C413" s="28" t="s">
        <v>300</v>
      </c>
      <c r="D413" s="28" t="s">
        <v>1175</v>
      </c>
      <c r="E413" s="37" t="s">
        <v>1910</v>
      </c>
      <c r="F413" s="36" t="str">
        <f t="shared" si="12"/>
        <v>http://www.ninis2.nisra.gov.uk/public/SearchResults.aspx?sk=LC2110NI;</v>
      </c>
      <c r="H413" s="28" t="s">
        <v>1820</v>
      </c>
    </row>
    <row r="414" spans="1:8" ht="42" x14ac:dyDescent="0.3">
      <c r="A414" s="36">
        <f t="shared" si="11"/>
        <v>411</v>
      </c>
      <c r="B414" s="61" t="s">
        <v>923</v>
      </c>
      <c r="C414" s="28" t="s">
        <v>924</v>
      </c>
      <c r="D414" s="28" t="s">
        <v>1127</v>
      </c>
      <c r="E414" s="37" t="s">
        <v>1910</v>
      </c>
      <c r="F414" s="36" t="str">
        <f t="shared" si="12"/>
        <v>http://www.ninis2.nisra.gov.uk/public/SearchResults.aspx?sk=LC2111NI;</v>
      </c>
      <c r="H414" s="28" t="s">
        <v>1820</v>
      </c>
    </row>
    <row r="415" spans="1:8" ht="42" x14ac:dyDescent="0.3">
      <c r="A415" s="36">
        <f t="shared" si="11"/>
        <v>412</v>
      </c>
      <c r="B415" s="61" t="s">
        <v>925</v>
      </c>
      <c r="C415" s="28" t="s">
        <v>926</v>
      </c>
      <c r="D415" s="28" t="s">
        <v>1176</v>
      </c>
      <c r="E415" s="37" t="s">
        <v>1910</v>
      </c>
      <c r="F415" s="36" t="str">
        <f t="shared" si="12"/>
        <v>http://www.ninis2.nisra.gov.uk/public/SearchResults.aspx?sk=LC2112NI;</v>
      </c>
      <c r="H415" s="30" t="s">
        <v>1820</v>
      </c>
    </row>
    <row r="416" spans="1:8" ht="42" x14ac:dyDescent="0.3">
      <c r="A416" s="36">
        <f t="shared" si="11"/>
        <v>413</v>
      </c>
      <c r="B416" s="61" t="s">
        <v>927</v>
      </c>
      <c r="C416" s="28" t="s">
        <v>928</v>
      </c>
      <c r="D416" s="28" t="s">
        <v>1242</v>
      </c>
      <c r="E416" s="37" t="s">
        <v>1910</v>
      </c>
      <c r="F416" s="36" t="str">
        <f t="shared" si="12"/>
        <v>http://www.ninis2.nisra.gov.uk/public/SearchResults.aspx?sk=LC2113NI;</v>
      </c>
      <c r="H416" s="30" t="s">
        <v>1821</v>
      </c>
    </row>
    <row r="417" spans="1:8" ht="42" x14ac:dyDescent="0.3">
      <c r="A417" s="36">
        <f t="shared" si="11"/>
        <v>414</v>
      </c>
      <c r="B417" s="61" t="s">
        <v>929</v>
      </c>
      <c r="C417" s="28" t="s">
        <v>930</v>
      </c>
      <c r="D417" s="28" t="s">
        <v>1243</v>
      </c>
      <c r="E417" s="37" t="s">
        <v>1910</v>
      </c>
      <c r="F417" s="36" t="str">
        <f t="shared" si="12"/>
        <v>http://www.ninis2.nisra.gov.uk/public/SearchResults.aspx?sk=LC2114NI;</v>
      </c>
      <c r="H417" s="30" t="s">
        <v>1821</v>
      </c>
    </row>
    <row r="418" spans="1:8" ht="42" x14ac:dyDescent="0.3">
      <c r="A418" s="36">
        <f t="shared" si="11"/>
        <v>415</v>
      </c>
      <c r="B418" s="61" t="s">
        <v>931</v>
      </c>
      <c r="C418" s="28" t="s">
        <v>932</v>
      </c>
      <c r="D418" s="28" t="s">
        <v>1247</v>
      </c>
      <c r="E418" s="37" t="s">
        <v>1910</v>
      </c>
      <c r="F418" s="36" t="str">
        <f t="shared" si="12"/>
        <v>http://www.ninis2.nisra.gov.uk/public/SearchResults.aspx?sk=LC2115NI;</v>
      </c>
      <c r="H418" s="30" t="s">
        <v>1821</v>
      </c>
    </row>
    <row r="419" spans="1:8" ht="42" x14ac:dyDescent="0.3">
      <c r="A419" s="36">
        <f t="shared" si="11"/>
        <v>416</v>
      </c>
      <c r="B419" s="61" t="s">
        <v>933</v>
      </c>
      <c r="C419" s="28" t="s">
        <v>934</v>
      </c>
      <c r="D419" s="28" t="s">
        <v>1246</v>
      </c>
      <c r="E419" s="37" t="s">
        <v>1910</v>
      </c>
      <c r="F419" s="36" t="str">
        <f t="shared" si="12"/>
        <v>http://www.ninis2.nisra.gov.uk/public/SearchResults.aspx?sk=LC2116NI;</v>
      </c>
      <c r="H419" s="30" t="s">
        <v>1821</v>
      </c>
    </row>
    <row r="420" spans="1:8" ht="42" x14ac:dyDescent="0.3">
      <c r="A420" s="36">
        <f t="shared" si="11"/>
        <v>417</v>
      </c>
      <c r="B420" s="61" t="s">
        <v>935</v>
      </c>
      <c r="C420" s="28" t="s">
        <v>304</v>
      </c>
      <c r="D420" s="28" t="s">
        <v>763</v>
      </c>
      <c r="E420" s="37" t="s">
        <v>1910</v>
      </c>
      <c r="F420" s="36" t="str">
        <f t="shared" si="12"/>
        <v>http://www.ninis2.nisra.gov.uk/public/SearchResults.aspx?sk=LC2117NI;</v>
      </c>
      <c r="H420" s="28" t="s">
        <v>1841</v>
      </c>
    </row>
    <row r="421" spans="1:8" ht="42" x14ac:dyDescent="0.3">
      <c r="A421" s="36">
        <f t="shared" si="11"/>
        <v>418</v>
      </c>
      <c r="B421" s="61" t="s">
        <v>936</v>
      </c>
      <c r="C421" s="28" t="s">
        <v>306</v>
      </c>
      <c r="D421" s="28" t="s">
        <v>1177</v>
      </c>
      <c r="E421" s="37" t="s">
        <v>1910</v>
      </c>
      <c r="F421" s="36" t="str">
        <f t="shared" si="12"/>
        <v>http://www.ninis2.nisra.gov.uk/public/SearchResults.aspx?sk=LC2118NI;</v>
      </c>
      <c r="H421" s="30" t="s">
        <v>1818</v>
      </c>
    </row>
    <row r="422" spans="1:8" ht="42" x14ac:dyDescent="0.3">
      <c r="A422" s="36">
        <f t="shared" si="11"/>
        <v>419</v>
      </c>
      <c r="B422" s="61" t="s">
        <v>937</v>
      </c>
      <c r="C422" s="28" t="s">
        <v>308</v>
      </c>
      <c r="D422" s="28" t="s">
        <v>764</v>
      </c>
      <c r="E422" s="37" t="s">
        <v>1910</v>
      </c>
      <c r="F422" s="36" t="str">
        <f t="shared" si="12"/>
        <v>http://www.ninis2.nisra.gov.uk/public/SearchResults.aspx?sk=LC2119NI;</v>
      </c>
      <c r="H422" s="33" t="s">
        <v>1817</v>
      </c>
    </row>
    <row r="423" spans="1:8" ht="42" x14ac:dyDescent="0.3">
      <c r="A423" s="36">
        <f t="shared" si="11"/>
        <v>420</v>
      </c>
      <c r="B423" s="61" t="s">
        <v>938</v>
      </c>
      <c r="C423" s="28" t="s">
        <v>310</v>
      </c>
      <c r="D423" s="28" t="s">
        <v>1178</v>
      </c>
      <c r="E423" s="37" t="s">
        <v>1910</v>
      </c>
      <c r="F423" s="36" t="str">
        <f t="shared" si="12"/>
        <v>http://www.ninis2.nisra.gov.uk/public/SearchResults.aspx?sk=LC2120NI;</v>
      </c>
      <c r="H423" s="33" t="s">
        <v>1817</v>
      </c>
    </row>
    <row r="424" spans="1:8" ht="42" x14ac:dyDescent="0.3">
      <c r="A424" s="36">
        <f t="shared" si="11"/>
        <v>421</v>
      </c>
      <c r="B424" s="61" t="s">
        <v>939</v>
      </c>
      <c r="C424" s="28" t="s">
        <v>391</v>
      </c>
      <c r="D424" s="28" t="s">
        <v>1451</v>
      </c>
      <c r="E424" s="37" t="s">
        <v>1910</v>
      </c>
      <c r="F424" s="36" t="str">
        <f t="shared" si="12"/>
        <v>http://www.ninis2.nisra.gov.uk/public/SearchResults.aspx?sk=LC2201NI;</v>
      </c>
      <c r="H424" s="30" t="s">
        <v>1815</v>
      </c>
    </row>
    <row r="425" spans="1:8" ht="42" x14ac:dyDescent="0.3">
      <c r="A425" s="36">
        <f t="shared" si="11"/>
        <v>422</v>
      </c>
      <c r="B425" s="61" t="s">
        <v>940</v>
      </c>
      <c r="C425" s="28" t="s">
        <v>399</v>
      </c>
      <c r="D425" s="28" t="s">
        <v>768</v>
      </c>
      <c r="E425" s="37" t="s">
        <v>1910</v>
      </c>
      <c r="F425" s="36" t="str">
        <f t="shared" si="12"/>
        <v>http://www.ninis2.nisra.gov.uk/public/SearchResults.aspx?sk=LC2202NI;</v>
      </c>
      <c r="H425" s="28" t="s">
        <v>1820</v>
      </c>
    </row>
    <row r="426" spans="1:8" ht="42" x14ac:dyDescent="0.3">
      <c r="A426" s="36">
        <f t="shared" si="11"/>
        <v>423</v>
      </c>
      <c r="B426" s="61" t="s">
        <v>941</v>
      </c>
      <c r="C426" s="28" t="s">
        <v>401</v>
      </c>
      <c r="D426" s="28" t="s">
        <v>1179</v>
      </c>
      <c r="E426" s="37" t="s">
        <v>1910</v>
      </c>
      <c r="F426" s="36" t="str">
        <f t="shared" si="12"/>
        <v>http://www.ninis2.nisra.gov.uk/public/SearchResults.aspx?sk=LC2203NI;</v>
      </c>
      <c r="H426" s="30" t="s">
        <v>1820</v>
      </c>
    </row>
    <row r="427" spans="1:8" ht="42" x14ac:dyDescent="0.3">
      <c r="A427" s="36">
        <f t="shared" si="11"/>
        <v>424</v>
      </c>
      <c r="B427" s="61" t="s">
        <v>942</v>
      </c>
      <c r="C427" s="28" t="s">
        <v>943</v>
      </c>
      <c r="D427" s="28" t="s">
        <v>1245</v>
      </c>
      <c r="E427" s="37" t="s">
        <v>1910</v>
      </c>
      <c r="F427" s="36" t="str">
        <f t="shared" si="12"/>
        <v>http://www.ninis2.nisra.gov.uk/public/SearchResults.aspx?sk=LC2204NI;</v>
      </c>
      <c r="H427" s="31" t="s">
        <v>1821</v>
      </c>
    </row>
    <row r="428" spans="1:8" ht="42" x14ac:dyDescent="0.3">
      <c r="A428" s="36">
        <f t="shared" si="11"/>
        <v>425</v>
      </c>
      <c r="B428" s="61" t="s">
        <v>944</v>
      </c>
      <c r="C428" s="28" t="s">
        <v>945</v>
      </c>
      <c r="D428" s="28" t="s">
        <v>1244</v>
      </c>
      <c r="E428" s="37" t="s">
        <v>1910</v>
      </c>
      <c r="F428" s="36" t="str">
        <f t="shared" si="12"/>
        <v>http://www.ninis2.nisra.gov.uk/public/SearchResults.aspx?sk=LC2205NI;</v>
      </c>
      <c r="H428" s="34" t="s">
        <v>1821</v>
      </c>
    </row>
    <row r="429" spans="1:8" ht="42" x14ac:dyDescent="0.3">
      <c r="A429" s="36">
        <f t="shared" si="11"/>
        <v>426</v>
      </c>
      <c r="B429" s="61" t="s">
        <v>946</v>
      </c>
      <c r="C429" s="28" t="s">
        <v>947</v>
      </c>
      <c r="D429" s="28" t="s">
        <v>1470</v>
      </c>
      <c r="E429" s="37" t="s">
        <v>1910</v>
      </c>
      <c r="F429" s="36" t="str">
        <f t="shared" si="12"/>
        <v>http://www.ninis2.nisra.gov.uk/public/SearchResults.aspx?sk=LC2206NI;</v>
      </c>
      <c r="H429" s="30" t="s">
        <v>1821</v>
      </c>
    </row>
    <row r="430" spans="1:8" ht="42" x14ac:dyDescent="0.3">
      <c r="A430" s="36">
        <f t="shared" si="11"/>
        <v>427</v>
      </c>
      <c r="B430" s="61" t="s">
        <v>948</v>
      </c>
      <c r="C430" s="28" t="s">
        <v>949</v>
      </c>
      <c r="D430" s="28" t="s">
        <v>1471</v>
      </c>
      <c r="E430" s="37" t="s">
        <v>1910</v>
      </c>
      <c r="F430" s="36" t="str">
        <f t="shared" si="12"/>
        <v>http://www.ninis2.nisra.gov.uk/public/SearchResults.aspx?sk=LC2207NI;</v>
      </c>
      <c r="H430" s="30" t="s">
        <v>1821</v>
      </c>
    </row>
    <row r="431" spans="1:8" ht="42" x14ac:dyDescent="0.3">
      <c r="A431" s="36">
        <f t="shared" si="11"/>
        <v>428</v>
      </c>
      <c r="B431" s="61" t="s">
        <v>950</v>
      </c>
      <c r="C431" s="28" t="s">
        <v>951</v>
      </c>
      <c r="D431" s="28" t="s">
        <v>1472</v>
      </c>
      <c r="E431" s="37" t="s">
        <v>1910</v>
      </c>
      <c r="F431" s="36" t="str">
        <f t="shared" si="12"/>
        <v>http://www.ninis2.nisra.gov.uk/public/SearchResults.aspx?sk=LC2208NI;</v>
      </c>
      <c r="H431" s="30" t="s">
        <v>1821</v>
      </c>
    </row>
    <row r="432" spans="1:8" ht="42" x14ac:dyDescent="0.3">
      <c r="A432" s="36">
        <f t="shared" si="11"/>
        <v>429</v>
      </c>
      <c r="B432" s="61" t="s">
        <v>952</v>
      </c>
      <c r="C432" s="28" t="s">
        <v>953</v>
      </c>
      <c r="D432" s="28" t="s">
        <v>1473</v>
      </c>
      <c r="E432" s="37" t="s">
        <v>1910</v>
      </c>
      <c r="F432" s="36" t="str">
        <f t="shared" si="12"/>
        <v>http://www.ninis2.nisra.gov.uk/public/SearchResults.aspx?sk=LC2209NI;</v>
      </c>
      <c r="H432" s="30" t="s">
        <v>1821</v>
      </c>
    </row>
    <row r="433" spans="1:8" ht="42" x14ac:dyDescent="0.3">
      <c r="A433" s="36">
        <f t="shared" si="11"/>
        <v>430</v>
      </c>
      <c r="B433" s="61" t="s">
        <v>954</v>
      </c>
      <c r="C433" s="28" t="s">
        <v>393</v>
      </c>
      <c r="D433" s="28" t="s">
        <v>1452</v>
      </c>
      <c r="E433" s="37" t="s">
        <v>1910</v>
      </c>
      <c r="F433" s="36" t="str">
        <f t="shared" si="12"/>
        <v>http://www.ninis2.nisra.gov.uk/public/SearchResults.aspx?sk=LC2210NI;</v>
      </c>
      <c r="H433" s="30" t="s">
        <v>1815</v>
      </c>
    </row>
    <row r="434" spans="1:8" ht="42" x14ac:dyDescent="0.3">
      <c r="A434" s="36">
        <f t="shared" si="11"/>
        <v>431</v>
      </c>
      <c r="B434" s="61" t="s">
        <v>955</v>
      </c>
      <c r="C434" s="28" t="s">
        <v>956</v>
      </c>
      <c r="D434" s="28" t="s">
        <v>1248</v>
      </c>
      <c r="E434" s="37" t="s">
        <v>1910</v>
      </c>
      <c r="F434" s="36" t="str">
        <f t="shared" si="12"/>
        <v>http://www.ninis2.nisra.gov.uk/public/SearchResults.aspx?sk=LC2211NI;</v>
      </c>
      <c r="H434" s="31" t="s">
        <v>1821</v>
      </c>
    </row>
    <row r="435" spans="1:8" ht="42" x14ac:dyDescent="0.3">
      <c r="A435" s="36">
        <f t="shared" si="11"/>
        <v>432</v>
      </c>
      <c r="B435" s="61" t="s">
        <v>957</v>
      </c>
      <c r="C435" s="28" t="s">
        <v>958</v>
      </c>
      <c r="D435" s="28" t="s">
        <v>1249</v>
      </c>
      <c r="E435" s="37" t="s">
        <v>1910</v>
      </c>
      <c r="F435" s="36" t="str">
        <f t="shared" si="12"/>
        <v>http://www.ninis2.nisra.gov.uk/public/SearchResults.aspx?sk=LC2212NI;</v>
      </c>
      <c r="H435" s="31" t="s">
        <v>1821</v>
      </c>
    </row>
    <row r="436" spans="1:8" ht="42" x14ac:dyDescent="0.3">
      <c r="A436" s="36">
        <f t="shared" si="11"/>
        <v>433</v>
      </c>
      <c r="B436" s="61" t="s">
        <v>959</v>
      </c>
      <c r="C436" s="28" t="s">
        <v>415</v>
      </c>
      <c r="D436" s="28" t="s">
        <v>1455</v>
      </c>
      <c r="E436" s="37" t="s">
        <v>1910</v>
      </c>
      <c r="F436" s="36" t="str">
        <f t="shared" si="12"/>
        <v>http://www.ninis2.nisra.gov.uk/public/SearchResults.aspx?sk=LC2213NI;</v>
      </c>
      <c r="H436" s="30" t="s">
        <v>1815</v>
      </c>
    </row>
    <row r="437" spans="1:8" ht="42" x14ac:dyDescent="0.3">
      <c r="A437" s="36">
        <f t="shared" si="11"/>
        <v>434</v>
      </c>
      <c r="B437" s="61" t="s">
        <v>960</v>
      </c>
      <c r="C437" s="28" t="s">
        <v>417</v>
      </c>
      <c r="D437" s="28" t="s">
        <v>1456</v>
      </c>
      <c r="E437" s="37" t="s">
        <v>1910</v>
      </c>
      <c r="F437" s="36" t="str">
        <f t="shared" si="12"/>
        <v>http://www.ninis2.nisra.gov.uk/public/SearchResults.aspx?sk=LC2214NI;</v>
      </c>
      <c r="H437" s="30" t="s">
        <v>1815</v>
      </c>
    </row>
    <row r="438" spans="1:8" ht="42" x14ac:dyDescent="0.3">
      <c r="A438" s="36">
        <f t="shared" si="11"/>
        <v>435</v>
      </c>
      <c r="B438" s="61" t="s">
        <v>961</v>
      </c>
      <c r="C438" s="28" t="s">
        <v>341</v>
      </c>
      <c r="D438" s="28" t="s">
        <v>1431</v>
      </c>
      <c r="E438" s="37" t="s">
        <v>1910</v>
      </c>
      <c r="F438" s="36" t="str">
        <f t="shared" si="12"/>
        <v>http://www.ninis2.nisra.gov.uk/public/SearchResults.aspx?sk=LC2215NI;</v>
      </c>
      <c r="H438" s="30" t="s">
        <v>1815</v>
      </c>
    </row>
    <row r="439" spans="1:8" ht="42" x14ac:dyDescent="0.3">
      <c r="A439" s="36">
        <f t="shared" si="11"/>
        <v>436</v>
      </c>
      <c r="B439" s="61" t="s">
        <v>962</v>
      </c>
      <c r="C439" s="28" t="s">
        <v>963</v>
      </c>
      <c r="D439" s="28" t="s">
        <v>1128</v>
      </c>
      <c r="E439" s="37" t="s">
        <v>1910</v>
      </c>
      <c r="F439" s="36" t="str">
        <f t="shared" si="12"/>
        <v>http://www.ninis2.nisra.gov.uk/public/SearchResults.aspx?sk=LC2301NI;</v>
      </c>
      <c r="H439" s="28" t="s">
        <v>1815</v>
      </c>
    </row>
    <row r="440" spans="1:8" ht="42" x14ac:dyDescent="0.3">
      <c r="A440" s="36">
        <f t="shared" si="11"/>
        <v>437</v>
      </c>
      <c r="B440" s="61" t="s">
        <v>964</v>
      </c>
      <c r="C440" s="28" t="s">
        <v>965</v>
      </c>
      <c r="D440" s="28" t="s">
        <v>1180</v>
      </c>
      <c r="E440" s="37" t="s">
        <v>1910</v>
      </c>
      <c r="F440" s="36" t="str">
        <f t="shared" si="12"/>
        <v>http://www.ninis2.nisra.gov.uk/public/SearchResults.aspx?sk=LC2302NI;</v>
      </c>
      <c r="H440" s="28" t="s">
        <v>1815</v>
      </c>
    </row>
    <row r="441" spans="1:8" ht="42" x14ac:dyDescent="0.3">
      <c r="A441" s="36">
        <f t="shared" si="11"/>
        <v>438</v>
      </c>
      <c r="B441" s="61" t="s">
        <v>966</v>
      </c>
      <c r="C441" s="28" t="s">
        <v>967</v>
      </c>
      <c r="D441" s="28" t="s">
        <v>1129</v>
      </c>
      <c r="E441" s="37" t="s">
        <v>1910</v>
      </c>
      <c r="F441" s="36" t="str">
        <f t="shared" si="12"/>
        <v>http://www.ninis2.nisra.gov.uk/public/SearchResults.aspx?sk=LC2303NI;</v>
      </c>
      <c r="H441" s="28" t="s">
        <v>1815</v>
      </c>
    </row>
    <row r="442" spans="1:8" ht="42" x14ac:dyDescent="0.3">
      <c r="A442" s="36">
        <f t="shared" si="11"/>
        <v>439</v>
      </c>
      <c r="B442" s="61" t="s">
        <v>968</v>
      </c>
      <c r="C442" s="28" t="s">
        <v>969</v>
      </c>
      <c r="D442" s="28" t="s">
        <v>1181</v>
      </c>
      <c r="E442" s="37" t="s">
        <v>1910</v>
      </c>
      <c r="F442" s="36" t="str">
        <f t="shared" si="12"/>
        <v>http://www.ninis2.nisra.gov.uk/public/SearchResults.aspx?sk=LC2304NI;</v>
      </c>
      <c r="H442" s="28" t="s">
        <v>1815</v>
      </c>
    </row>
    <row r="443" spans="1:8" ht="42" x14ac:dyDescent="0.3">
      <c r="A443" s="36">
        <f t="shared" si="11"/>
        <v>440</v>
      </c>
      <c r="B443" s="61" t="s">
        <v>970</v>
      </c>
      <c r="C443" s="28" t="s">
        <v>971</v>
      </c>
      <c r="D443" s="28" t="s">
        <v>1130</v>
      </c>
      <c r="E443" s="37" t="s">
        <v>1910</v>
      </c>
      <c r="F443" s="36" t="str">
        <f t="shared" si="12"/>
        <v>http://www.ninis2.nisra.gov.uk/public/SearchResults.aspx?sk=LC2401NI;</v>
      </c>
      <c r="H443" s="28" t="s">
        <v>1820</v>
      </c>
    </row>
    <row r="444" spans="1:8" ht="42" x14ac:dyDescent="0.3">
      <c r="A444" s="36">
        <f t="shared" si="11"/>
        <v>441</v>
      </c>
      <c r="B444" s="61" t="s">
        <v>972</v>
      </c>
      <c r="C444" s="28" t="s">
        <v>973</v>
      </c>
      <c r="D444" s="28" t="s">
        <v>1182</v>
      </c>
      <c r="E444" s="37" t="s">
        <v>1910</v>
      </c>
      <c r="F444" s="36" t="str">
        <f t="shared" si="12"/>
        <v>http://www.ninis2.nisra.gov.uk/public/SearchResults.aspx?sk=LC2402NI;</v>
      </c>
      <c r="H444" s="28" t="s">
        <v>1820</v>
      </c>
    </row>
    <row r="445" spans="1:8" ht="42" x14ac:dyDescent="0.3">
      <c r="A445" s="36">
        <f t="shared" si="11"/>
        <v>442</v>
      </c>
      <c r="B445" s="61" t="s">
        <v>974</v>
      </c>
      <c r="C445" s="28" t="s">
        <v>473</v>
      </c>
      <c r="D445" s="28" t="s">
        <v>777</v>
      </c>
      <c r="E445" s="37" t="s">
        <v>1910</v>
      </c>
      <c r="F445" s="36" t="str">
        <f t="shared" si="12"/>
        <v>http://www.ninis2.nisra.gov.uk/public/SearchResults.aspx?sk=LC2403NI;</v>
      </c>
      <c r="H445" s="28" t="s">
        <v>1841</v>
      </c>
    </row>
    <row r="446" spans="1:8" ht="42" x14ac:dyDescent="0.3">
      <c r="A446" s="36">
        <f t="shared" si="11"/>
        <v>443</v>
      </c>
      <c r="B446" s="61" t="s">
        <v>975</v>
      </c>
      <c r="C446" s="28" t="s">
        <v>477</v>
      </c>
      <c r="D446" s="28" t="s">
        <v>778</v>
      </c>
      <c r="E446" s="37" t="s">
        <v>1910</v>
      </c>
      <c r="F446" s="36" t="str">
        <f t="shared" si="12"/>
        <v>http://www.ninis2.nisra.gov.uk/public/SearchResults.aspx?sk=LC2404NI;</v>
      </c>
      <c r="H446" s="28" t="s">
        <v>1818</v>
      </c>
    </row>
    <row r="447" spans="1:8" ht="42" x14ac:dyDescent="0.3">
      <c r="A447" s="36">
        <f t="shared" si="11"/>
        <v>444</v>
      </c>
      <c r="B447" s="61" t="s">
        <v>976</v>
      </c>
      <c r="C447" s="28" t="s">
        <v>977</v>
      </c>
      <c r="D447" s="28" t="s">
        <v>1183</v>
      </c>
      <c r="E447" s="37" t="s">
        <v>1910</v>
      </c>
      <c r="F447" s="36" t="str">
        <f t="shared" si="12"/>
        <v>http://www.ninis2.nisra.gov.uk/public/SearchResults.aspx?sk=LC2405NI;</v>
      </c>
      <c r="H447" s="28" t="s">
        <v>1818</v>
      </c>
    </row>
    <row r="448" spans="1:8" ht="42" x14ac:dyDescent="0.3">
      <c r="A448" s="36">
        <f t="shared" si="11"/>
        <v>445</v>
      </c>
      <c r="B448" s="61" t="s">
        <v>978</v>
      </c>
      <c r="C448" s="28" t="s">
        <v>979</v>
      </c>
      <c r="D448" s="28" t="s">
        <v>1184</v>
      </c>
      <c r="E448" s="37" t="s">
        <v>1910</v>
      </c>
      <c r="F448" s="36" t="str">
        <f t="shared" si="12"/>
        <v>http://www.ninis2.nisra.gov.uk/public/SearchResults.aspx?sk=LC2406NI;</v>
      </c>
      <c r="H448" s="30" t="s">
        <v>1841</v>
      </c>
    </row>
    <row r="449" spans="1:8" ht="42" x14ac:dyDescent="0.3">
      <c r="A449" s="36">
        <f t="shared" si="11"/>
        <v>446</v>
      </c>
      <c r="B449" s="61" t="s">
        <v>980</v>
      </c>
      <c r="C449" s="28" t="s">
        <v>981</v>
      </c>
      <c r="D449" s="28" t="s">
        <v>1131</v>
      </c>
      <c r="E449" s="37" t="s">
        <v>1910</v>
      </c>
      <c r="F449" s="36" t="str">
        <f t="shared" si="12"/>
        <v>http://www.ninis2.nisra.gov.uk/public/SearchResults.aspx?sk=LC2407NI;</v>
      </c>
      <c r="H449" s="28" t="s">
        <v>1841</v>
      </c>
    </row>
    <row r="450" spans="1:8" ht="42" x14ac:dyDescent="0.3">
      <c r="A450" s="36">
        <f t="shared" si="11"/>
        <v>447</v>
      </c>
      <c r="B450" s="61" t="s">
        <v>982</v>
      </c>
      <c r="C450" s="28" t="s">
        <v>983</v>
      </c>
      <c r="D450" s="28" t="s">
        <v>1185</v>
      </c>
      <c r="E450" s="37" t="s">
        <v>1910</v>
      </c>
      <c r="F450" s="36" t="str">
        <f t="shared" si="12"/>
        <v>http://www.ninis2.nisra.gov.uk/public/SearchResults.aspx?sk=LC2408NI;</v>
      </c>
      <c r="H450" s="29" t="s">
        <v>1841</v>
      </c>
    </row>
    <row r="451" spans="1:8" ht="42" x14ac:dyDescent="0.3">
      <c r="A451" s="36">
        <f t="shared" si="11"/>
        <v>448</v>
      </c>
      <c r="B451" s="61" t="s">
        <v>984</v>
      </c>
      <c r="C451" s="28" t="s">
        <v>459</v>
      </c>
      <c r="D451" s="28" t="s">
        <v>774</v>
      </c>
      <c r="E451" s="37" t="s">
        <v>1910</v>
      </c>
      <c r="F451" s="36" t="str">
        <f t="shared" si="12"/>
        <v>http://www.ninis2.nisra.gov.uk/public/SearchResults.aspx?sk=LC2409NI;</v>
      </c>
      <c r="H451" s="30" t="s">
        <v>1818</v>
      </c>
    </row>
    <row r="452" spans="1:8" ht="42" x14ac:dyDescent="0.3">
      <c r="A452" s="36">
        <f t="shared" si="11"/>
        <v>449</v>
      </c>
      <c r="B452" s="61" t="s">
        <v>985</v>
      </c>
      <c r="C452" s="28" t="s">
        <v>485</v>
      </c>
      <c r="D452" s="28" t="s">
        <v>881</v>
      </c>
      <c r="E452" s="37" t="s">
        <v>1910</v>
      </c>
      <c r="F452" s="36" t="str">
        <f t="shared" si="12"/>
        <v>http://www.ninis2.nisra.gov.uk/public/SearchResults.aspx?sk=LC2501NI;</v>
      </c>
      <c r="H452" s="30" t="s">
        <v>1816</v>
      </c>
    </row>
    <row r="453" spans="1:8" ht="42" x14ac:dyDescent="0.3">
      <c r="A453" s="36">
        <f t="shared" ref="A453:A516" si="13">IF(AND(NOT(ISERR(FIND($L$4,D453))),NOT(ISERR(FIND($L$5,D453))),NOT(ISERR(FIND($L$6,D453))),NOT(ISERR(FIND($L$7,D453))) ),A452+1,A452)</f>
        <v>450</v>
      </c>
      <c r="B453" s="61" t="s">
        <v>986</v>
      </c>
      <c r="C453" s="28" t="s">
        <v>987</v>
      </c>
      <c r="D453" s="28" t="s">
        <v>1199</v>
      </c>
      <c r="E453" s="37" t="s">
        <v>1910</v>
      </c>
      <c r="F453" s="36" t="str">
        <f t="shared" si="12"/>
        <v>http://www.ninis2.nisra.gov.uk/public/SearchResults.aspx?sk=LC2502NI;</v>
      </c>
      <c r="H453" s="28" t="s">
        <v>1816</v>
      </c>
    </row>
    <row r="454" spans="1:8" ht="42" x14ac:dyDescent="0.3">
      <c r="A454" s="36">
        <f t="shared" si="13"/>
        <v>451</v>
      </c>
      <c r="B454" s="61" t="s">
        <v>988</v>
      </c>
      <c r="C454" s="28" t="s">
        <v>989</v>
      </c>
      <c r="D454" s="28" t="s">
        <v>1200</v>
      </c>
      <c r="E454" s="37" t="s">
        <v>1910</v>
      </c>
      <c r="F454" s="36" t="str">
        <f t="shared" si="12"/>
        <v>http://www.ninis2.nisra.gov.uk/public/SearchResults.aspx?sk=LC2503NI;</v>
      </c>
      <c r="H454" s="28" t="s">
        <v>1816</v>
      </c>
    </row>
    <row r="455" spans="1:8" ht="42" x14ac:dyDescent="0.3">
      <c r="A455" s="36">
        <f t="shared" si="13"/>
        <v>452</v>
      </c>
      <c r="B455" s="61" t="s">
        <v>990</v>
      </c>
      <c r="C455" s="28" t="s">
        <v>991</v>
      </c>
      <c r="D455" s="28" t="s">
        <v>1187</v>
      </c>
      <c r="E455" s="37" t="s">
        <v>1910</v>
      </c>
      <c r="F455" s="36" t="str">
        <f t="shared" si="12"/>
        <v>http://www.ninis2.nisra.gov.uk/public/SearchResults.aspx?sk=LC2601NI;</v>
      </c>
      <c r="H455" s="30" t="s">
        <v>1815</v>
      </c>
    </row>
    <row r="456" spans="1:8" ht="42" x14ac:dyDescent="0.3">
      <c r="A456" s="36">
        <f t="shared" si="13"/>
        <v>453</v>
      </c>
      <c r="B456" s="61" t="s">
        <v>992</v>
      </c>
      <c r="C456" s="28" t="s">
        <v>993</v>
      </c>
      <c r="D456" s="28" t="s">
        <v>1188</v>
      </c>
      <c r="E456" s="37" t="s">
        <v>1910</v>
      </c>
      <c r="F456" s="36" t="str">
        <f t="shared" si="12"/>
        <v>http://www.ninis2.nisra.gov.uk/public/SearchResults.aspx?sk=LC2602NI;</v>
      </c>
      <c r="H456" s="30" t="s">
        <v>1825</v>
      </c>
    </row>
    <row r="457" spans="1:8" ht="42" x14ac:dyDescent="0.3">
      <c r="A457" s="36">
        <f t="shared" si="13"/>
        <v>454</v>
      </c>
      <c r="B457" s="61" t="s">
        <v>994</v>
      </c>
      <c r="C457" s="28" t="s">
        <v>995</v>
      </c>
      <c r="D457" s="28" t="s">
        <v>1474</v>
      </c>
      <c r="E457" s="37" t="s">
        <v>1910</v>
      </c>
      <c r="F457" s="36" t="str">
        <f t="shared" si="12"/>
        <v>http://www.ninis2.nisra.gov.uk/public/SearchResults.aspx?sk=LC2603NI;</v>
      </c>
      <c r="H457" s="28" t="s">
        <v>1825</v>
      </c>
    </row>
    <row r="458" spans="1:8" ht="42" x14ac:dyDescent="0.3">
      <c r="A458" s="36">
        <f t="shared" si="13"/>
        <v>455</v>
      </c>
      <c r="B458" s="61" t="s">
        <v>996</v>
      </c>
      <c r="C458" s="28" t="s">
        <v>997</v>
      </c>
      <c r="D458" s="28" t="s">
        <v>1166</v>
      </c>
      <c r="E458" s="37" t="s">
        <v>1910</v>
      </c>
      <c r="F458" s="36" t="str">
        <f t="shared" si="12"/>
        <v>http://www.ninis2.nisra.gov.uk/public/SearchResults.aspx?sk=LC2604NI;</v>
      </c>
      <c r="H458" s="28" t="s">
        <v>1825</v>
      </c>
    </row>
    <row r="459" spans="1:8" ht="42" x14ac:dyDescent="0.3">
      <c r="A459" s="36">
        <f t="shared" si="13"/>
        <v>456</v>
      </c>
      <c r="B459" s="61" t="s">
        <v>998</v>
      </c>
      <c r="C459" s="28" t="s">
        <v>999</v>
      </c>
      <c r="D459" s="28" t="s">
        <v>1132</v>
      </c>
      <c r="E459" s="37" t="s">
        <v>1910</v>
      </c>
      <c r="F459" s="36" t="str">
        <f t="shared" si="12"/>
        <v>http://www.ninis2.nisra.gov.uk/public/SearchResults.aspx?sk=LC2605NI;</v>
      </c>
      <c r="H459" s="28" t="s">
        <v>1825</v>
      </c>
    </row>
    <row r="460" spans="1:8" ht="42" x14ac:dyDescent="0.3">
      <c r="A460" s="36">
        <f t="shared" si="13"/>
        <v>457</v>
      </c>
      <c r="B460" s="61" t="s">
        <v>1000</v>
      </c>
      <c r="C460" s="28" t="s">
        <v>1001</v>
      </c>
      <c r="D460" s="28" t="s">
        <v>1189</v>
      </c>
      <c r="E460" s="37" t="s">
        <v>1910</v>
      </c>
      <c r="F460" s="36" t="str">
        <f t="shared" si="12"/>
        <v>http://www.ninis2.nisra.gov.uk/public/SearchResults.aspx?sk=LC2606NI;</v>
      </c>
      <c r="H460" s="28" t="s">
        <v>1825</v>
      </c>
    </row>
    <row r="461" spans="1:8" ht="42" x14ac:dyDescent="0.3">
      <c r="A461" s="36">
        <f t="shared" si="13"/>
        <v>458</v>
      </c>
      <c r="B461" s="61" t="s">
        <v>1002</v>
      </c>
      <c r="C461" s="28" t="s">
        <v>1003</v>
      </c>
      <c r="D461" s="28" t="s">
        <v>1190</v>
      </c>
      <c r="E461" s="37" t="s">
        <v>1910</v>
      </c>
      <c r="F461" s="36" t="str">
        <f t="shared" ref="F461:F524" si="14">"http://www.ninis2.nisra.gov.uk/public/SearchResults.aspx?sk="&amp;B461&amp;";"</f>
        <v>http://www.ninis2.nisra.gov.uk/public/SearchResults.aspx?sk=LC2607NI;</v>
      </c>
      <c r="H461" s="30" t="s">
        <v>1825</v>
      </c>
    </row>
    <row r="462" spans="1:8" ht="42" x14ac:dyDescent="0.3">
      <c r="A462" s="36">
        <f t="shared" si="13"/>
        <v>459</v>
      </c>
      <c r="B462" s="61" t="s">
        <v>1004</v>
      </c>
      <c r="C462" s="28" t="s">
        <v>1005</v>
      </c>
      <c r="D462" s="28" t="s">
        <v>1204</v>
      </c>
      <c r="E462" s="37" t="s">
        <v>1910</v>
      </c>
      <c r="F462" s="36" t="str">
        <f t="shared" si="14"/>
        <v>http://www.ninis2.nisra.gov.uk/public/SearchResults.aspx?sk=LC2608NI;</v>
      </c>
      <c r="H462" s="30" t="s">
        <v>1825</v>
      </c>
    </row>
    <row r="463" spans="1:8" ht="42" x14ac:dyDescent="0.3">
      <c r="A463" s="36">
        <f t="shared" si="13"/>
        <v>460</v>
      </c>
      <c r="B463" s="61" t="s">
        <v>1006</v>
      </c>
      <c r="C463" s="28" t="s">
        <v>1007</v>
      </c>
      <c r="D463" s="28" t="s">
        <v>1133</v>
      </c>
      <c r="E463" s="37" t="s">
        <v>1910</v>
      </c>
      <c r="F463" s="36" t="str">
        <f t="shared" si="14"/>
        <v>http://www.ninis2.nisra.gov.uk/public/SearchResults.aspx?sk=LC2609NI;</v>
      </c>
      <c r="H463" s="35" t="s">
        <v>1829</v>
      </c>
    </row>
    <row r="464" spans="1:8" ht="42" x14ac:dyDescent="0.3">
      <c r="A464" s="36">
        <f t="shared" si="13"/>
        <v>461</v>
      </c>
      <c r="B464" s="61" t="s">
        <v>1008</v>
      </c>
      <c r="C464" s="28" t="s">
        <v>1009</v>
      </c>
      <c r="D464" s="28" t="s">
        <v>1186</v>
      </c>
      <c r="E464" s="37" t="s">
        <v>1910</v>
      </c>
      <c r="F464" s="36" t="str">
        <f t="shared" si="14"/>
        <v>http://www.ninis2.nisra.gov.uk/public/SearchResults.aspx?sk=LC2610NI;</v>
      </c>
      <c r="H464" s="35" t="s">
        <v>1829</v>
      </c>
    </row>
    <row r="465" spans="1:8" ht="42" x14ac:dyDescent="0.3">
      <c r="A465" s="36">
        <f t="shared" si="13"/>
        <v>462</v>
      </c>
      <c r="B465" s="61" t="s">
        <v>1010</v>
      </c>
      <c r="C465" s="28" t="s">
        <v>1011</v>
      </c>
      <c r="D465" s="28" t="s">
        <v>1134</v>
      </c>
      <c r="E465" s="37" t="s">
        <v>1910</v>
      </c>
      <c r="F465" s="36" t="str">
        <f t="shared" si="14"/>
        <v>http://www.ninis2.nisra.gov.uk/public/SearchResults.aspx?sk=LC3101NI;</v>
      </c>
      <c r="H465" s="30" t="s">
        <v>1837</v>
      </c>
    </row>
    <row r="466" spans="1:8" ht="42" x14ac:dyDescent="0.3">
      <c r="A466" s="36">
        <f t="shared" si="13"/>
        <v>463</v>
      </c>
      <c r="B466" s="61" t="s">
        <v>1012</v>
      </c>
      <c r="C466" s="28" t="s">
        <v>1013</v>
      </c>
      <c r="D466" s="28" t="s">
        <v>1135</v>
      </c>
      <c r="E466" s="37" t="s">
        <v>1910</v>
      </c>
      <c r="F466" s="36" t="str">
        <f t="shared" si="14"/>
        <v>http://www.ninis2.nisra.gov.uk/public/SearchResults.aspx?sk=LC3102NI;</v>
      </c>
      <c r="H466" s="28" t="s">
        <v>1837</v>
      </c>
    </row>
    <row r="467" spans="1:8" ht="42" x14ac:dyDescent="0.3">
      <c r="A467" s="36">
        <f t="shared" si="13"/>
        <v>464</v>
      </c>
      <c r="B467" s="61" t="s">
        <v>1014</v>
      </c>
      <c r="C467" s="28" t="s">
        <v>1015</v>
      </c>
      <c r="D467" s="28" t="s">
        <v>1136</v>
      </c>
      <c r="E467" s="37" t="s">
        <v>1910</v>
      </c>
      <c r="F467" s="36" t="str">
        <f t="shared" si="14"/>
        <v>http://www.ninis2.nisra.gov.uk/public/SearchResults.aspx?sk=LC3103NI;</v>
      </c>
      <c r="H467" s="28" t="s">
        <v>1837</v>
      </c>
    </row>
    <row r="468" spans="1:8" ht="42" x14ac:dyDescent="0.3">
      <c r="A468" s="36">
        <f t="shared" si="13"/>
        <v>465</v>
      </c>
      <c r="B468" s="61" t="s">
        <v>1016</v>
      </c>
      <c r="C468" s="28" t="s">
        <v>1017</v>
      </c>
      <c r="D468" s="28" t="s">
        <v>1137</v>
      </c>
      <c r="E468" s="37" t="s">
        <v>1910</v>
      </c>
      <c r="F468" s="36" t="str">
        <f t="shared" si="14"/>
        <v>http://www.ninis2.nisra.gov.uk/public/SearchResults.aspx?sk=LC3104NI;</v>
      </c>
      <c r="H468" s="28" t="s">
        <v>1837</v>
      </c>
    </row>
    <row r="469" spans="1:8" ht="42" x14ac:dyDescent="0.3">
      <c r="A469" s="36">
        <f t="shared" si="13"/>
        <v>466</v>
      </c>
      <c r="B469" s="61" t="s">
        <v>1018</v>
      </c>
      <c r="C469" s="28" t="s">
        <v>1019</v>
      </c>
      <c r="D469" s="28" t="s">
        <v>1138</v>
      </c>
      <c r="E469" s="37" t="s">
        <v>1910</v>
      </c>
      <c r="F469" s="36" t="str">
        <f t="shared" si="14"/>
        <v>http://www.ninis2.nisra.gov.uk/public/SearchResults.aspx?sk=LC3105NI;</v>
      </c>
      <c r="H469" s="28" t="s">
        <v>1837</v>
      </c>
    </row>
    <row r="470" spans="1:8" ht="42" x14ac:dyDescent="0.3">
      <c r="A470" s="36">
        <f t="shared" si="13"/>
        <v>467</v>
      </c>
      <c r="B470" s="61" t="s">
        <v>1020</v>
      </c>
      <c r="C470" s="28" t="s">
        <v>1021</v>
      </c>
      <c r="D470" s="28" t="s">
        <v>1139</v>
      </c>
      <c r="E470" s="37" t="s">
        <v>1910</v>
      </c>
      <c r="F470" s="36" t="str">
        <f t="shared" si="14"/>
        <v>http://www.ninis2.nisra.gov.uk/public/SearchResults.aspx?sk=LC3106NI;</v>
      </c>
      <c r="H470" s="28" t="s">
        <v>1837</v>
      </c>
    </row>
    <row r="471" spans="1:8" ht="42" x14ac:dyDescent="0.3">
      <c r="A471" s="36">
        <f t="shared" si="13"/>
        <v>468</v>
      </c>
      <c r="B471" s="61" t="s">
        <v>1022</v>
      </c>
      <c r="C471" s="28" t="s">
        <v>1023</v>
      </c>
      <c r="D471" s="28" t="s">
        <v>1140</v>
      </c>
      <c r="E471" s="37" t="s">
        <v>1910</v>
      </c>
      <c r="F471" s="36" t="str">
        <f t="shared" si="14"/>
        <v>http://www.ninis2.nisra.gov.uk/public/SearchResults.aspx?sk=LC3301NI;</v>
      </c>
      <c r="H471" s="28" t="s">
        <v>1837</v>
      </c>
    </row>
    <row r="472" spans="1:8" ht="42" x14ac:dyDescent="0.3">
      <c r="A472" s="36">
        <f t="shared" si="13"/>
        <v>469</v>
      </c>
      <c r="B472" s="61" t="s">
        <v>1024</v>
      </c>
      <c r="C472" s="28" t="s">
        <v>1025</v>
      </c>
      <c r="D472" s="28" t="s">
        <v>1141</v>
      </c>
      <c r="E472" s="37" t="s">
        <v>1910</v>
      </c>
      <c r="F472" s="36" t="str">
        <f t="shared" si="14"/>
        <v>http://www.ninis2.nisra.gov.uk/public/SearchResults.aspx?sk=LC3302NI;</v>
      </c>
      <c r="H472" s="73" t="s">
        <v>1815</v>
      </c>
    </row>
    <row r="473" spans="1:8" ht="42" x14ac:dyDescent="0.3">
      <c r="A473" s="36">
        <f t="shared" si="13"/>
        <v>470</v>
      </c>
      <c r="B473" s="61" t="s">
        <v>1026</v>
      </c>
      <c r="C473" s="28" t="s">
        <v>1256</v>
      </c>
      <c r="D473" s="28" t="s">
        <v>1142</v>
      </c>
      <c r="E473" s="37" t="s">
        <v>1910</v>
      </c>
      <c r="F473" s="36" t="str">
        <f t="shared" si="14"/>
        <v>http://www.ninis2.nisra.gov.uk/public/SearchResults.aspx?sk=LC3303NI;</v>
      </c>
      <c r="H473" s="28" t="s">
        <v>1837</v>
      </c>
    </row>
    <row r="474" spans="1:8" ht="42" x14ac:dyDescent="0.3">
      <c r="A474" s="36">
        <f t="shared" si="13"/>
        <v>471</v>
      </c>
      <c r="B474" s="61" t="s">
        <v>1027</v>
      </c>
      <c r="C474" s="28" t="s">
        <v>1028</v>
      </c>
      <c r="D474" s="28" t="s">
        <v>1143</v>
      </c>
      <c r="E474" s="37" t="s">
        <v>1910</v>
      </c>
      <c r="F474" s="36" t="str">
        <f t="shared" si="14"/>
        <v>http://www.ninis2.nisra.gov.uk/public/SearchResults.aspx?sk=LC3401NI;</v>
      </c>
      <c r="H474" s="30" t="s">
        <v>1837</v>
      </c>
    </row>
    <row r="475" spans="1:8" ht="42" x14ac:dyDescent="0.3">
      <c r="A475" s="36">
        <f t="shared" si="13"/>
        <v>472</v>
      </c>
      <c r="B475" s="61" t="s">
        <v>1029</v>
      </c>
      <c r="C475" s="28" t="s">
        <v>1030</v>
      </c>
      <c r="D475" s="28" t="s">
        <v>1144</v>
      </c>
      <c r="E475" s="37" t="s">
        <v>1910</v>
      </c>
      <c r="F475" s="36" t="str">
        <f t="shared" si="14"/>
        <v>http://www.ninis2.nisra.gov.uk/public/SearchResults.aspx?sk=LC3402NI;</v>
      </c>
      <c r="H475" s="30" t="s">
        <v>1837</v>
      </c>
    </row>
    <row r="476" spans="1:8" ht="42" x14ac:dyDescent="0.3">
      <c r="A476" s="36">
        <f t="shared" si="13"/>
        <v>473</v>
      </c>
      <c r="B476" s="61" t="s">
        <v>1031</v>
      </c>
      <c r="C476" s="28" t="s">
        <v>1032</v>
      </c>
      <c r="D476" s="28" t="s">
        <v>1167</v>
      </c>
      <c r="E476" s="37" t="s">
        <v>1910</v>
      </c>
      <c r="F476" s="36" t="str">
        <f t="shared" si="14"/>
        <v>http://www.ninis2.nisra.gov.uk/public/SearchResults.aspx?sk=LC3601NI;</v>
      </c>
      <c r="H476" s="28" t="s">
        <v>1825</v>
      </c>
    </row>
    <row r="477" spans="1:8" ht="42" x14ac:dyDescent="0.3">
      <c r="A477" s="36">
        <f t="shared" si="13"/>
        <v>474</v>
      </c>
      <c r="B477" s="61" t="s">
        <v>1033</v>
      </c>
      <c r="C477" s="28" t="s">
        <v>1034</v>
      </c>
      <c r="D477" s="28" t="s">
        <v>1168</v>
      </c>
      <c r="E477" s="37" t="s">
        <v>1910</v>
      </c>
      <c r="F477" s="36" t="str">
        <f t="shared" si="14"/>
        <v>http://www.ninis2.nisra.gov.uk/public/SearchResults.aspx?sk=LC3602NI;</v>
      </c>
      <c r="H477" s="28" t="s">
        <v>1825</v>
      </c>
    </row>
    <row r="478" spans="1:8" ht="42" x14ac:dyDescent="0.3">
      <c r="A478" s="36">
        <f t="shared" si="13"/>
        <v>475</v>
      </c>
      <c r="B478" s="61" t="s">
        <v>1035</v>
      </c>
      <c r="C478" s="28" t="s">
        <v>1036</v>
      </c>
      <c r="D478" s="28" t="s">
        <v>1191</v>
      </c>
      <c r="E478" s="37" t="s">
        <v>1910</v>
      </c>
      <c r="F478" s="36" t="str">
        <f t="shared" si="14"/>
        <v>http://www.ninis2.nisra.gov.uk/public/SearchResults.aspx?sk=LC3603NI;</v>
      </c>
      <c r="H478" s="28" t="s">
        <v>1825</v>
      </c>
    </row>
    <row r="479" spans="1:8" ht="42" x14ac:dyDescent="0.3">
      <c r="A479" s="36">
        <f t="shared" si="13"/>
        <v>476</v>
      </c>
      <c r="B479" s="61" t="s">
        <v>1037</v>
      </c>
      <c r="C479" s="28" t="s">
        <v>1038</v>
      </c>
      <c r="D479" s="28" t="s">
        <v>1192</v>
      </c>
      <c r="E479" s="37" t="s">
        <v>1910</v>
      </c>
      <c r="F479" s="36" t="str">
        <f t="shared" si="14"/>
        <v>http://www.ninis2.nisra.gov.uk/public/SearchResults.aspx?sk=LC3604NI;</v>
      </c>
      <c r="H479" s="28" t="s">
        <v>1825</v>
      </c>
    </row>
    <row r="480" spans="1:8" ht="42" x14ac:dyDescent="0.3">
      <c r="A480" s="36">
        <f t="shared" si="13"/>
        <v>477</v>
      </c>
      <c r="B480" s="61" t="s">
        <v>1039</v>
      </c>
      <c r="C480" s="28" t="s">
        <v>1040</v>
      </c>
      <c r="D480" s="28" t="s">
        <v>1193</v>
      </c>
      <c r="E480" s="37" t="s">
        <v>1910</v>
      </c>
      <c r="F480" s="36" t="str">
        <f t="shared" si="14"/>
        <v>http://www.ninis2.nisra.gov.uk/public/SearchResults.aspx?sk=LC3605NI;</v>
      </c>
      <c r="H480" s="28" t="s">
        <v>1825</v>
      </c>
    </row>
    <row r="481" spans="1:8" ht="42" x14ac:dyDescent="0.3">
      <c r="A481" s="36">
        <f t="shared" si="13"/>
        <v>478</v>
      </c>
      <c r="B481" s="55" t="s">
        <v>1041</v>
      </c>
      <c r="C481" s="67" t="s">
        <v>567</v>
      </c>
      <c r="D481" s="28" t="s">
        <v>793</v>
      </c>
      <c r="E481" s="37" t="s">
        <v>1910</v>
      </c>
      <c r="F481" s="36" t="str">
        <f t="shared" si="14"/>
        <v>http://www.ninis2.nisra.gov.uk/public/SearchResults.aspx?sk=LC3606NI;</v>
      </c>
      <c r="H481" s="28" t="s">
        <v>1828</v>
      </c>
    </row>
    <row r="482" spans="1:8" ht="42" x14ac:dyDescent="0.3">
      <c r="A482" s="36">
        <f t="shared" si="13"/>
        <v>479</v>
      </c>
      <c r="B482" s="55" t="s">
        <v>1042</v>
      </c>
      <c r="C482" s="67" t="s">
        <v>1043</v>
      </c>
      <c r="D482" s="28" t="s">
        <v>1145</v>
      </c>
      <c r="E482" s="37" t="s">
        <v>1910</v>
      </c>
      <c r="F482" s="36" t="str">
        <f t="shared" si="14"/>
        <v>http://www.ninis2.nisra.gov.uk/public/SearchResults.aspx?sk=LC4101NI;</v>
      </c>
      <c r="H482" s="28" t="s">
        <v>1841</v>
      </c>
    </row>
    <row r="483" spans="1:8" ht="42" x14ac:dyDescent="0.3">
      <c r="A483" s="36">
        <f t="shared" si="13"/>
        <v>480</v>
      </c>
      <c r="B483" s="55" t="s">
        <v>1044</v>
      </c>
      <c r="C483" s="67" t="s">
        <v>1045</v>
      </c>
      <c r="D483" s="28" t="s">
        <v>1146</v>
      </c>
      <c r="E483" s="37" t="s">
        <v>1910</v>
      </c>
      <c r="F483" s="36" t="str">
        <f t="shared" si="14"/>
        <v>http://www.ninis2.nisra.gov.uk/public/SearchResults.aspx?sk=LC4102NI;</v>
      </c>
      <c r="H483" s="28" t="s">
        <v>1818</v>
      </c>
    </row>
    <row r="484" spans="1:8" ht="42" x14ac:dyDescent="0.3">
      <c r="A484" s="36">
        <f t="shared" si="13"/>
        <v>481</v>
      </c>
      <c r="B484" s="61" t="s">
        <v>1046</v>
      </c>
      <c r="C484" s="28" t="s">
        <v>1043</v>
      </c>
      <c r="D484" s="28" t="s">
        <v>1145</v>
      </c>
      <c r="E484" s="37" t="s">
        <v>1910</v>
      </c>
      <c r="F484" s="36" t="str">
        <f t="shared" si="14"/>
        <v>http://www.ninis2.nisra.gov.uk/public/SearchResults.aspx?sk=LC4103NI;</v>
      </c>
      <c r="H484" s="28" t="s">
        <v>1815</v>
      </c>
    </row>
    <row r="485" spans="1:8" ht="42" x14ac:dyDescent="0.3">
      <c r="A485" s="36">
        <f t="shared" si="13"/>
        <v>482</v>
      </c>
      <c r="B485" s="61" t="s">
        <v>1047</v>
      </c>
      <c r="C485" s="28" t="s">
        <v>1048</v>
      </c>
      <c r="D485" s="28" t="s">
        <v>1147</v>
      </c>
      <c r="E485" s="37" t="s">
        <v>1910</v>
      </c>
      <c r="F485" s="36" t="str">
        <f t="shared" si="14"/>
        <v>http://www.ninis2.nisra.gov.uk/public/SearchResults.aspx?sk=LC4104NI;</v>
      </c>
      <c r="H485" s="28" t="s">
        <v>1818</v>
      </c>
    </row>
    <row r="486" spans="1:8" ht="42" x14ac:dyDescent="0.3">
      <c r="A486" s="36">
        <f t="shared" si="13"/>
        <v>483</v>
      </c>
      <c r="B486" s="55" t="s">
        <v>1049</v>
      </c>
      <c r="C486" s="67" t="s">
        <v>1050</v>
      </c>
      <c r="D486" s="28" t="s">
        <v>1148</v>
      </c>
      <c r="E486" s="37" t="s">
        <v>1910</v>
      </c>
      <c r="F486" s="36" t="str">
        <f t="shared" si="14"/>
        <v>http://www.ninis2.nisra.gov.uk/public/SearchResults.aspx?sk=LC4301NI;</v>
      </c>
      <c r="H486" s="28" t="s">
        <v>1837</v>
      </c>
    </row>
    <row r="487" spans="1:8" ht="42" x14ac:dyDescent="0.3">
      <c r="A487" s="36">
        <f t="shared" si="13"/>
        <v>484</v>
      </c>
      <c r="B487" s="55" t="s">
        <v>1051</v>
      </c>
      <c r="C487" s="67" t="s">
        <v>1052</v>
      </c>
      <c r="D487" s="28" t="s">
        <v>1149</v>
      </c>
      <c r="E487" s="37" t="s">
        <v>1910</v>
      </c>
      <c r="F487" s="36" t="str">
        <f t="shared" si="14"/>
        <v>http://www.ninis2.nisra.gov.uk/public/SearchResults.aspx?sk=LC4302NI;</v>
      </c>
      <c r="H487" s="28" t="s">
        <v>1837</v>
      </c>
    </row>
    <row r="488" spans="1:8" ht="42" x14ac:dyDescent="0.3">
      <c r="A488" s="36">
        <f t="shared" si="13"/>
        <v>485</v>
      </c>
      <c r="B488" s="55" t="s">
        <v>1053</v>
      </c>
      <c r="C488" s="67" t="s">
        <v>1054</v>
      </c>
      <c r="D488" s="28" t="s">
        <v>809</v>
      </c>
      <c r="E488" s="37" t="s">
        <v>1910</v>
      </c>
      <c r="F488" s="36" t="str">
        <f t="shared" si="14"/>
        <v>http://www.ninis2.nisra.gov.uk/public/SearchResults.aspx?sk=LC4401NI;</v>
      </c>
      <c r="H488" s="28" t="s">
        <v>1818</v>
      </c>
    </row>
    <row r="489" spans="1:8" ht="42" x14ac:dyDescent="0.3">
      <c r="A489" s="36">
        <f t="shared" si="13"/>
        <v>486</v>
      </c>
      <c r="B489" s="55" t="s">
        <v>1055</v>
      </c>
      <c r="C489" s="67" t="s">
        <v>1056</v>
      </c>
      <c r="D489" s="28" t="s">
        <v>1150</v>
      </c>
      <c r="E489" s="37" t="s">
        <v>1910</v>
      </c>
      <c r="F489" s="36" t="str">
        <f t="shared" si="14"/>
        <v>http://www.ninis2.nisra.gov.uk/public/SearchResults.aspx?sk=LC4402NI;</v>
      </c>
      <c r="H489" s="28" t="s">
        <v>1818</v>
      </c>
    </row>
    <row r="490" spans="1:8" ht="42" x14ac:dyDescent="0.3">
      <c r="A490" s="36">
        <f t="shared" si="13"/>
        <v>487</v>
      </c>
      <c r="B490" s="55" t="s">
        <v>1057</v>
      </c>
      <c r="C490" s="67" t="s">
        <v>1058</v>
      </c>
      <c r="D490" s="28" t="s">
        <v>1151</v>
      </c>
      <c r="E490" s="37" t="s">
        <v>1910</v>
      </c>
      <c r="F490" s="36" t="str">
        <f t="shared" si="14"/>
        <v>http://www.ninis2.nisra.gov.uk/public/SearchResults.aspx?sk=LC4403NI;</v>
      </c>
      <c r="H490" s="31" t="s">
        <v>1879</v>
      </c>
    </row>
    <row r="491" spans="1:8" ht="42" x14ac:dyDescent="0.3">
      <c r="A491" s="36">
        <f t="shared" si="13"/>
        <v>488</v>
      </c>
      <c r="B491" s="55" t="s">
        <v>1059</v>
      </c>
      <c r="C491" s="67" t="s">
        <v>606</v>
      </c>
      <c r="D491" s="28" t="s">
        <v>807</v>
      </c>
      <c r="E491" s="37" t="s">
        <v>1910</v>
      </c>
      <c r="F491" s="36" t="str">
        <f t="shared" si="14"/>
        <v>http://www.ninis2.nisra.gov.uk/public/SearchResults.aspx?sk=LC4404NI;</v>
      </c>
      <c r="H491" s="28" t="s">
        <v>1818</v>
      </c>
    </row>
    <row r="492" spans="1:8" ht="42" x14ac:dyDescent="0.3">
      <c r="A492" s="36">
        <f t="shared" si="13"/>
        <v>489</v>
      </c>
      <c r="B492" s="55" t="s">
        <v>1060</v>
      </c>
      <c r="C492" s="67" t="s">
        <v>1061</v>
      </c>
      <c r="D492" s="28" t="s">
        <v>1152</v>
      </c>
      <c r="E492" s="37" t="s">
        <v>1910</v>
      </c>
      <c r="F492" s="36" t="str">
        <f t="shared" si="14"/>
        <v>http://www.ninis2.nisra.gov.uk/public/SearchResults.aspx?sk=LC4406NI;</v>
      </c>
      <c r="H492" s="31" t="s">
        <v>1879</v>
      </c>
    </row>
    <row r="493" spans="1:8" ht="42" x14ac:dyDescent="0.3">
      <c r="A493" s="36">
        <f t="shared" si="13"/>
        <v>490</v>
      </c>
      <c r="B493" s="55" t="s">
        <v>1062</v>
      </c>
      <c r="C493" s="67" t="s">
        <v>1063</v>
      </c>
      <c r="D493" s="28" t="s">
        <v>1153</v>
      </c>
      <c r="E493" s="37" t="s">
        <v>1910</v>
      </c>
      <c r="F493" s="36" t="str">
        <f t="shared" si="14"/>
        <v>http://www.ninis2.nisra.gov.uk/public/SearchResults.aspx?sk=LC4407NI;</v>
      </c>
      <c r="H493" s="28" t="s">
        <v>1818</v>
      </c>
    </row>
    <row r="494" spans="1:8" ht="42" x14ac:dyDescent="0.3">
      <c r="A494" s="36">
        <f t="shared" si="13"/>
        <v>491</v>
      </c>
      <c r="B494" s="55" t="s">
        <v>1064</v>
      </c>
      <c r="C494" s="67" t="s">
        <v>1065</v>
      </c>
      <c r="D494" s="28" t="s">
        <v>1154</v>
      </c>
      <c r="E494" s="37" t="s">
        <v>1910</v>
      </c>
      <c r="F494" s="36" t="str">
        <f t="shared" si="14"/>
        <v>http://www.ninis2.nisra.gov.uk/public/SearchResults.aspx?sk=LC4408NI;</v>
      </c>
      <c r="H494" s="31" t="s">
        <v>1880</v>
      </c>
    </row>
    <row r="495" spans="1:8" ht="42" x14ac:dyDescent="0.3">
      <c r="A495" s="36">
        <f t="shared" si="13"/>
        <v>492</v>
      </c>
      <c r="B495" s="55" t="s">
        <v>1066</v>
      </c>
      <c r="C495" s="67" t="s">
        <v>1067</v>
      </c>
      <c r="D495" s="28" t="s">
        <v>1155</v>
      </c>
      <c r="E495" s="37" t="s">
        <v>1910</v>
      </c>
      <c r="F495" s="36" t="str">
        <f t="shared" si="14"/>
        <v>http://www.ninis2.nisra.gov.uk/public/SearchResults.aspx?sk=LC4409NI;</v>
      </c>
      <c r="H495" s="31" t="s">
        <v>1818</v>
      </c>
    </row>
    <row r="496" spans="1:8" ht="42" x14ac:dyDescent="0.3">
      <c r="A496" s="36">
        <f t="shared" si="13"/>
        <v>493</v>
      </c>
      <c r="B496" s="61" t="s">
        <v>1068</v>
      </c>
      <c r="C496" s="28" t="s">
        <v>1069</v>
      </c>
      <c r="D496" s="28" t="s">
        <v>1156</v>
      </c>
      <c r="E496" s="37" t="s">
        <v>1910</v>
      </c>
      <c r="F496" s="36" t="str">
        <f t="shared" si="14"/>
        <v>http://www.ninis2.nisra.gov.uk/public/SearchResults.aspx?sk=LC4410NI;</v>
      </c>
      <c r="H496" s="28" t="s">
        <v>1844</v>
      </c>
    </row>
    <row r="497" spans="1:8" ht="42" x14ac:dyDescent="0.3">
      <c r="A497" s="36">
        <f t="shared" si="13"/>
        <v>494</v>
      </c>
      <c r="B497" s="61" t="s">
        <v>1070</v>
      </c>
      <c r="C497" s="28" t="s">
        <v>1071</v>
      </c>
      <c r="D497" s="28" t="s">
        <v>1157</v>
      </c>
      <c r="E497" s="37" t="s">
        <v>1910</v>
      </c>
      <c r="F497" s="36" t="str">
        <f t="shared" si="14"/>
        <v>http://www.ninis2.nisra.gov.uk/public/SearchResults.aspx?sk=LC4411NI;</v>
      </c>
      <c r="H497" s="28" t="s">
        <v>1818</v>
      </c>
    </row>
    <row r="498" spans="1:8" ht="42" x14ac:dyDescent="0.3">
      <c r="A498" s="36">
        <f t="shared" si="13"/>
        <v>495</v>
      </c>
      <c r="B498" s="55" t="s">
        <v>1072</v>
      </c>
      <c r="C498" s="67" t="s">
        <v>1073</v>
      </c>
      <c r="D498" s="28" t="s">
        <v>1201</v>
      </c>
      <c r="E498" s="37" t="s">
        <v>1910</v>
      </c>
      <c r="F498" s="36" t="str">
        <f t="shared" si="14"/>
        <v>http://www.ninis2.nisra.gov.uk/public/SearchResults.aspx?sk=LC5101NI;</v>
      </c>
      <c r="H498" s="28" t="s">
        <v>1816</v>
      </c>
    </row>
    <row r="499" spans="1:8" ht="42" x14ac:dyDescent="0.3">
      <c r="A499" s="36">
        <f t="shared" si="13"/>
        <v>496</v>
      </c>
      <c r="B499" s="61" t="s">
        <v>1074</v>
      </c>
      <c r="C499" s="28" t="s">
        <v>1075</v>
      </c>
      <c r="D499" s="28" t="s">
        <v>1202</v>
      </c>
      <c r="E499" s="37" t="s">
        <v>1910</v>
      </c>
      <c r="F499" s="36" t="str">
        <f t="shared" si="14"/>
        <v>http://www.ninis2.nisra.gov.uk/public/SearchResults.aspx?sk=LC5102NI;</v>
      </c>
      <c r="H499" s="28" t="s">
        <v>1816</v>
      </c>
    </row>
    <row r="500" spans="1:8" ht="42" x14ac:dyDescent="0.3">
      <c r="A500" s="36">
        <f t="shared" si="13"/>
        <v>497</v>
      </c>
      <c r="B500" s="55" t="s">
        <v>1076</v>
      </c>
      <c r="C500" s="67" t="s">
        <v>642</v>
      </c>
      <c r="D500" s="28" t="s">
        <v>816</v>
      </c>
      <c r="E500" s="37" t="s">
        <v>1910</v>
      </c>
      <c r="F500" s="36" t="str">
        <f t="shared" si="14"/>
        <v>http://www.ninis2.nisra.gov.uk/public/SearchResults.aspx?sk=LC6101NI;</v>
      </c>
      <c r="H500" s="30" t="s">
        <v>1816</v>
      </c>
    </row>
    <row r="501" spans="1:8" ht="42" x14ac:dyDescent="0.3">
      <c r="A501" s="36">
        <f t="shared" si="13"/>
        <v>498</v>
      </c>
      <c r="B501" s="55" t="s">
        <v>1077</v>
      </c>
      <c r="C501" s="67" t="s">
        <v>1078</v>
      </c>
      <c r="D501" s="28" t="s">
        <v>1158</v>
      </c>
      <c r="E501" s="37" t="s">
        <v>1910</v>
      </c>
      <c r="F501" s="36" t="str">
        <f t="shared" si="14"/>
        <v>http://www.ninis2.nisra.gov.uk/public/SearchResults.aspx?sk=LC6102NI;</v>
      </c>
      <c r="H501" s="30" t="s">
        <v>1828</v>
      </c>
    </row>
    <row r="502" spans="1:8" ht="42" x14ac:dyDescent="0.3">
      <c r="A502" s="36">
        <f t="shared" si="13"/>
        <v>499</v>
      </c>
      <c r="B502" s="55" t="s">
        <v>1079</v>
      </c>
      <c r="C502" s="67" t="s">
        <v>1080</v>
      </c>
      <c r="D502" s="28" t="s">
        <v>1159</v>
      </c>
      <c r="E502" s="37" t="s">
        <v>1910</v>
      </c>
      <c r="F502" s="36" t="str">
        <f t="shared" si="14"/>
        <v>http://www.ninis2.nisra.gov.uk/public/SearchResults.aspx?sk=LC6103NI;</v>
      </c>
      <c r="H502" s="28" t="s">
        <v>1828</v>
      </c>
    </row>
    <row r="503" spans="1:8" ht="42" x14ac:dyDescent="0.3">
      <c r="A503" s="36">
        <f t="shared" si="13"/>
        <v>500</v>
      </c>
      <c r="B503" s="55" t="s">
        <v>1081</v>
      </c>
      <c r="C503" s="67" t="s">
        <v>1082</v>
      </c>
      <c r="D503" s="28" t="s">
        <v>1160</v>
      </c>
      <c r="E503" s="37" t="s">
        <v>1910</v>
      </c>
      <c r="F503" s="36" t="str">
        <f t="shared" si="14"/>
        <v>http://www.ninis2.nisra.gov.uk/public/SearchResults.aspx?sk=LC6104NI;</v>
      </c>
      <c r="H503" s="28" t="s">
        <v>1828</v>
      </c>
    </row>
    <row r="504" spans="1:8" ht="42" x14ac:dyDescent="0.3">
      <c r="A504" s="36">
        <f t="shared" si="13"/>
        <v>501</v>
      </c>
      <c r="B504" s="55" t="s">
        <v>1083</v>
      </c>
      <c r="C504" s="67" t="s">
        <v>1084</v>
      </c>
      <c r="D504" s="28" t="s">
        <v>1169</v>
      </c>
      <c r="E504" s="37" t="s">
        <v>1910</v>
      </c>
      <c r="F504" s="36" t="str">
        <f t="shared" si="14"/>
        <v>http://www.ninis2.nisra.gov.uk/public/SearchResults.aspx?sk=LC6105NI;</v>
      </c>
      <c r="H504" s="31" t="s">
        <v>1881</v>
      </c>
    </row>
    <row r="505" spans="1:8" ht="42" x14ac:dyDescent="0.3">
      <c r="A505" s="36">
        <f t="shared" si="13"/>
        <v>502</v>
      </c>
      <c r="B505" s="55" t="s">
        <v>1085</v>
      </c>
      <c r="C505" s="67" t="s">
        <v>1086</v>
      </c>
      <c r="D505" s="28" t="s">
        <v>1170</v>
      </c>
      <c r="E505" s="37" t="s">
        <v>1910</v>
      </c>
      <c r="F505" s="36" t="str">
        <f t="shared" si="14"/>
        <v>http://www.ninis2.nisra.gov.uk/public/SearchResults.aspx?sk=LC6106NI;</v>
      </c>
      <c r="H505" s="31" t="s">
        <v>1881</v>
      </c>
    </row>
    <row r="506" spans="1:8" ht="42" x14ac:dyDescent="0.3">
      <c r="A506" s="36">
        <f t="shared" si="13"/>
        <v>503</v>
      </c>
      <c r="B506" s="61" t="s">
        <v>1087</v>
      </c>
      <c r="C506" s="28" t="s">
        <v>1088</v>
      </c>
      <c r="D506" s="28" t="s">
        <v>1194</v>
      </c>
      <c r="E506" s="37" t="s">
        <v>1910</v>
      </c>
      <c r="F506" s="36" t="str">
        <f t="shared" si="14"/>
        <v>http://www.ninis2.nisra.gov.uk/public/SearchResults.aspx?sk=LC6107NI;</v>
      </c>
      <c r="H506" s="28" t="s">
        <v>1825</v>
      </c>
    </row>
    <row r="507" spans="1:8" ht="42" x14ac:dyDescent="0.3">
      <c r="A507" s="36">
        <f t="shared" si="13"/>
        <v>504</v>
      </c>
      <c r="B507" s="61" t="s">
        <v>1089</v>
      </c>
      <c r="C507" s="28" t="s">
        <v>1090</v>
      </c>
      <c r="D507" s="28" t="s">
        <v>1195</v>
      </c>
      <c r="E507" s="37" t="s">
        <v>1910</v>
      </c>
      <c r="F507" s="36" t="str">
        <f t="shared" si="14"/>
        <v>http://www.ninis2.nisra.gov.uk/public/SearchResults.aspx?sk=LC6108NI;</v>
      </c>
      <c r="H507" s="28" t="s">
        <v>1825</v>
      </c>
    </row>
    <row r="508" spans="1:8" ht="42" x14ac:dyDescent="0.3">
      <c r="A508" s="36">
        <f t="shared" si="13"/>
        <v>505</v>
      </c>
      <c r="B508" s="61" t="s">
        <v>1091</v>
      </c>
      <c r="C508" s="28" t="s">
        <v>1092</v>
      </c>
      <c r="D508" s="28" t="s">
        <v>1161</v>
      </c>
      <c r="E508" s="37" t="s">
        <v>1910</v>
      </c>
      <c r="F508" s="36" t="str">
        <f t="shared" si="14"/>
        <v>http://www.ninis2.nisra.gov.uk/public/SearchResults.aspx?sk=LC6109NI;</v>
      </c>
      <c r="H508" s="28" t="s">
        <v>1828</v>
      </c>
    </row>
    <row r="509" spans="1:8" ht="42" x14ac:dyDescent="0.3">
      <c r="A509" s="36">
        <f t="shared" si="13"/>
        <v>506</v>
      </c>
      <c r="B509" s="61" t="s">
        <v>1093</v>
      </c>
      <c r="C509" s="28" t="s">
        <v>1094</v>
      </c>
      <c r="D509" s="28" t="s">
        <v>1162</v>
      </c>
      <c r="E509" s="37" t="s">
        <v>1910</v>
      </c>
      <c r="F509" s="36" t="str">
        <f t="shared" si="14"/>
        <v>http://www.ninis2.nisra.gov.uk/public/SearchResults.aspx?sk=LC6110NI;</v>
      </c>
      <c r="H509" s="28" t="s">
        <v>1828</v>
      </c>
    </row>
    <row r="510" spans="1:8" ht="42" x14ac:dyDescent="0.3">
      <c r="A510" s="36">
        <f t="shared" si="13"/>
        <v>507</v>
      </c>
      <c r="B510" s="61" t="s">
        <v>1095</v>
      </c>
      <c r="C510" s="28" t="s">
        <v>1096</v>
      </c>
      <c r="D510" s="28" t="s">
        <v>1171</v>
      </c>
      <c r="E510" s="37" t="s">
        <v>1910</v>
      </c>
      <c r="F510" s="36" t="str">
        <f t="shared" si="14"/>
        <v>http://www.ninis2.nisra.gov.uk/public/SearchResults.aspx?sk=LC6111NI;</v>
      </c>
      <c r="H510" s="28" t="s">
        <v>1882</v>
      </c>
    </row>
    <row r="511" spans="1:8" ht="42" x14ac:dyDescent="0.3">
      <c r="A511" s="36">
        <f t="shared" si="13"/>
        <v>508</v>
      </c>
      <c r="B511" s="61" t="s">
        <v>1097</v>
      </c>
      <c r="C511" s="28" t="s">
        <v>1098</v>
      </c>
      <c r="D511" s="28" t="s">
        <v>1172</v>
      </c>
      <c r="E511" s="37" t="s">
        <v>1910</v>
      </c>
      <c r="F511" s="36" t="str">
        <f t="shared" si="14"/>
        <v>http://www.ninis2.nisra.gov.uk/public/SearchResults.aspx?sk=LC6112NI;</v>
      </c>
      <c r="H511" s="28" t="s">
        <v>1882</v>
      </c>
    </row>
    <row r="512" spans="1:8" ht="42" x14ac:dyDescent="0.3">
      <c r="A512" s="36">
        <f t="shared" si="13"/>
        <v>509</v>
      </c>
      <c r="B512" s="61" t="s">
        <v>1099</v>
      </c>
      <c r="C512" s="28" t="s">
        <v>1100</v>
      </c>
      <c r="D512" s="28" t="s">
        <v>1196</v>
      </c>
      <c r="E512" s="37" t="s">
        <v>1910</v>
      </c>
      <c r="F512" s="36" t="str">
        <f t="shared" si="14"/>
        <v>http://www.ninis2.nisra.gov.uk/public/SearchResults.aspx?sk=LC6113NI;</v>
      </c>
      <c r="H512" s="28" t="s">
        <v>1825</v>
      </c>
    </row>
    <row r="513" spans="1:8" ht="42" x14ac:dyDescent="0.3">
      <c r="A513" s="36">
        <f t="shared" si="13"/>
        <v>510</v>
      </c>
      <c r="B513" s="61" t="s">
        <v>1758</v>
      </c>
      <c r="C513" s="28" t="s">
        <v>1721</v>
      </c>
      <c r="D513" s="28" t="s">
        <v>1773</v>
      </c>
      <c r="E513" s="37" t="s">
        <v>1910</v>
      </c>
      <c r="F513" s="36" t="str">
        <f t="shared" si="14"/>
        <v>http://www.ninis2.nisra.gov.uk/public/SearchResults.aspx?sk=LC6114NI;</v>
      </c>
      <c r="H513" s="31" t="s">
        <v>1865</v>
      </c>
    </row>
    <row r="514" spans="1:8" ht="42" x14ac:dyDescent="0.3">
      <c r="A514" s="36">
        <f t="shared" si="13"/>
        <v>511</v>
      </c>
      <c r="B514" s="61" t="s">
        <v>1759</v>
      </c>
      <c r="C514" s="28" t="s">
        <v>1723</v>
      </c>
      <c r="D514" s="28" t="s">
        <v>1782</v>
      </c>
      <c r="E514" s="37" t="s">
        <v>1910</v>
      </c>
      <c r="F514" s="36" t="str">
        <f t="shared" si="14"/>
        <v>http://www.ninis2.nisra.gov.uk/public/SearchResults.aspx?sk=LC6115NI;</v>
      </c>
      <c r="H514" s="31" t="s">
        <v>1865</v>
      </c>
    </row>
    <row r="515" spans="1:8" ht="42" x14ac:dyDescent="0.3">
      <c r="A515" s="36">
        <f t="shared" si="13"/>
        <v>512</v>
      </c>
      <c r="B515" s="55" t="s">
        <v>1101</v>
      </c>
      <c r="C515" s="67" t="s">
        <v>648</v>
      </c>
      <c r="D515" s="28" t="s">
        <v>817</v>
      </c>
      <c r="E515" s="37" t="s">
        <v>1910</v>
      </c>
      <c r="F515" s="36" t="str">
        <f t="shared" si="14"/>
        <v>http://www.ninis2.nisra.gov.uk/public/SearchResults.aspx?sk=LC6301NI;</v>
      </c>
      <c r="H515" s="30" t="s">
        <v>1816</v>
      </c>
    </row>
    <row r="516" spans="1:8" ht="42" x14ac:dyDescent="0.3">
      <c r="A516" s="36">
        <f t="shared" si="13"/>
        <v>513</v>
      </c>
      <c r="B516" s="61" t="s">
        <v>1102</v>
      </c>
      <c r="C516" s="28" t="s">
        <v>1103</v>
      </c>
      <c r="D516" s="28" t="s">
        <v>1163</v>
      </c>
      <c r="E516" s="37" t="s">
        <v>1910</v>
      </c>
      <c r="F516" s="36" t="str">
        <f t="shared" si="14"/>
        <v>http://www.ninis2.nisra.gov.uk/public/SearchResults.aspx?sk=LC6302NI;</v>
      </c>
      <c r="H516" s="33" t="s">
        <v>1816</v>
      </c>
    </row>
    <row r="517" spans="1:8" ht="42" x14ac:dyDescent="0.3">
      <c r="A517" s="36">
        <f t="shared" ref="A517:A580" si="15">IF(AND(NOT(ISERR(FIND($L$4,D517))),NOT(ISERR(FIND($L$5,D517))),NOT(ISERR(FIND($L$6,D517))),NOT(ISERR(FIND($L$7,D517))) ),A516+1,A516)</f>
        <v>514</v>
      </c>
      <c r="B517" s="61" t="s">
        <v>1104</v>
      </c>
      <c r="C517" s="28" t="s">
        <v>1105</v>
      </c>
      <c r="D517" s="28" t="s">
        <v>1164</v>
      </c>
      <c r="E517" s="37" t="s">
        <v>1910</v>
      </c>
      <c r="F517" s="36" t="str">
        <f t="shared" si="14"/>
        <v>http://www.ninis2.nisra.gov.uk/public/SearchResults.aspx?sk=LC6303NI;</v>
      </c>
      <c r="H517" s="33" t="s">
        <v>1816</v>
      </c>
    </row>
    <row r="518" spans="1:8" ht="42" x14ac:dyDescent="0.3">
      <c r="A518" s="36">
        <f t="shared" si="15"/>
        <v>515</v>
      </c>
      <c r="B518" s="55" t="s">
        <v>1106</v>
      </c>
      <c r="C518" s="67" t="s">
        <v>52</v>
      </c>
      <c r="D518" s="28" t="s">
        <v>865</v>
      </c>
      <c r="E518" s="37" t="s">
        <v>1910</v>
      </c>
      <c r="F518" s="36" t="str">
        <f t="shared" si="14"/>
        <v>http://www.ninis2.nisra.gov.uk/public/SearchResults.aspx?sk=LC6401NI;</v>
      </c>
      <c r="H518" s="31" t="s">
        <v>1881</v>
      </c>
    </row>
    <row r="519" spans="1:8" ht="42" x14ac:dyDescent="0.3">
      <c r="A519" s="36">
        <f t="shared" si="15"/>
        <v>516</v>
      </c>
      <c r="B519" s="61" t="s">
        <v>1107</v>
      </c>
      <c r="C519" s="28" t="s">
        <v>1108</v>
      </c>
      <c r="D519" s="28" t="s">
        <v>1197</v>
      </c>
      <c r="E519" s="37" t="s">
        <v>1910</v>
      </c>
      <c r="F519" s="36" t="str">
        <f t="shared" si="14"/>
        <v>http://www.ninis2.nisra.gov.uk/public/SearchResults.aspx?sk=LC6402NI;</v>
      </c>
      <c r="H519" s="28" t="s">
        <v>1883</v>
      </c>
    </row>
    <row r="520" spans="1:8" ht="42" x14ac:dyDescent="0.3">
      <c r="A520" s="36">
        <f t="shared" si="15"/>
        <v>517</v>
      </c>
      <c r="B520" s="61" t="s">
        <v>1109</v>
      </c>
      <c r="C520" s="28" t="s">
        <v>1110</v>
      </c>
      <c r="D520" s="28" t="s">
        <v>1173</v>
      </c>
      <c r="E520" s="37" t="s">
        <v>1910</v>
      </c>
      <c r="F520" s="36" t="str">
        <f t="shared" si="14"/>
        <v>http://www.ninis2.nisra.gov.uk/public/SearchResults.aspx?sk=LC6403NI;</v>
      </c>
      <c r="H520" s="28" t="s">
        <v>1847</v>
      </c>
    </row>
    <row r="521" spans="1:8" ht="42" x14ac:dyDescent="0.3">
      <c r="A521" s="36">
        <f t="shared" si="15"/>
        <v>518</v>
      </c>
      <c r="B521" s="61" t="s">
        <v>1111</v>
      </c>
      <c r="C521" s="28" t="s">
        <v>665</v>
      </c>
      <c r="D521" s="28" t="s">
        <v>886</v>
      </c>
      <c r="E521" s="37" t="s">
        <v>1910</v>
      </c>
      <c r="F521" s="36" t="str">
        <f t="shared" si="14"/>
        <v>http://www.ninis2.nisra.gov.uk/public/SearchResults.aspx?sk=LC6501NI;</v>
      </c>
      <c r="H521" s="33" t="s">
        <v>1816</v>
      </c>
    </row>
    <row r="522" spans="1:8" ht="42" x14ac:dyDescent="0.3">
      <c r="A522" s="36">
        <f t="shared" si="15"/>
        <v>519</v>
      </c>
      <c r="B522" s="61" t="s">
        <v>1112</v>
      </c>
      <c r="C522" s="28" t="s">
        <v>1113</v>
      </c>
      <c r="D522" s="28" t="s">
        <v>1174</v>
      </c>
      <c r="E522" s="37" t="s">
        <v>1910</v>
      </c>
      <c r="F522" s="36" t="str">
        <f t="shared" si="14"/>
        <v>http://www.ninis2.nisra.gov.uk/public/SearchResults.aspx?sk=LC6502NI;</v>
      </c>
      <c r="H522" s="34" t="s">
        <v>1881</v>
      </c>
    </row>
    <row r="523" spans="1:8" ht="42" x14ac:dyDescent="0.3">
      <c r="A523" s="36">
        <f t="shared" si="15"/>
        <v>520</v>
      </c>
      <c r="B523" s="61" t="s">
        <v>1114</v>
      </c>
      <c r="C523" s="28" t="s">
        <v>1115</v>
      </c>
      <c r="D523" s="28" t="s">
        <v>1203</v>
      </c>
      <c r="E523" s="37" t="s">
        <v>1910</v>
      </c>
      <c r="F523" s="36" t="str">
        <f t="shared" si="14"/>
        <v>http://www.ninis2.nisra.gov.uk/public/SearchResults.aspx?sk=LC6503NI;</v>
      </c>
      <c r="H523" s="30" t="s">
        <v>1825</v>
      </c>
    </row>
    <row r="524" spans="1:8" ht="42" x14ac:dyDescent="0.3">
      <c r="A524" s="36">
        <f t="shared" si="15"/>
        <v>521</v>
      </c>
      <c r="B524" s="61" t="s">
        <v>1116</v>
      </c>
      <c r="C524" s="28" t="s">
        <v>678</v>
      </c>
      <c r="D524" s="28" t="s">
        <v>863</v>
      </c>
      <c r="E524" s="37" t="s">
        <v>1910</v>
      </c>
      <c r="F524" s="36" t="str">
        <f t="shared" si="14"/>
        <v>http://www.ninis2.nisra.gov.uk/public/SearchResults.aspx?sk=LC6601NI;</v>
      </c>
      <c r="H524" s="34" t="s">
        <v>1825</v>
      </c>
    </row>
    <row r="525" spans="1:8" ht="42" x14ac:dyDescent="0.3">
      <c r="A525" s="36">
        <f t="shared" si="15"/>
        <v>522</v>
      </c>
      <c r="B525" s="61" t="s">
        <v>1117</v>
      </c>
      <c r="C525" s="28" t="s">
        <v>669</v>
      </c>
      <c r="D525" s="28" t="s">
        <v>1198</v>
      </c>
      <c r="E525" s="37" t="s">
        <v>1910</v>
      </c>
      <c r="F525" s="36" t="str">
        <f t="shared" ref="F525:F588" si="16">"http://www.ninis2.nisra.gov.uk/public/SearchResults.aspx?sk="&amp;B525&amp;";"</f>
        <v>http://www.ninis2.nisra.gov.uk/public/SearchResults.aspx?sk=LC6603NI;</v>
      </c>
      <c r="H525" s="28" t="s">
        <v>1825</v>
      </c>
    </row>
    <row r="526" spans="1:8" ht="42" x14ac:dyDescent="0.3">
      <c r="A526" s="36">
        <f t="shared" si="15"/>
        <v>523</v>
      </c>
      <c r="B526" s="61" t="s">
        <v>1118</v>
      </c>
      <c r="C526" s="28" t="s">
        <v>1119</v>
      </c>
      <c r="D526" s="28" t="s">
        <v>1165</v>
      </c>
      <c r="E526" s="37" t="s">
        <v>1910</v>
      </c>
      <c r="F526" s="36" t="str">
        <f t="shared" si="16"/>
        <v>http://www.ninis2.nisra.gov.uk/public/SearchResults.aspx?sk=LC6604NI;</v>
      </c>
      <c r="H526" s="28" t="s">
        <v>1829</v>
      </c>
    </row>
    <row r="527" spans="1:8" ht="42" x14ac:dyDescent="0.3">
      <c r="A527" s="36">
        <f t="shared" si="15"/>
        <v>524</v>
      </c>
      <c r="B527" s="61" t="s">
        <v>1648</v>
      </c>
      <c r="C527" s="28" t="s">
        <v>1649</v>
      </c>
      <c r="D527" s="36" t="s">
        <v>1650</v>
      </c>
      <c r="E527" s="37" t="s">
        <v>1910</v>
      </c>
      <c r="F527" s="36" t="str">
        <f t="shared" si="16"/>
        <v>http://www.ninis2.nisra.gov.uk/public/SearchResults.aspx?sk=LC7101NI;</v>
      </c>
      <c r="H527" s="31" t="s">
        <v>1833</v>
      </c>
    </row>
    <row r="528" spans="1:8" ht="42" x14ac:dyDescent="0.3">
      <c r="A528" s="36">
        <f t="shared" si="15"/>
        <v>525</v>
      </c>
      <c r="B528" s="61" t="s">
        <v>1651</v>
      </c>
      <c r="C528" s="28" t="s">
        <v>1652</v>
      </c>
      <c r="D528" s="36" t="s">
        <v>1653</v>
      </c>
      <c r="E528" s="37" t="s">
        <v>1910</v>
      </c>
      <c r="F528" s="36" t="str">
        <f t="shared" si="16"/>
        <v>http://www.ninis2.nisra.gov.uk/public/SearchResults.aspx?sk=LC7102NI;</v>
      </c>
      <c r="H528" s="31" t="s">
        <v>1833</v>
      </c>
    </row>
    <row r="529" spans="1:8" ht="42" x14ac:dyDescent="0.3">
      <c r="A529" s="36">
        <f t="shared" si="15"/>
        <v>526</v>
      </c>
      <c r="B529" s="61" t="s">
        <v>1654</v>
      </c>
      <c r="C529" s="28" t="s">
        <v>1655</v>
      </c>
      <c r="D529" s="36" t="s">
        <v>1656</v>
      </c>
      <c r="E529" s="37" t="s">
        <v>1910</v>
      </c>
      <c r="F529" s="36" t="str">
        <f t="shared" si="16"/>
        <v>http://www.ninis2.nisra.gov.uk/public/SearchResults.aspx?sk=LC7103NI;</v>
      </c>
      <c r="H529" s="31" t="s">
        <v>1833</v>
      </c>
    </row>
    <row r="530" spans="1:8" ht="42" x14ac:dyDescent="0.3">
      <c r="A530" s="36">
        <f t="shared" si="15"/>
        <v>527</v>
      </c>
      <c r="B530" s="61" t="s">
        <v>1657</v>
      </c>
      <c r="C530" s="28" t="s">
        <v>1658</v>
      </c>
      <c r="D530" s="36" t="s">
        <v>1659</v>
      </c>
      <c r="E530" s="37" t="s">
        <v>1910</v>
      </c>
      <c r="F530" s="36" t="str">
        <f t="shared" si="16"/>
        <v>http://www.ninis2.nisra.gov.uk/public/SearchResults.aspx?sk=LC7104NI;</v>
      </c>
      <c r="H530" s="31" t="s">
        <v>1833</v>
      </c>
    </row>
    <row r="531" spans="1:8" ht="42" x14ac:dyDescent="0.3">
      <c r="A531" s="36">
        <f t="shared" si="15"/>
        <v>528</v>
      </c>
      <c r="B531" s="61" t="s">
        <v>1660</v>
      </c>
      <c r="C531" s="28" t="s">
        <v>1604</v>
      </c>
      <c r="D531" s="36" t="s">
        <v>1605</v>
      </c>
      <c r="E531" s="37" t="s">
        <v>1910</v>
      </c>
      <c r="F531" s="36" t="str">
        <f t="shared" si="16"/>
        <v>http://www.ninis2.nisra.gov.uk/public/SearchResults.aspx?sk=LC7401NI;</v>
      </c>
      <c r="H531" s="30" t="s">
        <v>1870</v>
      </c>
    </row>
    <row r="532" spans="1:8" ht="42" x14ac:dyDescent="0.3">
      <c r="A532" s="36">
        <f t="shared" si="15"/>
        <v>529</v>
      </c>
      <c r="B532" s="61" t="s">
        <v>1661</v>
      </c>
      <c r="C532" s="28" t="s">
        <v>1607</v>
      </c>
      <c r="D532" s="36" t="s">
        <v>1608</v>
      </c>
      <c r="E532" s="37" t="s">
        <v>1910</v>
      </c>
      <c r="F532" s="36" t="str">
        <f t="shared" si="16"/>
        <v>http://www.ninis2.nisra.gov.uk/public/SearchResults.aspx?sk=LC7402NI;</v>
      </c>
      <c r="H532" s="30" t="s">
        <v>1870</v>
      </c>
    </row>
    <row r="533" spans="1:8" ht="42" x14ac:dyDescent="0.3">
      <c r="A533" s="36">
        <f t="shared" si="15"/>
        <v>530</v>
      </c>
      <c r="B533" s="61" t="s">
        <v>1662</v>
      </c>
      <c r="C533" s="28" t="s">
        <v>1663</v>
      </c>
      <c r="D533" s="36" t="s">
        <v>1664</v>
      </c>
      <c r="E533" s="37" t="s">
        <v>1910</v>
      </c>
      <c r="F533" s="36" t="str">
        <f t="shared" si="16"/>
        <v>http://www.ninis2.nisra.gov.uk/public/SearchResults.aspx?sk=LC7501NI;</v>
      </c>
      <c r="H533" s="30" t="s">
        <v>1833</v>
      </c>
    </row>
    <row r="534" spans="1:8" ht="42" x14ac:dyDescent="0.3">
      <c r="A534" s="36">
        <f t="shared" si="15"/>
        <v>531</v>
      </c>
      <c r="B534" s="61" t="s">
        <v>1665</v>
      </c>
      <c r="C534" s="28" t="s">
        <v>1666</v>
      </c>
      <c r="D534" s="36" t="s">
        <v>1667</v>
      </c>
      <c r="E534" s="37" t="s">
        <v>1910</v>
      </c>
      <c r="F534" s="36" t="str">
        <f t="shared" si="16"/>
        <v>http://www.ninis2.nisra.gov.uk/public/SearchResults.aspx?sk=LC7502NI;</v>
      </c>
      <c r="H534" s="30" t="s">
        <v>1833</v>
      </c>
    </row>
    <row r="535" spans="1:8" ht="42" x14ac:dyDescent="0.3">
      <c r="A535" s="36">
        <f t="shared" si="15"/>
        <v>532</v>
      </c>
      <c r="B535" s="61" t="s">
        <v>1668</v>
      </c>
      <c r="C535" s="28" t="s">
        <v>1669</v>
      </c>
      <c r="D535" s="36" t="s">
        <v>1670</v>
      </c>
      <c r="E535" s="37" t="s">
        <v>1910</v>
      </c>
      <c r="F535" s="36" t="str">
        <f t="shared" si="16"/>
        <v>http://www.ninis2.nisra.gov.uk/public/SearchResults.aspx?sk=LC7601NI;</v>
      </c>
      <c r="H535" s="30" t="s">
        <v>1833</v>
      </c>
    </row>
    <row r="536" spans="1:8" ht="42" x14ac:dyDescent="0.3">
      <c r="A536" s="36">
        <f t="shared" si="15"/>
        <v>533</v>
      </c>
      <c r="B536" s="61" t="s">
        <v>1671</v>
      </c>
      <c r="C536" s="28" t="s">
        <v>1672</v>
      </c>
      <c r="D536" s="36" t="s">
        <v>1673</v>
      </c>
      <c r="E536" s="37" t="s">
        <v>1910</v>
      </c>
      <c r="F536" s="36" t="str">
        <f t="shared" si="16"/>
        <v>http://www.ninis2.nisra.gov.uk/public/SearchResults.aspx?sk=LC7603NI;</v>
      </c>
      <c r="H536" s="30" t="s">
        <v>1833</v>
      </c>
    </row>
    <row r="537" spans="1:8" ht="42" x14ac:dyDescent="0.3">
      <c r="A537" s="36">
        <f t="shared" si="15"/>
        <v>534</v>
      </c>
      <c r="B537" s="61" t="s">
        <v>1674</v>
      </c>
      <c r="C537" s="28" t="s">
        <v>1627</v>
      </c>
      <c r="D537" s="36" t="s">
        <v>1628</v>
      </c>
      <c r="E537" s="37" t="s">
        <v>1910</v>
      </c>
      <c r="F537" s="36" t="str">
        <f t="shared" si="16"/>
        <v>http://www.ninis2.nisra.gov.uk/public/SearchResults.aspx?sk=LC7604NI;</v>
      </c>
      <c r="H537" s="30" t="s">
        <v>1833</v>
      </c>
    </row>
    <row r="538" spans="1:8" ht="42" x14ac:dyDescent="0.3">
      <c r="A538" s="36">
        <f t="shared" si="15"/>
        <v>535</v>
      </c>
      <c r="B538" s="61" t="s">
        <v>1675</v>
      </c>
      <c r="C538" s="28" t="s">
        <v>1676</v>
      </c>
      <c r="D538" s="36" t="s">
        <v>1677</v>
      </c>
      <c r="E538" s="37" t="s">
        <v>1910</v>
      </c>
      <c r="F538" s="36" t="str">
        <f t="shared" si="16"/>
        <v>http://www.ninis2.nisra.gov.uk/public/SearchResults.aspx?sk=LC7605NI;</v>
      </c>
      <c r="H538" s="30" t="s">
        <v>1833</v>
      </c>
    </row>
    <row r="539" spans="1:8" ht="42" x14ac:dyDescent="0.3">
      <c r="A539" s="36">
        <f t="shared" si="15"/>
        <v>536</v>
      </c>
      <c r="B539" s="61" t="s">
        <v>1678</v>
      </c>
      <c r="C539" s="28" t="s">
        <v>1679</v>
      </c>
      <c r="D539" s="36" t="s">
        <v>1680</v>
      </c>
      <c r="E539" s="37" t="s">
        <v>1910</v>
      </c>
      <c r="F539" s="36" t="str">
        <f t="shared" si="16"/>
        <v>http://www.ninis2.nisra.gov.uk/public/SearchResults.aspx?sk=LC7606NI;</v>
      </c>
      <c r="H539" s="30" t="s">
        <v>1833</v>
      </c>
    </row>
    <row r="540" spans="1:8" ht="42" x14ac:dyDescent="0.3">
      <c r="A540" s="36">
        <f t="shared" si="15"/>
        <v>537</v>
      </c>
      <c r="B540" s="61" t="s">
        <v>1681</v>
      </c>
      <c r="C540" s="28" t="s">
        <v>1682</v>
      </c>
      <c r="D540" s="36" t="s">
        <v>1683</v>
      </c>
      <c r="E540" s="37" t="s">
        <v>1910</v>
      </c>
      <c r="F540" s="36" t="str">
        <f t="shared" si="16"/>
        <v>http://www.ninis2.nisra.gov.uk/public/SearchResults.aspx?sk=LC7607NI;</v>
      </c>
      <c r="H540" s="30" t="s">
        <v>1833</v>
      </c>
    </row>
    <row r="541" spans="1:8" ht="42" x14ac:dyDescent="0.3">
      <c r="A541" s="36">
        <f t="shared" si="15"/>
        <v>538</v>
      </c>
      <c r="B541" s="61" t="s">
        <v>1684</v>
      </c>
      <c r="C541" s="28" t="s">
        <v>1685</v>
      </c>
      <c r="D541" s="36" t="s">
        <v>1686</v>
      </c>
      <c r="E541" s="37" t="s">
        <v>1910</v>
      </c>
      <c r="F541" s="36" t="str">
        <f t="shared" si="16"/>
        <v>http://www.ninis2.nisra.gov.uk/public/SearchResults.aspx?sk=LC7608NI;</v>
      </c>
      <c r="H541" s="30" t="s">
        <v>1833</v>
      </c>
    </row>
    <row r="542" spans="1:8" ht="42" x14ac:dyDescent="0.3">
      <c r="A542" s="36">
        <f t="shared" si="15"/>
        <v>539</v>
      </c>
      <c r="B542" s="61" t="s">
        <v>1687</v>
      </c>
      <c r="C542" s="28" t="s">
        <v>1643</v>
      </c>
      <c r="D542" s="36" t="s">
        <v>1644</v>
      </c>
      <c r="E542" s="37" t="s">
        <v>1910</v>
      </c>
      <c r="F542" s="36" t="str">
        <f t="shared" si="16"/>
        <v>http://www.ninis2.nisra.gov.uk/public/SearchResults.aspx?sk=LC7701NI;</v>
      </c>
      <c r="H542" s="30" t="s">
        <v>1833</v>
      </c>
    </row>
    <row r="543" spans="1:8" ht="42" x14ac:dyDescent="0.3">
      <c r="A543" s="36">
        <f t="shared" si="15"/>
        <v>540</v>
      </c>
      <c r="B543" s="61" t="s">
        <v>1479</v>
      </c>
      <c r="C543" s="28" t="s">
        <v>1480</v>
      </c>
      <c r="D543" s="28" t="s">
        <v>1525</v>
      </c>
      <c r="E543" s="37" t="s">
        <v>1910</v>
      </c>
      <c r="F543" s="36" t="str">
        <f t="shared" si="16"/>
        <v>http://www.ninis2.nisra.gov.uk/public/SearchResults.aspx?sk=DT101NI;</v>
      </c>
      <c r="H543" s="30" t="s">
        <v>1887</v>
      </c>
    </row>
    <row r="544" spans="1:8" x14ac:dyDescent="0.25">
      <c r="A544" s="36">
        <f t="shared" si="15"/>
        <v>541</v>
      </c>
      <c r="B544" s="61" t="s">
        <v>1481</v>
      </c>
      <c r="C544" s="28" t="s">
        <v>1482</v>
      </c>
      <c r="D544" s="28" t="s">
        <v>1526</v>
      </c>
      <c r="E544" s="36" t="s">
        <v>1913</v>
      </c>
      <c r="F544" s="36" t="str">
        <f t="shared" si="16"/>
        <v>http://www.ninis2.nisra.gov.uk/public/SearchResults.aspx?sk=DT102NI;</v>
      </c>
      <c r="H544" s="30" t="s">
        <v>1888</v>
      </c>
    </row>
    <row r="545" spans="1:8" ht="42" x14ac:dyDescent="0.3">
      <c r="A545" s="36">
        <f t="shared" si="15"/>
        <v>542</v>
      </c>
      <c r="B545" s="61" t="s">
        <v>1483</v>
      </c>
      <c r="C545" s="28" t="s">
        <v>1484</v>
      </c>
      <c r="D545" s="28" t="s">
        <v>1527</v>
      </c>
      <c r="E545" s="37" t="s">
        <v>1910</v>
      </c>
      <c r="F545" s="36" t="str">
        <f t="shared" si="16"/>
        <v>http://www.ninis2.nisra.gov.uk/public/SearchResults.aspx?sk=DT103NI;</v>
      </c>
      <c r="H545" s="30" t="s">
        <v>1887</v>
      </c>
    </row>
    <row r="546" spans="1:8" ht="28" x14ac:dyDescent="0.25">
      <c r="A546" s="36">
        <f t="shared" si="15"/>
        <v>543</v>
      </c>
      <c r="B546" s="61" t="s">
        <v>1485</v>
      </c>
      <c r="C546" s="28" t="s">
        <v>1486</v>
      </c>
      <c r="D546" s="28" t="s">
        <v>1528</v>
      </c>
      <c r="E546" s="36" t="s">
        <v>1913</v>
      </c>
      <c r="F546" s="36" t="str">
        <f t="shared" si="16"/>
        <v>http://www.ninis2.nisra.gov.uk/public/SearchResults.aspx?sk=DT104NI;</v>
      </c>
      <c r="H546" s="30" t="s">
        <v>1888</v>
      </c>
    </row>
    <row r="547" spans="1:8" ht="42" x14ac:dyDescent="0.3">
      <c r="A547" s="36">
        <f t="shared" si="15"/>
        <v>544</v>
      </c>
      <c r="B547" s="61" t="s">
        <v>1487</v>
      </c>
      <c r="C547" s="28" t="s">
        <v>1488</v>
      </c>
      <c r="D547" s="28" t="s">
        <v>1541</v>
      </c>
      <c r="E547" s="37" t="s">
        <v>1910</v>
      </c>
      <c r="F547" s="36" t="str">
        <f t="shared" si="16"/>
        <v>http://www.ninis2.nisra.gov.uk/public/SearchResults.aspx?sk=DT201NI;</v>
      </c>
      <c r="H547" s="30" t="s">
        <v>1887</v>
      </c>
    </row>
    <row r="548" spans="1:8" ht="42" x14ac:dyDescent="0.3">
      <c r="A548" s="36">
        <f t="shared" si="15"/>
        <v>545</v>
      </c>
      <c r="B548" s="61" t="s">
        <v>1489</v>
      </c>
      <c r="C548" s="28" t="s">
        <v>1490</v>
      </c>
      <c r="D548" s="28" t="s">
        <v>1529</v>
      </c>
      <c r="E548" s="37" t="s">
        <v>1910</v>
      </c>
      <c r="F548" s="36" t="str">
        <f t="shared" si="16"/>
        <v>http://www.ninis2.nisra.gov.uk/public/SearchResults.aspx?sk=DT202NI;</v>
      </c>
      <c r="H548" s="30" t="s">
        <v>1889</v>
      </c>
    </row>
    <row r="549" spans="1:8" ht="42" x14ac:dyDescent="0.3">
      <c r="A549" s="36">
        <f t="shared" si="15"/>
        <v>546</v>
      </c>
      <c r="B549" s="61" t="s">
        <v>1491</v>
      </c>
      <c r="C549" s="28" t="s">
        <v>1492</v>
      </c>
      <c r="D549" s="28" t="s">
        <v>1530</v>
      </c>
      <c r="E549" s="37" t="s">
        <v>1910</v>
      </c>
      <c r="F549" s="36" t="str">
        <f t="shared" si="16"/>
        <v>http://www.ninis2.nisra.gov.uk/public/SearchResults.aspx?sk=DT203NI;</v>
      </c>
      <c r="H549" s="30" t="s">
        <v>1890</v>
      </c>
    </row>
    <row r="550" spans="1:8" ht="42" x14ac:dyDescent="0.3">
      <c r="A550" s="36">
        <f t="shared" si="15"/>
        <v>547</v>
      </c>
      <c r="B550" s="61" t="s">
        <v>1493</v>
      </c>
      <c r="C550" s="28" t="s">
        <v>1494</v>
      </c>
      <c r="D550" s="28" t="s">
        <v>1531</v>
      </c>
      <c r="E550" s="37" t="s">
        <v>1910</v>
      </c>
      <c r="F550" s="36" t="str">
        <f t="shared" si="16"/>
        <v>http://www.ninis2.nisra.gov.uk/public/SearchResults.aspx?sk=DT204NI;</v>
      </c>
      <c r="H550" s="30" t="s">
        <v>1890</v>
      </c>
    </row>
    <row r="551" spans="1:8" ht="42" x14ac:dyDescent="0.3">
      <c r="A551" s="36">
        <f t="shared" si="15"/>
        <v>548</v>
      </c>
      <c r="B551" s="61" t="s">
        <v>1495</v>
      </c>
      <c r="C551" s="28" t="s">
        <v>1496</v>
      </c>
      <c r="D551" s="28" t="s">
        <v>1542</v>
      </c>
      <c r="E551" s="37" t="s">
        <v>1910</v>
      </c>
      <c r="F551" s="36" t="str">
        <f t="shared" si="16"/>
        <v>http://www.ninis2.nisra.gov.uk/public/SearchResults.aspx?sk=DT205NI;</v>
      </c>
      <c r="H551" s="30" t="s">
        <v>1890</v>
      </c>
    </row>
    <row r="552" spans="1:8" ht="42" x14ac:dyDescent="0.3">
      <c r="A552" s="36">
        <f t="shared" si="15"/>
        <v>549</v>
      </c>
      <c r="B552" s="61" t="s">
        <v>1497</v>
      </c>
      <c r="C552" s="28" t="s">
        <v>1498</v>
      </c>
      <c r="D552" s="28" t="s">
        <v>1532</v>
      </c>
      <c r="E552" s="37" t="s">
        <v>1910</v>
      </c>
      <c r="F552" s="36" t="str">
        <f t="shared" si="16"/>
        <v>http://www.ninis2.nisra.gov.uk/public/SearchResults.aspx?sk=DT206NI;</v>
      </c>
      <c r="H552" s="30" t="s">
        <v>1889</v>
      </c>
    </row>
    <row r="553" spans="1:8" ht="42" x14ac:dyDescent="0.3">
      <c r="A553" s="36">
        <f t="shared" si="15"/>
        <v>550</v>
      </c>
      <c r="B553" s="61" t="s">
        <v>1499</v>
      </c>
      <c r="C553" s="28" t="s">
        <v>1500</v>
      </c>
      <c r="D553" s="28" t="s">
        <v>1543</v>
      </c>
      <c r="E553" s="37" t="s">
        <v>1910</v>
      </c>
      <c r="F553" s="36" t="str">
        <f t="shared" si="16"/>
        <v>http://www.ninis2.nisra.gov.uk/public/SearchResults.aspx?sk=DT207NI;</v>
      </c>
      <c r="H553" s="30" t="s">
        <v>1889</v>
      </c>
    </row>
    <row r="554" spans="1:8" ht="42" x14ac:dyDescent="0.3">
      <c r="A554" s="36">
        <f t="shared" si="15"/>
        <v>551</v>
      </c>
      <c r="B554" s="61" t="s">
        <v>1501</v>
      </c>
      <c r="C554" s="28" t="s">
        <v>1502</v>
      </c>
      <c r="D554" s="28" t="s">
        <v>1544</v>
      </c>
      <c r="E554" s="37" t="s">
        <v>1910</v>
      </c>
      <c r="F554" s="36" t="str">
        <f t="shared" si="16"/>
        <v>http://www.ninis2.nisra.gov.uk/public/SearchResults.aspx?sk=DT208NI;</v>
      </c>
      <c r="H554" s="30" t="s">
        <v>1889</v>
      </c>
    </row>
    <row r="555" spans="1:8" ht="42" x14ac:dyDescent="0.3">
      <c r="A555" s="36">
        <f t="shared" si="15"/>
        <v>552</v>
      </c>
      <c r="B555" s="61" t="s">
        <v>1503</v>
      </c>
      <c r="C555" s="28" t="s">
        <v>1504</v>
      </c>
      <c r="D555" s="28" t="s">
        <v>1545</v>
      </c>
      <c r="E555" s="37" t="s">
        <v>1910</v>
      </c>
      <c r="F555" s="36" t="str">
        <f t="shared" si="16"/>
        <v>http://www.ninis2.nisra.gov.uk/public/SearchResults.aspx?sk=DT209NI;</v>
      </c>
      <c r="H555" s="30" t="s">
        <v>1889</v>
      </c>
    </row>
    <row r="556" spans="1:8" ht="42" x14ac:dyDescent="0.3">
      <c r="A556" s="36">
        <f t="shared" si="15"/>
        <v>553</v>
      </c>
      <c r="B556" s="61" t="s">
        <v>1505</v>
      </c>
      <c r="C556" s="28" t="s">
        <v>1506</v>
      </c>
      <c r="D556" s="28" t="s">
        <v>1533</v>
      </c>
      <c r="E556" s="37" t="s">
        <v>1910</v>
      </c>
      <c r="F556" s="36" t="str">
        <f t="shared" si="16"/>
        <v>http://www.ninis2.nisra.gov.uk/public/SearchResults.aspx?sk=DT301NI;</v>
      </c>
      <c r="H556" s="30" t="s">
        <v>1889</v>
      </c>
    </row>
    <row r="557" spans="1:8" ht="42" x14ac:dyDescent="0.3">
      <c r="A557" s="36">
        <f t="shared" si="15"/>
        <v>554</v>
      </c>
      <c r="B557" s="61" t="s">
        <v>1507</v>
      </c>
      <c r="C557" s="28" t="s">
        <v>1508</v>
      </c>
      <c r="D557" s="28" t="s">
        <v>1534</v>
      </c>
      <c r="E557" s="37" t="s">
        <v>1910</v>
      </c>
      <c r="F557" s="36" t="str">
        <f t="shared" si="16"/>
        <v>http://www.ninis2.nisra.gov.uk/public/SearchResults.aspx?sk=DT401NI;</v>
      </c>
      <c r="H557" s="30" t="s">
        <v>1891</v>
      </c>
    </row>
    <row r="558" spans="1:8" ht="42" x14ac:dyDescent="0.3">
      <c r="A558" s="36">
        <f t="shared" si="15"/>
        <v>555</v>
      </c>
      <c r="B558" s="61" t="s">
        <v>1509</v>
      </c>
      <c r="C558" s="28" t="s">
        <v>1510</v>
      </c>
      <c r="D558" s="28" t="s">
        <v>1546</v>
      </c>
      <c r="E558" s="37" t="s">
        <v>1910</v>
      </c>
      <c r="F558" s="36" t="str">
        <f t="shared" si="16"/>
        <v>http://www.ninis2.nisra.gov.uk/public/SearchResults.aspx?sk=DT501NI;</v>
      </c>
      <c r="H558" s="30" t="s">
        <v>1892</v>
      </c>
    </row>
    <row r="559" spans="1:8" ht="42" x14ac:dyDescent="0.3">
      <c r="A559" s="36">
        <f t="shared" si="15"/>
        <v>556</v>
      </c>
      <c r="B559" s="61" t="s">
        <v>1511</v>
      </c>
      <c r="C559" s="28" t="s">
        <v>1512</v>
      </c>
      <c r="D559" s="28" t="s">
        <v>1553</v>
      </c>
      <c r="E559" s="37" t="s">
        <v>1915</v>
      </c>
      <c r="F559" s="36" t="str">
        <f t="shared" si="16"/>
        <v>http://www.ninis2.nisra.gov.uk/public/SearchResults.aspx?sk=DT601NI;</v>
      </c>
      <c r="H559" s="30" t="s">
        <v>1893</v>
      </c>
    </row>
    <row r="560" spans="1:8" ht="42" x14ac:dyDescent="0.3">
      <c r="A560" s="36">
        <f t="shared" si="15"/>
        <v>557</v>
      </c>
      <c r="B560" s="61" t="s">
        <v>1513</v>
      </c>
      <c r="C560" s="28" t="s">
        <v>1514</v>
      </c>
      <c r="D560" s="28" t="s">
        <v>1535</v>
      </c>
      <c r="E560" s="37" t="s">
        <v>1915</v>
      </c>
      <c r="F560" s="36" t="str">
        <f t="shared" si="16"/>
        <v>http://www.ninis2.nisra.gov.uk/public/SearchResults.aspx?sk=DT602NI;</v>
      </c>
      <c r="H560" s="30" t="s">
        <v>1893</v>
      </c>
    </row>
    <row r="561" spans="1:8" ht="42" x14ac:dyDescent="0.3">
      <c r="A561" s="36">
        <f t="shared" si="15"/>
        <v>558</v>
      </c>
      <c r="B561" s="61" t="s">
        <v>1515</v>
      </c>
      <c r="C561" s="28" t="s">
        <v>1516</v>
      </c>
      <c r="D561" s="28" t="s">
        <v>1536</v>
      </c>
      <c r="E561" s="37" t="s">
        <v>1915</v>
      </c>
      <c r="F561" s="36" t="str">
        <f t="shared" si="16"/>
        <v>http://www.ninis2.nisra.gov.uk/public/SearchResults.aspx?sk=DT603NI;</v>
      </c>
      <c r="H561" s="30" t="s">
        <v>1893</v>
      </c>
    </row>
    <row r="562" spans="1:8" ht="42" x14ac:dyDescent="0.3">
      <c r="A562" s="36">
        <f t="shared" si="15"/>
        <v>559</v>
      </c>
      <c r="B562" s="61" t="s">
        <v>1517</v>
      </c>
      <c r="C562" s="28" t="s">
        <v>1518</v>
      </c>
      <c r="D562" s="28" t="s">
        <v>1537</v>
      </c>
      <c r="E562" s="37" t="s">
        <v>1915</v>
      </c>
      <c r="F562" s="36" t="str">
        <f t="shared" si="16"/>
        <v>http://www.ninis2.nisra.gov.uk/public/SearchResults.aspx?sk=DT604NI;</v>
      </c>
      <c r="H562" s="30" t="s">
        <v>1893</v>
      </c>
    </row>
    <row r="563" spans="1:8" ht="42" x14ac:dyDescent="0.3">
      <c r="A563" s="36">
        <f t="shared" si="15"/>
        <v>560</v>
      </c>
      <c r="B563" s="61" t="s">
        <v>1519</v>
      </c>
      <c r="C563" s="28" t="s">
        <v>1520</v>
      </c>
      <c r="D563" s="28" t="s">
        <v>1538</v>
      </c>
      <c r="E563" s="37" t="s">
        <v>1910</v>
      </c>
      <c r="F563" s="36" t="str">
        <f t="shared" si="16"/>
        <v>http://www.ninis2.nisra.gov.uk/public/SearchResults.aspx?sk=DT605NI;</v>
      </c>
      <c r="H563" s="30" t="s">
        <v>1893</v>
      </c>
    </row>
    <row r="564" spans="1:8" ht="42" x14ac:dyDescent="0.3">
      <c r="A564" s="36">
        <f t="shared" si="15"/>
        <v>561</v>
      </c>
      <c r="B564" s="61" t="s">
        <v>1521</v>
      </c>
      <c r="C564" s="28" t="s">
        <v>1522</v>
      </c>
      <c r="D564" s="28" t="s">
        <v>1539</v>
      </c>
      <c r="E564" s="37" t="s">
        <v>1910</v>
      </c>
      <c r="F564" s="36" t="str">
        <f t="shared" si="16"/>
        <v>http://www.ninis2.nisra.gov.uk/public/SearchResults.aspx?sk=DT606NI;</v>
      </c>
      <c r="H564" s="30" t="s">
        <v>1894</v>
      </c>
    </row>
    <row r="565" spans="1:8" ht="42" x14ac:dyDescent="0.3">
      <c r="A565" s="36">
        <f t="shared" si="15"/>
        <v>562</v>
      </c>
      <c r="B565" s="61" t="s">
        <v>1523</v>
      </c>
      <c r="C565" s="28" t="s">
        <v>1524</v>
      </c>
      <c r="D565" s="28" t="s">
        <v>1540</v>
      </c>
      <c r="E565" s="37" t="s">
        <v>1915</v>
      </c>
      <c r="F565" s="36" t="str">
        <f t="shared" si="16"/>
        <v>http://www.ninis2.nisra.gov.uk/public/SearchResults.aspx?sk=DT701NI;</v>
      </c>
      <c r="H565" s="30" t="s">
        <v>1893</v>
      </c>
    </row>
    <row r="566" spans="1:8" ht="42" x14ac:dyDescent="0.3">
      <c r="A566" s="36">
        <f t="shared" si="15"/>
        <v>563</v>
      </c>
      <c r="B566" s="61" t="s">
        <v>1703</v>
      </c>
      <c r="C566" s="28" t="s">
        <v>1704</v>
      </c>
      <c r="D566" s="28" t="s">
        <v>1705</v>
      </c>
      <c r="E566" s="37" t="s">
        <v>1915</v>
      </c>
      <c r="F566" s="36" t="str">
        <f t="shared" si="16"/>
        <v>http://www.ninis2.nisra.gov.uk/public/SearchResults.aspx?sk=DT702NI;</v>
      </c>
      <c r="H566" s="30" t="s">
        <v>1893</v>
      </c>
    </row>
    <row r="567" spans="1:8" x14ac:dyDescent="0.25">
      <c r="A567" s="36">
        <f t="shared" si="15"/>
        <v>564</v>
      </c>
      <c r="B567" s="61" t="s">
        <v>1257</v>
      </c>
      <c r="C567" s="28" t="s">
        <v>1258</v>
      </c>
      <c r="D567" s="28" t="s">
        <v>1298</v>
      </c>
      <c r="E567" s="36" t="s">
        <v>43</v>
      </c>
      <c r="F567" s="36" t="str">
        <f t="shared" si="16"/>
        <v>http://www.ninis2.nisra.gov.uk/public/SearchResults.aspx?sk=ST101NI;</v>
      </c>
      <c r="H567" s="30" t="s">
        <v>1895</v>
      </c>
    </row>
    <row r="568" spans="1:8" x14ac:dyDescent="0.25">
      <c r="A568" s="36">
        <f t="shared" si="15"/>
        <v>565</v>
      </c>
      <c r="B568" s="61" t="s">
        <v>1259</v>
      </c>
      <c r="C568" s="28" t="s">
        <v>1260</v>
      </c>
      <c r="D568" s="28" t="s">
        <v>1299</v>
      </c>
      <c r="E568" s="36" t="s">
        <v>1913</v>
      </c>
      <c r="F568" s="36" t="str">
        <f t="shared" si="16"/>
        <v>http://www.ninis2.nisra.gov.uk/public/SearchResults.aspx?sk=ST102NI;</v>
      </c>
      <c r="H568" s="30" t="s">
        <v>1895</v>
      </c>
    </row>
    <row r="569" spans="1:8" x14ac:dyDescent="0.25">
      <c r="A569" s="36">
        <f t="shared" si="15"/>
        <v>566</v>
      </c>
      <c r="B569" s="61" t="s">
        <v>1261</v>
      </c>
      <c r="C569" s="28" t="s">
        <v>1262</v>
      </c>
      <c r="D569" s="28" t="s">
        <v>1300</v>
      </c>
      <c r="E569" s="36" t="s">
        <v>43</v>
      </c>
      <c r="F569" s="36" t="str">
        <f t="shared" si="16"/>
        <v>http://www.ninis2.nisra.gov.uk/public/SearchResults.aspx?sk=ST103NI;</v>
      </c>
      <c r="H569" s="30" t="s">
        <v>1895</v>
      </c>
    </row>
    <row r="570" spans="1:8" x14ac:dyDescent="0.25">
      <c r="A570" s="36">
        <f t="shared" si="15"/>
        <v>567</v>
      </c>
      <c r="B570" s="61" t="s">
        <v>1263</v>
      </c>
      <c r="C570" s="28" t="s">
        <v>1264</v>
      </c>
      <c r="D570" s="28" t="s">
        <v>1311</v>
      </c>
      <c r="E570" s="36" t="s">
        <v>43</v>
      </c>
      <c r="F570" s="36" t="str">
        <f t="shared" si="16"/>
        <v>http://www.ninis2.nisra.gov.uk/public/SearchResults.aspx?sk=ST201NI;</v>
      </c>
      <c r="H570" s="30" t="s">
        <v>1895</v>
      </c>
    </row>
    <row r="571" spans="1:8" x14ac:dyDescent="0.25">
      <c r="A571" s="36">
        <f t="shared" si="15"/>
        <v>568</v>
      </c>
      <c r="B571" s="61" t="s">
        <v>1265</v>
      </c>
      <c r="C571" s="28" t="s">
        <v>1266</v>
      </c>
      <c r="D571" s="28" t="s">
        <v>1301</v>
      </c>
      <c r="E571" s="36" t="s">
        <v>43</v>
      </c>
      <c r="F571" s="36" t="str">
        <f t="shared" si="16"/>
        <v>http://www.ninis2.nisra.gov.uk/public/SearchResults.aspx?sk=ST202NI;</v>
      </c>
      <c r="H571" s="30" t="s">
        <v>1895</v>
      </c>
    </row>
    <row r="572" spans="1:8" ht="28" x14ac:dyDescent="0.25">
      <c r="A572" s="36">
        <f t="shared" si="15"/>
        <v>569</v>
      </c>
      <c r="B572" s="61" t="s">
        <v>1267</v>
      </c>
      <c r="C572" s="28" t="s">
        <v>1268</v>
      </c>
      <c r="D572" s="28" t="s">
        <v>1302</v>
      </c>
      <c r="E572" s="36" t="s">
        <v>43</v>
      </c>
      <c r="F572" s="36" t="str">
        <f t="shared" si="16"/>
        <v>http://www.ninis2.nisra.gov.uk/public/SearchResults.aspx?sk=ST203NI;</v>
      </c>
      <c r="H572" s="30" t="s">
        <v>1896</v>
      </c>
    </row>
    <row r="573" spans="1:8" x14ac:dyDescent="0.25">
      <c r="A573" s="36">
        <f t="shared" si="15"/>
        <v>570</v>
      </c>
      <c r="B573" s="61" t="s">
        <v>1269</v>
      </c>
      <c r="C573" s="28" t="s">
        <v>1270</v>
      </c>
      <c r="D573" s="28" t="s">
        <v>1303</v>
      </c>
      <c r="E573" s="36" t="s">
        <v>43</v>
      </c>
      <c r="F573" s="36" t="str">
        <f t="shared" si="16"/>
        <v>http://www.ninis2.nisra.gov.uk/public/SearchResults.aspx?sk=ST204NI;</v>
      </c>
      <c r="H573" s="30" t="s">
        <v>1895</v>
      </c>
    </row>
    <row r="574" spans="1:8" ht="28" x14ac:dyDescent="0.25">
      <c r="A574" s="36">
        <f t="shared" si="15"/>
        <v>571</v>
      </c>
      <c r="B574" s="61" t="s">
        <v>1271</v>
      </c>
      <c r="C574" s="28" t="s">
        <v>1272</v>
      </c>
      <c r="D574" s="28" t="s">
        <v>1312</v>
      </c>
      <c r="E574" s="36" t="s">
        <v>43</v>
      </c>
      <c r="F574" s="36" t="str">
        <f t="shared" si="16"/>
        <v>http://www.ninis2.nisra.gov.uk/public/SearchResults.aspx?sk=ST205NI;</v>
      </c>
      <c r="H574" s="30" t="s">
        <v>1895</v>
      </c>
    </row>
    <row r="575" spans="1:8" x14ac:dyDescent="0.25">
      <c r="A575" s="36">
        <f t="shared" si="15"/>
        <v>572</v>
      </c>
      <c r="B575" s="61" t="s">
        <v>1273</v>
      </c>
      <c r="C575" s="28" t="s">
        <v>1561</v>
      </c>
      <c r="D575" s="28" t="s">
        <v>1562</v>
      </c>
      <c r="E575" s="36" t="s">
        <v>43</v>
      </c>
      <c r="F575" s="36" t="str">
        <f t="shared" si="16"/>
        <v>http://www.ninis2.nisra.gov.uk/public/SearchResults.aspx?sk=ST206NI;</v>
      </c>
      <c r="H575" s="30" t="s">
        <v>1895</v>
      </c>
    </row>
    <row r="576" spans="1:8" x14ac:dyDescent="0.25">
      <c r="A576" s="36">
        <f t="shared" si="15"/>
        <v>573</v>
      </c>
      <c r="B576" s="61" t="s">
        <v>1275</v>
      </c>
      <c r="C576" s="28" t="s">
        <v>1276</v>
      </c>
      <c r="D576" s="28" t="s">
        <v>1552</v>
      </c>
      <c r="E576" s="36" t="s">
        <v>43</v>
      </c>
      <c r="F576" s="36" t="str">
        <f t="shared" si="16"/>
        <v>http://www.ninis2.nisra.gov.uk/public/SearchResults.aspx?sk=ST207NI;</v>
      </c>
      <c r="H576" s="30" t="s">
        <v>1895</v>
      </c>
    </row>
    <row r="577" spans="1:8" x14ac:dyDescent="0.25">
      <c r="A577" s="36">
        <f t="shared" si="15"/>
        <v>574</v>
      </c>
      <c r="B577" s="61" t="s">
        <v>1277</v>
      </c>
      <c r="C577" s="28" t="s">
        <v>1278</v>
      </c>
      <c r="D577" s="28" t="s">
        <v>1304</v>
      </c>
      <c r="E577" s="36" t="s">
        <v>43</v>
      </c>
      <c r="F577" s="36" t="str">
        <f t="shared" si="16"/>
        <v>http://www.ninis2.nisra.gov.uk/public/SearchResults.aspx?sk=ST301NI;</v>
      </c>
      <c r="H577" s="30" t="s">
        <v>1895</v>
      </c>
    </row>
    <row r="578" spans="1:8" x14ac:dyDescent="0.25">
      <c r="A578" s="36">
        <f t="shared" si="15"/>
        <v>575</v>
      </c>
      <c r="B578" s="61" t="s">
        <v>1279</v>
      </c>
      <c r="C578" s="28" t="s">
        <v>1280</v>
      </c>
      <c r="D578" s="28" t="s">
        <v>1305</v>
      </c>
      <c r="E578" s="36" t="s">
        <v>43</v>
      </c>
      <c r="F578" s="36" t="str">
        <f t="shared" si="16"/>
        <v>http://www.ninis2.nisra.gov.uk/public/SearchResults.aspx?sk=ST302NI;</v>
      </c>
      <c r="H578" s="30" t="s">
        <v>1895</v>
      </c>
    </row>
    <row r="579" spans="1:8" ht="28" x14ac:dyDescent="0.25">
      <c r="A579" s="36">
        <f t="shared" si="15"/>
        <v>576</v>
      </c>
      <c r="B579" s="61" t="s">
        <v>1281</v>
      </c>
      <c r="C579" s="28" t="s">
        <v>1282</v>
      </c>
      <c r="D579" s="28" t="s">
        <v>1297</v>
      </c>
      <c r="E579" s="36" t="s">
        <v>43</v>
      </c>
      <c r="F579" s="36" t="str">
        <f t="shared" si="16"/>
        <v>http://www.ninis2.nisra.gov.uk/public/SearchResults.aspx?sk=ST401NI;</v>
      </c>
      <c r="H579" s="30" t="s">
        <v>1897</v>
      </c>
    </row>
    <row r="580" spans="1:8" ht="28" x14ac:dyDescent="0.25">
      <c r="A580" s="36">
        <f t="shared" si="15"/>
        <v>577</v>
      </c>
      <c r="B580" s="61" t="s">
        <v>1283</v>
      </c>
      <c r="C580" s="28" t="s">
        <v>1284</v>
      </c>
      <c r="D580" s="28" t="s">
        <v>1314</v>
      </c>
      <c r="E580" s="36" t="s">
        <v>43</v>
      </c>
      <c r="F580" s="36" t="str">
        <f t="shared" si="16"/>
        <v>http://www.ninis2.nisra.gov.uk/public/SearchResults.aspx?sk=ST601NI;</v>
      </c>
      <c r="H580" s="30" t="s">
        <v>1898</v>
      </c>
    </row>
    <row r="581" spans="1:8" ht="28" x14ac:dyDescent="0.25">
      <c r="A581" s="36">
        <f t="shared" ref="A581:A621" si="17">IF(AND(NOT(ISERR(FIND($L$4,D581))),NOT(ISERR(FIND($L$5,D581))),NOT(ISERR(FIND($L$6,D581))),NOT(ISERR(FIND($L$7,D581))) ),A580+1,A580)</f>
        <v>578</v>
      </c>
      <c r="B581" s="61" t="s">
        <v>1285</v>
      </c>
      <c r="C581" s="28" t="s">
        <v>1286</v>
      </c>
      <c r="D581" s="28" t="s">
        <v>1306</v>
      </c>
      <c r="E581" s="36" t="s">
        <v>43</v>
      </c>
      <c r="F581" s="36" t="str">
        <f t="shared" si="16"/>
        <v>http://www.ninis2.nisra.gov.uk/public/SearchResults.aspx?sk=ST602NI;</v>
      </c>
      <c r="H581" s="30" t="s">
        <v>1899</v>
      </c>
    </row>
    <row r="582" spans="1:8" ht="28" x14ac:dyDescent="0.25">
      <c r="A582" s="36">
        <f t="shared" si="17"/>
        <v>579</v>
      </c>
      <c r="B582" s="61" t="s">
        <v>1287</v>
      </c>
      <c r="C582" s="28" t="s">
        <v>1288</v>
      </c>
      <c r="D582" s="28" t="s">
        <v>1307</v>
      </c>
      <c r="E582" s="36" t="s">
        <v>43</v>
      </c>
      <c r="F582" s="36" t="str">
        <f t="shared" si="16"/>
        <v>http://www.ninis2.nisra.gov.uk/public/SearchResults.aspx?sk=ST603NI;</v>
      </c>
      <c r="H582" s="30" t="s">
        <v>1899</v>
      </c>
    </row>
    <row r="583" spans="1:8" ht="28" x14ac:dyDescent="0.25">
      <c r="A583" s="36">
        <f t="shared" si="17"/>
        <v>580</v>
      </c>
      <c r="B583" s="61" t="s">
        <v>1289</v>
      </c>
      <c r="C583" s="28" t="s">
        <v>1290</v>
      </c>
      <c r="D583" s="28" t="s">
        <v>1308</v>
      </c>
      <c r="E583" s="36" t="s">
        <v>43</v>
      </c>
      <c r="F583" s="36" t="str">
        <f t="shared" si="16"/>
        <v>http://www.ninis2.nisra.gov.uk/public/SearchResults.aspx?sk=ST604NI;</v>
      </c>
      <c r="H583" s="30" t="s">
        <v>1899</v>
      </c>
    </row>
    <row r="584" spans="1:8" ht="28" x14ac:dyDescent="0.25">
      <c r="A584" s="36">
        <f t="shared" si="17"/>
        <v>581</v>
      </c>
      <c r="B584" s="61" t="s">
        <v>1291</v>
      </c>
      <c r="C584" s="28" t="s">
        <v>1556</v>
      </c>
      <c r="D584" s="28" t="s">
        <v>1313</v>
      </c>
      <c r="E584" s="36" t="s">
        <v>43</v>
      </c>
      <c r="F584" s="36" t="str">
        <f t="shared" si="16"/>
        <v>http://www.ninis2.nisra.gov.uk/public/SearchResults.aspx?sk=ST605NI;</v>
      </c>
      <c r="H584" s="30" t="s">
        <v>1898</v>
      </c>
    </row>
    <row r="585" spans="1:8" ht="42" x14ac:dyDescent="0.25">
      <c r="A585" s="36">
        <f t="shared" si="17"/>
        <v>582</v>
      </c>
      <c r="B585" s="61" t="s">
        <v>1293</v>
      </c>
      <c r="C585" s="28" t="s">
        <v>1294</v>
      </c>
      <c r="D585" s="28" t="s">
        <v>1309</v>
      </c>
      <c r="E585" s="36" t="s">
        <v>43</v>
      </c>
      <c r="F585" s="36" t="str">
        <f t="shared" si="16"/>
        <v>http://www.ninis2.nisra.gov.uk/public/SearchResults.aspx?sk=ST701NI;</v>
      </c>
      <c r="H585" s="30" t="s">
        <v>1900</v>
      </c>
    </row>
    <row r="586" spans="1:8" ht="56" x14ac:dyDescent="0.25">
      <c r="A586" s="36">
        <f t="shared" si="17"/>
        <v>583</v>
      </c>
      <c r="B586" s="61" t="s">
        <v>1295</v>
      </c>
      <c r="C586" s="28" t="s">
        <v>1296</v>
      </c>
      <c r="D586" s="28" t="s">
        <v>1310</v>
      </c>
      <c r="E586" s="36" t="s">
        <v>43</v>
      </c>
      <c r="F586" s="36" t="str">
        <f t="shared" si="16"/>
        <v>http://www.ninis2.nisra.gov.uk/public/SearchResults.aspx?sk=ST702NI;</v>
      </c>
      <c r="H586" s="30" t="s">
        <v>1901</v>
      </c>
    </row>
    <row r="587" spans="1:8" ht="42" x14ac:dyDescent="0.3">
      <c r="A587" s="36">
        <f t="shared" si="17"/>
        <v>584</v>
      </c>
      <c r="B587" s="61" t="s">
        <v>1315</v>
      </c>
      <c r="C587" s="28" t="s">
        <v>1316</v>
      </c>
      <c r="D587" s="28" t="s">
        <v>1372</v>
      </c>
      <c r="E587" s="37" t="s">
        <v>1915</v>
      </c>
      <c r="F587" s="36" t="str">
        <f t="shared" si="16"/>
        <v>http://www.ninis2.nisra.gov.uk/public/SearchResults.aspx?sk=WP101NI;</v>
      </c>
      <c r="H587" s="30" t="s">
        <v>1884</v>
      </c>
    </row>
    <row r="588" spans="1:8" ht="42" x14ac:dyDescent="0.3">
      <c r="A588" s="36">
        <f t="shared" si="17"/>
        <v>585</v>
      </c>
      <c r="B588" s="61" t="s">
        <v>1317</v>
      </c>
      <c r="C588" s="28" t="s">
        <v>1318</v>
      </c>
      <c r="D588" s="28" t="s">
        <v>1373</v>
      </c>
      <c r="E588" s="37" t="s">
        <v>1915</v>
      </c>
      <c r="F588" s="36" t="str">
        <f t="shared" si="16"/>
        <v>http://www.ninis2.nisra.gov.uk/public/SearchResults.aspx?sk=WP102NI;</v>
      </c>
      <c r="H588" s="30" t="s">
        <v>1884</v>
      </c>
    </row>
    <row r="589" spans="1:8" ht="42" x14ac:dyDescent="0.3">
      <c r="A589" s="36">
        <f t="shared" si="17"/>
        <v>586</v>
      </c>
      <c r="B589" s="61" t="s">
        <v>1319</v>
      </c>
      <c r="C589" s="28" t="s">
        <v>1320</v>
      </c>
      <c r="D589" s="28" t="s">
        <v>1374</v>
      </c>
      <c r="E589" s="37" t="s">
        <v>1915</v>
      </c>
      <c r="F589" s="36" t="str">
        <f t="shared" ref="F589:F620" si="18">"http://www.ninis2.nisra.gov.uk/public/SearchResults.aspx?sk="&amp;B589&amp;";"</f>
        <v>http://www.ninis2.nisra.gov.uk/public/SearchResults.aspx?sk=WP103NI;</v>
      </c>
      <c r="H589" s="30" t="s">
        <v>1884</v>
      </c>
    </row>
    <row r="590" spans="1:8" x14ac:dyDescent="0.25">
      <c r="A590" s="36">
        <f t="shared" si="17"/>
        <v>587</v>
      </c>
      <c r="B590" s="61" t="s">
        <v>1321</v>
      </c>
      <c r="C590" s="28" t="s">
        <v>1475</v>
      </c>
      <c r="D590" s="28" t="s">
        <v>1476</v>
      </c>
      <c r="E590" s="36" t="s">
        <v>1913</v>
      </c>
      <c r="F590" s="36" t="str">
        <f t="shared" si="18"/>
        <v>http://www.ninis2.nisra.gov.uk/public/SearchResults.aspx?sk=WP104NI;</v>
      </c>
      <c r="H590" s="30" t="s">
        <v>1903</v>
      </c>
    </row>
    <row r="591" spans="1:8" ht="42" x14ac:dyDescent="0.25">
      <c r="A591" s="36">
        <f t="shared" si="17"/>
        <v>588</v>
      </c>
      <c r="B591" s="61" t="s">
        <v>1322</v>
      </c>
      <c r="C591" s="28" t="s">
        <v>1323</v>
      </c>
      <c r="D591" s="28" t="s">
        <v>1551</v>
      </c>
      <c r="E591" s="36" t="s">
        <v>1912</v>
      </c>
      <c r="F591" s="36" t="str">
        <f t="shared" si="18"/>
        <v>http://www.ninis2.nisra.gov.uk/public/SearchResults.aspx?sk=WP201NI;</v>
      </c>
      <c r="H591" s="30" t="s">
        <v>1884</v>
      </c>
    </row>
    <row r="592" spans="1:8" ht="42" x14ac:dyDescent="0.3">
      <c r="A592" s="36">
        <f t="shared" si="17"/>
        <v>589</v>
      </c>
      <c r="B592" s="61" t="s">
        <v>1324</v>
      </c>
      <c r="C592" s="28" t="s">
        <v>1477</v>
      </c>
      <c r="D592" s="28" t="s">
        <v>1478</v>
      </c>
      <c r="E592" s="37" t="s">
        <v>1915</v>
      </c>
      <c r="F592" s="36" t="str">
        <f t="shared" si="18"/>
        <v>http://www.ninis2.nisra.gov.uk/public/SearchResults.aspx?sk=WP202NI;</v>
      </c>
      <c r="H592" s="30" t="s">
        <v>1884</v>
      </c>
    </row>
    <row r="593" spans="1:8" ht="42" x14ac:dyDescent="0.3">
      <c r="A593" s="36">
        <f t="shared" si="17"/>
        <v>590</v>
      </c>
      <c r="B593" s="61" t="s">
        <v>1326</v>
      </c>
      <c r="C593" s="28" t="s">
        <v>1327</v>
      </c>
      <c r="D593" s="28" t="s">
        <v>1375</v>
      </c>
      <c r="E593" s="37" t="s">
        <v>1915</v>
      </c>
      <c r="F593" s="36" t="str">
        <f t="shared" si="18"/>
        <v>http://www.ninis2.nisra.gov.uk/public/SearchResults.aspx?sk=WP203NI;</v>
      </c>
      <c r="H593" s="30" t="s">
        <v>1884</v>
      </c>
    </row>
    <row r="594" spans="1:8" ht="42" x14ac:dyDescent="0.3">
      <c r="A594" s="36">
        <f t="shared" si="17"/>
        <v>591</v>
      </c>
      <c r="B594" s="61" t="s">
        <v>1328</v>
      </c>
      <c r="C594" s="28" t="s">
        <v>1329</v>
      </c>
      <c r="D594" s="28" t="s">
        <v>1376</v>
      </c>
      <c r="E594" s="37" t="s">
        <v>1915</v>
      </c>
      <c r="F594" s="36" t="str">
        <f t="shared" si="18"/>
        <v>http://www.ninis2.nisra.gov.uk/public/SearchResults.aspx?sk=WP204NI;</v>
      </c>
      <c r="H594" s="30" t="s">
        <v>1884</v>
      </c>
    </row>
    <row r="595" spans="1:8" ht="42" x14ac:dyDescent="0.3">
      <c r="A595" s="36">
        <f t="shared" si="17"/>
        <v>592</v>
      </c>
      <c r="B595" s="61" t="s">
        <v>1330</v>
      </c>
      <c r="C595" s="28" t="s">
        <v>1331</v>
      </c>
      <c r="D595" s="28" t="s">
        <v>1549</v>
      </c>
      <c r="E595" s="37" t="s">
        <v>1915</v>
      </c>
      <c r="F595" s="36" t="str">
        <f t="shared" si="18"/>
        <v>http://www.ninis2.nisra.gov.uk/public/SearchResults.aspx?sk=WP205NI;</v>
      </c>
      <c r="H595" s="30" t="s">
        <v>1884</v>
      </c>
    </row>
    <row r="596" spans="1:8" ht="42" x14ac:dyDescent="0.3">
      <c r="A596" s="36">
        <f t="shared" si="17"/>
        <v>593</v>
      </c>
      <c r="B596" s="61" t="s">
        <v>1332</v>
      </c>
      <c r="C596" s="28" t="s">
        <v>1333</v>
      </c>
      <c r="D596" s="28" t="s">
        <v>1377</v>
      </c>
      <c r="E596" s="37" t="s">
        <v>1915</v>
      </c>
      <c r="F596" s="36" t="str">
        <f t="shared" si="18"/>
        <v>http://www.ninis2.nisra.gov.uk/public/SearchResults.aspx?sk=WP206NI;</v>
      </c>
      <c r="H596" s="30" t="s">
        <v>1884</v>
      </c>
    </row>
    <row r="597" spans="1:8" ht="42" x14ac:dyDescent="0.3">
      <c r="A597" s="36">
        <f t="shared" si="17"/>
        <v>594</v>
      </c>
      <c r="B597" s="61" t="s">
        <v>1334</v>
      </c>
      <c r="C597" s="28" t="s">
        <v>1335</v>
      </c>
      <c r="D597" s="28" t="s">
        <v>1550</v>
      </c>
      <c r="E597" s="37" t="s">
        <v>1915</v>
      </c>
      <c r="F597" s="36" t="str">
        <f t="shared" si="18"/>
        <v>http://www.ninis2.nisra.gov.uk/public/SearchResults.aspx?sk=WP207NI;</v>
      </c>
      <c r="H597" s="30" t="s">
        <v>1884</v>
      </c>
    </row>
    <row r="598" spans="1:8" ht="42" x14ac:dyDescent="0.3">
      <c r="A598" s="36">
        <f t="shared" si="17"/>
        <v>595</v>
      </c>
      <c r="B598" s="61" t="s">
        <v>1336</v>
      </c>
      <c r="C598" s="28" t="s">
        <v>1337</v>
      </c>
      <c r="D598" s="28" t="s">
        <v>1547</v>
      </c>
      <c r="E598" s="37" t="s">
        <v>1915</v>
      </c>
      <c r="F598" s="36" t="str">
        <f t="shared" si="18"/>
        <v>http://www.ninis2.nisra.gov.uk/public/SearchResults.aspx?sk=WP208NI;</v>
      </c>
      <c r="H598" s="30" t="s">
        <v>1884</v>
      </c>
    </row>
    <row r="599" spans="1:8" ht="42" x14ac:dyDescent="0.3">
      <c r="A599" s="36">
        <f t="shared" si="17"/>
        <v>596</v>
      </c>
      <c r="B599" s="61" t="s">
        <v>1338</v>
      </c>
      <c r="C599" s="28" t="s">
        <v>1339</v>
      </c>
      <c r="D599" s="28" t="s">
        <v>1548</v>
      </c>
      <c r="E599" s="37" t="s">
        <v>1915</v>
      </c>
      <c r="F599" s="36" t="str">
        <f t="shared" si="18"/>
        <v>http://www.ninis2.nisra.gov.uk/public/SearchResults.aspx?sk=WP209NI;</v>
      </c>
      <c r="H599" s="30" t="s">
        <v>1884</v>
      </c>
    </row>
    <row r="600" spans="1:8" ht="42" x14ac:dyDescent="0.3">
      <c r="A600" s="36">
        <f t="shared" si="17"/>
        <v>597</v>
      </c>
      <c r="B600" s="61" t="s">
        <v>1340</v>
      </c>
      <c r="C600" s="28" t="s">
        <v>1341</v>
      </c>
      <c r="D600" s="28" t="s">
        <v>1378</v>
      </c>
      <c r="E600" s="37" t="s">
        <v>1915</v>
      </c>
      <c r="F600" s="36" t="str">
        <f t="shared" si="18"/>
        <v>http://www.ninis2.nisra.gov.uk/public/SearchResults.aspx?sk=WP301NI;</v>
      </c>
      <c r="H600" s="30" t="s">
        <v>1884</v>
      </c>
    </row>
    <row r="601" spans="1:8" ht="42" x14ac:dyDescent="0.3">
      <c r="A601" s="36">
        <f t="shared" si="17"/>
        <v>598</v>
      </c>
      <c r="B601" s="61" t="s">
        <v>1342</v>
      </c>
      <c r="C601" s="28" t="s">
        <v>1343</v>
      </c>
      <c r="D601" s="28" t="s">
        <v>1379</v>
      </c>
      <c r="E601" s="37" t="s">
        <v>1915</v>
      </c>
      <c r="F601" s="36" t="str">
        <f t="shared" si="18"/>
        <v>http://www.ninis2.nisra.gov.uk/public/SearchResults.aspx?sk=WP401NI;</v>
      </c>
      <c r="H601" s="30" t="s">
        <v>1885</v>
      </c>
    </row>
    <row r="602" spans="1:8" ht="42" x14ac:dyDescent="0.3">
      <c r="A602" s="36">
        <f t="shared" si="17"/>
        <v>599</v>
      </c>
      <c r="B602" s="61" t="s">
        <v>1344</v>
      </c>
      <c r="C602" s="28" t="s">
        <v>1345</v>
      </c>
      <c r="D602" s="28" t="s">
        <v>1393</v>
      </c>
      <c r="E602" s="37" t="s">
        <v>1915</v>
      </c>
      <c r="F602" s="36" t="str">
        <f t="shared" si="18"/>
        <v>http://www.ninis2.nisra.gov.uk/public/SearchResults.aspx?sk=WP501NI;</v>
      </c>
      <c r="H602" s="30" t="s">
        <v>1884</v>
      </c>
    </row>
    <row r="603" spans="1:8" ht="42" x14ac:dyDescent="0.25">
      <c r="A603" s="36">
        <f t="shared" si="17"/>
        <v>600</v>
      </c>
      <c r="B603" s="61" t="s">
        <v>1346</v>
      </c>
      <c r="C603" s="28" t="s">
        <v>1347</v>
      </c>
      <c r="D603" s="28" t="s">
        <v>1391</v>
      </c>
      <c r="E603" s="36" t="s">
        <v>1912</v>
      </c>
      <c r="F603" s="36" t="str">
        <f t="shared" si="18"/>
        <v>http://www.ninis2.nisra.gov.uk/public/SearchResults.aspx?sk=WP502NI;</v>
      </c>
      <c r="H603" s="30" t="s">
        <v>1884</v>
      </c>
    </row>
    <row r="604" spans="1:8" ht="42" x14ac:dyDescent="0.25">
      <c r="A604" s="36">
        <f t="shared" si="17"/>
        <v>601</v>
      </c>
      <c r="B604" s="61" t="s">
        <v>1348</v>
      </c>
      <c r="C604" s="28" t="s">
        <v>1349</v>
      </c>
      <c r="D604" s="28" t="s">
        <v>1392</v>
      </c>
      <c r="E604" s="36" t="s">
        <v>1912</v>
      </c>
      <c r="F604" s="36" t="str">
        <f t="shared" si="18"/>
        <v>http://www.ninis2.nisra.gov.uk/public/SearchResults.aspx?sk=WP503NI;</v>
      </c>
      <c r="H604" s="30" t="s">
        <v>1884</v>
      </c>
    </row>
    <row r="605" spans="1:8" ht="42" x14ac:dyDescent="0.3">
      <c r="A605" s="36">
        <f t="shared" si="17"/>
        <v>602</v>
      </c>
      <c r="B605" s="61" t="s">
        <v>1350</v>
      </c>
      <c r="C605" s="28" t="s">
        <v>1351</v>
      </c>
      <c r="D605" s="28" t="s">
        <v>1380</v>
      </c>
      <c r="E605" s="37" t="s">
        <v>1915</v>
      </c>
      <c r="F605" s="36" t="str">
        <f t="shared" si="18"/>
        <v>http://www.ninis2.nisra.gov.uk/public/SearchResults.aspx?sk=WP601NI;</v>
      </c>
      <c r="H605" s="30" t="s">
        <v>1884</v>
      </c>
    </row>
    <row r="606" spans="1:8" ht="42" x14ac:dyDescent="0.3">
      <c r="A606" s="36">
        <f t="shared" si="17"/>
        <v>603</v>
      </c>
      <c r="B606" s="61" t="s">
        <v>1352</v>
      </c>
      <c r="C606" s="28" t="s">
        <v>1353</v>
      </c>
      <c r="D606" s="28" t="s">
        <v>1381</v>
      </c>
      <c r="E606" s="37" t="s">
        <v>1915</v>
      </c>
      <c r="F606" s="36" t="str">
        <f t="shared" si="18"/>
        <v>http://www.ninis2.nisra.gov.uk/public/SearchResults.aspx?sk=WP602NI;</v>
      </c>
      <c r="H606" s="30" t="s">
        <v>1884</v>
      </c>
    </row>
    <row r="607" spans="1:8" ht="42" x14ac:dyDescent="0.3">
      <c r="A607" s="36">
        <f t="shared" si="17"/>
        <v>604</v>
      </c>
      <c r="B607" s="61" t="s">
        <v>1354</v>
      </c>
      <c r="C607" s="28" t="s">
        <v>1355</v>
      </c>
      <c r="D607" s="28" t="s">
        <v>1382</v>
      </c>
      <c r="E607" s="37" t="s">
        <v>1915</v>
      </c>
      <c r="F607" s="36" t="str">
        <f t="shared" si="18"/>
        <v>http://www.ninis2.nisra.gov.uk/public/SearchResults.aspx?sk=WP603NI;</v>
      </c>
      <c r="H607" s="30" t="s">
        <v>1884</v>
      </c>
    </row>
    <row r="608" spans="1:8" ht="42" x14ac:dyDescent="0.3">
      <c r="A608" s="36">
        <f t="shared" si="17"/>
        <v>605</v>
      </c>
      <c r="B608" s="61" t="s">
        <v>1356</v>
      </c>
      <c r="C608" s="28" t="s">
        <v>1357</v>
      </c>
      <c r="D608" s="28" t="s">
        <v>1383</v>
      </c>
      <c r="E608" s="37" t="s">
        <v>1915</v>
      </c>
      <c r="F608" s="36" t="str">
        <f t="shared" si="18"/>
        <v>http://www.ninis2.nisra.gov.uk/public/SearchResults.aspx?sk=WP604NI;</v>
      </c>
      <c r="H608" s="30" t="s">
        <v>1884</v>
      </c>
    </row>
    <row r="609" spans="1:8" ht="42" x14ac:dyDescent="0.3">
      <c r="A609" s="36">
        <f t="shared" si="17"/>
        <v>606</v>
      </c>
      <c r="B609" s="61" t="s">
        <v>1358</v>
      </c>
      <c r="C609" s="28" t="s">
        <v>1555</v>
      </c>
      <c r="D609" s="28" t="s">
        <v>1384</v>
      </c>
      <c r="E609" s="37" t="s">
        <v>1915</v>
      </c>
      <c r="F609" s="36" t="str">
        <f t="shared" si="18"/>
        <v>http://www.ninis2.nisra.gov.uk/public/SearchResults.aspx?sk=WP605NI;</v>
      </c>
      <c r="H609" s="30" t="s">
        <v>1884</v>
      </c>
    </row>
    <row r="610" spans="1:8" ht="56" x14ac:dyDescent="0.3">
      <c r="A610" s="36">
        <f t="shared" si="17"/>
        <v>607</v>
      </c>
      <c r="B610" s="61" t="s">
        <v>1360</v>
      </c>
      <c r="C610" s="28" t="s">
        <v>1361</v>
      </c>
      <c r="D610" s="28" t="s">
        <v>1385</v>
      </c>
      <c r="E610" s="37" t="s">
        <v>1915</v>
      </c>
      <c r="F610" s="36" t="str">
        <f t="shared" si="18"/>
        <v>http://www.ninis2.nisra.gov.uk/public/SearchResults.aspx?sk=WP606NI;</v>
      </c>
      <c r="H610" s="30" t="s">
        <v>1886</v>
      </c>
    </row>
    <row r="611" spans="1:8" ht="42" x14ac:dyDescent="0.25">
      <c r="A611" s="36">
        <f t="shared" si="17"/>
        <v>608</v>
      </c>
      <c r="B611" s="61" t="s">
        <v>1362</v>
      </c>
      <c r="C611" s="28" t="s">
        <v>1363</v>
      </c>
      <c r="D611" s="28" t="s">
        <v>1386</v>
      </c>
      <c r="E611" s="36" t="s">
        <v>1912</v>
      </c>
      <c r="F611" s="36" t="str">
        <f t="shared" si="18"/>
        <v>http://www.ninis2.nisra.gov.uk/public/SearchResults.aspx?sk=WP607NI;</v>
      </c>
      <c r="H611" s="30" t="s">
        <v>1884</v>
      </c>
    </row>
    <row r="612" spans="1:8" ht="42" x14ac:dyDescent="0.25">
      <c r="A612" s="36">
        <f t="shared" si="17"/>
        <v>609</v>
      </c>
      <c r="B612" s="61" t="s">
        <v>1364</v>
      </c>
      <c r="C612" s="28" t="s">
        <v>1365</v>
      </c>
      <c r="D612" s="28" t="s">
        <v>1387</v>
      </c>
      <c r="E612" s="36" t="s">
        <v>1912</v>
      </c>
      <c r="F612" s="36" t="str">
        <f t="shared" si="18"/>
        <v>http://www.ninis2.nisra.gov.uk/public/SearchResults.aspx?sk=WP608NI;</v>
      </c>
      <c r="H612" s="30" t="s">
        <v>1884</v>
      </c>
    </row>
    <row r="613" spans="1:8" ht="42" x14ac:dyDescent="0.25">
      <c r="A613" s="36">
        <f t="shared" si="17"/>
        <v>610</v>
      </c>
      <c r="B613" s="61" t="s">
        <v>1366</v>
      </c>
      <c r="C613" s="28" t="s">
        <v>1367</v>
      </c>
      <c r="D613" s="28" t="s">
        <v>1388</v>
      </c>
      <c r="E613" s="36" t="s">
        <v>1912</v>
      </c>
      <c r="F613" s="36" t="str">
        <f t="shared" si="18"/>
        <v>http://www.ninis2.nisra.gov.uk/public/SearchResults.aspx?sk=WP609NI;</v>
      </c>
      <c r="H613" s="30" t="s">
        <v>1884</v>
      </c>
    </row>
    <row r="614" spans="1:8" ht="42" x14ac:dyDescent="0.3">
      <c r="A614" s="36">
        <f t="shared" si="17"/>
        <v>611</v>
      </c>
      <c r="B614" s="61" t="s">
        <v>1368</v>
      </c>
      <c r="C614" s="28" t="s">
        <v>1369</v>
      </c>
      <c r="D614" s="28" t="s">
        <v>1389</v>
      </c>
      <c r="E614" s="37" t="s">
        <v>1915</v>
      </c>
      <c r="F614" s="36" t="str">
        <f t="shared" si="18"/>
        <v>http://www.ninis2.nisra.gov.uk/public/SearchResults.aspx?sk=WP701NI;</v>
      </c>
      <c r="H614" s="30" t="s">
        <v>1884</v>
      </c>
    </row>
    <row r="615" spans="1:8" ht="42" x14ac:dyDescent="0.3">
      <c r="A615" s="36">
        <f t="shared" si="17"/>
        <v>612</v>
      </c>
      <c r="B615" s="61" t="s">
        <v>1688</v>
      </c>
      <c r="C615" s="28" t="s">
        <v>1689</v>
      </c>
      <c r="D615" s="28" t="s">
        <v>1690</v>
      </c>
      <c r="E615" s="37" t="s">
        <v>1915</v>
      </c>
      <c r="F615" s="36" t="str">
        <f t="shared" si="18"/>
        <v>http://www.ninis2.nisra.gov.uk/public/SearchResults.aspx?sk=WP702NI;</v>
      </c>
      <c r="H615" s="30" t="s">
        <v>1884</v>
      </c>
    </row>
    <row r="616" spans="1:8" ht="42" x14ac:dyDescent="0.25">
      <c r="A616" s="36">
        <f t="shared" si="17"/>
        <v>613</v>
      </c>
      <c r="B616" s="61" t="s">
        <v>1691</v>
      </c>
      <c r="C616" s="28" t="s">
        <v>1692</v>
      </c>
      <c r="D616" s="28" t="s">
        <v>1693</v>
      </c>
      <c r="E616" s="36" t="s">
        <v>1912</v>
      </c>
      <c r="F616" s="36" t="str">
        <f t="shared" si="18"/>
        <v>http://www.ninis2.nisra.gov.uk/public/SearchResults.aspx?sk=WP703NI;</v>
      </c>
      <c r="H616" s="30" t="s">
        <v>1884</v>
      </c>
    </row>
    <row r="617" spans="1:8" ht="42" x14ac:dyDescent="0.25">
      <c r="A617" s="36">
        <f t="shared" si="17"/>
        <v>614</v>
      </c>
      <c r="B617" s="61" t="s">
        <v>1694</v>
      </c>
      <c r="C617" s="28" t="s">
        <v>1695</v>
      </c>
      <c r="D617" s="28" t="s">
        <v>1696</v>
      </c>
      <c r="E617" s="36" t="s">
        <v>1912</v>
      </c>
      <c r="F617" s="36" t="str">
        <f t="shared" si="18"/>
        <v>http://www.ninis2.nisra.gov.uk/public/SearchResults.aspx?sk=WP704NI;</v>
      </c>
      <c r="H617" s="30" t="s">
        <v>1884</v>
      </c>
    </row>
    <row r="618" spans="1:8" ht="42" x14ac:dyDescent="0.25">
      <c r="A618" s="36">
        <f t="shared" si="17"/>
        <v>615</v>
      </c>
      <c r="B618" s="61" t="s">
        <v>1697</v>
      </c>
      <c r="C618" s="28" t="s">
        <v>1698</v>
      </c>
      <c r="D618" s="28" t="s">
        <v>1699</v>
      </c>
      <c r="E618" s="36" t="s">
        <v>1912</v>
      </c>
      <c r="F618" s="36" t="str">
        <f t="shared" si="18"/>
        <v>http://www.ninis2.nisra.gov.uk/public/SearchResults.aspx?sk=WP705NI;</v>
      </c>
      <c r="H618" s="30" t="s">
        <v>1884</v>
      </c>
    </row>
    <row r="619" spans="1:8" ht="42" x14ac:dyDescent="0.25">
      <c r="A619" s="36">
        <f t="shared" si="17"/>
        <v>616</v>
      </c>
      <c r="B619" s="61" t="s">
        <v>1370</v>
      </c>
      <c r="C619" s="28" t="s">
        <v>1371</v>
      </c>
      <c r="D619" s="28" t="s">
        <v>1390</v>
      </c>
      <c r="E619" s="36" t="s">
        <v>1912</v>
      </c>
      <c r="F619" s="36" t="str">
        <f t="shared" si="18"/>
        <v>http://www.ninis2.nisra.gov.uk/public/SearchResults.aspx?sk=WP706NI;</v>
      </c>
      <c r="H619" s="30" t="s">
        <v>1884</v>
      </c>
    </row>
    <row r="620" spans="1:8" ht="42" x14ac:dyDescent="0.25">
      <c r="A620" s="36">
        <f t="shared" si="17"/>
        <v>617</v>
      </c>
      <c r="B620" s="61" t="s">
        <v>1700</v>
      </c>
      <c r="C620" s="28" t="s">
        <v>1701</v>
      </c>
      <c r="D620" s="28" t="s">
        <v>1702</v>
      </c>
      <c r="E620" s="36" t="s">
        <v>1912</v>
      </c>
      <c r="F620" s="36" t="str">
        <f t="shared" si="18"/>
        <v>http://www.ninis2.nisra.gov.uk/public/SearchResults.aspx?sk=WP707NI;</v>
      </c>
      <c r="H620" s="30" t="s">
        <v>1884</v>
      </c>
    </row>
    <row r="621" spans="1:8" ht="42" x14ac:dyDescent="0.25">
      <c r="A621" s="36">
        <f t="shared" si="17"/>
        <v>618</v>
      </c>
      <c r="B621" s="59" t="s">
        <v>893</v>
      </c>
      <c r="C621" s="36" t="s">
        <v>1760</v>
      </c>
      <c r="D621" s="36" t="s">
        <v>1798</v>
      </c>
      <c r="E621" s="36" t="s">
        <v>1813</v>
      </c>
      <c r="F621" s="36" t="s">
        <v>1812</v>
      </c>
      <c r="H621" s="36" t="s">
        <v>1904</v>
      </c>
    </row>
    <row r="622" spans="1:8" x14ac:dyDescent="0.25">
      <c r="D622" s="36"/>
    </row>
    <row r="623" spans="1:8" x14ac:dyDescent="0.25">
      <c r="D623" s="36"/>
    </row>
    <row r="624" spans="1:8" x14ac:dyDescent="0.25">
      <c r="D624" s="36"/>
    </row>
    <row r="625" spans="4:4" x14ac:dyDescent="0.25">
      <c r="D625" s="36"/>
    </row>
    <row r="626" spans="4:4" x14ac:dyDescent="0.25">
      <c r="D626" s="36"/>
    </row>
    <row r="627" spans="4:4" x14ac:dyDescent="0.25">
      <c r="D627" s="36"/>
    </row>
    <row r="628" spans="4:4" x14ac:dyDescent="0.25">
      <c r="D628" s="36"/>
    </row>
    <row r="629" spans="4:4" x14ac:dyDescent="0.25">
      <c r="D629" s="36"/>
    </row>
    <row r="630" spans="4:4" x14ac:dyDescent="0.25">
      <c r="D630" s="36"/>
    </row>
    <row r="631" spans="4:4" x14ac:dyDescent="0.25">
      <c r="D631" s="36"/>
    </row>
    <row r="632" spans="4:4" x14ac:dyDescent="0.25">
      <c r="D632" s="36"/>
    </row>
    <row r="633" spans="4:4" x14ac:dyDescent="0.25">
      <c r="D633" s="36"/>
    </row>
    <row r="634" spans="4:4" x14ac:dyDescent="0.25">
      <c r="D634" s="36"/>
    </row>
    <row r="635" spans="4:4" x14ac:dyDescent="0.25">
      <c r="D635" s="36"/>
    </row>
    <row r="636" spans="4:4" x14ac:dyDescent="0.25">
      <c r="D636" s="36"/>
    </row>
    <row r="637" spans="4:4" x14ac:dyDescent="0.25">
      <c r="D637" s="36"/>
    </row>
    <row r="638" spans="4:4" x14ac:dyDescent="0.25">
      <c r="D638" s="36"/>
    </row>
    <row r="639" spans="4:4" x14ac:dyDescent="0.25">
      <c r="D639" s="36"/>
    </row>
    <row r="640" spans="4:4" x14ac:dyDescent="0.25">
      <c r="D640" s="36"/>
    </row>
    <row r="641" spans="2:4" x14ac:dyDescent="0.25">
      <c r="D641" s="36"/>
    </row>
    <row r="642" spans="2:4" x14ac:dyDescent="0.25">
      <c r="D642" s="36"/>
    </row>
    <row r="643" spans="2:4" x14ac:dyDescent="0.25">
      <c r="D643" s="36"/>
    </row>
    <row r="644" spans="2:4" x14ac:dyDescent="0.25">
      <c r="D644" s="36"/>
    </row>
    <row r="645" spans="2:4" x14ac:dyDescent="0.25">
      <c r="D645" s="36"/>
    </row>
    <row r="646" spans="2:4" x14ac:dyDescent="0.25">
      <c r="D646" s="36"/>
    </row>
    <row r="647" spans="2:4" x14ac:dyDescent="0.25">
      <c r="D647" s="36"/>
    </row>
    <row r="648" spans="2:4" x14ac:dyDescent="0.25">
      <c r="D648" s="36"/>
    </row>
    <row r="649" spans="2:4" x14ac:dyDescent="0.25">
      <c r="D649" s="36"/>
    </row>
    <row r="650" spans="2:4" x14ac:dyDescent="0.25">
      <c r="D650" s="36"/>
    </row>
    <row r="651" spans="2:4" x14ac:dyDescent="0.25">
      <c r="D651" s="36"/>
    </row>
    <row r="652" spans="2:4" x14ac:dyDescent="0.25">
      <c r="D652" s="36"/>
    </row>
    <row r="653" spans="2:4" x14ac:dyDescent="0.25">
      <c r="B653" s="28"/>
    </row>
    <row r="654" spans="2:4" x14ac:dyDescent="0.25">
      <c r="B654" s="28"/>
    </row>
    <row r="655" spans="2:4" x14ac:dyDescent="0.25">
      <c r="B655" s="28"/>
    </row>
    <row r="656" spans="2:4" x14ac:dyDescent="0.25">
      <c r="B656" s="28"/>
    </row>
    <row r="657" spans="2:2" x14ac:dyDescent="0.25">
      <c r="B657" s="28"/>
    </row>
    <row r="658" spans="2:2" x14ac:dyDescent="0.25">
      <c r="B658" s="28"/>
    </row>
    <row r="659" spans="2:2" x14ac:dyDescent="0.25">
      <c r="B659" s="28"/>
    </row>
    <row r="660" spans="2:2" x14ac:dyDescent="0.25">
      <c r="B660" s="28"/>
    </row>
    <row r="661" spans="2:2" x14ac:dyDescent="0.25">
      <c r="B661" s="28"/>
    </row>
    <row r="662" spans="2:2" x14ac:dyDescent="0.25">
      <c r="B662" s="28"/>
    </row>
    <row r="663" spans="2:2" x14ac:dyDescent="0.25">
      <c r="B663" s="28"/>
    </row>
    <row r="664" spans="2:2" x14ac:dyDescent="0.25">
      <c r="B664" s="28"/>
    </row>
    <row r="665" spans="2:2" x14ac:dyDescent="0.25">
      <c r="B665" s="28"/>
    </row>
    <row r="666" spans="2:2" x14ac:dyDescent="0.25">
      <c r="B666" s="28"/>
    </row>
    <row r="667" spans="2:2" x14ac:dyDescent="0.25">
      <c r="B667" s="28"/>
    </row>
    <row r="668" spans="2:2" x14ac:dyDescent="0.25">
      <c r="B668" s="28"/>
    </row>
    <row r="669" spans="2:2" x14ac:dyDescent="0.25">
      <c r="B669" s="28"/>
    </row>
    <row r="670" spans="2:2" x14ac:dyDescent="0.25">
      <c r="B670" s="28"/>
    </row>
    <row r="671" spans="2:2" x14ac:dyDescent="0.25">
      <c r="B671" s="28"/>
    </row>
    <row r="672" spans="2:2" x14ac:dyDescent="0.25">
      <c r="B672" s="28"/>
    </row>
    <row r="673" spans="2:2" x14ac:dyDescent="0.25">
      <c r="B673" s="28"/>
    </row>
    <row r="674" spans="2:2" x14ac:dyDescent="0.25">
      <c r="B674" s="28"/>
    </row>
    <row r="675" spans="2:2" x14ac:dyDescent="0.25">
      <c r="B675" s="28"/>
    </row>
    <row r="676" spans="2:2" x14ac:dyDescent="0.25">
      <c r="B676" s="28"/>
    </row>
    <row r="677" spans="2:2" x14ac:dyDescent="0.25">
      <c r="B677" s="28"/>
    </row>
    <row r="678" spans="2:2" x14ac:dyDescent="0.25">
      <c r="B678" s="28"/>
    </row>
    <row r="679" spans="2:2" x14ac:dyDescent="0.25">
      <c r="B679" s="28"/>
    </row>
    <row r="680" spans="2:2" x14ac:dyDescent="0.25">
      <c r="B680" s="28"/>
    </row>
    <row r="681" spans="2:2" x14ac:dyDescent="0.25">
      <c r="B681" s="28"/>
    </row>
    <row r="682" spans="2:2" x14ac:dyDescent="0.25">
      <c r="B682" s="28"/>
    </row>
    <row r="683" spans="2:2" x14ac:dyDescent="0.25">
      <c r="B683" s="28"/>
    </row>
    <row r="684" spans="2:2" x14ac:dyDescent="0.25">
      <c r="B684" s="28"/>
    </row>
    <row r="685" spans="2:2" x14ac:dyDescent="0.25">
      <c r="B685" s="28"/>
    </row>
    <row r="686" spans="2:2" x14ac:dyDescent="0.25">
      <c r="B686" s="28"/>
    </row>
    <row r="687" spans="2:2" x14ac:dyDescent="0.25">
      <c r="B687" s="28"/>
    </row>
    <row r="688" spans="2:2" x14ac:dyDescent="0.25">
      <c r="B688" s="28"/>
    </row>
    <row r="689" spans="2:2" x14ac:dyDescent="0.25">
      <c r="B689" s="28"/>
    </row>
    <row r="690" spans="2:2" x14ac:dyDescent="0.25">
      <c r="B690" s="28"/>
    </row>
    <row r="691" spans="2:2" x14ac:dyDescent="0.25">
      <c r="B691" s="28"/>
    </row>
    <row r="692" spans="2:2" x14ac:dyDescent="0.25">
      <c r="B692" s="28"/>
    </row>
    <row r="693" spans="2:2" x14ac:dyDescent="0.25">
      <c r="B693" s="28"/>
    </row>
    <row r="694" spans="2:2" x14ac:dyDescent="0.25">
      <c r="B694" s="28"/>
    </row>
    <row r="695" spans="2:2" x14ac:dyDescent="0.25">
      <c r="B695" s="28"/>
    </row>
    <row r="696" spans="2:2" x14ac:dyDescent="0.25">
      <c r="B696" s="28"/>
    </row>
  </sheetData>
  <autoFilter ref="A3:H621"/>
  <sortState ref="B385:H397">
    <sortCondition ref="B385"/>
  </sortState>
  <conditionalFormatting sqref="B399:C524 B398 B314:C315 B317:C344 B304:C312 B128:C299">
    <cfRule type="expression" dxfId="103" priority="165">
      <formula>#REF!="Y"</formula>
    </cfRule>
  </conditionalFormatting>
  <conditionalFormatting sqref="B117:C121 B208:C234 B128:C137">
    <cfRule type="expression" dxfId="102" priority="164">
      <formula>$D117="Y"</formula>
    </cfRule>
  </conditionalFormatting>
  <conditionalFormatting sqref="B230:B247 C230:C258 C260:C270 B260:B268 B235:C263 B265:C275">
    <cfRule type="expression" dxfId="101" priority="161">
      <formula>$D229="Y"</formula>
    </cfRule>
  </conditionalFormatting>
  <conditionalFormatting sqref="B399:C524 B398 B117:C121 B309:C309 B292:C292 B340:B344 B128:C287 B294:C294 B312:C339 B299:C307 B289:C290">
    <cfRule type="expression" dxfId="100" priority="156">
      <formula>#REF!="Y"</formula>
    </cfRule>
  </conditionalFormatting>
  <conditionalFormatting sqref="B506:C512 B514:C515 B499:C499 B484:C485 B496:C497 B399:C480 B517:C620 B345:C363 B122:C127">
    <cfRule type="cellIs" dxfId="99" priority="141" operator="equal">
      <formula>"PRINTED"</formula>
    </cfRule>
    <cfRule type="cellIs" dxfId="98" priority="142" operator="equal">
      <formula>"SIGNED OFF"</formula>
    </cfRule>
    <cfRule type="cellIs" dxfId="97" priority="143" operator="equal">
      <formula>"DMcG"</formula>
    </cfRule>
    <cfRule type="cellIs" dxfId="96" priority="144" operator="equal">
      <formula>"AW"</formula>
    </cfRule>
    <cfRule type="cellIs" dxfId="95" priority="145" operator="equal">
      <formula>"RE"</formula>
    </cfRule>
    <cfRule type="cellIs" dxfId="94" priority="146" operator="equal">
      <formula>"HI"</formula>
    </cfRule>
  </conditionalFormatting>
  <conditionalFormatting sqref="B404:C480 B506:C512 B514:C515 B499:C499 B484:C485 B496:C497 B517:C620 B345:C394 B4:B8 B10 B320:C320 B313:C313 B315:C316 B293:C293 B296:C296 B300:C303 B298:C298 B282:C282 B264:C264 B122:C127">
    <cfRule type="expression" dxfId="93" priority="140">
      <formula>#REF!="Y"</formula>
    </cfRule>
  </conditionalFormatting>
  <conditionalFormatting sqref="B527:C542">
    <cfRule type="expression" dxfId="92" priority="65">
      <formula>#REF!="Y"</formula>
    </cfRule>
  </conditionalFormatting>
  <hyperlinks>
    <hyperlink ref="F4" r:id="rId1"/>
  </hyperlinks>
  <pageMargins left="0.25" right="0.25" top="0.75" bottom="0.75" header="0.3" footer="0.3"/>
  <pageSetup paperSize="8" scale="42"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47"/>
  <sheetViews>
    <sheetView zoomScaleNormal="100" workbookViewId="0">
      <pane ySplit="2" topLeftCell="A3" activePane="bottomLeft" state="frozen"/>
      <selection pane="bottomLeft"/>
    </sheetView>
  </sheetViews>
  <sheetFormatPr defaultColWidth="9.1796875" defaultRowHeight="15.5" x14ac:dyDescent="0.35"/>
  <cols>
    <col min="1" max="1" width="73.26953125" style="5" bestFit="1" customWidth="1"/>
    <col min="2" max="16384" width="9.1796875" style="5"/>
  </cols>
  <sheetData>
    <row r="1" spans="1:1" ht="19" x14ac:dyDescent="0.4">
      <c r="A1" s="45" t="s">
        <v>887</v>
      </c>
    </row>
    <row r="2" spans="1:1" ht="30" customHeight="1" x14ac:dyDescent="0.35">
      <c r="A2" s="53" t="s">
        <v>1917</v>
      </c>
    </row>
    <row r="3" spans="1:1" x14ac:dyDescent="0.35">
      <c r="A3" s="6" t="s">
        <v>888</v>
      </c>
    </row>
    <row r="4" spans="1:1" x14ac:dyDescent="0.35">
      <c r="A4" s="6" t="s">
        <v>889</v>
      </c>
    </row>
    <row r="5" spans="1:1" x14ac:dyDescent="0.35">
      <c r="A5" s="6" t="s">
        <v>890</v>
      </c>
    </row>
    <row r="6" spans="1:1" x14ac:dyDescent="0.35">
      <c r="A6" s="6" t="s">
        <v>891</v>
      </c>
    </row>
    <row r="7" spans="1:1" x14ac:dyDescent="0.35">
      <c r="A7" s="6" t="s">
        <v>892</v>
      </c>
    </row>
    <row r="8" spans="1:1" x14ac:dyDescent="0.35">
      <c r="A8" s="6"/>
    </row>
    <row r="9" spans="1:1" x14ac:dyDescent="0.35">
      <c r="A9" s="6"/>
    </row>
    <row r="10" spans="1:1" x14ac:dyDescent="0.35">
      <c r="A10" s="6"/>
    </row>
    <row r="11" spans="1:1" x14ac:dyDescent="0.35">
      <c r="A11" s="6"/>
    </row>
    <row r="12" spans="1:1" x14ac:dyDescent="0.35">
      <c r="A12" s="6"/>
    </row>
    <row r="13" spans="1:1" x14ac:dyDescent="0.35">
      <c r="A13" s="6"/>
    </row>
    <row r="14" spans="1:1" x14ac:dyDescent="0.35">
      <c r="A14" s="6"/>
    </row>
    <row r="15" spans="1:1" x14ac:dyDescent="0.35">
      <c r="A15" s="6"/>
    </row>
    <row r="16" spans="1:1" x14ac:dyDescent="0.35">
      <c r="A16" s="6"/>
    </row>
    <row r="17" spans="1:1" x14ac:dyDescent="0.35">
      <c r="A17" s="6"/>
    </row>
    <row r="18" spans="1:1" x14ac:dyDescent="0.35">
      <c r="A18" s="6"/>
    </row>
    <row r="19" spans="1:1" x14ac:dyDescent="0.35">
      <c r="A19" s="6"/>
    </row>
    <row r="20" spans="1:1" x14ac:dyDescent="0.35">
      <c r="A20" s="6"/>
    </row>
    <row r="21" spans="1:1" x14ac:dyDescent="0.35">
      <c r="A21" s="6"/>
    </row>
    <row r="22" spans="1:1" x14ac:dyDescent="0.35">
      <c r="A22" s="6"/>
    </row>
    <row r="23" spans="1:1" x14ac:dyDescent="0.35">
      <c r="A23" s="6"/>
    </row>
    <row r="24" spans="1:1" x14ac:dyDescent="0.35">
      <c r="A24" s="6"/>
    </row>
    <row r="25" spans="1:1" x14ac:dyDescent="0.35">
      <c r="A25" s="6"/>
    </row>
    <row r="26" spans="1:1" x14ac:dyDescent="0.35">
      <c r="A26" s="7"/>
    </row>
    <row r="27" spans="1:1" x14ac:dyDescent="0.35">
      <c r="A27" s="6"/>
    </row>
    <row r="28" spans="1:1" x14ac:dyDescent="0.35">
      <c r="A28" s="6"/>
    </row>
    <row r="29" spans="1:1" x14ac:dyDescent="0.35">
      <c r="A29" s="6"/>
    </row>
    <row r="30" spans="1:1" x14ac:dyDescent="0.35">
      <c r="A30" s="6"/>
    </row>
    <row r="31" spans="1:1" x14ac:dyDescent="0.35">
      <c r="A31" s="6"/>
    </row>
    <row r="32" spans="1:1" x14ac:dyDescent="0.35">
      <c r="A32" s="6"/>
    </row>
    <row r="33" spans="1:1" x14ac:dyDescent="0.35">
      <c r="A33" s="6"/>
    </row>
    <row r="34" spans="1:1" x14ac:dyDescent="0.35">
      <c r="A34" s="6"/>
    </row>
    <row r="35" spans="1:1" x14ac:dyDescent="0.35">
      <c r="A35" s="6"/>
    </row>
    <row r="36" spans="1:1" x14ac:dyDescent="0.35">
      <c r="A36" s="6"/>
    </row>
    <row r="37" spans="1:1" x14ac:dyDescent="0.35">
      <c r="A37" s="6"/>
    </row>
    <row r="38" spans="1:1" x14ac:dyDescent="0.35">
      <c r="A38" s="6"/>
    </row>
    <row r="39" spans="1:1" x14ac:dyDescent="0.35">
      <c r="A39" s="6"/>
    </row>
    <row r="40" spans="1:1" x14ac:dyDescent="0.35">
      <c r="A40" s="6"/>
    </row>
    <row r="41" spans="1:1" x14ac:dyDescent="0.35">
      <c r="A41" s="6"/>
    </row>
    <row r="42" spans="1:1" x14ac:dyDescent="0.35">
      <c r="A42" s="6"/>
    </row>
    <row r="43" spans="1:1" x14ac:dyDescent="0.35">
      <c r="A43" s="6"/>
    </row>
    <row r="44" spans="1:1" x14ac:dyDescent="0.35">
      <c r="A44" s="6"/>
    </row>
    <row r="45" spans="1:1" x14ac:dyDescent="0.35">
      <c r="A45" s="6"/>
    </row>
    <row r="46" spans="1:1" x14ac:dyDescent="0.35">
      <c r="A46" s="6"/>
    </row>
    <row r="47" spans="1:1" x14ac:dyDescent="0.35">
      <c r="A47" s="8"/>
    </row>
  </sheetData>
  <pageMargins left="0.23622047244094491" right="0.23622047244094491" top="0.74803149606299213" bottom="0.74803149606299213" header="0.31496062992125984" footer="0.31496062992125984"/>
  <pageSetup paperSize="9" scale="78" orientation="portrait" r:id="rId1"/>
  <headerFooter alignWithMargins="0">
    <oddHeader>&amp;A</oddHeader>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47"/>
  <sheetViews>
    <sheetView zoomScaleNormal="100" workbookViewId="0">
      <pane ySplit="2" topLeftCell="A3" activePane="bottomLeft" state="frozen"/>
      <selection pane="bottomLeft"/>
    </sheetView>
  </sheetViews>
  <sheetFormatPr defaultColWidth="9.1796875" defaultRowHeight="15.5" x14ac:dyDescent="0.35"/>
  <cols>
    <col min="1" max="1" width="17.1796875" style="42" customWidth="1"/>
    <col min="2" max="2" width="129.1796875" style="42" bestFit="1" customWidth="1"/>
    <col min="3" max="16384" width="9.1796875" style="5"/>
  </cols>
  <sheetData>
    <row r="1" spans="1:2" ht="19" x14ac:dyDescent="0.4">
      <c r="A1" s="46" t="s">
        <v>4</v>
      </c>
    </row>
    <row r="2" spans="1:2" s="44" customFormat="1" ht="30" customHeight="1" x14ac:dyDescent="0.25">
      <c r="A2" s="43" t="s">
        <v>1916</v>
      </c>
      <c r="B2" s="43" t="s">
        <v>5</v>
      </c>
    </row>
    <row r="3" spans="1:2" x14ac:dyDescent="0.35">
      <c r="A3" s="6" t="s">
        <v>56</v>
      </c>
      <c r="B3" s="6" t="s">
        <v>57</v>
      </c>
    </row>
    <row r="4" spans="1:2" x14ac:dyDescent="0.35">
      <c r="A4" s="6" t="s">
        <v>58</v>
      </c>
      <c r="B4" s="6" t="s">
        <v>30</v>
      </c>
    </row>
    <row r="5" spans="1:2" x14ac:dyDescent="0.35">
      <c r="A5" s="6" t="s">
        <v>59</v>
      </c>
      <c r="B5" s="6" t="s">
        <v>60</v>
      </c>
    </row>
    <row r="6" spans="1:2" x14ac:dyDescent="0.35">
      <c r="A6" s="6" t="s">
        <v>61</v>
      </c>
      <c r="B6" s="6" t="s">
        <v>31</v>
      </c>
    </row>
    <row r="7" spans="1:2" x14ac:dyDescent="0.35">
      <c r="A7" s="6" t="s">
        <v>62</v>
      </c>
      <c r="B7" s="6" t="s">
        <v>41</v>
      </c>
    </row>
    <row r="8" spans="1:2" x14ac:dyDescent="0.35">
      <c r="A8" s="6" t="s">
        <v>63</v>
      </c>
      <c r="B8" s="6" t="s">
        <v>64</v>
      </c>
    </row>
    <row r="9" spans="1:2" x14ac:dyDescent="0.35">
      <c r="A9" s="6" t="s">
        <v>65</v>
      </c>
      <c r="B9" s="6" t="s">
        <v>42</v>
      </c>
    </row>
    <row r="10" spans="1:2" x14ac:dyDescent="0.35">
      <c r="A10" s="6" t="s">
        <v>66</v>
      </c>
      <c r="B10" s="6" t="s">
        <v>33</v>
      </c>
    </row>
    <row r="11" spans="1:2" x14ac:dyDescent="0.35">
      <c r="A11" s="6" t="s">
        <v>67</v>
      </c>
      <c r="B11" s="6" t="s">
        <v>68</v>
      </c>
    </row>
    <row r="12" spans="1:2" x14ac:dyDescent="0.35">
      <c r="A12" s="6" t="s">
        <v>69</v>
      </c>
      <c r="B12" s="6" t="s">
        <v>70</v>
      </c>
    </row>
    <row r="13" spans="1:2" x14ac:dyDescent="0.35">
      <c r="A13" s="6" t="s">
        <v>71</v>
      </c>
      <c r="B13" s="6" t="s">
        <v>32</v>
      </c>
    </row>
    <row r="14" spans="1:2" x14ac:dyDescent="0.35">
      <c r="A14" s="6" t="s">
        <v>72</v>
      </c>
      <c r="B14" s="6" t="s">
        <v>73</v>
      </c>
    </row>
    <row r="15" spans="1:2" x14ac:dyDescent="0.35">
      <c r="A15" s="39" t="s">
        <v>74</v>
      </c>
      <c r="B15" s="6" t="s">
        <v>75</v>
      </c>
    </row>
    <row r="16" spans="1:2" x14ac:dyDescent="0.35">
      <c r="A16" s="6" t="s">
        <v>76</v>
      </c>
      <c r="B16" s="6" t="s">
        <v>77</v>
      </c>
    </row>
    <row r="17" spans="1:2" x14ac:dyDescent="0.35">
      <c r="A17" s="6" t="s">
        <v>78</v>
      </c>
      <c r="B17" s="6" t="s">
        <v>79</v>
      </c>
    </row>
    <row r="18" spans="1:2" x14ac:dyDescent="0.35">
      <c r="A18" s="6" t="s">
        <v>80</v>
      </c>
      <c r="B18" s="6" t="s">
        <v>81</v>
      </c>
    </row>
    <row r="19" spans="1:2" x14ac:dyDescent="0.35">
      <c r="A19" s="6" t="s">
        <v>82</v>
      </c>
      <c r="B19" s="6" t="s">
        <v>83</v>
      </c>
    </row>
    <row r="20" spans="1:2" x14ac:dyDescent="0.35">
      <c r="A20" s="6" t="s">
        <v>84</v>
      </c>
      <c r="B20" s="6" t="s">
        <v>44</v>
      </c>
    </row>
    <row r="21" spans="1:2" x14ac:dyDescent="0.35">
      <c r="A21" s="6" t="s">
        <v>85</v>
      </c>
      <c r="B21" s="6" t="s">
        <v>86</v>
      </c>
    </row>
    <row r="22" spans="1:2" x14ac:dyDescent="0.35">
      <c r="A22" s="6" t="s">
        <v>87</v>
      </c>
      <c r="B22" s="6" t="s">
        <v>34</v>
      </c>
    </row>
    <row r="23" spans="1:2" x14ac:dyDescent="0.35">
      <c r="A23" s="40" t="s">
        <v>88</v>
      </c>
      <c r="B23" s="6" t="s">
        <v>89</v>
      </c>
    </row>
    <row r="24" spans="1:2" x14ac:dyDescent="0.35">
      <c r="A24" s="6" t="s">
        <v>90</v>
      </c>
      <c r="B24" s="6" t="s">
        <v>40</v>
      </c>
    </row>
    <row r="25" spans="1:2" x14ac:dyDescent="0.35">
      <c r="A25" s="6" t="s">
        <v>91</v>
      </c>
      <c r="B25" s="6" t="s">
        <v>92</v>
      </c>
    </row>
    <row r="26" spans="1:2" x14ac:dyDescent="0.35">
      <c r="A26" s="6" t="s">
        <v>93</v>
      </c>
      <c r="B26" s="6" t="s">
        <v>94</v>
      </c>
    </row>
    <row r="27" spans="1:2" x14ac:dyDescent="0.35">
      <c r="A27" s="6" t="s">
        <v>95</v>
      </c>
      <c r="B27" s="6" t="s">
        <v>96</v>
      </c>
    </row>
    <row r="28" spans="1:2" x14ac:dyDescent="0.35">
      <c r="A28" s="6" t="s">
        <v>97</v>
      </c>
      <c r="B28" s="6" t="s">
        <v>98</v>
      </c>
    </row>
    <row r="29" spans="1:2" x14ac:dyDescent="0.35">
      <c r="A29" s="40" t="s">
        <v>99</v>
      </c>
      <c r="B29" s="6" t="s">
        <v>100</v>
      </c>
    </row>
    <row r="30" spans="1:2" x14ac:dyDescent="0.35">
      <c r="A30" s="6" t="s">
        <v>101</v>
      </c>
      <c r="B30" s="6" t="s">
        <v>102</v>
      </c>
    </row>
    <row r="31" spans="1:2" x14ac:dyDescent="0.35">
      <c r="A31" s="6" t="s">
        <v>103</v>
      </c>
      <c r="B31" s="6" t="s">
        <v>39</v>
      </c>
    </row>
    <row r="32" spans="1:2" x14ac:dyDescent="0.35">
      <c r="A32" s="6" t="s">
        <v>104</v>
      </c>
      <c r="B32" s="6" t="s">
        <v>105</v>
      </c>
    </row>
    <row r="33" spans="1:2" x14ac:dyDescent="0.35">
      <c r="A33" s="6" t="s">
        <v>106</v>
      </c>
      <c r="B33" s="6" t="s">
        <v>35</v>
      </c>
    </row>
    <row r="34" spans="1:2" x14ac:dyDescent="0.35">
      <c r="A34" s="6" t="s">
        <v>107</v>
      </c>
      <c r="B34" s="6" t="s">
        <v>36</v>
      </c>
    </row>
    <row r="35" spans="1:2" x14ac:dyDescent="0.35">
      <c r="A35" s="6" t="s">
        <v>108</v>
      </c>
      <c r="B35" s="6" t="s">
        <v>37</v>
      </c>
    </row>
    <row r="36" spans="1:2" x14ac:dyDescent="0.35">
      <c r="A36" s="6" t="s">
        <v>109</v>
      </c>
      <c r="B36" s="6" t="s">
        <v>110</v>
      </c>
    </row>
    <row r="37" spans="1:2" x14ac:dyDescent="0.35">
      <c r="A37" s="6" t="s">
        <v>111</v>
      </c>
      <c r="B37" s="6" t="s">
        <v>49</v>
      </c>
    </row>
    <row r="38" spans="1:2" x14ac:dyDescent="0.35">
      <c r="A38" s="6" t="s">
        <v>112</v>
      </c>
      <c r="B38" s="6" t="s">
        <v>38</v>
      </c>
    </row>
    <row r="39" spans="1:2" x14ac:dyDescent="0.35">
      <c r="A39" s="6" t="s">
        <v>113</v>
      </c>
      <c r="B39" s="6" t="s">
        <v>1808</v>
      </c>
    </row>
    <row r="40" spans="1:2" x14ac:dyDescent="0.35">
      <c r="A40" s="6" t="s">
        <v>114</v>
      </c>
      <c r="B40" s="6" t="s">
        <v>1809</v>
      </c>
    </row>
    <row r="41" spans="1:2" x14ac:dyDescent="0.35">
      <c r="A41" s="6" t="s">
        <v>115</v>
      </c>
      <c r="B41" s="6" t="s">
        <v>1810</v>
      </c>
    </row>
    <row r="42" spans="1:2" x14ac:dyDescent="0.35">
      <c r="A42" s="6" t="s">
        <v>116</v>
      </c>
      <c r="B42" s="6" t="s">
        <v>117</v>
      </c>
    </row>
    <row r="43" spans="1:2" x14ac:dyDescent="0.35">
      <c r="A43" s="6" t="s">
        <v>118</v>
      </c>
      <c r="B43" s="6" t="s">
        <v>2045</v>
      </c>
    </row>
    <row r="44" spans="1:2" x14ac:dyDescent="0.35">
      <c r="A44" s="6" t="s">
        <v>119</v>
      </c>
      <c r="B44" s="6" t="s">
        <v>2046</v>
      </c>
    </row>
    <row r="45" spans="1:2" x14ac:dyDescent="0.35">
      <c r="A45" s="6" t="s">
        <v>120</v>
      </c>
      <c r="B45" s="6" t="s">
        <v>48</v>
      </c>
    </row>
    <row r="46" spans="1:2" x14ac:dyDescent="0.35">
      <c r="A46" s="6" t="s">
        <v>121</v>
      </c>
      <c r="B46" s="6" t="s">
        <v>122</v>
      </c>
    </row>
    <row r="47" spans="1:2" x14ac:dyDescent="0.35">
      <c r="A47" s="41" t="s">
        <v>123</v>
      </c>
      <c r="B47" s="41" t="s">
        <v>124</v>
      </c>
    </row>
  </sheetData>
  <pageMargins left="0.25" right="0.25" top="0.75" bottom="0.75" header="0.3" footer="0.3"/>
  <pageSetup paperSize="9" scale="61" orientation="portrait" r:id="rId1"/>
  <headerFooter alignWithMargins="0">
    <oddHeader>&amp;A</oddHeader>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74"/>
  <sheetViews>
    <sheetView zoomScaleNormal="100" workbookViewId="0">
      <pane ySplit="2" topLeftCell="A3" activePane="bottomLeft" state="frozen"/>
      <selection pane="bottomLeft"/>
    </sheetView>
  </sheetViews>
  <sheetFormatPr defaultColWidth="9.1796875" defaultRowHeight="15.5" x14ac:dyDescent="0.35"/>
  <cols>
    <col min="1" max="1" width="17.1796875" style="42" customWidth="1"/>
    <col min="2" max="2" width="97.453125" style="5" bestFit="1" customWidth="1"/>
    <col min="3" max="16384" width="9.1796875" style="5"/>
  </cols>
  <sheetData>
    <row r="1" spans="1:2" ht="19" x14ac:dyDescent="0.4">
      <c r="A1" s="46" t="s">
        <v>125</v>
      </c>
    </row>
    <row r="2" spans="1:2" ht="30" customHeight="1" x14ac:dyDescent="0.35">
      <c r="A2" s="43" t="s">
        <v>1916</v>
      </c>
      <c r="B2" s="16" t="s">
        <v>5</v>
      </c>
    </row>
    <row r="3" spans="1:2" x14ac:dyDescent="0.35">
      <c r="A3" s="9" t="s">
        <v>126</v>
      </c>
      <c r="B3" s="9" t="s">
        <v>127</v>
      </c>
    </row>
    <row r="4" spans="1:2" x14ac:dyDescent="0.35">
      <c r="A4" s="10" t="s">
        <v>128</v>
      </c>
      <c r="B4" s="10" t="s">
        <v>45</v>
      </c>
    </row>
    <row r="5" spans="1:2" x14ac:dyDescent="0.35">
      <c r="A5" s="9" t="s">
        <v>129</v>
      </c>
      <c r="B5" s="9" t="s">
        <v>130</v>
      </c>
    </row>
    <row r="6" spans="1:2" x14ac:dyDescent="0.35">
      <c r="A6" s="10" t="s">
        <v>131</v>
      </c>
      <c r="B6" s="9" t="s">
        <v>132</v>
      </c>
    </row>
    <row r="7" spans="1:2" x14ac:dyDescent="0.35">
      <c r="A7" s="9" t="s">
        <v>133</v>
      </c>
      <c r="B7" s="9" t="s">
        <v>0</v>
      </c>
    </row>
    <row r="8" spans="1:2" x14ac:dyDescent="0.35">
      <c r="A8" s="9" t="s">
        <v>134</v>
      </c>
      <c r="B8" s="9" t="s">
        <v>135</v>
      </c>
    </row>
    <row r="9" spans="1:2" x14ac:dyDescent="0.35">
      <c r="A9" s="9" t="s">
        <v>136</v>
      </c>
      <c r="B9" s="9" t="s">
        <v>31</v>
      </c>
    </row>
    <row r="10" spans="1:2" x14ac:dyDescent="0.35">
      <c r="A10" s="9" t="s">
        <v>137</v>
      </c>
      <c r="B10" s="9" t="s">
        <v>138</v>
      </c>
    </row>
    <row r="11" spans="1:2" x14ac:dyDescent="0.35">
      <c r="A11" s="9" t="s">
        <v>139</v>
      </c>
      <c r="B11" s="9" t="s">
        <v>140</v>
      </c>
    </row>
    <row r="12" spans="1:2" x14ac:dyDescent="0.35">
      <c r="A12" s="9" t="s">
        <v>141</v>
      </c>
      <c r="B12" s="9" t="s">
        <v>142</v>
      </c>
    </row>
    <row r="13" spans="1:2" x14ac:dyDescent="0.35">
      <c r="A13" s="9" t="s">
        <v>143</v>
      </c>
      <c r="B13" s="9" t="s">
        <v>144</v>
      </c>
    </row>
    <row r="14" spans="1:2" x14ac:dyDescent="0.35">
      <c r="A14" s="9" t="s">
        <v>145</v>
      </c>
      <c r="B14" s="9" t="s">
        <v>146</v>
      </c>
    </row>
    <row r="15" spans="1:2" x14ac:dyDescent="0.35">
      <c r="A15" s="9" t="s">
        <v>147</v>
      </c>
      <c r="B15" s="9" t="s">
        <v>148</v>
      </c>
    </row>
    <row r="16" spans="1:2" x14ac:dyDescent="0.35">
      <c r="A16" s="9" t="s">
        <v>149</v>
      </c>
      <c r="B16" s="9" t="s">
        <v>150</v>
      </c>
    </row>
    <row r="17" spans="1:2" x14ac:dyDescent="0.35">
      <c r="A17" s="9" t="s">
        <v>151</v>
      </c>
      <c r="B17" s="9" t="s">
        <v>152</v>
      </c>
    </row>
    <row r="18" spans="1:2" x14ac:dyDescent="0.35">
      <c r="A18" s="10" t="s">
        <v>153</v>
      </c>
      <c r="B18" s="9" t="s">
        <v>154</v>
      </c>
    </row>
    <row r="19" spans="1:2" x14ac:dyDescent="0.35">
      <c r="A19" s="10" t="s">
        <v>155</v>
      </c>
      <c r="B19" s="9" t="s">
        <v>156</v>
      </c>
    </row>
    <row r="20" spans="1:2" x14ac:dyDescent="0.35">
      <c r="A20" s="9" t="s">
        <v>157</v>
      </c>
      <c r="B20" s="9" t="s">
        <v>158</v>
      </c>
    </row>
    <row r="21" spans="1:2" x14ac:dyDescent="0.35">
      <c r="A21" s="10" t="s">
        <v>159</v>
      </c>
      <c r="B21" s="9" t="s">
        <v>160</v>
      </c>
    </row>
    <row r="22" spans="1:2" x14ac:dyDescent="0.35">
      <c r="A22" s="10" t="s">
        <v>161</v>
      </c>
      <c r="B22" s="9" t="s">
        <v>162</v>
      </c>
    </row>
    <row r="23" spans="1:2" x14ac:dyDescent="0.35">
      <c r="A23" s="9" t="s">
        <v>163</v>
      </c>
      <c r="B23" s="9" t="s">
        <v>46</v>
      </c>
    </row>
    <row r="24" spans="1:2" x14ac:dyDescent="0.35">
      <c r="A24" s="9" t="s">
        <v>164</v>
      </c>
      <c r="B24" s="11" t="s">
        <v>165</v>
      </c>
    </row>
    <row r="25" spans="1:2" x14ac:dyDescent="0.35">
      <c r="A25" s="9" t="s">
        <v>166</v>
      </c>
      <c r="B25" s="9" t="s">
        <v>167</v>
      </c>
    </row>
    <row r="26" spans="1:2" x14ac:dyDescent="0.35">
      <c r="A26" s="10" t="s">
        <v>168</v>
      </c>
      <c r="B26" s="9" t="s">
        <v>169</v>
      </c>
    </row>
    <row r="27" spans="1:2" x14ac:dyDescent="0.35">
      <c r="A27" s="10" t="s">
        <v>170</v>
      </c>
      <c r="B27" s="9" t="s">
        <v>171</v>
      </c>
    </row>
    <row r="28" spans="1:2" x14ac:dyDescent="0.35">
      <c r="A28" s="10" t="s">
        <v>172</v>
      </c>
      <c r="B28" s="9" t="s">
        <v>173</v>
      </c>
    </row>
    <row r="29" spans="1:2" x14ac:dyDescent="0.35">
      <c r="A29" s="10" t="s">
        <v>174</v>
      </c>
      <c r="B29" s="9" t="s">
        <v>175</v>
      </c>
    </row>
    <row r="30" spans="1:2" x14ac:dyDescent="0.35">
      <c r="A30" s="10" t="s">
        <v>176</v>
      </c>
      <c r="B30" s="9" t="s">
        <v>177</v>
      </c>
    </row>
    <row r="31" spans="1:2" x14ac:dyDescent="0.35">
      <c r="A31" s="9" t="s">
        <v>178</v>
      </c>
      <c r="B31" s="9" t="s">
        <v>179</v>
      </c>
    </row>
    <row r="32" spans="1:2" x14ac:dyDescent="0.35">
      <c r="A32" s="9" t="s">
        <v>180</v>
      </c>
      <c r="B32" s="9" t="s">
        <v>181</v>
      </c>
    </row>
    <row r="33" spans="1:2" x14ac:dyDescent="0.35">
      <c r="A33" s="9" t="s">
        <v>182</v>
      </c>
      <c r="B33" s="9" t="s">
        <v>183</v>
      </c>
    </row>
    <row r="34" spans="1:2" x14ac:dyDescent="0.35">
      <c r="A34" s="9" t="s">
        <v>184</v>
      </c>
      <c r="B34" s="9" t="s">
        <v>185</v>
      </c>
    </row>
    <row r="35" spans="1:2" x14ac:dyDescent="0.35">
      <c r="A35" s="10" t="s">
        <v>186</v>
      </c>
      <c r="B35" s="9" t="s">
        <v>187</v>
      </c>
    </row>
    <row r="36" spans="1:2" x14ac:dyDescent="0.35">
      <c r="A36" s="10" t="s">
        <v>188</v>
      </c>
      <c r="B36" s="9" t="s">
        <v>189</v>
      </c>
    </row>
    <row r="37" spans="1:2" x14ac:dyDescent="0.35">
      <c r="A37" s="9" t="s">
        <v>190</v>
      </c>
      <c r="B37" s="9" t="s">
        <v>191</v>
      </c>
    </row>
    <row r="38" spans="1:2" x14ac:dyDescent="0.35">
      <c r="A38" s="10" t="s">
        <v>192</v>
      </c>
      <c r="B38" s="9" t="s">
        <v>193</v>
      </c>
    </row>
    <row r="39" spans="1:2" x14ac:dyDescent="0.35">
      <c r="A39" s="10" t="s">
        <v>194</v>
      </c>
      <c r="B39" s="9" t="s">
        <v>195</v>
      </c>
    </row>
    <row r="40" spans="1:2" x14ac:dyDescent="0.35">
      <c r="A40" s="10" t="s">
        <v>196</v>
      </c>
      <c r="B40" s="9" t="s">
        <v>197</v>
      </c>
    </row>
    <row r="41" spans="1:2" x14ac:dyDescent="0.35">
      <c r="A41" s="9" t="s">
        <v>198</v>
      </c>
      <c r="B41" s="9" t="s">
        <v>50</v>
      </c>
    </row>
    <row r="42" spans="1:2" x14ac:dyDescent="0.35">
      <c r="A42" s="9" t="s">
        <v>199</v>
      </c>
      <c r="B42" s="9" t="s">
        <v>47</v>
      </c>
    </row>
    <row r="43" spans="1:2" x14ac:dyDescent="0.35">
      <c r="A43" s="9" t="s">
        <v>200</v>
      </c>
      <c r="B43" s="9" t="s">
        <v>201</v>
      </c>
    </row>
    <row r="44" spans="1:2" x14ac:dyDescent="0.35">
      <c r="A44" s="9" t="s">
        <v>202</v>
      </c>
      <c r="B44" s="9" t="s">
        <v>203</v>
      </c>
    </row>
    <row r="45" spans="1:2" x14ac:dyDescent="0.35">
      <c r="A45" s="9" t="s">
        <v>204</v>
      </c>
      <c r="B45" s="9" t="s">
        <v>205</v>
      </c>
    </row>
    <row r="46" spans="1:2" x14ac:dyDescent="0.35">
      <c r="A46" s="9" t="s">
        <v>206</v>
      </c>
      <c r="B46" s="9" t="s">
        <v>207</v>
      </c>
    </row>
    <row r="47" spans="1:2" x14ac:dyDescent="0.35">
      <c r="A47" s="9" t="s">
        <v>208</v>
      </c>
      <c r="B47" s="9" t="s">
        <v>209</v>
      </c>
    </row>
    <row r="48" spans="1:2" x14ac:dyDescent="0.35">
      <c r="A48" s="9" t="s">
        <v>210</v>
      </c>
      <c r="B48" s="9" t="s">
        <v>211</v>
      </c>
    </row>
    <row r="49" spans="1:2" x14ac:dyDescent="0.35">
      <c r="A49" s="9" t="s">
        <v>212</v>
      </c>
      <c r="B49" s="9" t="s">
        <v>51</v>
      </c>
    </row>
    <row r="50" spans="1:2" x14ac:dyDescent="0.35">
      <c r="A50" s="9" t="s">
        <v>213</v>
      </c>
      <c r="B50" s="9" t="s">
        <v>214</v>
      </c>
    </row>
    <row r="51" spans="1:2" x14ac:dyDescent="0.35">
      <c r="A51" s="9" t="s">
        <v>215</v>
      </c>
      <c r="B51" s="9" t="s">
        <v>216</v>
      </c>
    </row>
    <row r="52" spans="1:2" x14ac:dyDescent="0.35">
      <c r="A52" s="9" t="s">
        <v>217</v>
      </c>
      <c r="B52" s="9" t="s">
        <v>218</v>
      </c>
    </row>
    <row r="53" spans="1:2" x14ac:dyDescent="0.35">
      <c r="A53" s="9" t="s">
        <v>219</v>
      </c>
      <c r="B53" s="9" t="s">
        <v>220</v>
      </c>
    </row>
    <row r="54" spans="1:2" x14ac:dyDescent="0.35">
      <c r="A54" s="9" t="s">
        <v>221</v>
      </c>
      <c r="B54" s="9" t="s">
        <v>1</v>
      </c>
    </row>
    <row r="55" spans="1:2" x14ac:dyDescent="0.35">
      <c r="A55" s="9" t="s">
        <v>222</v>
      </c>
      <c r="B55" s="9" t="s">
        <v>223</v>
      </c>
    </row>
    <row r="56" spans="1:2" x14ac:dyDescent="0.35">
      <c r="A56" s="9" t="s">
        <v>224</v>
      </c>
      <c r="B56" s="9" t="s">
        <v>225</v>
      </c>
    </row>
    <row r="57" spans="1:2" x14ac:dyDescent="0.35">
      <c r="A57" s="9" t="s">
        <v>226</v>
      </c>
      <c r="B57" s="9" t="s">
        <v>227</v>
      </c>
    </row>
    <row r="58" spans="1:2" x14ac:dyDescent="0.35">
      <c r="A58" s="9" t="s">
        <v>228</v>
      </c>
      <c r="B58" s="9" t="s">
        <v>105</v>
      </c>
    </row>
    <row r="59" spans="1:2" x14ac:dyDescent="0.35">
      <c r="A59" s="9" t="s">
        <v>229</v>
      </c>
      <c r="B59" s="9" t="s">
        <v>230</v>
      </c>
    </row>
    <row r="60" spans="1:2" x14ac:dyDescent="0.35">
      <c r="A60" s="9" t="s">
        <v>231</v>
      </c>
      <c r="B60" s="9" t="s">
        <v>232</v>
      </c>
    </row>
    <row r="61" spans="1:2" x14ac:dyDescent="0.35">
      <c r="A61" s="9" t="s">
        <v>233</v>
      </c>
      <c r="B61" s="9" t="s">
        <v>234</v>
      </c>
    </row>
    <row r="62" spans="1:2" x14ac:dyDescent="0.35">
      <c r="A62" s="9" t="s">
        <v>235</v>
      </c>
      <c r="B62" s="9" t="s">
        <v>236</v>
      </c>
    </row>
    <row r="63" spans="1:2" x14ac:dyDescent="0.35">
      <c r="A63" s="9" t="s">
        <v>237</v>
      </c>
      <c r="B63" s="9" t="s">
        <v>117</v>
      </c>
    </row>
    <row r="64" spans="1:2" x14ac:dyDescent="0.35">
      <c r="A64" s="9" t="s">
        <v>238</v>
      </c>
      <c r="B64" s="9" t="s">
        <v>239</v>
      </c>
    </row>
    <row r="65" spans="1:2" x14ac:dyDescent="0.35">
      <c r="A65" s="9" t="s">
        <v>240</v>
      </c>
      <c r="B65" s="9" t="s">
        <v>241</v>
      </c>
    </row>
    <row r="66" spans="1:2" x14ac:dyDescent="0.35">
      <c r="A66" s="9" t="s">
        <v>242</v>
      </c>
      <c r="B66" s="9" t="s">
        <v>243</v>
      </c>
    </row>
    <row r="67" spans="1:2" x14ac:dyDescent="0.35">
      <c r="A67" s="9" t="s">
        <v>244</v>
      </c>
      <c r="B67" s="9" t="s">
        <v>245</v>
      </c>
    </row>
    <row r="68" spans="1:2" x14ac:dyDescent="0.35">
      <c r="A68" s="9" t="s">
        <v>246</v>
      </c>
      <c r="B68" s="9" t="s">
        <v>247</v>
      </c>
    </row>
    <row r="69" spans="1:2" x14ac:dyDescent="0.35">
      <c r="A69" s="9" t="s">
        <v>1761</v>
      </c>
      <c r="B69" s="9" t="s">
        <v>1762</v>
      </c>
    </row>
    <row r="70" spans="1:2" x14ac:dyDescent="0.35">
      <c r="A70" s="9" t="s">
        <v>1763</v>
      </c>
      <c r="B70" s="9" t="s">
        <v>1764</v>
      </c>
    </row>
    <row r="71" spans="1:2" x14ac:dyDescent="0.35">
      <c r="A71" s="9" t="s">
        <v>1765</v>
      </c>
      <c r="B71" s="9" t="s">
        <v>1766</v>
      </c>
    </row>
    <row r="72" spans="1:2" x14ac:dyDescent="0.35">
      <c r="A72" s="9" t="s">
        <v>1767</v>
      </c>
      <c r="B72" s="9" t="s">
        <v>1768</v>
      </c>
    </row>
    <row r="73" spans="1:2" x14ac:dyDescent="0.35">
      <c r="A73" s="9" t="s">
        <v>1769</v>
      </c>
      <c r="B73" s="9" t="s">
        <v>1770</v>
      </c>
    </row>
    <row r="74" spans="1:2" x14ac:dyDescent="0.35">
      <c r="A74" s="9" t="s">
        <v>1771</v>
      </c>
      <c r="B74" s="9" t="s">
        <v>1772</v>
      </c>
    </row>
  </sheetData>
  <sortState ref="A5:B75">
    <sortCondition ref="A4"/>
  </sortState>
  <pageMargins left="0.23622047244094491" right="0.23622047244094491" top="0.74803149606299213" bottom="0.74803149606299213" header="0.31496062992125984" footer="0.31496062992125984"/>
  <pageSetup paperSize="9" scale="83" orientation="portrait" r:id="rId1"/>
  <headerFooter alignWithMargins="0">
    <oddHeader>&amp;A</oddHeader>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269"/>
  <sheetViews>
    <sheetView zoomScaleNormal="100" workbookViewId="0">
      <pane ySplit="2" topLeftCell="A3" activePane="bottomLeft" state="frozen"/>
      <selection pane="bottomLeft"/>
    </sheetView>
  </sheetViews>
  <sheetFormatPr defaultColWidth="9.1796875" defaultRowHeight="15.5" x14ac:dyDescent="0.35"/>
  <cols>
    <col min="1" max="1" width="17.1796875" style="42" customWidth="1"/>
    <col min="2" max="2" width="132.1796875" style="5" bestFit="1" customWidth="1"/>
    <col min="3" max="16384" width="9.1796875" style="5"/>
  </cols>
  <sheetData>
    <row r="1" spans="1:2" ht="19" x14ac:dyDescent="0.4">
      <c r="A1" s="46" t="s">
        <v>248</v>
      </c>
    </row>
    <row r="2" spans="1:2" ht="30" customHeight="1" x14ac:dyDescent="0.35">
      <c r="A2" s="43" t="s">
        <v>1916</v>
      </c>
      <c r="B2" s="16" t="s">
        <v>5</v>
      </c>
    </row>
    <row r="3" spans="1:2" x14ac:dyDescent="0.35">
      <c r="A3" s="48" t="s">
        <v>249</v>
      </c>
      <c r="B3" s="12" t="s">
        <v>250</v>
      </c>
    </row>
    <row r="4" spans="1:2" x14ac:dyDescent="0.35">
      <c r="A4" s="48" t="s">
        <v>251</v>
      </c>
      <c r="B4" s="12" t="s">
        <v>252</v>
      </c>
    </row>
    <row r="5" spans="1:2" x14ac:dyDescent="0.35">
      <c r="A5" s="48" t="s">
        <v>253</v>
      </c>
      <c r="B5" s="12" t="s">
        <v>254</v>
      </c>
    </row>
    <row r="6" spans="1:2" x14ac:dyDescent="0.35">
      <c r="A6" s="48" t="s">
        <v>255</v>
      </c>
      <c r="B6" s="12" t="s">
        <v>256</v>
      </c>
    </row>
    <row r="7" spans="1:2" x14ac:dyDescent="0.35">
      <c r="A7" s="48" t="s">
        <v>257</v>
      </c>
      <c r="B7" s="12" t="s">
        <v>258</v>
      </c>
    </row>
    <row r="8" spans="1:2" x14ac:dyDescent="0.35">
      <c r="A8" s="48" t="s">
        <v>259</v>
      </c>
      <c r="B8" s="12" t="s">
        <v>260</v>
      </c>
    </row>
    <row r="9" spans="1:2" x14ac:dyDescent="0.35">
      <c r="A9" s="48" t="s">
        <v>261</v>
      </c>
      <c r="B9" s="12" t="s">
        <v>262</v>
      </c>
    </row>
    <row r="10" spans="1:2" x14ac:dyDescent="0.35">
      <c r="A10" s="48" t="s">
        <v>263</v>
      </c>
      <c r="B10" s="12" t="s">
        <v>264</v>
      </c>
    </row>
    <row r="11" spans="1:2" x14ac:dyDescent="0.35">
      <c r="A11" s="48" t="s">
        <v>265</v>
      </c>
      <c r="B11" s="12" t="s">
        <v>266</v>
      </c>
    </row>
    <row r="12" spans="1:2" x14ac:dyDescent="0.35">
      <c r="A12" s="48" t="s">
        <v>267</v>
      </c>
      <c r="B12" s="12" t="s">
        <v>268</v>
      </c>
    </row>
    <row r="13" spans="1:2" x14ac:dyDescent="0.35">
      <c r="A13" s="48" t="s">
        <v>269</v>
      </c>
      <c r="B13" s="12" t="s">
        <v>270</v>
      </c>
    </row>
    <row r="14" spans="1:2" x14ac:dyDescent="0.35">
      <c r="A14" s="48" t="s">
        <v>271</v>
      </c>
      <c r="B14" s="12" t="s">
        <v>272</v>
      </c>
    </row>
    <row r="15" spans="1:2" x14ac:dyDescent="0.35">
      <c r="A15" s="48" t="s">
        <v>273</v>
      </c>
      <c r="B15" s="12" t="s">
        <v>274</v>
      </c>
    </row>
    <row r="16" spans="1:2" x14ac:dyDescent="0.35">
      <c r="A16" s="49" t="s">
        <v>275</v>
      </c>
      <c r="B16" s="12" t="s">
        <v>276</v>
      </c>
    </row>
    <row r="17" spans="1:2" x14ac:dyDescent="0.35">
      <c r="A17" s="49" t="s">
        <v>277</v>
      </c>
      <c r="B17" s="12" t="s">
        <v>278</v>
      </c>
    </row>
    <row r="18" spans="1:2" x14ac:dyDescent="0.35">
      <c r="A18" s="48" t="s">
        <v>279</v>
      </c>
      <c r="B18" s="12" t="s">
        <v>280</v>
      </c>
    </row>
    <row r="19" spans="1:2" x14ac:dyDescent="0.35">
      <c r="A19" s="48" t="s">
        <v>281</v>
      </c>
      <c r="B19" s="12" t="s">
        <v>282</v>
      </c>
    </row>
    <row r="20" spans="1:2" x14ac:dyDescent="0.35">
      <c r="A20" s="48" t="s">
        <v>283</v>
      </c>
      <c r="B20" s="12" t="s">
        <v>284</v>
      </c>
    </row>
    <row r="21" spans="1:2" x14ac:dyDescent="0.35">
      <c r="A21" s="48" t="s">
        <v>285</v>
      </c>
      <c r="B21" s="12" t="s">
        <v>286</v>
      </c>
    </row>
    <row r="22" spans="1:2" x14ac:dyDescent="0.35">
      <c r="A22" s="48" t="s">
        <v>287</v>
      </c>
      <c r="B22" s="12" t="s">
        <v>288</v>
      </c>
    </row>
    <row r="23" spans="1:2" x14ac:dyDescent="0.35">
      <c r="A23" s="48" t="s">
        <v>289</v>
      </c>
      <c r="B23" s="12" t="s">
        <v>290</v>
      </c>
    </row>
    <row r="24" spans="1:2" x14ac:dyDescent="0.35">
      <c r="A24" s="48" t="s">
        <v>291</v>
      </c>
      <c r="B24" s="12" t="s">
        <v>292</v>
      </c>
    </row>
    <row r="25" spans="1:2" x14ac:dyDescent="0.35">
      <c r="A25" s="49" t="s">
        <v>293</v>
      </c>
      <c r="B25" s="12" t="s">
        <v>294</v>
      </c>
    </row>
    <row r="26" spans="1:2" x14ac:dyDescent="0.35">
      <c r="A26" s="49" t="s">
        <v>295</v>
      </c>
      <c r="B26" s="12" t="s">
        <v>296</v>
      </c>
    </row>
    <row r="27" spans="1:2" x14ac:dyDescent="0.35">
      <c r="A27" s="49" t="s">
        <v>297</v>
      </c>
      <c r="B27" s="12" t="s">
        <v>298</v>
      </c>
    </row>
    <row r="28" spans="1:2" x14ac:dyDescent="0.35">
      <c r="A28" s="49" t="s">
        <v>299</v>
      </c>
      <c r="B28" s="12" t="s">
        <v>300</v>
      </c>
    </row>
    <row r="29" spans="1:2" x14ac:dyDescent="0.35">
      <c r="A29" s="49" t="s">
        <v>301</v>
      </c>
      <c r="B29" s="12" t="s">
        <v>302</v>
      </c>
    </row>
    <row r="30" spans="1:2" x14ac:dyDescent="0.35">
      <c r="A30" s="49" t="s">
        <v>303</v>
      </c>
      <c r="B30" s="12" t="s">
        <v>304</v>
      </c>
    </row>
    <row r="31" spans="1:2" x14ac:dyDescent="0.35">
      <c r="A31" s="49" t="s">
        <v>305</v>
      </c>
      <c r="B31" s="12" t="s">
        <v>306</v>
      </c>
    </row>
    <row r="32" spans="1:2" x14ac:dyDescent="0.35">
      <c r="A32" s="49" t="s">
        <v>307</v>
      </c>
      <c r="B32" s="12" t="s">
        <v>308</v>
      </c>
    </row>
    <row r="33" spans="1:2" x14ac:dyDescent="0.35">
      <c r="A33" s="49" t="s">
        <v>309</v>
      </c>
      <c r="B33" s="12" t="s">
        <v>310</v>
      </c>
    </row>
    <row r="34" spans="1:2" x14ac:dyDescent="0.35">
      <c r="A34" s="49" t="s">
        <v>311</v>
      </c>
      <c r="B34" s="12" t="s">
        <v>312</v>
      </c>
    </row>
    <row r="35" spans="1:2" x14ac:dyDescent="0.35">
      <c r="A35" s="49" t="s">
        <v>313</v>
      </c>
      <c r="B35" s="12" t="s">
        <v>314</v>
      </c>
    </row>
    <row r="36" spans="1:2" x14ac:dyDescent="0.35">
      <c r="A36" s="48" t="s">
        <v>315</v>
      </c>
      <c r="B36" s="12" t="s">
        <v>316</v>
      </c>
    </row>
    <row r="37" spans="1:2" x14ac:dyDescent="0.35">
      <c r="A37" s="48" t="s">
        <v>317</v>
      </c>
      <c r="B37" s="12" t="s">
        <v>318</v>
      </c>
    </row>
    <row r="38" spans="1:2" x14ac:dyDescent="0.35">
      <c r="A38" s="48" t="s">
        <v>319</v>
      </c>
      <c r="B38" s="12" t="s">
        <v>53</v>
      </c>
    </row>
    <row r="39" spans="1:2" x14ac:dyDescent="0.35">
      <c r="A39" s="48" t="s">
        <v>320</v>
      </c>
      <c r="B39" s="12" t="s">
        <v>321</v>
      </c>
    </row>
    <row r="40" spans="1:2" x14ac:dyDescent="0.35">
      <c r="A40" s="48" t="s">
        <v>322</v>
      </c>
      <c r="B40" s="12" t="s">
        <v>323</v>
      </c>
    </row>
    <row r="41" spans="1:2" x14ac:dyDescent="0.35">
      <c r="A41" s="48" t="s">
        <v>324</v>
      </c>
      <c r="B41" s="12" t="s">
        <v>325</v>
      </c>
    </row>
    <row r="42" spans="1:2" x14ac:dyDescent="0.35">
      <c r="A42" s="48" t="s">
        <v>326</v>
      </c>
      <c r="B42" s="12" t="s">
        <v>327</v>
      </c>
    </row>
    <row r="43" spans="1:2" x14ac:dyDescent="0.35">
      <c r="A43" s="49" t="s">
        <v>328</v>
      </c>
      <c r="B43" s="12" t="s">
        <v>329</v>
      </c>
    </row>
    <row r="44" spans="1:2" x14ac:dyDescent="0.35">
      <c r="A44" s="49" t="s">
        <v>330</v>
      </c>
      <c r="B44" s="12" t="s">
        <v>331</v>
      </c>
    </row>
    <row r="45" spans="1:2" x14ac:dyDescent="0.35">
      <c r="A45" s="49" t="s">
        <v>332</v>
      </c>
      <c r="B45" s="12" t="s">
        <v>333</v>
      </c>
    </row>
    <row r="46" spans="1:2" x14ac:dyDescent="0.35">
      <c r="A46" s="49" t="s">
        <v>334</v>
      </c>
      <c r="B46" s="12" t="s">
        <v>335</v>
      </c>
    </row>
    <row r="47" spans="1:2" x14ac:dyDescent="0.35">
      <c r="A47" s="49" t="s">
        <v>336</v>
      </c>
      <c r="B47" s="12" t="s">
        <v>337</v>
      </c>
    </row>
    <row r="48" spans="1:2" x14ac:dyDescent="0.35">
      <c r="A48" s="49" t="s">
        <v>338</v>
      </c>
      <c r="B48" s="12" t="s">
        <v>339</v>
      </c>
    </row>
    <row r="49" spans="1:2" x14ac:dyDescent="0.35">
      <c r="A49" s="49" t="s">
        <v>340</v>
      </c>
      <c r="B49" s="12" t="s">
        <v>341</v>
      </c>
    </row>
    <row r="50" spans="1:2" x14ac:dyDescent="0.35">
      <c r="A50" s="49" t="s">
        <v>342</v>
      </c>
      <c r="B50" s="12" t="s">
        <v>343</v>
      </c>
    </row>
    <row r="51" spans="1:2" x14ac:dyDescent="0.35">
      <c r="A51" s="48" t="s">
        <v>344</v>
      </c>
      <c r="B51" s="12" t="s">
        <v>345</v>
      </c>
    </row>
    <row r="52" spans="1:2" x14ac:dyDescent="0.35">
      <c r="A52" s="48" t="s">
        <v>346</v>
      </c>
      <c r="B52" s="12" t="s">
        <v>347</v>
      </c>
    </row>
    <row r="53" spans="1:2" x14ac:dyDescent="0.35">
      <c r="A53" s="48" t="s">
        <v>348</v>
      </c>
      <c r="B53" s="12" t="s">
        <v>349</v>
      </c>
    </row>
    <row r="54" spans="1:2" x14ac:dyDescent="0.35">
      <c r="A54" s="48" t="s">
        <v>350</v>
      </c>
      <c r="B54" s="12" t="s">
        <v>351</v>
      </c>
    </row>
    <row r="55" spans="1:2" x14ac:dyDescent="0.35">
      <c r="A55" s="49" t="s">
        <v>352</v>
      </c>
      <c r="B55" s="12" t="s">
        <v>353</v>
      </c>
    </row>
    <row r="56" spans="1:2" x14ac:dyDescent="0.35">
      <c r="A56" s="49" t="s">
        <v>354</v>
      </c>
      <c r="B56" s="12" t="s">
        <v>355</v>
      </c>
    </row>
    <row r="57" spans="1:2" x14ac:dyDescent="0.35">
      <c r="A57" s="49" t="s">
        <v>356</v>
      </c>
      <c r="B57" s="12" t="s">
        <v>357</v>
      </c>
    </row>
    <row r="58" spans="1:2" x14ac:dyDescent="0.35">
      <c r="A58" s="49" t="s">
        <v>358</v>
      </c>
      <c r="B58" s="12" t="s">
        <v>359</v>
      </c>
    </row>
    <row r="59" spans="1:2" x14ac:dyDescent="0.35">
      <c r="A59" s="48" t="s">
        <v>360</v>
      </c>
      <c r="B59" s="12" t="s">
        <v>361</v>
      </c>
    </row>
    <row r="60" spans="1:2" x14ac:dyDescent="0.35">
      <c r="A60" s="48" t="s">
        <v>362</v>
      </c>
      <c r="B60" s="12" t="s">
        <v>363</v>
      </c>
    </row>
    <row r="61" spans="1:2" x14ac:dyDescent="0.35">
      <c r="A61" s="48" t="s">
        <v>364</v>
      </c>
      <c r="B61" s="12" t="s">
        <v>365</v>
      </c>
    </row>
    <row r="62" spans="1:2" x14ac:dyDescent="0.35">
      <c r="A62" s="48" t="s">
        <v>366</v>
      </c>
      <c r="B62" s="12" t="s">
        <v>367</v>
      </c>
    </row>
    <row r="63" spans="1:2" x14ac:dyDescent="0.35">
      <c r="A63" s="48" t="s">
        <v>368</v>
      </c>
      <c r="B63" s="12" t="s">
        <v>369</v>
      </c>
    </row>
    <row r="64" spans="1:2" x14ac:dyDescent="0.35">
      <c r="A64" s="48" t="s">
        <v>370</v>
      </c>
      <c r="B64" s="12" t="s">
        <v>371</v>
      </c>
    </row>
    <row r="65" spans="1:2" x14ac:dyDescent="0.35">
      <c r="A65" s="49" t="s">
        <v>372</v>
      </c>
      <c r="B65" s="12" t="s">
        <v>373</v>
      </c>
    </row>
    <row r="66" spans="1:2" x14ac:dyDescent="0.35">
      <c r="A66" s="49" t="s">
        <v>374</v>
      </c>
      <c r="B66" s="12" t="s">
        <v>375</v>
      </c>
    </row>
    <row r="67" spans="1:2" x14ac:dyDescent="0.35">
      <c r="A67" s="49" t="s">
        <v>376</v>
      </c>
      <c r="B67" s="12" t="s">
        <v>377</v>
      </c>
    </row>
    <row r="68" spans="1:2" x14ac:dyDescent="0.35">
      <c r="A68" s="49" t="s">
        <v>378</v>
      </c>
      <c r="B68" s="12" t="s">
        <v>379</v>
      </c>
    </row>
    <row r="69" spans="1:2" x14ac:dyDescent="0.35">
      <c r="A69" s="48" t="s">
        <v>380</v>
      </c>
      <c r="B69" s="12" t="s">
        <v>381</v>
      </c>
    </row>
    <row r="70" spans="1:2" x14ac:dyDescent="0.35">
      <c r="A70" s="48" t="s">
        <v>382</v>
      </c>
      <c r="B70" s="12" t="s">
        <v>383</v>
      </c>
    </row>
    <row r="71" spans="1:2" x14ac:dyDescent="0.35">
      <c r="A71" s="48" t="s">
        <v>384</v>
      </c>
      <c r="B71" s="12" t="s">
        <v>385</v>
      </c>
    </row>
    <row r="72" spans="1:2" x14ac:dyDescent="0.35">
      <c r="A72" s="48" t="s">
        <v>386</v>
      </c>
      <c r="B72" s="12" t="s">
        <v>387</v>
      </c>
    </row>
    <row r="73" spans="1:2" x14ac:dyDescent="0.35">
      <c r="A73" s="48" t="s">
        <v>388</v>
      </c>
      <c r="B73" s="12" t="s">
        <v>389</v>
      </c>
    </row>
    <row r="74" spans="1:2" x14ac:dyDescent="0.35">
      <c r="A74" s="49" t="s">
        <v>390</v>
      </c>
      <c r="B74" s="12" t="s">
        <v>391</v>
      </c>
    </row>
    <row r="75" spans="1:2" x14ac:dyDescent="0.35">
      <c r="A75" s="49" t="s">
        <v>392</v>
      </c>
      <c r="B75" s="12" t="s">
        <v>393</v>
      </c>
    </row>
    <row r="76" spans="1:2" x14ac:dyDescent="0.35">
      <c r="A76" s="49" t="s">
        <v>394</v>
      </c>
      <c r="B76" s="12" t="s">
        <v>395</v>
      </c>
    </row>
    <row r="77" spans="1:2" x14ac:dyDescent="0.35">
      <c r="A77" s="49" t="s">
        <v>396</v>
      </c>
      <c r="B77" s="12" t="s">
        <v>397</v>
      </c>
    </row>
    <row r="78" spans="1:2" x14ac:dyDescent="0.35">
      <c r="A78" s="49" t="s">
        <v>398</v>
      </c>
      <c r="B78" s="12" t="s">
        <v>399</v>
      </c>
    </row>
    <row r="79" spans="1:2" x14ac:dyDescent="0.35">
      <c r="A79" s="49" t="s">
        <v>400</v>
      </c>
      <c r="B79" s="12" t="s">
        <v>401</v>
      </c>
    </row>
    <row r="80" spans="1:2" x14ac:dyDescent="0.35">
      <c r="A80" s="49" t="s">
        <v>402</v>
      </c>
      <c r="B80" s="12" t="s">
        <v>403</v>
      </c>
    </row>
    <row r="81" spans="1:2" x14ac:dyDescent="0.35">
      <c r="A81" s="49" t="s">
        <v>404</v>
      </c>
      <c r="B81" s="12" t="s">
        <v>405</v>
      </c>
    </row>
    <row r="82" spans="1:2" x14ac:dyDescent="0.35">
      <c r="A82" s="49" t="s">
        <v>406</v>
      </c>
      <c r="B82" s="12" t="s">
        <v>407</v>
      </c>
    </row>
    <row r="83" spans="1:2" x14ac:dyDescent="0.35">
      <c r="A83" s="49" t="s">
        <v>408</v>
      </c>
      <c r="B83" s="12" t="s">
        <v>409</v>
      </c>
    </row>
    <row r="84" spans="1:2" x14ac:dyDescent="0.35">
      <c r="A84" s="49" t="s">
        <v>410</v>
      </c>
      <c r="B84" s="12" t="s">
        <v>411</v>
      </c>
    </row>
    <row r="85" spans="1:2" x14ac:dyDescent="0.35">
      <c r="A85" s="49" t="s">
        <v>412</v>
      </c>
      <c r="B85" s="12" t="s">
        <v>413</v>
      </c>
    </row>
    <row r="86" spans="1:2" x14ac:dyDescent="0.35">
      <c r="A86" s="49" t="s">
        <v>414</v>
      </c>
      <c r="B86" s="12" t="s">
        <v>415</v>
      </c>
    </row>
    <row r="87" spans="1:2" x14ac:dyDescent="0.35">
      <c r="A87" s="49" t="s">
        <v>416</v>
      </c>
      <c r="B87" s="12" t="s">
        <v>417</v>
      </c>
    </row>
    <row r="88" spans="1:2" x14ac:dyDescent="0.35">
      <c r="A88" s="49" t="s">
        <v>418</v>
      </c>
      <c r="B88" s="12" t="s">
        <v>419</v>
      </c>
    </row>
    <row r="89" spans="1:2" x14ac:dyDescent="0.35">
      <c r="A89" s="49" t="s">
        <v>420</v>
      </c>
      <c r="B89" s="12" t="s">
        <v>421</v>
      </c>
    </row>
    <row r="90" spans="1:2" x14ac:dyDescent="0.35">
      <c r="A90" s="49" t="s">
        <v>422</v>
      </c>
      <c r="B90" s="12" t="s">
        <v>423</v>
      </c>
    </row>
    <row r="91" spans="1:2" x14ac:dyDescent="0.35">
      <c r="A91" s="49" t="s">
        <v>424</v>
      </c>
      <c r="B91" s="12" t="s">
        <v>425</v>
      </c>
    </row>
    <row r="92" spans="1:2" x14ac:dyDescent="0.35">
      <c r="A92" s="48" t="s">
        <v>426</v>
      </c>
      <c r="B92" s="12" t="s">
        <v>427</v>
      </c>
    </row>
    <row r="93" spans="1:2" x14ac:dyDescent="0.35">
      <c r="A93" s="48" t="s">
        <v>428</v>
      </c>
      <c r="B93" s="12" t="s">
        <v>429</v>
      </c>
    </row>
    <row r="94" spans="1:2" x14ac:dyDescent="0.35">
      <c r="A94" s="48" t="s">
        <v>430</v>
      </c>
      <c r="B94" s="12" t="s">
        <v>431</v>
      </c>
    </row>
    <row r="95" spans="1:2" x14ac:dyDescent="0.35">
      <c r="A95" s="48" t="s">
        <v>432</v>
      </c>
      <c r="B95" s="12" t="s">
        <v>433</v>
      </c>
    </row>
    <row r="96" spans="1:2" x14ac:dyDescent="0.35">
      <c r="A96" s="48" t="s">
        <v>434</v>
      </c>
      <c r="B96" s="12" t="s">
        <v>435</v>
      </c>
    </row>
    <row r="97" spans="1:2" x14ac:dyDescent="0.35">
      <c r="A97" s="49" t="s">
        <v>436</v>
      </c>
      <c r="B97" s="12" t="s">
        <v>437</v>
      </c>
    </row>
    <row r="98" spans="1:2" x14ac:dyDescent="0.35">
      <c r="A98" s="49" t="s">
        <v>438</v>
      </c>
      <c r="B98" s="12" t="s">
        <v>439</v>
      </c>
    </row>
    <row r="99" spans="1:2" x14ac:dyDescent="0.35">
      <c r="A99" s="49" t="s">
        <v>440</v>
      </c>
      <c r="B99" s="12" t="s">
        <v>441</v>
      </c>
    </row>
    <row r="100" spans="1:2" x14ac:dyDescent="0.35">
      <c r="A100" s="49" t="s">
        <v>442</v>
      </c>
      <c r="B100" s="12" t="s">
        <v>443</v>
      </c>
    </row>
    <row r="101" spans="1:2" x14ac:dyDescent="0.35">
      <c r="A101" s="48" t="s">
        <v>444</v>
      </c>
      <c r="B101" s="12" t="s">
        <v>445</v>
      </c>
    </row>
    <row r="102" spans="1:2" x14ac:dyDescent="0.35">
      <c r="A102" s="48" t="s">
        <v>446</v>
      </c>
      <c r="B102" s="12" t="s">
        <v>447</v>
      </c>
    </row>
    <row r="103" spans="1:2" x14ac:dyDescent="0.35">
      <c r="A103" s="48" t="s">
        <v>448</v>
      </c>
      <c r="B103" s="12" t="s">
        <v>449</v>
      </c>
    </row>
    <row r="104" spans="1:2" x14ac:dyDescent="0.35">
      <c r="A104" s="48" t="s">
        <v>450</v>
      </c>
      <c r="B104" s="12" t="s">
        <v>451</v>
      </c>
    </row>
    <row r="105" spans="1:2" x14ac:dyDescent="0.35">
      <c r="A105" s="48" t="s">
        <v>452</v>
      </c>
      <c r="B105" s="12" t="s">
        <v>453</v>
      </c>
    </row>
    <row r="106" spans="1:2" x14ac:dyDescent="0.35">
      <c r="A106" s="48" t="s">
        <v>454</v>
      </c>
      <c r="B106" s="12" t="s">
        <v>455</v>
      </c>
    </row>
    <row r="107" spans="1:2" x14ac:dyDescent="0.35">
      <c r="A107" s="48" t="s">
        <v>456</v>
      </c>
      <c r="B107" s="12" t="s">
        <v>457</v>
      </c>
    </row>
    <row r="108" spans="1:2" x14ac:dyDescent="0.35">
      <c r="A108" s="48" t="s">
        <v>458</v>
      </c>
      <c r="B108" s="12" t="s">
        <v>459</v>
      </c>
    </row>
    <row r="109" spans="1:2" x14ac:dyDescent="0.35">
      <c r="A109" s="49" t="s">
        <v>460</v>
      </c>
      <c r="B109" s="12" t="s">
        <v>461</v>
      </c>
    </row>
    <row r="110" spans="1:2" x14ac:dyDescent="0.35">
      <c r="A110" s="49" t="s">
        <v>462</v>
      </c>
      <c r="B110" s="12" t="s">
        <v>463</v>
      </c>
    </row>
    <row r="111" spans="1:2" x14ac:dyDescent="0.35">
      <c r="A111" s="49" t="s">
        <v>464</v>
      </c>
      <c r="B111" s="12" t="s">
        <v>465</v>
      </c>
    </row>
    <row r="112" spans="1:2" x14ac:dyDescent="0.35">
      <c r="A112" s="49" t="s">
        <v>466</v>
      </c>
      <c r="B112" s="12" t="s">
        <v>467</v>
      </c>
    </row>
    <row r="113" spans="1:2" x14ac:dyDescent="0.35">
      <c r="A113" s="49" t="s">
        <v>468</v>
      </c>
      <c r="B113" s="12" t="s">
        <v>469</v>
      </c>
    </row>
    <row r="114" spans="1:2" x14ac:dyDescent="0.35">
      <c r="A114" s="49" t="s">
        <v>470</v>
      </c>
      <c r="B114" s="12" t="s">
        <v>471</v>
      </c>
    </row>
    <row r="115" spans="1:2" x14ac:dyDescent="0.35">
      <c r="A115" s="49" t="s">
        <v>472</v>
      </c>
      <c r="B115" s="12" t="s">
        <v>473</v>
      </c>
    </row>
    <row r="116" spans="1:2" x14ac:dyDescent="0.35">
      <c r="A116" s="49" t="s">
        <v>474</v>
      </c>
      <c r="B116" s="12" t="s">
        <v>475</v>
      </c>
    </row>
    <row r="117" spans="1:2" x14ac:dyDescent="0.35">
      <c r="A117" s="49" t="s">
        <v>476</v>
      </c>
      <c r="B117" s="12" t="s">
        <v>477</v>
      </c>
    </row>
    <row r="118" spans="1:2" x14ac:dyDescent="0.35">
      <c r="A118" s="49" t="s">
        <v>478</v>
      </c>
      <c r="B118" s="12" t="s">
        <v>479</v>
      </c>
    </row>
    <row r="119" spans="1:2" x14ac:dyDescent="0.35">
      <c r="A119" s="48" t="s">
        <v>480</v>
      </c>
      <c r="B119" s="12" t="s">
        <v>481</v>
      </c>
    </row>
    <row r="120" spans="1:2" x14ac:dyDescent="0.35">
      <c r="A120" s="48" t="s">
        <v>482</v>
      </c>
      <c r="B120" s="12" t="s">
        <v>483</v>
      </c>
    </row>
    <row r="121" spans="1:2" x14ac:dyDescent="0.35">
      <c r="A121" s="48" t="s">
        <v>484</v>
      </c>
      <c r="B121" s="12" t="s">
        <v>485</v>
      </c>
    </row>
    <row r="122" spans="1:2" x14ac:dyDescent="0.35">
      <c r="A122" s="48" t="s">
        <v>486</v>
      </c>
      <c r="B122" s="12" t="s">
        <v>487</v>
      </c>
    </row>
    <row r="123" spans="1:2" x14ac:dyDescent="0.35">
      <c r="A123" s="48" t="s">
        <v>488</v>
      </c>
      <c r="B123" s="12" t="s">
        <v>489</v>
      </c>
    </row>
    <row r="124" spans="1:2" x14ac:dyDescent="0.35">
      <c r="A124" s="49" t="s">
        <v>490</v>
      </c>
      <c r="B124" s="12" t="s">
        <v>491</v>
      </c>
    </row>
    <row r="125" spans="1:2" x14ac:dyDescent="0.35">
      <c r="A125" s="49" t="s">
        <v>492</v>
      </c>
      <c r="B125" s="12" t="s">
        <v>493</v>
      </c>
    </row>
    <row r="126" spans="1:2" x14ac:dyDescent="0.35">
      <c r="A126" s="49" t="s">
        <v>494</v>
      </c>
      <c r="B126" s="12" t="s">
        <v>495</v>
      </c>
    </row>
    <row r="127" spans="1:2" x14ac:dyDescent="0.35">
      <c r="A127" s="49" t="s">
        <v>496</v>
      </c>
      <c r="B127" s="12" t="s">
        <v>497</v>
      </c>
    </row>
    <row r="128" spans="1:2" x14ac:dyDescent="0.35">
      <c r="A128" s="48" t="s">
        <v>498</v>
      </c>
      <c r="B128" s="12" t="s">
        <v>499</v>
      </c>
    </row>
    <row r="129" spans="1:2" x14ac:dyDescent="0.35">
      <c r="A129" s="48" t="s">
        <v>500</v>
      </c>
      <c r="B129" s="12" t="s">
        <v>501</v>
      </c>
    </row>
    <row r="130" spans="1:2" x14ac:dyDescent="0.35">
      <c r="A130" s="48" t="s">
        <v>502</v>
      </c>
      <c r="B130" s="12" t="s">
        <v>503</v>
      </c>
    </row>
    <row r="131" spans="1:2" x14ac:dyDescent="0.35">
      <c r="A131" s="48" t="s">
        <v>504</v>
      </c>
      <c r="B131" s="12" t="s">
        <v>505</v>
      </c>
    </row>
    <row r="132" spans="1:2" x14ac:dyDescent="0.35">
      <c r="A132" s="48" t="s">
        <v>506</v>
      </c>
      <c r="B132" s="12" t="s">
        <v>507</v>
      </c>
    </row>
    <row r="133" spans="1:2" x14ac:dyDescent="0.35">
      <c r="A133" s="48" t="s">
        <v>508</v>
      </c>
      <c r="B133" s="12" t="s">
        <v>509</v>
      </c>
    </row>
    <row r="134" spans="1:2" x14ac:dyDescent="0.35">
      <c r="A134" s="48" t="s">
        <v>510</v>
      </c>
      <c r="B134" s="12" t="s">
        <v>511</v>
      </c>
    </row>
    <row r="135" spans="1:2" x14ac:dyDescent="0.35">
      <c r="A135" s="48" t="s">
        <v>512</v>
      </c>
      <c r="B135" s="12" t="s">
        <v>513</v>
      </c>
    </row>
    <row r="136" spans="1:2" x14ac:dyDescent="0.35">
      <c r="A136" s="48" t="s">
        <v>514</v>
      </c>
      <c r="B136" s="12" t="s">
        <v>515</v>
      </c>
    </row>
    <row r="137" spans="1:2" x14ac:dyDescent="0.35">
      <c r="A137" s="48" t="s">
        <v>516</v>
      </c>
      <c r="B137" s="12" t="s">
        <v>517</v>
      </c>
    </row>
    <row r="138" spans="1:2" x14ac:dyDescent="0.35">
      <c r="A138" s="49" t="s">
        <v>518</v>
      </c>
      <c r="B138" s="12" t="s">
        <v>519</v>
      </c>
    </row>
    <row r="139" spans="1:2" x14ac:dyDescent="0.35">
      <c r="A139" s="49" t="s">
        <v>520</v>
      </c>
      <c r="B139" s="12" t="s">
        <v>521</v>
      </c>
    </row>
    <row r="140" spans="1:2" x14ac:dyDescent="0.35">
      <c r="A140" s="49" t="s">
        <v>522</v>
      </c>
      <c r="B140" s="12" t="s">
        <v>523</v>
      </c>
    </row>
    <row r="141" spans="1:2" x14ac:dyDescent="0.35">
      <c r="A141" s="49" t="s">
        <v>524</v>
      </c>
      <c r="B141" s="12" t="s">
        <v>525</v>
      </c>
    </row>
    <row r="142" spans="1:2" x14ac:dyDescent="0.35">
      <c r="A142" s="49" t="s">
        <v>526</v>
      </c>
      <c r="B142" s="12" t="s">
        <v>527</v>
      </c>
    </row>
    <row r="143" spans="1:2" x14ac:dyDescent="0.35">
      <c r="A143" s="49" t="s">
        <v>528</v>
      </c>
      <c r="B143" s="12" t="s">
        <v>529</v>
      </c>
    </row>
    <row r="144" spans="1:2" x14ac:dyDescent="0.35">
      <c r="A144" s="49" t="s">
        <v>530</v>
      </c>
      <c r="B144" s="12" t="s">
        <v>531</v>
      </c>
    </row>
    <row r="145" spans="1:2" x14ac:dyDescent="0.35">
      <c r="A145" s="49" t="s">
        <v>532</v>
      </c>
      <c r="B145" s="12" t="s">
        <v>533</v>
      </c>
    </row>
    <row r="146" spans="1:2" x14ac:dyDescent="0.35">
      <c r="A146" s="49" t="s">
        <v>534</v>
      </c>
      <c r="B146" s="12" t="s">
        <v>535</v>
      </c>
    </row>
    <row r="147" spans="1:2" x14ac:dyDescent="0.35">
      <c r="A147" s="49" t="s">
        <v>536</v>
      </c>
      <c r="B147" s="12" t="s">
        <v>537</v>
      </c>
    </row>
    <row r="148" spans="1:2" x14ac:dyDescent="0.35">
      <c r="A148" s="48" t="s">
        <v>538</v>
      </c>
      <c r="B148" s="12" t="s">
        <v>539</v>
      </c>
    </row>
    <row r="149" spans="1:2" x14ac:dyDescent="0.35">
      <c r="A149" s="48" t="s">
        <v>540</v>
      </c>
      <c r="B149" s="12" t="s">
        <v>541</v>
      </c>
    </row>
    <row r="150" spans="1:2" x14ac:dyDescent="0.35">
      <c r="A150" s="48" t="s">
        <v>542</v>
      </c>
      <c r="B150" s="12" t="s">
        <v>543</v>
      </c>
    </row>
    <row r="151" spans="1:2" x14ac:dyDescent="0.35">
      <c r="A151" s="49" t="s">
        <v>544</v>
      </c>
      <c r="B151" s="13" t="s">
        <v>545</v>
      </c>
    </row>
    <row r="152" spans="1:2" x14ac:dyDescent="0.35">
      <c r="A152" s="10" t="s">
        <v>546</v>
      </c>
      <c r="B152" s="10" t="s">
        <v>547</v>
      </c>
    </row>
    <row r="153" spans="1:2" x14ac:dyDescent="0.35">
      <c r="A153" s="10" t="s">
        <v>548</v>
      </c>
      <c r="B153" s="10" t="s">
        <v>549</v>
      </c>
    </row>
    <row r="154" spans="1:2" x14ac:dyDescent="0.35">
      <c r="A154" s="10" t="s">
        <v>550</v>
      </c>
      <c r="B154" s="10" t="s">
        <v>551</v>
      </c>
    </row>
    <row r="155" spans="1:2" x14ac:dyDescent="0.35">
      <c r="A155" s="10" t="s">
        <v>552</v>
      </c>
      <c r="B155" s="10" t="s">
        <v>553</v>
      </c>
    </row>
    <row r="156" spans="1:2" x14ac:dyDescent="0.35">
      <c r="A156" s="10" t="s">
        <v>554</v>
      </c>
      <c r="B156" s="10" t="s">
        <v>555</v>
      </c>
    </row>
    <row r="157" spans="1:2" x14ac:dyDescent="0.35">
      <c r="A157" s="10" t="s">
        <v>556</v>
      </c>
      <c r="B157" s="10" t="s">
        <v>557</v>
      </c>
    </row>
    <row r="158" spans="1:2" x14ac:dyDescent="0.35">
      <c r="A158" s="10" t="s">
        <v>558</v>
      </c>
      <c r="B158" s="10" t="s">
        <v>559</v>
      </c>
    </row>
    <row r="159" spans="1:2" x14ac:dyDescent="0.35">
      <c r="A159" s="10" t="s">
        <v>560</v>
      </c>
      <c r="B159" s="10" t="s">
        <v>561</v>
      </c>
    </row>
    <row r="160" spans="1:2" x14ac:dyDescent="0.35">
      <c r="A160" s="10" t="s">
        <v>562</v>
      </c>
      <c r="B160" s="10" t="s">
        <v>563</v>
      </c>
    </row>
    <row r="161" spans="1:2" x14ac:dyDescent="0.35">
      <c r="A161" s="10" t="s">
        <v>564</v>
      </c>
      <c r="B161" s="10" t="s">
        <v>565</v>
      </c>
    </row>
    <row r="162" spans="1:2" x14ac:dyDescent="0.35">
      <c r="A162" s="10" t="s">
        <v>566</v>
      </c>
      <c r="B162" s="10" t="s">
        <v>567</v>
      </c>
    </row>
    <row r="163" spans="1:2" x14ac:dyDescent="0.35">
      <c r="A163" s="10" t="s">
        <v>568</v>
      </c>
      <c r="B163" s="10" t="s">
        <v>569</v>
      </c>
    </row>
    <row r="164" spans="1:2" x14ac:dyDescent="0.35">
      <c r="A164" s="10" t="s">
        <v>570</v>
      </c>
      <c r="B164" s="10" t="s">
        <v>571</v>
      </c>
    </row>
    <row r="165" spans="1:2" x14ac:dyDescent="0.35">
      <c r="A165" s="10" t="s">
        <v>572</v>
      </c>
      <c r="B165" s="10" t="s">
        <v>573</v>
      </c>
    </row>
    <row r="166" spans="1:2" x14ac:dyDescent="0.35">
      <c r="A166" s="10" t="s">
        <v>574</v>
      </c>
      <c r="B166" s="10" t="s">
        <v>575</v>
      </c>
    </row>
    <row r="167" spans="1:2" x14ac:dyDescent="0.35">
      <c r="A167" s="49" t="s">
        <v>576</v>
      </c>
      <c r="B167" s="13" t="s">
        <v>577</v>
      </c>
    </row>
    <row r="168" spans="1:2" x14ac:dyDescent="0.35">
      <c r="A168" s="10" t="s">
        <v>578</v>
      </c>
      <c r="B168" s="10" t="s">
        <v>579</v>
      </c>
    </row>
    <row r="169" spans="1:2" x14ac:dyDescent="0.35">
      <c r="A169" s="10" t="s">
        <v>580</v>
      </c>
      <c r="B169" s="10" t="s">
        <v>581</v>
      </c>
    </row>
    <row r="170" spans="1:2" x14ac:dyDescent="0.35">
      <c r="A170" s="10" t="s">
        <v>582</v>
      </c>
      <c r="B170" s="10" t="s">
        <v>583</v>
      </c>
    </row>
    <row r="171" spans="1:2" x14ac:dyDescent="0.35">
      <c r="A171" s="10" t="s">
        <v>584</v>
      </c>
      <c r="B171" s="10" t="s">
        <v>555</v>
      </c>
    </row>
    <row r="172" spans="1:2" x14ac:dyDescent="0.35">
      <c r="A172" s="10" t="s">
        <v>585</v>
      </c>
      <c r="B172" s="10" t="s">
        <v>586</v>
      </c>
    </row>
    <row r="173" spans="1:2" x14ac:dyDescent="0.35">
      <c r="A173" s="10" t="s">
        <v>587</v>
      </c>
      <c r="B173" s="10" t="s">
        <v>588</v>
      </c>
    </row>
    <row r="174" spans="1:2" x14ac:dyDescent="0.35">
      <c r="A174" s="10" t="s">
        <v>589</v>
      </c>
      <c r="B174" s="10" t="s">
        <v>590</v>
      </c>
    </row>
    <row r="175" spans="1:2" x14ac:dyDescent="0.35">
      <c r="A175" s="10" t="s">
        <v>591</v>
      </c>
      <c r="B175" s="10" t="s">
        <v>592</v>
      </c>
    </row>
    <row r="176" spans="1:2" x14ac:dyDescent="0.35">
      <c r="A176" s="10" t="s">
        <v>593</v>
      </c>
      <c r="B176" s="10" t="s">
        <v>594</v>
      </c>
    </row>
    <row r="177" spans="1:2" x14ac:dyDescent="0.35">
      <c r="A177" s="10" t="s">
        <v>595</v>
      </c>
      <c r="B177" s="10" t="s">
        <v>596</v>
      </c>
    </row>
    <row r="178" spans="1:2" x14ac:dyDescent="0.35">
      <c r="A178" s="10" t="s">
        <v>597</v>
      </c>
      <c r="B178" s="10" t="s">
        <v>598</v>
      </c>
    </row>
    <row r="179" spans="1:2" x14ac:dyDescent="0.35">
      <c r="A179" s="10" t="s">
        <v>599</v>
      </c>
      <c r="B179" s="10" t="s">
        <v>600</v>
      </c>
    </row>
    <row r="180" spans="1:2" x14ac:dyDescent="0.35">
      <c r="A180" s="10" t="s">
        <v>601</v>
      </c>
      <c r="B180" s="10" t="s">
        <v>602</v>
      </c>
    </row>
    <row r="181" spans="1:2" x14ac:dyDescent="0.35">
      <c r="A181" s="10" t="s">
        <v>603</v>
      </c>
      <c r="B181" s="10" t="s">
        <v>604</v>
      </c>
    </row>
    <row r="182" spans="1:2" x14ac:dyDescent="0.35">
      <c r="A182" s="10" t="s">
        <v>605</v>
      </c>
      <c r="B182" s="10" t="s">
        <v>606</v>
      </c>
    </row>
    <row r="183" spans="1:2" x14ac:dyDescent="0.35">
      <c r="A183" s="10" t="s">
        <v>607</v>
      </c>
      <c r="B183" s="10" t="s">
        <v>608</v>
      </c>
    </row>
    <row r="184" spans="1:2" x14ac:dyDescent="0.35">
      <c r="A184" s="10" t="s">
        <v>609</v>
      </c>
      <c r="B184" s="10" t="s">
        <v>610</v>
      </c>
    </row>
    <row r="185" spans="1:2" x14ac:dyDescent="0.35">
      <c r="A185" s="10" t="s">
        <v>611</v>
      </c>
      <c r="B185" s="10" t="s">
        <v>612</v>
      </c>
    </row>
    <row r="186" spans="1:2" x14ac:dyDescent="0.35">
      <c r="A186" s="10" t="s">
        <v>613</v>
      </c>
      <c r="B186" s="10" t="s">
        <v>614</v>
      </c>
    </row>
    <row r="187" spans="1:2" x14ac:dyDescent="0.35">
      <c r="A187" s="10" t="s">
        <v>615</v>
      </c>
      <c r="B187" s="10" t="s">
        <v>616</v>
      </c>
    </row>
    <row r="188" spans="1:2" x14ac:dyDescent="0.35">
      <c r="A188" s="10" t="s">
        <v>617</v>
      </c>
      <c r="B188" s="10" t="s">
        <v>618</v>
      </c>
    </row>
    <row r="189" spans="1:2" x14ac:dyDescent="0.35">
      <c r="A189" s="10" t="s">
        <v>619</v>
      </c>
      <c r="B189" s="10" t="s">
        <v>620</v>
      </c>
    </row>
    <row r="190" spans="1:2" x14ac:dyDescent="0.35">
      <c r="A190" s="10" t="s">
        <v>621</v>
      </c>
      <c r="B190" s="10" t="s">
        <v>622</v>
      </c>
    </row>
    <row r="191" spans="1:2" x14ac:dyDescent="0.35">
      <c r="A191" s="10" t="s">
        <v>623</v>
      </c>
      <c r="B191" s="10" t="s">
        <v>624</v>
      </c>
    </row>
    <row r="192" spans="1:2" x14ac:dyDescent="0.35">
      <c r="A192" s="10" t="s">
        <v>625</v>
      </c>
      <c r="B192" s="10" t="s">
        <v>626</v>
      </c>
    </row>
    <row r="193" spans="1:2" x14ac:dyDescent="0.35">
      <c r="A193" s="10" t="s">
        <v>627</v>
      </c>
      <c r="B193" s="10" t="s">
        <v>628</v>
      </c>
    </row>
    <row r="194" spans="1:2" x14ac:dyDescent="0.35">
      <c r="A194" s="10" t="s">
        <v>629</v>
      </c>
      <c r="B194" s="10" t="s">
        <v>630</v>
      </c>
    </row>
    <row r="195" spans="1:2" x14ac:dyDescent="0.35">
      <c r="A195" s="10" t="s">
        <v>631</v>
      </c>
      <c r="B195" s="10" t="s">
        <v>632</v>
      </c>
    </row>
    <row r="196" spans="1:2" x14ac:dyDescent="0.35">
      <c r="A196" s="10" t="s">
        <v>633</v>
      </c>
      <c r="B196" s="10" t="s">
        <v>634</v>
      </c>
    </row>
    <row r="197" spans="1:2" x14ac:dyDescent="0.35">
      <c r="A197" s="10" t="s">
        <v>635</v>
      </c>
      <c r="B197" s="10" t="s">
        <v>636</v>
      </c>
    </row>
    <row r="198" spans="1:2" x14ac:dyDescent="0.35">
      <c r="A198" s="10" t="s">
        <v>637</v>
      </c>
      <c r="B198" s="10" t="s">
        <v>638</v>
      </c>
    </row>
    <row r="199" spans="1:2" x14ac:dyDescent="0.35">
      <c r="A199" s="10" t="s">
        <v>639</v>
      </c>
      <c r="B199" s="10" t="s">
        <v>640</v>
      </c>
    </row>
    <row r="200" spans="1:2" x14ac:dyDescent="0.35">
      <c r="A200" s="10" t="s">
        <v>641</v>
      </c>
      <c r="B200" s="10" t="s">
        <v>642</v>
      </c>
    </row>
    <row r="201" spans="1:2" x14ac:dyDescent="0.35">
      <c r="A201" s="50" t="s">
        <v>1720</v>
      </c>
      <c r="B201" s="14" t="s">
        <v>1721</v>
      </c>
    </row>
    <row r="202" spans="1:2" x14ac:dyDescent="0.35">
      <c r="A202" s="50" t="s">
        <v>1722</v>
      </c>
      <c r="B202" s="14" t="s">
        <v>1723</v>
      </c>
    </row>
    <row r="203" spans="1:2" x14ac:dyDescent="0.35">
      <c r="A203" s="50" t="s">
        <v>1724</v>
      </c>
      <c r="B203" s="14" t="s">
        <v>1725</v>
      </c>
    </row>
    <row r="204" spans="1:2" x14ac:dyDescent="0.35">
      <c r="A204" s="50" t="s">
        <v>1726</v>
      </c>
      <c r="B204" s="14" t="s">
        <v>1727</v>
      </c>
    </row>
    <row r="205" spans="1:2" x14ac:dyDescent="0.35">
      <c r="A205" s="10" t="s">
        <v>643</v>
      </c>
      <c r="B205" s="10" t="s">
        <v>644</v>
      </c>
    </row>
    <row r="206" spans="1:2" x14ac:dyDescent="0.35">
      <c r="A206" s="10" t="s">
        <v>645</v>
      </c>
      <c r="B206" s="10" t="s">
        <v>646</v>
      </c>
    </row>
    <row r="207" spans="1:2" x14ac:dyDescent="0.35">
      <c r="A207" s="50" t="s">
        <v>1728</v>
      </c>
      <c r="B207" s="14" t="s">
        <v>1729</v>
      </c>
    </row>
    <row r="208" spans="1:2" x14ac:dyDescent="0.35">
      <c r="A208" s="50" t="s">
        <v>1730</v>
      </c>
      <c r="B208" s="14" t="s">
        <v>1731</v>
      </c>
    </row>
    <row r="209" spans="1:2" x14ac:dyDescent="0.35">
      <c r="A209" s="50" t="s">
        <v>1732</v>
      </c>
      <c r="B209" s="14" t="s">
        <v>1733</v>
      </c>
    </row>
    <row r="210" spans="1:2" x14ac:dyDescent="0.35">
      <c r="A210" s="50" t="s">
        <v>1734</v>
      </c>
      <c r="B210" s="14" t="s">
        <v>1735</v>
      </c>
    </row>
    <row r="211" spans="1:2" x14ac:dyDescent="0.35">
      <c r="A211" s="10" t="s">
        <v>647</v>
      </c>
      <c r="B211" s="10" t="s">
        <v>648</v>
      </c>
    </row>
    <row r="212" spans="1:2" x14ac:dyDescent="0.35">
      <c r="A212" s="10" t="s">
        <v>649</v>
      </c>
      <c r="B212" s="10" t="s">
        <v>650</v>
      </c>
    </row>
    <row r="213" spans="1:2" x14ac:dyDescent="0.35">
      <c r="A213" s="10" t="s">
        <v>651</v>
      </c>
      <c r="B213" s="10" t="s">
        <v>652</v>
      </c>
    </row>
    <row r="214" spans="1:2" x14ac:dyDescent="0.35">
      <c r="A214" s="10" t="s">
        <v>653</v>
      </c>
      <c r="B214" s="10" t="s">
        <v>654</v>
      </c>
    </row>
    <row r="215" spans="1:2" x14ac:dyDescent="0.35">
      <c r="A215" s="10" t="s">
        <v>655</v>
      </c>
      <c r="B215" s="10" t="s">
        <v>656</v>
      </c>
    </row>
    <row r="216" spans="1:2" x14ac:dyDescent="0.35">
      <c r="A216" s="10" t="s">
        <v>657</v>
      </c>
      <c r="B216" s="10" t="s">
        <v>52</v>
      </c>
    </row>
    <row r="217" spans="1:2" x14ac:dyDescent="0.35">
      <c r="A217" s="50" t="s">
        <v>1736</v>
      </c>
      <c r="B217" s="14" t="s">
        <v>1737</v>
      </c>
    </row>
    <row r="218" spans="1:2" x14ac:dyDescent="0.35">
      <c r="A218" s="10" t="s">
        <v>658</v>
      </c>
      <c r="B218" s="10" t="s">
        <v>659</v>
      </c>
    </row>
    <row r="219" spans="1:2" x14ac:dyDescent="0.35">
      <c r="A219" s="10" t="s">
        <v>660</v>
      </c>
      <c r="B219" s="10" t="s">
        <v>661</v>
      </c>
    </row>
    <row r="220" spans="1:2" x14ac:dyDescent="0.35">
      <c r="A220" s="10" t="s">
        <v>662</v>
      </c>
      <c r="B220" s="10" t="s">
        <v>663</v>
      </c>
    </row>
    <row r="221" spans="1:2" x14ac:dyDescent="0.35">
      <c r="A221" s="10" t="s">
        <v>664</v>
      </c>
      <c r="B221" s="10" t="s">
        <v>665</v>
      </c>
    </row>
    <row r="222" spans="1:2" x14ac:dyDescent="0.35">
      <c r="A222" s="10" t="s">
        <v>666</v>
      </c>
      <c r="B222" s="10" t="s">
        <v>667</v>
      </c>
    </row>
    <row r="223" spans="1:2" x14ac:dyDescent="0.35">
      <c r="A223" s="10" t="s">
        <v>668</v>
      </c>
      <c r="B223" s="10" t="s">
        <v>669</v>
      </c>
    </row>
    <row r="224" spans="1:2" x14ac:dyDescent="0.35">
      <c r="A224" s="10" t="s">
        <v>670</v>
      </c>
      <c r="B224" s="10" t="s">
        <v>671</v>
      </c>
    </row>
    <row r="225" spans="1:2" x14ac:dyDescent="0.35">
      <c r="A225" s="10" t="s">
        <v>672</v>
      </c>
      <c r="B225" s="10" t="s">
        <v>673</v>
      </c>
    </row>
    <row r="226" spans="1:2" x14ac:dyDescent="0.35">
      <c r="A226" s="10" t="s">
        <v>674</v>
      </c>
      <c r="B226" s="10" t="s">
        <v>54</v>
      </c>
    </row>
    <row r="227" spans="1:2" x14ac:dyDescent="0.35">
      <c r="A227" s="10" t="s">
        <v>675</v>
      </c>
      <c r="B227" s="10" t="s">
        <v>676</v>
      </c>
    </row>
    <row r="228" spans="1:2" x14ac:dyDescent="0.35">
      <c r="A228" s="10" t="s">
        <v>677</v>
      </c>
      <c r="B228" s="10" t="s">
        <v>678</v>
      </c>
    </row>
    <row r="229" spans="1:2" x14ac:dyDescent="0.35">
      <c r="A229" s="50" t="s">
        <v>1563</v>
      </c>
      <c r="B229" s="14" t="s">
        <v>1564</v>
      </c>
    </row>
    <row r="230" spans="1:2" x14ac:dyDescent="0.35">
      <c r="A230" s="50" t="s">
        <v>1566</v>
      </c>
      <c r="B230" s="14" t="s">
        <v>1567</v>
      </c>
    </row>
    <row r="231" spans="1:2" x14ac:dyDescent="0.35">
      <c r="A231" s="50" t="s">
        <v>1569</v>
      </c>
      <c r="B231" s="14" t="s">
        <v>1570</v>
      </c>
    </row>
    <row r="232" spans="1:2" x14ac:dyDescent="0.35">
      <c r="A232" s="50" t="s">
        <v>1572</v>
      </c>
      <c r="B232" s="14" t="s">
        <v>1573</v>
      </c>
    </row>
    <row r="233" spans="1:2" x14ac:dyDescent="0.35">
      <c r="A233" s="50" t="s">
        <v>1575</v>
      </c>
      <c r="B233" s="14" t="s">
        <v>1576</v>
      </c>
    </row>
    <row r="234" spans="1:2" x14ac:dyDescent="0.35">
      <c r="A234" s="50" t="s">
        <v>1578</v>
      </c>
      <c r="B234" s="14" t="s">
        <v>1579</v>
      </c>
    </row>
    <row r="235" spans="1:2" x14ac:dyDescent="0.35">
      <c r="A235" s="50" t="s">
        <v>1581</v>
      </c>
      <c r="B235" s="14" t="s">
        <v>1582</v>
      </c>
    </row>
    <row r="236" spans="1:2" x14ac:dyDescent="0.35">
      <c r="A236" s="50" t="s">
        <v>1584</v>
      </c>
      <c r="B236" s="14" t="s">
        <v>1585</v>
      </c>
    </row>
    <row r="237" spans="1:2" x14ac:dyDescent="0.35">
      <c r="A237" s="50" t="s">
        <v>1587</v>
      </c>
      <c r="B237" s="14" t="s">
        <v>1588</v>
      </c>
    </row>
    <row r="238" spans="1:2" x14ac:dyDescent="0.35">
      <c r="A238" s="50" t="s">
        <v>1590</v>
      </c>
      <c r="B238" s="14" t="s">
        <v>1707</v>
      </c>
    </row>
    <row r="239" spans="1:2" x14ac:dyDescent="0.35">
      <c r="A239" s="50" t="s">
        <v>1591</v>
      </c>
      <c r="B239" s="14" t="s">
        <v>1592</v>
      </c>
    </row>
    <row r="240" spans="1:2" x14ac:dyDescent="0.35">
      <c r="A240" s="50" t="s">
        <v>1594</v>
      </c>
      <c r="B240" s="14" t="s">
        <v>1595</v>
      </c>
    </row>
    <row r="241" spans="1:2" x14ac:dyDescent="0.35">
      <c r="A241" s="50" t="s">
        <v>1597</v>
      </c>
      <c r="B241" s="14" t="s">
        <v>1598</v>
      </c>
    </row>
    <row r="242" spans="1:2" x14ac:dyDescent="0.35">
      <c r="A242" s="50" t="s">
        <v>1600</v>
      </c>
      <c r="B242" s="14" t="s">
        <v>1601</v>
      </c>
    </row>
    <row r="243" spans="1:2" x14ac:dyDescent="0.35">
      <c r="A243" s="50" t="s">
        <v>1603</v>
      </c>
      <c r="B243" s="14" t="s">
        <v>1604</v>
      </c>
    </row>
    <row r="244" spans="1:2" x14ac:dyDescent="0.35">
      <c r="A244" s="50" t="s">
        <v>1606</v>
      </c>
      <c r="B244" s="14" t="s">
        <v>1607</v>
      </c>
    </row>
    <row r="245" spans="1:2" x14ac:dyDescent="0.35">
      <c r="A245" s="50" t="s">
        <v>1609</v>
      </c>
      <c r="B245" s="14" t="s">
        <v>1709</v>
      </c>
    </row>
    <row r="246" spans="1:2" x14ac:dyDescent="0.35">
      <c r="A246" s="50" t="s">
        <v>1610</v>
      </c>
      <c r="B246" s="14" t="s">
        <v>1711</v>
      </c>
    </row>
    <row r="247" spans="1:2" x14ac:dyDescent="0.35">
      <c r="A247" s="50" t="s">
        <v>1611</v>
      </c>
      <c r="B247" s="14" t="s">
        <v>1612</v>
      </c>
    </row>
    <row r="248" spans="1:2" x14ac:dyDescent="0.35">
      <c r="A248" s="50" t="s">
        <v>1614</v>
      </c>
      <c r="B248" s="14" t="s">
        <v>1615</v>
      </c>
    </row>
    <row r="249" spans="1:2" x14ac:dyDescent="0.35">
      <c r="A249" s="50" t="s">
        <v>1617</v>
      </c>
      <c r="B249" s="14" t="s">
        <v>1618</v>
      </c>
    </row>
    <row r="250" spans="1:2" x14ac:dyDescent="0.35">
      <c r="A250" s="50" t="s">
        <v>1620</v>
      </c>
      <c r="B250" s="14" t="s">
        <v>1621</v>
      </c>
    </row>
    <row r="251" spans="1:2" x14ac:dyDescent="0.35">
      <c r="A251" s="50" t="s">
        <v>1623</v>
      </c>
      <c r="B251" s="14" t="s">
        <v>1624</v>
      </c>
    </row>
    <row r="252" spans="1:2" x14ac:dyDescent="0.35">
      <c r="A252" s="50" t="s">
        <v>1626</v>
      </c>
      <c r="B252" s="14" t="s">
        <v>1627</v>
      </c>
    </row>
    <row r="253" spans="1:2" x14ac:dyDescent="0.35">
      <c r="A253" s="50" t="s">
        <v>1629</v>
      </c>
      <c r="B253" s="14" t="s">
        <v>1630</v>
      </c>
    </row>
    <row r="254" spans="1:2" x14ac:dyDescent="0.35">
      <c r="A254" s="50" t="s">
        <v>1632</v>
      </c>
      <c r="B254" s="14" t="s">
        <v>1633</v>
      </c>
    </row>
    <row r="255" spans="1:2" x14ac:dyDescent="0.35">
      <c r="A255" s="50" t="s">
        <v>1635</v>
      </c>
      <c r="B255" s="14" t="s">
        <v>1636</v>
      </c>
    </row>
    <row r="256" spans="1:2" x14ac:dyDescent="0.35">
      <c r="A256" s="50" t="s">
        <v>1638</v>
      </c>
      <c r="B256" s="14" t="s">
        <v>1713</v>
      </c>
    </row>
    <row r="257" spans="1:2" x14ac:dyDescent="0.35">
      <c r="A257" s="50" t="s">
        <v>1639</v>
      </c>
      <c r="B257" s="14" t="s">
        <v>1640</v>
      </c>
    </row>
    <row r="258" spans="1:2" x14ac:dyDescent="0.35">
      <c r="A258" s="50" t="s">
        <v>1642</v>
      </c>
      <c r="B258" s="14" t="s">
        <v>1643</v>
      </c>
    </row>
    <row r="259" spans="1:2" x14ac:dyDescent="0.35">
      <c r="A259" s="50" t="s">
        <v>1645</v>
      </c>
      <c r="B259" s="14" t="s">
        <v>1646</v>
      </c>
    </row>
    <row r="260" spans="1:2" x14ac:dyDescent="0.35">
      <c r="A260" s="50" t="s">
        <v>1738</v>
      </c>
      <c r="B260" s="14" t="s">
        <v>1739</v>
      </c>
    </row>
    <row r="261" spans="1:2" x14ac:dyDescent="0.35">
      <c r="A261" s="50" t="s">
        <v>1740</v>
      </c>
      <c r="B261" s="14" t="s">
        <v>1741</v>
      </c>
    </row>
    <row r="262" spans="1:2" x14ac:dyDescent="0.35">
      <c r="A262" s="50" t="s">
        <v>1742</v>
      </c>
      <c r="B262" s="14" t="s">
        <v>1743</v>
      </c>
    </row>
    <row r="263" spans="1:2" x14ac:dyDescent="0.35">
      <c r="A263" s="50" t="s">
        <v>1744</v>
      </c>
      <c r="B263" s="14" t="s">
        <v>1745</v>
      </c>
    </row>
    <row r="264" spans="1:2" x14ac:dyDescent="0.35">
      <c r="A264" s="50" t="s">
        <v>1746</v>
      </c>
      <c r="B264" s="14" t="s">
        <v>1747</v>
      </c>
    </row>
    <row r="265" spans="1:2" x14ac:dyDescent="0.35">
      <c r="A265" s="50" t="s">
        <v>1748</v>
      </c>
      <c r="B265" s="14" t="s">
        <v>1749</v>
      </c>
    </row>
    <row r="266" spans="1:2" x14ac:dyDescent="0.35">
      <c r="A266" s="50" t="s">
        <v>1750</v>
      </c>
      <c r="B266" s="14" t="s">
        <v>1751</v>
      </c>
    </row>
    <row r="267" spans="1:2" x14ac:dyDescent="0.35">
      <c r="A267" s="50" t="s">
        <v>1752</v>
      </c>
      <c r="B267" s="14" t="s">
        <v>1753</v>
      </c>
    </row>
    <row r="268" spans="1:2" x14ac:dyDescent="0.35">
      <c r="A268" s="50" t="s">
        <v>1754</v>
      </c>
      <c r="B268" s="14" t="s">
        <v>1755</v>
      </c>
    </row>
    <row r="269" spans="1:2" x14ac:dyDescent="0.35">
      <c r="A269" s="50" t="s">
        <v>1756</v>
      </c>
      <c r="B269" s="14" t="s">
        <v>1757</v>
      </c>
    </row>
  </sheetData>
  <sortState ref="A5:B271">
    <sortCondition ref="A5"/>
  </sortState>
  <conditionalFormatting sqref="A195:B195 A188:B188 A190:B191 A168:B168 A171:B171 A175:B178 A173:B173 A157:B157 A139:B139">
    <cfRule type="expression" dxfId="81" priority="35">
      <formula>#REF!="Y"</formula>
    </cfRule>
  </conditionalFormatting>
  <conditionalFormatting sqref="A3:B12 B88:B109">
    <cfRule type="expression" dxfId="80" priority="34">
      <formula>$C3="Y"</formula>
    </cfRule>
  </conditionalFormatting>
  <conditionalFormatting sqref="A11:A12">
    <cfRule type="expression" dxfId="79" priority="33">
      <formula>$C11="Y"</formula>
    </cfRule>
  </conditionalFormatting>
  <conditionalFormatting sqref="A88:A109">
    <cfRule type="expression" dxfId="78" priority="32">
      <formula>$C88="Y"</formula>
    </cfRule>
  </conditionalFormatting>
  <conditionalFormatting sqref="A110:A127 A131:A138 A140:A144 B110:B138 B140:B150">
    <cfRule type="expression" dxfId="77" priority="31">
      <formula>$C109="Y"</formula>
    </cfRule>
  </conditionalFormatting>
  <conditionalFormatting sqref="A128:A130">
    <cfRule type="expression" dxfId="76" priority="30">
      <formula>$C127="Y"</formula>
    </cfRule>
  </conditionalFormatting>
  <conditionalFormatting sqref="A140:A148">
    <cfRule type="expression" dxfId="75" priority="29">
      <formula>$C139="Y"</formula>
    </cfRule>
  </conditionalFormatting>
  <conditionalFormatting sqref="A144:A145">
    <cfRule type="expression" dxfId="74" priority="28">
      <formula>$C143="Y"</formula>
    </cfRule>
  </conditionalFormatting>
  <conditionalFormatting sqref="A146:A150">
    <cfRule type="expression" dxfId="73" priority="27">
      <formula>$C145="Y"</formula>
    </cfRule>
  </conditionalFormatting>
  <conditionalFormatting sqref="A185:B186 A183:B183 A181:B181 A179:B179">
    <cfRule type="expression" dxfId="72" priority="26">
      <formula>#REF!="Y"</formula>
    </cfRule>
  </conditionalFormatting>
  <conditionalFormatting sqref="A212:B212">
    <cfRule type="expression" dxfId="71" priority="25">
      <formula>#REF!="Y"</formula>
    </cfRule>
  </conditionalFormatting>
  <conditionalFormatting sqref="B213 A3:B150">
    <cfRule type="expression" dxfId="70" priority="24">
      <formula>#REF!="Y"</formula>
    </cfRule>
  </conditionalFormatting>
  <conditionalFormatting sqref="A201:B219 A192:B199 A189:B189 A184:B184 A182:B182 A180:B180 A172:B172 A186:B186 A159:B167 A110:B138 A140:B157">
    <cfRule type="expression" dxfId="69" priority="23">
      <formula>#REF!="Y"</formula>
    </cfRule>
  </conditionalFormatting>
  <conditionalFormatting sqref="A200:B200 A170:B170 A158:B158">
    <cfRule type="expression" dxfId="68" priority="22">
      <formula>#REF!="Y"</formula>
    </cfRule>
  </conditionalFormatting>
  <conditionalFormatting sqref="A174:B174">
    <cfRule type="expression" dxfId="67" priority="21">
      <formula>#REF!="Y"</formula>
    </cfRule>
  </conditionalFormatting>
  <conditionalFormatting sqref="A209:B209">
    <cfRule type="expression" dxfId="66" priority="20">
      <formula>#REF!="Y"</formula>
    </cfRule>
  </conditionalFormatting>
  <conditionalFormatting sqref="A187:B187">
    <cfRule type="expression" dxfId="65" priority="19">
      <formula>#REF!="Y"</formula>
    </cfRule>
  </conditionalFormatting>
  <conditionalFormatting sqref="A169:B169">
    <cfRule type="expression" dxfId="64" priority="18">
      <formula>#REF!="Y"</formula>
    </cfRule>
  </conditionalFormatting>
  <conditionalFormatting sqref="A220:A250">
    <cfRule type="expression" dxfId="63" priority="17">
      <formula>#REF!="Y"</formula>
    </cfRule>
  </conditionalFormatting>
  <conditionalFormatting sqref="A220:A250">
    <cfRule type="expression" dxfId="62" priority="16">
      <formula>#REF!="Y"</formula>
    </cfRule>
  </conditionalFormatting>
  <conditionalFormatting sqref="B220:B244">
    <cfRule type="expression" dxfId="61" priority="15">
      <formula>#REF!="Y"</formula>
    </cfRule>
  </conditionalFormatting>
  <conditionalFormatting sqref="B220:B244">
    <cfRule type="expression" dxfId="60" priority="14">
      <formula>#REF!="Y"</formula>
    </cfRule>
  </conditionalFormatting>
  <conditionalFormatting sqref="B220:B250">
    <cfRule type="expression" dxfId="59" priority="13">
      <formula>#REF!="Y"</formula>
    </cfRule>
  </conditionalFormatting>
  <conditionalFormatting sqref="B220:B250">
    <cfRule type="expression" dxfId="58" priority="12">
      <formula>#REF!="Y"</formula>
    </cfRule>
  </conditionalFormatting>
  <conditionalFormatting sqref="A251:A269">
    <cfRule type="cellIs" dxfId="57" priority="6" operator="equal">
      <formula>"PRINTED"</formula>
    </cfRule>
    <cfRule type="cellIs" dxfId="56" priority="7" operator="equal">
      <formula>"SIGNED OFF"</formula>
    </cfRule>
    <cfRule type="cellIs" dxfId="55" priority="8" operator="equal">
      <formula>"DMcG"</formula>
    </cfRule>
    <cfRule type="cellIs" dxfId="54" priority="9" operator="equal">
      <formula>"AW"</formula>
    </cfRule>
    <cfRule type="cellIs" dxfId="53" priority="10" operator="equal">
      <formula>"RE"</formula>
    </cfRule>
    <cfRule type="cellIs" dxfId="52" priority="11" operator="equal">
      <formula>"HI"</formula>
    </cfRule>
  </conditionalFormatting>
  <conditionalFormatting sqref="A251:A269">
    <cfRule type="expression" dxfId="51" priority="5">
      <formula>#REF!="Y"</formula>
    </cfRule>
  </conditionalFormatting>
  <conditionalFormatting sqref="A251:A269">
    <cfRule type="expression" dxfId="50" priority="4">
      <formula>#REF!="Y"</formula>
    </cfRule>
  </conditionalFormatting>
  <conditionalFormatting sqref="A251:A269">
    <cfRule type="expression" dxfId="49" priority="3">
      <formula>#REF!="Y"</formula>
    </cfRule>
  </conditionalFormatting>
  <conditionalFormatting sqref="B251:B269">
    <cfRule type="expression" dxfId="48" priority="2">
      <formula>#REF!="Y"</formula>
    </cfRule>
  </conditionalFormatting>
  <conditionalFormatting sqref="B251:B269">
    <cfRule type="expression" dxfId="47" priority="1">
      <formula>#REF!="Y"</formula>
    </cfRule>
  </conditionalFormatting>
  <pageMargins left="0.23622047244094491" right="0.23622047244094491" top="0.74803149606299213" bottom="0.74803149606299213" header="0.31496062992125984" footer="0.31496062992125984"/>
  <pageSetup paperSize="9" scale="63" orientation="portrait" r:id="rId1"/>
  <headerFooter alignWithMargins="0">
    <oddHeader>&amp;A</oddHeader>
    <oddFooter>Page &amp;P of &amp;N</oddFooter>
  </headerFooter>
  <rowBreaks count="1" manualBreakCount="1">
    <brk id="69" max="16383"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146"/>
  <sheetViews>
    <sheetView zoomScaleNormal="100" workbookViewId="0">
      <pane ySplit="2" topLeftCell="A3" activePane="bottomLeft" state="frozen"/>
      <selection pane="bottomLeft"/>
    </sheetView>
  </sheetViews>
  <sheetFormatPr defaultColWidth="9.1796875" defaultRowHeight="15.5" x14ac:dyDescent="0.35"/>
  <cols>
    <col min="1" max="1" width="17.1796875" style="47" customWidth="1"/>
    <col min="2" max="2" width="101.1796875" style="5" bestFit="1" customWidth="1"/>
    <col min="3" max="16384" width="9.1796875" style="5"/>
  </cols>
  <sheetData>
    <row r="1" spans="1:8" ht="19" x14ac:dyDescent="0.4">
      <c r="A1" s="46" t="s">
        <v>679</v>
      </c>
      <c r="H1" s="4"/>
    </row>
    <row r="2" spans="1:8" ht="30" customHeight="1" x14ac:dyDescent="0.35">
      <c r="A2" s="43" t="s">
        <v>1916</v>
      </c>
      <c r="B2" s="16" t="s">
        <v>5</v>
      </c>
    </row>
    <row r="3" spans="1:8" x14ac:dyDescent="0.35">
      <c r="A3" s="39" t="s">
        <v>897</v>
      </c>
      <c r="B3" s="15" t="s">
        <v>898</v>
      </c>
    </row>
    <row r="4" spans="1:8" x14ac:dyDescent="0.35">
      <c r="A4" s="39" t="s">
        <v>899</v>
      </c>
      <c r="B4" s="15" t="s">
        <v>900</v>
      </c>
    </row>
    <row r="5" spans="1:8" x14ac:dyDescent="0.35">
      <c r="A5" s="39" t="s">
        <v>901</v>
      </c>
      <c r="B5" s="15" t="s">
        <v>256</v>
      </c>
    </row>
    <row r="6" spans="1:8" x14ac:dyDescent="0.35">
      <c r="A6" s="39" t="s">
        <v>902</v>
      </c>
      <c r="B6" s="15" t="s">
        <v>258</v>
      </c>
    </row>
    <row r="7" spans="1:8" x14ac:dyDescent="0.35">
      <c r="A7" s="39" t="s">
        <v>903</v>
      </c>
      <c r="B7" s="15" t="s">
        <v>904</v>
      </c>
    </row>
    <row r="8" spans="1:8" x14ac:dyDescent="0.35">
      <c r="A8" s="39" t="s">
        <v>905</v>
      </c>
      <c r="B8" s="15" t="s">
        <v>906</v>
      </c>
    </row>
    <row r="9" spans="1:8" x14ac:dyDescent="0.35">
      <c r="A9" s="39" t="s">
        <v>907</v>
      </c>
      <c r="B9" s="15" t="s">
        <v>908</v>
      </c>
    </row>
    <row r="10" spans="1:8" x14ac:dyDescent="0.35">
      <c r="A10" s="39" t="s">
        <v>909</v>
      </c>
      <c r="B10" s="15" t="s">
        <v>910</v>
      </c>
    </row>
    <row r="11" spans="1:8" x14ac:dyDescent="0.35">
      <c r="A11" s="39" t="s">
        <v>911</v>
      </c>
      <c r="B11" s="15" t="s">
        <v>912</v>
      </c>
    </row>
    <row r="12" spans="1:8" x14ac:dyDescent="0.35">
      <c r="A12" s="39" t="s">
        <v>913</v>
      </c>
      <c r="B12" s="15" t="s">
        <v>914</v>
      </c>
    </row>
    <row r="13" spans="1:8" x14ac:dyDescent="0.35">
      <c r="A13" s="39" t="s">
        <v>915</v>
      </c>
      <c r="B13" s="15" t="s">
        <v>916</v>
      </c>
    </row>
    <row r="14" spans="1:8" x14ac:dyDescent="0.35">
      <c r="A14" s="39" t="s">
        <v>917</v>
      </c>
      <c r="B14" s="15" t="s">
        <v>918</v>
      </c>
    </row>
    <row r="15" spans="1:8" x14ac:dyDescent="0.35">
      <c r="A15" s="39" t="s">
        <v>919</v>
      </c>
      <c r="B15" s="15" t="s">
        <v>920</v>
      </c>
    </row>
    <row r="16" spans="1:8" x14ac:dyDescent="0.35">
      <c r="A16" s="39" t="s">
        <v>921</v>
      </c>
      <c r="B16" s="15" t="s">
        <v>298</v>
      </c>
    </row>
    <row r="17" spans="1:2" x14ac:dyDescent="0.35">
      <c r="A17" s="39" t="s">
        <v>922</v>
      </c>
      <c r="B17" s="15" t="s">
        <v>300</v>
      </c>
    </row>
    <row r="18" spans="1:2" x14ac:dyDescent="0.35">
      <c r="A18" s="39" t="s">
        <v>923</v>
      </c>
      <c r="B18" s="15" t="s">
        <v>924</v>
      </c>
    </row>
    <row r="19" spans="1:2" x14ac:dyDescent="0.35">
      <c r="A19" s="39" t="s">
        <v>925</v>
      </c>
      <c r="B19" s="15" t="s">
        <v>926</v>
      </c>
    </row>
    <row r="20" spans="1:2" x14ac:dyDescent="0.35">
      <c r="A20" s="39" t="s">
        <v>927</v>
      </c>
      <c r="B20" s="15" t="s">
        <v>928</v>
      </c>
    </row>
    <row r="21" spans="1:2" x14ac:dyDescent="0.35">
      <c r="A21" s="39" t="s">
        <v>929</v>
      </c>
      <c r="B21" s="15" t="s">
        <v>930</v>
      </c>
    </row>
    <row r="22" spans="1:2" x14ac:dyDescent="0.35">
      <c r="A22" s="39" t="s">
        <v>931</v>
      </c>
      <c r="B22" s="15" t="s">
        <v>932</v>
      </c>
    </row>
    <row r="23" spans="1:2" x14ac:dyDescent="0.35">
      <c r="A23" s="39" t="s">
        <v>933</v>
      </c>
      <c r="B23" s="15" t="s">
        <v>934</v>
      </c>
    </row>
    <row r="24" spans="1:2" x14ac:dyDescent="0.35">
      <c r="A24" s="39" t="s">
        <v>935</v>
      </c>
      <c r="B24" s="15" t="s">
        <v>304</v>
      </c>
    </row>
    <row r="25" spans="1:2" x14ac:dyDescent="0.35">
      <c r="A25" s="39" t="s">
        <v>936</v>
      </c>
      <c r="B25" s="15" t="s">
        <v>306</v>
      </c>
    </row>
    <row r="26" spans="1:2" x14ac:dyDescent="0.35">
      <c r="A26" s="39" t="s">
        <v>937</v>
      </c>
      <c r="B26" s="15" t="s">
        <v>308</v>
      </c>
    </row>
    <row r="27" spans="1:2" x14ac:dyDescent="0.35">
      <c r="A27" s="39" t="s">
        <v>938</v>
      </c>
      <c r="B27" s="15" t="s">
        <v>310</v>
      </c>
    </row>
    <row r="28" spans="1:2" x14ac:dyDescent="0.35">
      <c r="A28" s="39" t="s">
        <v>939</v>
      </c>
      <c r="B28" s="15" t="s">
        <v>391</v>
      </c>
    </row>
    <row r="29" spans="1:2" x14ac:dyDescent="0.35">
      <c r="A29" s="39" t="s">
        <v>940</v>
      </c>
      <c r="B29" s="15" t="s">
        <v>399</v>
      </c>
    </row>
    <row r="30" spans="1:2" x14ac:dyDescent="0.35">
      <c r="A30" s="39" t="s">
        <v>941</v>
      </c>
      <c r="B30" s="15" t="s">
        <v>401</v>
      </c>
    </row>
    <row r="31" spans="1:2" x14ac:dyDescent="0.35">
      <c r="A31" s="39" t="s">
        <v>942</v>
      </c>
      <c r="B31" s="15" t="s">
        <v>943</v>
      </c>
    </row>
    <row r="32" spans="1:2" x14ac:dyDescent="0.35">
      <c r="A32" s="39" t="s">
        <v>944</v>
      </c>
      <c r="B32" s="15" t="s">
        <v>945</v>
      </c>
    </row>
    <row r="33" spans="1:2" x14ac:dyDescent="0.35">
      <c r="A33" s="39" t="s">
        <v>946</v>
      </c>
      <c r="B33" s="15" t="s">
        <v>947</v>
      </c>
    </row>
    <row r="34" spans="1:2" x14ac:dyDescent="0.35">
      <c r="A34" s="39" t="s">
        <v>948</v>
      </c>
      <c r="B34" s="15" t="s">
        <v>949</v>
      </c>
    </row>
    <row r="35" spans="1:2" x14ac:dyDescent="0.35">
      <c r="A35" s="39" t="s">
        <v>950</v>
      </c>
      <c r="B35" s="15" t="s">
        <v>951</v>
      </c>
    </row>
    <row r="36" spans="1:2" x14ac:dyDescent="0.35">
      <c r="A36" s="39" t="s">
        <v>952</v>
      </c>
      <c r="B36" s="15" t="s">
        <v>953</v>
      </c>
    </row>
    <row r="37" spans="1:2" x14ac:dyDescent="0.35">
      <c r="A37" s="39" t="s">
        <v>954</v>
      </c>
      <c r="B37" s="15" t="s">
        <v>393</v>
      </c>
    </row>
    <row r="38" spans="1:2" x14ac:dyDescent="0.35">
      <c r="A38" s="39" t="s">
        <v>955</v>
      </c>
      <c r="B38" s="15" t="s">
        <v>956</v>
      </c>
    </row>
    <row r="39" spans="1:2" x14ac:dyDescent="0.35">
      <c r="A39" s="39" t="s">
        <v>957</v>
      </c>
      <c r="B39" s="15" t="s">
        <v>958</v>
      </c>
    </row>
    <row r="40" spans="1:2" x14ac:dyDescent="0.35">
      <c r="A40" s="39" t="s">
        <v>959</v>
      </c>
      <c r="B40" s="15" t="s">
        <v>415</v>
      </c>
    </row>
    <row r="41" spans="1:2" x14ac:dyDescent="0.35">
      <c r="A41" s="39" t="s">
        <v>960</v>
      </c>
      <c r="B41" s="15" t="s">
        <v>417</v>
      </c>
    </row>
    <row r="42" spans="1:2" x14ac:dyDescent="0.35">
      <c r="A42" s="39" t="s">
        <v>961</v>
      </c>
      <c r="B42" s="15" t="s">
        <v>341</v>
      </c>
    </row>
    <row r="43" spans="1:2" x14ac:dyDescent="0.35">
      <c r="A43" s="39" t="s">
        <v>962</v>
      </c>
      <c r="B43" s="15" t="s">
        <v>963</v>
      </c>
    </row>
    <row r="44" spans="1:2" x14ac:dyDescent="0.35">
      <c r="A44" s="39" t="s">
        <v>964</v>
      </c>
      <c r="B44" s="15" t="s">
        <v>965</v>
      </c>
    </row>
    <row r="45" spans="1:2" x14ac:dyDescent="0.35">
      <c r="A45" s="39" t="s">
        <v>966</v>
      </c>
      <c r="B45" s="15" t="s">
        <v>967</v>
      </c>
    </row>
    <row r="46" spans="1:2" x14ac:dyDescent="0.35">
      <c r="A46" s="39" t="s">
        <v>968</v>
      </c>
      <c r="B46" s="15" t="s">
        <v>969</v>
      </c>
    </row>
    <row r="47" spans="1:2" x14ac:dyDescent="0.35">
      <c r="A47" s="39" t="s">
        <v>970</v>
      </c>
      <c r="B47" s="15" t="s">
        <v>971</v>
      </c>
    </row>
    <row r="48" spans="1:2" x14ac:dyDescent="0.35">
      <c r="A48" s="39" t="s">
        <v>972</v>
      </c>
      <c r="B48" s="15" t="s">
        <v>973</v>
      </c>
    </row>
    <row r="49" spans="1:2" x14ac:dyDescent="0.35">
      <c r="A49" s="39" t="s">
        <v>974</v>
      </c>
      <c r="B49" s="15" t="s">
        <v>473</v>
      </c>
    </row>
    <row r="50" spans="1:2" x14ac:dyDescent="0.35">
      <c r="A50" s="39" t="s">
        <v>975</v>
      </c>
      <c r="B50" s="15" t="s">
        <v>477</v>
      </c>
    </row>
    <row r="51" spans="1:2" x14ac:dyDescent="0.35">
      <c r="A51" s="39" t="s">
        <v>976</v>
      </c>
      <c r="B51" s="15" t="s">
        <v>977</v>
      </c>
    </row>
    <row r="52" spans="1:2" x14ac:dyDescent="0.35">
      <c r="A52" s="39" t="s">
        <v>978</v>
      </c>
      <c r="B52" s="15" t="s">
        <v>979</v>
      </c>
    </row>
    <row r="53" spans="1:2" x14ac:dyDescent="0.35">
      <c r="A53" s="39" t="s">
        <v>980</v>
      </c>
      <c r="B53" s="15" t="s">
        <v>981</v>
      </c>
    </row>
    <row r="54" spans="1:2" x14ac:dyDescent="0.35">
      <c r="A54" s="39" t="s">
        <v>982</v>
      </c>
      <c r="B54" s="15" t="s">
        <v>983</v>
      </c>
    </row>
    <row r="55" spans="1:2" x14ac:dyDescent="0.35">
      <c r="A55" s="39" t="s">
        <v>984</v>
      </c>
      <c r="B55" s="15" t="s">
        <v>459</v>
      </c>
    </row>
    <row r="56" spans="1:2" x14ac:dyDescent="0.35">
      <c r="A56" s="39" t="s">
        <v>985</v>
      </c>
      <c r="B56" s="15" t="s">
        <v>485</v>
      </c>
    </row>
    <row r="57" spans="1:2" x14ac:dyDescent="0.35">
      <c r="A57" s="39" t="s">
        <v>986</v>
      </c>
      <c r="B57" s="15" t="s">
        <v>987</v>
      </c>
    </row>
    <row r="58" spans="1:2" x14ac:dyDescent="0.35">
      <c r="A58" s="39" t="s">
        <v>988</v>
      </c>
      <c r="B58" s="15" t="s">
        <v>989</v>
      </c>
    </row>
    <row r="59" spans="1:2" x14ac:dyDescent="0.35">
      <c r="A59" s="39" t="s">
        <v>990</v>
      </c>
      <c r="B59" s="15" t="s">
        <v>991</v>
      </c>
    </row>
    <row r="60" spans="1:2" x14ac:dyDescent="0.35">
      <c r="A60" s="39" t="s">
        <v>992</v>
      </c>
      <c r="B60" s="15" t="s">
        <v>993</v>
      </c>
    </row>
    <row r="61" spans="1:2" x14ac:dyDescent="0.35">
      <c r="A61" s="39" t="s">
        <v>994</v>
      </c>
      <c r="B61" s="15" t="s">
        <v>995</v>
      </c>
    </row>
    <row r="62" spans="1:2" x14ac:dyDescent="0.35">
      <c r="A62" s="39" t="s">
        <v>996</v>
      </c>
      <c r="B62" s="15" t="s">
        <v>997</v>
      </c>
    </row>
    <row r="63" spans="1:2" x14ac:dyDescent="0.35">
      <c r="A63" s="39" t="s">
        <v>998</v>
      </c>
      <c r="B63" s="15" t="s">
        <v>999</v>
      </c>
    </row>
    <row r="64" spans="1:2" x14ac:dyDescent="0.35">
      <c r="A64" s="39" t="s">
        <v>1000</v>
      </c>
      <c r="B64" s="15" t="s">
        <v>1001</v>
      </c>
    </row>
    <row r="65" spans="1:2" x14ac:dyDescent="0.35">
      <c r="A65" s="39" t="s">
        <v>1002</v>
      </c>
      <c r="B65" s="15" t="s">
        <v>1003</v>
      </c>
    </row>
    <row r="66" spans="1:2" x14ac:dyDescent="0.35">
      <c r="A66" s="39" t="s">
        <v>1004</v>
      </c>
      <c r="B66" s="15" t="s">
        <v>1005</v>
      </c>
    </row>
    <row r="67" spans="1:2" x14ac:dyDescent="0.35">
      <c r="A67" s="39" t="s">
        <v>1006</v>
      </c>
      <c r="B67" s="15" t="s">
        <v>1007</v>
      </c>
    </row>
    <row r="68" spans="1:2" x14ac:dyDescent="0.35">
      <c r="A68" s="39" t="s">
        <v>1008</v>
      </c>
      <c r="B68" s="15" t="s">
        <v>1009</v>
      </c>
    </row>
    <row r="69" spans="1:2" x14ac:dyDescent="0.35">
      <c r="A69" s="39" t="s">
        <v>1010</v>
      </c>
      <c r="B69" s="15" t="s">
        <v>1011</v>
      </c>
    </row>
    <row r="70" spans="1:2" x14ac:dyDescent="0.35">
      <c r="A70" s="39" t="s">
        <v>1012</v>
      </c>
      <c r="B70" s="15" t="s">
        <v>1013</v>
      </c>
    </row>
    <row r="71" spans="1:2" x14ac:dyDescent="0.35">
      <c r="A71" s="39" t="s">
        <v>1014</v>
      </c>
      <c r="B71" s="15" t="s">
        <v>1015</v>
      </c>
    </row>
    <row r="72" spans="1:2" x14ac:dyDescent="0.35">
      <c r="A72" s="39" t="s">
        <v>1016</v>
      </c>
      <c r="B72" s="15" t="s">
        <v>1017</v>
      </c>
    </row>
    <row r="73" spans="1:2" x14ac:dyDescent="0.35">
      <c r="A73" s="39" t="s">
        <v>1018</v>
      </c>
      <c r="B73" s="15" t="s">
        <v>1019</v>
      </c>
    </row>
    <row r="74" spans="1:2" x14ac:dyDescent="0.35">
      <c r="A74" s="39" t="s">
        <v>1020</v>
      </c>
      <c r="B74" s="15" t="s">
        <v>1021</v>
      </c>
    </row>
    <row r="75" spans="1:2" x14ac:dyDescent="0.35">
      <c r="A75" s="39" t="s">
        <v>1022</v>
      </c>
      <c r="B75" s="15" t="s">
        <v>1023</v>
      </c>
    </row>
    <row r="76" spans="1:2" x14ac:dyDescent="0.35">
      <c r="A76" s="39" t="s">
        <v>1024</v>
      </c>
      <c r="B76" s="15" t="s">
        <v>1025</v>
      </c>
    </row>
    <row r="77" spans="1:2" x14ac:dyDescent="0.35">
      <c r="A77" s="39" t="s">
        <v>1026</v>
      </c>
      <c r="B77" s="15" t="s">
        <v>1256</v>
      </c>
    </row>
    <row r="78" spans="1:2" x14ac:dyDescent="0.35">
      <c r="A78" s="39" t="s">
        <v>1027</v>
      </c>
      <c r="B78" s="15" t="s">
        <v>1028</v>
      </c>
    </row>
    <row r="79" spans="1:2" x14ac:dyDescent="0.35">
      <c r="A79" s="39" t="s">
        <v>1029</v>
      </c>
      <c r="B79" s="15" t="s">
        <v>1030</v>
      </c>
    </row>
    <row r="80" spans="1:2" x14ac:dyDescent="0.35">
      <c r="A80" s="39" t="s">
        <v>1031</v>
      </c>
      <c r="B80" s="15" t="s">
        <v>1032</v>
      </c>
    </row>
    <row r="81" spans="1:2" x14ac:dyDescent="0.35">
      <c r="A81" s="39" t="s">
        <v>1033</v>
      </c>
      <c r="B81" s="15" t="s">
        <v>1034</v>
      </c>
    </row>
    <row r="82" spans="1:2" x14ac:dyDescent="0.35">
      <c r="A82" s="39" t="s">
        <v>1035</v>
      </c>
      <c r="B82" s="15" t="s">
        <v>1036</v>
      </c>
    </row>
    <row r="83" spans="1:2" x14ac:dyDescent="0.35">
      <c r="A83" s="39" t="s">
        <v>1037</v>
      </c>
      <c r="B83" s="15" t="s">
        <v>1038</v>
      </c>
    </row>
    <row r="84" spans="1:2" x14ac:dyDescent="0.35">
      <c r="A84" s="39" t="s">
        <v>1039</v>
      </c>
      <c r="B84" s="15" t="s">
        <v>1040</v>
      </c>
    </row>
    <row r="85" spans="1:2" x14ac:dyDescent="0.35">
      <c r="A85" s="10" t="s">
        <v>1041</v>
      </c>
      <c r="B85" s="10" t="s">
        <v>567</v>
      </c>
    </row>
    <row r="86" spans="1:2" x14ac:dyDescent="0.35">
      <c r="A86" s="10" t="s">
        <v>1042</v>
      </c>
      <c r="B86" s="10" t="s">
        <v>1043</v>
      </c>
    </row>
    <row r="87" spans="1:2" x14ac:dyDescent="0.35">
      <c r="A87" s="10" t="s">
        <v>1044</v>
      </c>
      <c r="B87" s="10" t="s">
        <v>1045</v>
      </c>
    </row>
    <row r="88" spans="1:2" x14ac:dyDescent="0.35">
      <c r="A88" s="39" t="s">
        <v>1046</v>
      </c>
      <c r="B88" s="15" t="s">
        <v>1043</v>
      </c>
    </row>
    <row r="89" spans="1:2" x14ac:dyDescent="0.35">
      <c r="A89" s="39" t="s">
        <v>1047</v>
      </c>
      <c r="B89" s="15" t="s">
        <v>1048</v>
      </c>
    </row>
    <row r="90" spans="1:2" x14ac:dyDescent="0.35">
      <c r="A90" s="10" t="s">
        <v>1049</v>
      </c>
      <c r="B90" s="10" t="s">
        <v>1050</v>
      </c>
    </row>
    <row r="91" spans="1:2" x14ac:dyDescent="0.35">
      <c r="A91" s="10" t="s">
        <v>1051</v>
      </c>
      <c r="B91" s="10" t="s">
        <v>1052</v>
      </c>
    </row>
    <row r="92" spans="1:2" x14ac:dyDescent="0.35">
      <c r="A92" s="10" t="s">
        <v>1053</v>
      </c>
      <c r="B92" s="10" t="s">
        <v>1054</v>
      </c>
    </row>
    <row r="93" spans="1:2" x14ac:dyDescent="0.35">
      <c r="A93" s="10" t="s">
        <v>1055</v>
      </c>
      <c r="B93" s="10" t="s">
        <v>1056</v>
      </c>
    </row>
    <row r="94" spans="1:2" x14ac:dyDescent="0.35">
      <c r="A94" s="10" t="s">
        <v>1057</v>
      </c>
      <c r="B94" s="10" t="s">
        <v>1058</v>
      </c>
    </row>
    <row r="95" spans="1:2" x14ac:dyDescent="0.35">
      <c r="A95" s="10" t="s">
        <v>1059</v>
      </c>
      <c r="B95" s="10" t="s">
        <v>606</v>
      </c>
    </row>
    <row r="96" spans="1:2" x14ac:dyDescent="0.35">
      <c r="A96" s="10" t="s">
        <v>1060</v>
      </c>
      <c r="B96" s="10" t="s">
        <v>1061</v>
      </c>
    </row>
    <row r="97" spans="1:2" x14ac:dyDescent="0.35">
      <c r="A97" s="10" t="s">
        <v>1062</v>
      </c>
      <c r="B97" s="10" t="s">
        <v>1063</v>
      </c>
    </row>
    <row r="98" spans="1:2" x14ac:dyDescent="0.35">
      <c r="A98" s="10" t="s">
        <v>1064</v>
      </c>
      <c r="B98" s="10" t="s">
        <v>1065</v>
      </c>
    </row>
    <row r="99" spans="1:2" x14ac:dyDescent="0.35">
      <c r="A99" s="10" t="s">
        <v>1066</v>
      </c>
      <c r="B99" s="10" t="s">
        <v>1067</v>
      </c>
    </row>
    <row r="100" spans="1:2" x14ac:dyDescent="0.35">
      <c r="A100" s="39" t="s">
        <v>1068</v>
      </c>
      <c r="B100" s="15" t="s">
        <v>1069</v>
      </c>
    </row>
    <row r="101" spans="1:2" x14ac:dyDescent="0.35">
      <c r="A101" s="39" t="s">
        <v>1070</v>
      </c>
      <c r="B101" s="15" t="s">
        <v>1071</v>
      </c>
    </row>
    <row r="102" spans="1:2" x14ac:dyDescent="0.35">
      <c r="A102" s="10" t="s">
        <v>1072</v>
      </c>
      <c r="B102" s="10" t="s">
        <v>1073</v>
      </c>
    </row>
    <row r="103" spans="1:2" x14ac:dyDescent="0.35">
      <c r="A103" s="39" t="s">
        <v>1074</v>
      </c>
      <c r="B103" s="15" t="s">
        <v>1075</v>
      </c>
    </row>
    <row r="104" spans="1:2" x14ac:dyDescent="0.35">
      <c r="A104" s="10" t="s">
        <v>1076</v>
      </c>
      <c r="B104" s="10" t="s">
        <v>642</v>
      </c>
    </row>
    <row r="105" spans="1:2" x14ac:dyDescent="0.35">
      <c r="A105" s="10" t="s">
        <v>1077</v>
      </c>
      <c r="B105" s="10" t="s">
        <v>1078</v>
      </c>
    </row>
    <row r="106" spans="1:2" x14ac:dyDescent="0.35">
      <c r="A106" s="10" t="s">
        <v>1079</v>
      </c>
      <c r="B106" s="10" t="s">
        <v>1080</v>
      </c>
    </row>
    <row r="107" spans="1:2" x14ac:dyDescent="0.35">
      <c r="A107" s="10" t="s">
        <v>1081</v>
      </c>
      <c r="B107" s="10" t="s">
        <v>1082</v>
      </c>
    </row>
    <row r="108" spans="1:2" x14ac:dyDescent="0.35">
      <c r="A108" s="10" t="s">
        <v>1083</v>
      </c>
      <c r="B108" s="10" t="s">
        <v>1084</v>
      </c>
    </row>
    <row r="109" spans="1:2" x14ac:dyDescent="0.35">
      <c r="A109" s="10" t="s">
        <v>1085</v>
      </c>
      <c r="B109" s="10" t="s">
        <v>1086</v>
      </c>
    </row>
    <row r="110" spans="1:2" x14ac:dyDescent="0.35">
      <c r="A110" s="39" t="s">
        <v>1087</v>
      </c>
      <c r="B110" s="15" t="s">
        <v>1088</v>
      </c>
    </row>
    <row r="111" spans="1:2" x14ac:dyDescent="0.35">
      <c r="A111" s="39" t="s">
        <v>1089</v>
      </c>
      <c r="B111" s="15" t="s">
        <v>1090</v>
      </c>
    </row>
    <row r="112" spans="1:2" x14ac:dyDescent="0.35">
      <c r="A112" s="39" t="s">
        <v>1091</v>
      </c>
      <c r="B112" s="15" t="s">
        <v>1092</v>
      </c>
    </row>
    <row r="113" spans="1:2" x14ac:dyDescent="0.35">
      <c r="A113" s="39" t="s">
        <v>1093</v>
      </c>
      <c r="B113" s="15" t="s">
        <v>1094</v>
      </c>
    </row>
    <row r="114" spans="1:2" x14ac:dyDescent="0.35">
      <c r="A114" s="39" t="s">
        <v>1095</v>
      </c>
      <c r="B114" s="15" t="s">
        <v>1096</v>
      </c>
    </row>
    <row r="115" spans="1:2" x14ac:dyDescent="0.35">
      <c r="A115" s="39" t="s">
        <v>1097</v>
      </c>
      <c r="B115" s="15" t="s">
        <v>1098</v>
      </c>
    </row>
    <row r="116" spans="1:2" x14ac:dyDescent="0.35">
      <c r="A116" s="39" t="s">
        <v>1099</v>
      </c>
      <c r="B116" s="15" t="s">
        <v>1100</v>
      </c>
    </row>
    <row r="117" spans="1:2" x14ac:dyDescent="0.35">
      <c r="A117" s="39" t="s">
        <v>1758</v>
      </c>
      <c r="B117" s="15" t="s">
        <v>1721</v>
      </c>
    </row>
    <row r="118" spans="1:2" x14ac:dyDescent="0.35">
      <c r="A118" s="39" t="s">
        <v>1759</v>
      </c>
      <c r="B118" s="15" t="s">
        <v>1723</v>
      </c>
    </row>
    <row r="119" spans="1:2" x14ac:dyDescent="0.35">
      <c r="A119" s="10" t="s">
        <v>1101</v>
      </c>
      <c r="B119" s="10" t="s">
        <v>648</v>
      </c>
    </row>
    <row r="120" spans="1:2" x14ac:dyDescent="0.35">
      <c r="A120" s="39" t="s">
        <v>1102</v>
      </c>
      <c r="B120" s="15" t="s">
        <v>1103</v>
      </c>
    </row>
    <row r="121" spans="1:2" x14ac:dyDescent="0.35">
      <c r="A121" s="39" t="s">
        <v>1104</v>
      </c>
      <c r="B121" s="15" t="s">
        <v>1105</v>
      </c>
    </row>
    <row r="122" spans="1:2" x14ac:dyDescent="0.35">
      <c r="A122" s="10" t="s">
        <v>1106</v>
      </c>
      <c r="B122" s="10" t="s">
        <v>52</v>
      </c>
    </row>
    <row r="123" spans="1:2" x14ac:dyDescent="0.35">
      <c r="A123" s="39" t="s">
        <v>1107</v>
      </c>
      <c r="B123" s="15" t="s">
        <v>1108</v>
      </c>
    </row>
    <row r="124" spans="1:2" x14ac:dyDescent="0.35">
      <c r="A124" s="39" t="s">
        <v>1109</v>
      </c>
      <c r="B124" s="15" t="s">
        <v>1110</v>
      </c>
    </row>
    <row r="125" spans="1:2" x14ac:dyDescent="0.35">
      <c r="A125" s="39" t="s">
        <v>1111</v>
      </c>
      <c r="B125" s="15" t="s">
        <v>665</v>
      </c>
    </row>
    <row r="126" spans="1:2" x14ac:dyDescent="0.35">
      <c r="A126" s="39" t="s">
        <v>1112</v>
      </c>
      <c r="B126" s="15" t="s">
        <v>1113</v>
      </c>
    </row>
    <row r="127" spans="1:2" x14ac:dyDescent="0.35">
      <c r="A127" s="39" t="s">
        <v>1114</v>
      </c>
      <c r="B127" s="15" t="s">
        <v>1115</v>
      </c>
    </row>
    <row r="128" spans="1:2" x14ac:dyDescent="0.35">
      <c r="A128" s="39" t="s">
        <v>1116</v>
      </c>
      <c r="B128" s="15" t="s">
        <v>678</v>
      </c>
    </row>
    <row r="129" spans="1:2" x14ac:dyDescent="0.35">
      <c r="A129" s="39" t="s">
        <v>1117</v>
      </c>
      <c r="B129" s="15" t="s">
        <v>669</v>
      </c>
    </row>
    <row r="130" spans="1:2" x14ac:dyDescent="0.35">
      <c r="A130" s="39" t="s">
        <v>1118</v>
      </c>
      <c r="B130" s="15" t="s">
        <v>1119</v>
      </c>
    </row>
    <row r="131" spans="1:2" x14ac:dyDescent="0.35">
      <c r="A131" s="39" t="s">
        <v>1648</v>
      </c>
      <c r="B131" s="15" t="s">
        <v>1649</v>
      </c>
    </row>
    <row r="132" spans="1:2" x14ac:dyDescent="0.35">
      <c r="A132" s="39" t="s">
        <v>1651</v>
      </c>
      <c r="B132" s="15" t="s">
        <v>1652</v>
      </c>
    </row>
    <row r="133" spans="1:2" x14ac:dyDescent="0.35">
      <c r="A133" s="39" t="s">
        <v>1654</v>
      </c>
      <c r="B133" s="15" t="s">
        <v>1655</v>
      </c>
    </row>
    <row r="134" spans="1:2" x14ac:dyDescent="0.35">
      <c r="A134" s="39" t="s">
        <v>1657</v>
      </c>
      <c r="B134" s="15" t="s">
        <v>1658</v>
      </c>
    </row>
    <row r="135" spans="1:2" x14ac:dyDescent="0.35">
      <c r="A135" s="39" t="s">
        <v>1660</v>
      </c>
      <c r="B135" s="15" t="s">
        <v>1604</v>
      </c>
    </row>
    <row r="136" spans="1:2" x14ac:dyDescent="0.35">
      <c r="A136" s="39" t="s">
        <v>1661</v>
      </c>
      <c r="B136" s="15" t="s">
        <v>1607</v>
      </c>
    </row>
    <row r="137" spans="1:2" x14ac:dyDescent="0.35">
      <c r="A137" s="39" t="s">
        <v>1662</v>
      </c>
      <c r="B137" s="15" t="s">
        <v>1663</v>
      </c>
    </row>
    <row r="138" spans="1:2" x14ac:dyDescent="0.35">
      <c r="A138" s="39" t="s">
        <v>1665</v>
      </c>
      <c r="B138" s="15" t="s">
        <v>1666</v>
      </c>
    </row>
    <row r="139" spans="1:2" x14ac:dyDescent="0.35">
      <c r="A139" s="39" t="s">
        <v>1668</v>
      </c>
      <c r="B139" s="15" t="s">
        <v>1669</v>
      </c>
    </row>
    <row r="140" spans="1:2" x14ac:dyDescent="0.35">
      <c r="A140" s="39" t="s">
        <v>1671</v>
      </c>
      <c r="B140" s="15" t="s">
        <v>1672</v>
      </c>
    </row>
    <row r="141" spans="1:2" x14ac:dyDescent="0.35">
      <c r="A141" s="39" t="s">
        <v>1674</v>
      </c>
      <c r="B141" s="15" t="s">
        <v>1627</v>
      </c>
    </row>
    <row r="142" spans="1:2" x14ac:dyDescent="0.35">
      <c r="A142" s="39" t="s">
        <v>1675</v>
      </c>
      <c r="B142" s="15" t="s">
        <v>1676</v>
      </c>
    </row>
    <row r="143" spans="1:2" x14ac:dyDescent="0.35">
      <c r="A143" s="39" t="s">
        <v>1678</v>
      </c>
      <c r="B143" s="15" t="s">
        <v>1679</v>
      </c>
    </row>
    <row r="144" spans="1:2" x14ac:dyDescent="0.35">
      <c r="A144" s="39" t="s">
        <v>1681</v>
      </c>
      <c r="B144" s="15" t="s">
        <v>1682</v>
      </c>
    </row>
    <row r="145" spans="1:2" x14ac:dyDescent="0.35">
      <c r="A145" s="39" t="s">
        <v>1684</v>
      </c>
      <c r="B145" s="15" t="s">
        <v>1685</v>
      </c>
    </row>
    <row r="146" spans="1:2" x14ac:dyDescent="0.35">
      <c r="A146" s="39" t="s">
        <v>1687</v>
      </c>
      <c r="B146" s="15" t="s">
        <v>1643</v>
      </c>
    </row>
  </sheetData>
  <sortState ref="A5:B148">
    <sortCondition ref="A5"/>
  </sortState>
  <conditionalFormatting sqref="A3:B144">
    <cfRule type="expression" dxfId="44" priority="27">
      <formula>#REF!="Y"</formula>
    </cfRule>
  </conditionalFormatting>
  <conditionalFormatting sqref="A110:B116 A118:B119 A103:B103 A88:B89 A100:B101 A3:B84 A121:B144">
    <cfRule type="cellIs" dxfId="43" priority="21" operator="equal">
      <formula>"PRINTED"</formula>
    </cfRule>
    <cfRule type="cellIs" dxfId="42" priority="22" operator="equal">
      <formula>"SIGNED OFF"</formula>
    </cfRule>
    <cfRule type="cellIs" dxfId="41" priority="23" operator="equal">
      <formula>"DMcG"</formula>
    </cfRule>
    <cfRule type="cellIs" dxfId="40" priority="24" operator="equal">
      <formula>"AW"</formula>
    </cfRule>
    <cfRule type="cellIs" dxfId="39" priority="25" operator="equal">
      <formula>"RE"</formula>
    </cfRule>
    <cfRule type="cellIs" dxfId="38" priority="26" operator="equal">
      <formula>"HI"</formula>
    </cfRule>
  </conditionalFormatting>
  <conditionalFormatting sqref="A8:B84 A110:B116 A118:B119 A103:B103 A88:B89 A100:B101 A121:B144">
    <cfRule type="expression" dxfId="37" priority="20">
      <formula>#REF!="Y"</formula>
    </cfRule>
  </conditionalFormatting>
  <conditionalFormatting sqref="A129:B144">
    <cfRule type="expression" dxfId="36" priority="19">
      <formula>#REF!="Y"</formula>
    </cfRule>
  </conditionalFormatting>
  <conditionalFormatting sqref="A129:B144">
    <cfRule type="expression" dxfId="35" priority="18">
      <formula>#REF!="Y"</formula>
    </cfRule>
  </conditionalFormatting>
  <conditionalFormatting sqref="A145:A146">
    <cfRule type="cellIs" dxfId="34" priority="12" operator="equal">
      <formula>"PRINTED"</formula>
    </cfRule>
    <cfRule type="cellIs" dxfId="33" priority="13" operator="equal">
      <formula>"SIGNED OFF"</formula>
    </cfRule>
    <cfRule type="cellIs" dxfId="32" priority="14" operator="equal">
      <formula>"DMcG"</formula>
    </cfRule>
    <cfRule type="cellIs" dxfId="31" priority="15" operator="equal">
      <formula>"AW"</formula>
    </cfRule>
    <cfRule type="cellIs" dxfId="30" priority="16" operator="equal">
      <formula>"RE"</formula>
    </cfRule>
    <cfRule type="cellIs" dxfId="29" priority="17" operator="equal">
      <formula>"HI"</formula>
    </cfRule>
  </conditionalFormatting>
  <conditionalFormatting sqref="A145:A146">
    <cfRule type="expression" dxfId="28" priority="11">
      <formula>#REF!="Y"</formula>
    </cfRule>
  </conditionalFormatting>
  <conditionalFormatting sqref="A145:B146">
    <cfRule type="expression" dxfId="27" priority="10">
      <formula>#REF!="Y"</formula>
    </cfRule>
  </conditionalFormatting>
  <conditionalFormatting sqref="A145:B146">
    <cfRule type="cellIs" dxfId="26" priority="4" operator="equal">
      <formula>"PRINTED"</formula>
    </cfRule>
    <cfRule type="cellIs" dxfId="25" priority="5" operator="equal">
      <formula>"SIGNED OFF"</formula>
    </cfRule>
    <cfRule type="cellIs" dxfId="24" priority="6" operator="equal">
      <formula>"DMcG"</formula>
    </cfRule>
    <cfRule type="cellIs" dxfId="23" priority="7" operator="equal">
      <formula>"AW"</formula>
    </cfRule>
    <cfRule type="cellIs" dxfId="22" priority="8" operator="equal">
      <formula>"RE"</formula>
    </cfRule>
    <cfRule type="cellIs" dxfId="21" priority="9" operator="equal">
      <formula>"HI"</formula>
    </cfRule>
  </conditionalFormatting>
  <conditionalFormatting sqref="A145:B146">
    <cfRule type="expression" dxfId="20" priority="3">
      <formula>#REF!="Y"</formula>
    </cfRule>
  </conditionalFormatting>
  <conditionalFormatting sqref="A145:B146">
    <cfRule type="expression" dxfId="19" priority="2">
      <formula>#REF!="Y"</formula>
    </cfRule>
  </conditionalFormatting>
  <conditionalFormatting sqref="A145:B146">
    <cfRule type="expression" dxfId="18" priority="1">
      <formula>#REF!="Y"</formula>
    </cfRule>
  </conditionalFormatting>
  <pageMargins left="0.23622047244094491" right="0.23622047244094491" top="0.74803149606299213" bottom="0.74803149606299213" header="0.31496062992125984" footer="0.31496062992125984"/>
  <pageSetup paperSize="9" scale="76" orientation="portrait" r:id="rId1"/>
  <headerFooter alignWithMargins="0">
    <oddHeader>&amp;CLocal Characteristics</oddHeader>
    <oddFooter>&amp;C&amp;P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zoomScaleNormal="100" workbookViewId="0">
      <pane ySplit="1" topLeftCell="A2" activePane="bottomLeft" state="frozen"/>
      <selection pane="bottomLeft"/>
    </sheetView>
  </sheetViews>
  <sheetFormatPr defaultColWidth="9.1796875" defaultRowHeight="15.5" x14ac:dyDescent="0.35"/>
  <cols>
    <col min="1" max="1" width="53.81640625" style="42" bestFit="1" customWidth="1"/>
    <col min="2" max="16384" width="9.1796875" style="5"/>
  </cols>
  <sheetData>
    <row r="1" spans="1:1" ht="19" x14ac:dyDescent="0.4">
      <c r="A1" s="46" t="s">
        <v>895</v>
      </c>
    </row>
    <row r="2" spans="1:1" s="52" customFormat="1" ht="30" customHeight="1" x14ac:dyDescent="0.25">
      <c r="A2" s="51" t="s">
        <v>5</v>
      </c>
    </row>
    <row r="3" spans="1:1" x14ac:dyDescent="0.35">
      <c r="A3" s="42" t="s">
        <v>894</v>
      </c>
    </row>
  </sheetData>
  <pageMargins left="0.23622047244094491" right="0.23622047244094491" top="0.74803149606299213" bottom="0.74803149606299213" header="0.31496062992125984" footer="0.31496062992125984"/>
  <pageSetup paperSize="9" orientation="portrait" r:id="rId1"/>
  <headerFooter>
    <oddHeader>&amp;A</oddHeader>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80"/>
  <sheetViews>
    <sheetView zoomScaleNormal="100" workbookViewId="0">
      <pane ySplit="2" topLeftCell="A3" activePane="bottomLeft" state="frozen"/>
      <selection pane="bottomLeft"/>
    </sheetView>
  </sheetViews>
  <sheetFormatPr defaultColWidth="9.1796875" defaultRowHeight="15.5" x14ac:dyDescent="0.35"/>
  <cols>
    <col min="1" max="1" width="17.1796875" style="42" customWidth="1"/>
    <col min="2" max="2" width="87.1796875" style="5" bestFit="1" customWidth="1"/>
    <col min="3" max="16384" width="9.1796875" style="5"/>
  </cols>
  <sheetData>
    <row r="1" spans="1:2" ht="19" x14ac:dyDescent="0.4">
      <c r="A1" s="46" t="s">
        <v>1706</v>
      </c>
    </row>
    <row r="2" spans="1:2" ht="30" customHeight="1" x14ac:dyDescent="0.35">
      <c r="A2" s="43" t="s">
        <v>1916</v>
      </c>
      <c r="B2" s="16" t="s">
        <v>5</v>
      </c>
    </row>
    <row r="3" spans="1:2" x14ac:dyDescent="0.35">
      <c r="A3" s="39" t="s">
        <v>1257</v>
      </c>
      <c r="B3" s="15" t="s">
        <v>1258</v>
      </c>
    </row>
    <row r="4" spans="1:2" x14ac:dyDescent="0.35">
      <c r="A4" s="39" t="s">
        <v>1259</v>
      </c>
      <c r="B4" s="15" t="s">
        <v>1260</v>
      </c>
    </row>
    <row r="5" spans="1:2" x14ac:dyDescent="0.35">
      <c r="A5" s="39" t="s">
        <v>1261</v>
      </c>
      <c r="B5" s="15" t="s">
        <v>1262</v>
      </c>
    </row>
    <row r="6" spans="1:2" x14ac:dyDescent="0.35">
      <c r="A6" s="39" t="s">
        <v>1263</v>
      </c>
      <c r="B6" s="15" t="s">
        <v>1264</v>
      </c>
    </row>
    <row r="7" spans="1:2" x14ac:dyDescent="0.35">
      <c r="A7" s="39" t="s">
        <v>1265</v>
      </c>
      <c r="B7" s="15" t="s">
        <v>1266</v>
      </c>
    </row>
    <row r="8" spans="1:2" x14ac:dyDescent="0.35">
      <c r="A8" s="39" t="s">
        <v>1267</v>
      </c>
      <c r="B8" s="15" t="s">
        <v>1268</v>
      </c>
    </row>
    <row r="9" spans="1:2" x14ac:dyDescent="0.35">
      <c r="A9" s="39" t="s">
        <v>1269</v>
      </c>
      <c r="B9" s="15" t="s">
        <v>1270</v>
      </c>
    </row>
    <row r="10" spans="1:2" x14ac:dyDescent="0.35">
      <c r="A10" s="39" t="s">
        <v>1271</v>
      </c>
      <c r="B10" s="15" t="s">
        <v>1272</v>
      </c>
    </row>
    <row r="11" spans="1:2" x14ac:dyDescent="0.35">
      <c r="A11" s="39" t="s">
        <v>1273</v>
      </c>
      <c r="B11" s="15" t="s">
        <v>1274</v>
      </c>
    </row>
    <row r="12" spans="1:2" x14ac:dyDescent="0.35">
      <c r="A12" s="39" t="s">
        <v>1275</v>
      </c>
      <c r="B12" s="15" t="s">
        <v>1276</v>
      </c>
    </row>
    <row r="13" spans="1:2" x14ac:dyDescent="0.35">
      <c r="A13" s="39" t="s">
        <v>1277</v>
      </c>
      <c r="B13" s="15" t="s">
        <v>1278</v>
      </c>
    </row>
    <row r="14" spans="1:2" x14ac:dyDescent="0.35">
      <c r="A14" s="39" t="s">
        <v>1279</v>
      </c>
      <c r="B14" s="15" t="s">
        <v>1280</v>
      </c>
    </row>
    <row r="15" spans="1:2" x14ac:dyDescent="0.35">
      <c r="A15" s="39" t="s">
        <v>1281</v>
      </c>
      <c r="B15" s="15" t="s">
        <v>1282</v>
      </c>
    </row>
    <row r="16" spans="1:2" x14ac:dyDescent="0.35">
      <c r="A16" s="39" t="s">
        <v>1283</v>
      </c>
      <c r="B16" s="15" t="s">
        <v>1284</v>
      </c>
    </row>
    <row r="17" spans="1:2" x14ac:dyDescent="0.35">
      <c r="A17" s="39" t="s">
        <v>1285</v>
      </c>
      <c r="B17" s="15" t="s">
        <v>1286</v>
      </c>
    </row>
    <row r="18" spans="1:2" x14ac:dyDescent="0.35">
      <c r="A18" s="39" t="s">
        <v>1287</v>
      </c>
      <c r="B18" s="15" t="s">
        <v>1288</v>
      </c>
    </row>
    <row r="19" spans="1:2" x14ac:dyDescent="0.35">
      <c r="A19" s="39" t="s">
        <v>1289</v>
      </c>
      <c r="B19" s="15" t="s">
        <v>1290</v>
      </c>
    </row>
    <row r="20" spans="1:2" x14ac:dyDescent="0.35">
      <c r="A20" s="39" t="s">
        <v>1291</v>
      </c>
      <c r="B20" s="15" t="s">
        <v>1292</v>
      </c>
    </row>
    <row r="21" spans="1:2" x14ac:dyDescent="0.35">
      <c r="A21" s="39" t="s">
        <v>1293</v>
      </c>
      <c r="B21" s="15" t="s">
        <v>1294</v>
      </c>
    </row>
    <row r="22" spans="1:2" x14ac:dyDescent="0.35">
      <c r="A22" s="39" t="s">
        <v>1295</v>
      </c>
      <c r="B22" s="15" t="s">
        <v>1296</v>
      </c>
    </row>
    <row r="23" spans="1:2" x14ac:dyDescent="0.35">
      <c r="A23" s="39" t="s">
        <v>1315</v>
      </c>
      <c r="B23" s="15" t="s">
        <v>1316</v>
      </c>
    </row>
    <row r="24" spans="1:2" x14ac:dyDescent="0.35">
      <c r="A24" s="39" t="s">
        <v>1317</v>
      </c>
      <c r="B24" s="15" t="s">
        <v>1318</v>
      </c>
    </row>
    <row r="25" spans="1:2" x14ac:dyDescent="0.35">
      <c r="A25" s="39" t="s">
        <v>1319</v>
      </c>
      <c r="B25" s="15" t="s">
        <v>1320</v>
      </c>
    </row>
    <row r="26" spans="1:2" x14ac:dyDescent="0.35">
      <c r="A26" s="39" t="s">
        <v>1321</v>
      </c>
      <c r="B26" s="15" t="s">
        <v>1475</v>
      </c>
    </row>
    <row r="27" spans="1:2" x14ac:dyDescent="0.35">
      <c r="A27" s="39" t="s">
        <v>1322</v>
      </c>
      <c r="B27" s="15" t="s">
        <v>1323</v>
      </c>
    </row>
    <row r="28" spans="1:2" x14ac:dyDescent="0.35">
      <c r="A28" s="39" t="s">
        <v>1324</v>
      </c>
      <c r="B28" s="15" t="s">
        <v>1325</v>
      </c>
    </row>
    <row r="29" spans="1:2" x14ac:dyDescent="0.35">
      <c r="A29" s="39" t="s">
        <v>1326</v>
      </c>
      <c r="B29" s="15" t="s">
        <v>1327</v>
      </c>
    </row>
    <row r="30" spans="1:2" x14ac:dyDescent="0.35">
      <c r="A30" s="39" t="s">
        <v>1328</v>
      </c>
      <c r="B30" s="15" t="s">
        <v>1329</v>
      </c>
    </row>
    <row r="31" spans="1:2" x14ac:dyDescent="0.35">
      <c r="A31" s="39" t="s">
        <v>1330</v>
      </c>
      <c r="B31" s="15" t="s">
        <v>1331</v>
      </c>
    </row>
    <row r="32" spans="1:2" x14ac:dyDescent="0.35">
      <c r="A32" s="39" t="s">
        <v>1332</v>
      </c>
      <c r="B32" s="15" t="s">
        <v>1333</v>
      </c>
    </row>
    <row r="33" spans="1:2" x14ac:dyDescent="0.35">
      <c r="A33" s="39" t="s">
        <v>1334</v>
      </c>
      <c r="B33" s="15" t="s">
        <v>1335</v>
      </c>
    </row>
    <row r="34" spans="1:2" x14ac:dyDescent="0.35">
      <c r="A34" s="39" t="s">
        <v>1336</v>
      </c>
      <c r="B34" s="15" t="s">
        <v>1337</v>
      </c>
    </row>
    <row r="35" spans="1:2" x14ac:dyDescent="0.35">
      <c r="A35" s="39" t="s">
        <v>1338</v>
      </c>
      <c r="B35" s="15" t="s">
        <v>1339</v>
      </c>
    </row>
    <row r="36" spans="1:2" x14ac:dyDescent="0.35">
      <c r="A36" s="39" t="s">
        <v>1340</v>
      </c>
      <c r="B36" s="15" t="s">
        <v>1341</v>
      </c>
    </row>
    <row r="37" spans="1:2" x14ac:dyDescent="0.35">
      <c r="A37" s="39" t="s">
        <v>1342</v>
      </c>
      <c r="B37" s="15" t="s">
        <v>1343</v>
      </c>
    </row>
    <row r="38" spans="1:2" x14ac:dyDescent="0.35">
      <c r="A38" s="39" t="s">
        <v>1344</v>
      </c>
      <c r="B38" s="15" t="s">
        <v>1345</v>
      </c>
    </row>
    <row r="39" spans="1:2" x14ac:dyDescent="0.35">
      <c r="A39" s="39" t="s">
        <v>1346</v>
      </c>
      <c r="B39" s="15" t="s">
        <v>1347</v>
      </c>
    </row>
    <row r="40" spans="1:2" x14ac:dyDescent="0.35">
      <c r="A40" s="39" t="s">
        <v>1348</v>
      </c>
      <c r="B40" s="15" t="s">
        <v>1349</v>
      </c>
    </row>
    <row r="41" spans="1:2" x14ac:dyDescent="0.35">
      <c r="A41" s="39" t="s">
        <v>1350</v>
      </c>
      <c r="B41" s="15" t="s">
        <v>1351</v>
      </c>
    </row>
    <row r="42" spans="1:2" x14ac:dyDescent="0.35">
      <c r="A42" s="39" t="s">
        <v>1352</v>
      </c>
      <c r="B42" s="15" t="s">
        <v>1353</v>
      </c>
    </row>
    <row r="43" spans="1:2" x14ac:dyDescent="0.35">
      <c r="A43" s="39" t="s">
        <v>1354</v>
      </c>
      <c r="B43" s="15" t="s">
        <v>1355</v>
      </c>
    </row>
    <row r="44" spans="1:2" x14ac:dyDescent="0.35">
      <c r="A44" s="39" t="s">
        <v>1356</v>
      </c>
      <c r="B44" s="15" t="s">
        <v>1357</v>
      </c>
    </row>
    <row r="45" spans="1:2" x14ac:dyDescent="0.35">
      <c r="A45" s="39" t="s">
        <v>1358</v>
      </c>
      <c r="B45" s="15" t="s">
        <v>1359</v>
      </c>
    </row>
    <row r="46" spans="1:2" x14ac:dyDescent="0.35">
      <c r="A46" s="39" t="s">
        <v>1360</v>
      </c>
      <c r="B46" s="15" t="s">
        <v>1361</v>
      </c>
    </row>
    <row r="47" spans="1:2" x14ac:dyDescent="0.35">
      <c r="A47" s="39" t="s">
        <v>1362</v>
      </c>
      <c r="B47" s="15" t="s">
        <v>1363</v>
      </c>
    </row>
    <row r="48" spans="1:2" x14ac:dyDescent="0.35">
      <c r="A48" s="39" t="s">
        <v>1364</v>
      </c>
      <c r="B48" s="15" t="s">
        <v>1365</v>
      </c>
    </row>
    <row r="49" spans="1:2" x14ac:dyDescent="0.35">
      <c r="A49" s="39" t="s">
        <v>1366</v>
      </c>
      <c r="B49" s="15" t="s">
        <v>1367</v>
      </c>
    </row>
    <row r="50" spans="1:2" x14ac:dyDescent="0.35">
      <c r="A50" s="39" t="s">
        <v>1368</v>
      </c>
      <c r="B50" s="15" t="s">
        <v>1369</v>
      </c>
    </row>
    <row r="51" spans="1:2" x14ac:dyDescent="0.35">
      <c r="A51" s="39" t="s">
        <v>1688</v>
      </c>
      <c r="B51" s="15" t="s">
        <v>1689</v>
      </c>
    </row>
    <row r="52" spans="1:2" x14ac:dyDescent="0.35">
      <c r="A52" s="39" t="s">
        <v>1691</v>
      </c>
      <c r="B52" s="15" t="s">
        <v>1692</v>
      </c>
    </row>
    <row r="53" spans="1:2" x14ac:dyDescent="0.35">
      <c r="A53" s="39" t="s">
        <v>1694</v>
      </c>
      <c r="B53" s="15" t="s">
        <v>1695</v>
      </c>
    </row>
    <row r="54" spans="1:2" x14ac:dyDescent="0.35">
      <c r="A54" s="39" t="s">
        <v>1697</v>
      </c>
      <c r="B54" s="15" t="s">
        <v>1698</v>
      </c>
    </row>
    <row r="55" spans="1:2" x14ac:dyDescent="0.35">
      <c r="A55" s="39" t="s">
        <v>1370</v>
      </c>
      <c r="B55" s="15" t="s">
        <v>1371</v>
      </c>
    </row>
    <row r="56" spans="1:2" x14ac:dyDescent="0.35">
      <c r="A56" s="39" t="s">
        <v>1700</v>
      </c>
      <c r="B56" s="15" t="s">
        <v>1701</v>
      </c>
    </row>
    <row r="57" spans="1:2" x14ac:dyDescent="0.35">
      <c r="A57" s="39" t="s">
        <v>1479</v>
      </c>
      <c r="B57" s="15" t="s">
        <v>1480</v>
      </c>
    </row>
    <row r="58" spans="1:2" x14ac:dyDescent="0.35">
      <c r="A58" s="39" t="s">
        <v>1481</v>
      </c>
      <c r="B58" s="15" t="s">
        <v>1482</v>
      </c>
    </row>
    <row r="59" spans="1:2" x14ac:dyDescent="0.35">
      <c r="A59" s="39" t="s">
        <v>1483</v>
      </c>
      <c r="B59" s="15" t="s">
        <v>1484</v>
      </c>
    </row>
    <row r="60" spans="1:2" x14ac:dyDescent="0.35">
      <c r="A60" s="39" t="s">
        <v>1485</v>
      </c>
      <c r="B60" s="15" t="s">
        <v>1486</v>
      </c>
    </row>
    <row r="61" spans="1:2" x14ac:dyDescent="0.35">
      <c r="A61" s="39" t="s">
        <v>1487</v>
      </c>
      <c r="B61" s="15" t="s">
        <v>1488</v>
      </c>
    </row>
    <row r="62" spans="1:2" x14ac:dyDescent="0.35">
      <c r="A62" s="39" t="s">
        <v>1489</v>
      </c>
      <c r="B62" s="15" t="s">
        <v>1490</v>
      </c>
    </row>
    <row r="63" spans="1:2" x14ac:dyDescent="0.35">
      <c r="A63" s="39" t="s">
        <v>1491</v>
      </c>
      <c r="B63" s="15" t="s">
        <v>1492</v>
      </c>
    </row>
    <row r="64" spans="1:2" x14ac:dyDescent="0.35">
      <c r="A64" s="39" t="s">
        <v>1493</v>
      </c>
      <c r="B64" s="15" t="s">
        <v>1494</v>
      </c>
    </row>
    <row r="65" spans="1:2" x14ac:dyDescent="0.35">
      <c r="A65" s="39" t="s">
        <v>1495</v>
      </c>
      <c r="B65" s="15" t="s">
        <v>1496</v>
      </c>
    </row>
    <row r="66" spans="1:2" x14ac:dyDescent="0.35">
      <c r="A66" s="39" t="s">
        <v>1497</v>
      </c>
      <c r="B66" s="15" t="s">
        <v>1498</v>
      </c>
    </row>
    <row r="67" spans="1:2" x14ac:dyDescent="0.35">
      <c r="A67" s="39" t="s">
        <v>1499</v>
      </c>
      <c r="B67" s="15" t="s">
        <v>1500</v>
      </c>
    </row>
    <row r="68" spans="1:2" x14ac:dyDescent="0.35">
      <c r="A68" s="39" t="s">
        <v>1501</v>
      </c>
      <c r="B68" s="15" t="s">
        <v>1502</v>
      </c>
    </row>
    <row r="69" spans="1:2" x14ac:dyDescent="0.35">
      <c r="A69" s="39" t="s">
        <v>1503</v>
      </c>
      <c r="B69" s="15" t="s">
        <v>1504</v>
      </c>
    </row>
    <row r="70" spans="1:2" x14ac:dyDescent="0.35">
      <c r="A70" s="39" t="s">
        <v>1505</v>
      </c>
      <c r="B70" s="15" t="s">
        <v>1506</v>
      </c>
    </row>
    <row r="71" spans="1:2" x14ac:dyDescent="0.35">
      <c r="A71" s="39" t="s">
        <v>1507</v>
      </c>
      <c r="B71" s="15" t="s">
        <v>1508</v>
      </c>
    </row>
    <row r="72" spans="1:2" x14ac:dyDescent="0.35">
      <c r="A72" s="39" t="s">
        <v>1509</v>
      </c>
      <c r="B72" s="15" t="s">
        <v>1510</v>
      </c>
    </row>
    <row r="73" spans="1:2" x14ac:dyDescent="0.35">
      <c r="A73" s="39" t="s">
        <v>1511</v>
      </c>
      <c r="B73" s="15" t="s">
        <v>1512</v>
      </c>
    </row>
    <row r="74" spans="1:2" x14ac:dyDescent="0.35">
      <c r="A74" s="39" t="s">
        <v>1513</v>
      </c>
      <c r="B74" s="15" t="s">
        <v>1514</v>
      </c>
    </row>
    <row r="75" spans="1:2" x14ac:dyDescent="0.35">
      <c r="A75" s="39" t="s">
        <v>1515</v>
      </c>
      <c r="B75" s="15" t="s">
        <v>1516</v>
      </c>
    </row>
    <row r="76" spans="1:2" x14ac:dyDescent="0.35">
      <c r="A76" s="39" t="s">
        <v>1517</v>
      </c>
      <c r="B76" s="15" t="s">
        <v>1518</v>
      </c>
    </row>
    <row r="77" spans="1:2" x14ac:dyDescent="0.35">
      <c r="A77" s="39" t="s">
        <v>1519</v>
      </c>
      <c r="B77" s="15" t="s">
        <v>1520</v>
      </c>
    </row>
    <row r="78" spans="1:2" x14ac:dyDescent="0.35">
      <c r="A78" s="39" t="s">
        <v>1521</v>
      </c>
      <c r="B78" s="15" t="s">
        <v>1522</v>
      </c>
    </row>
    <row r="79" spans="1:2" x14ac:dyDescent="0.35">
      <c r="A79" s="39" t="s">
        <v>1523</v>
      </c>
      <c r="B79" s="15" t="s">
        <v>1524</v>
      </c>
    </row>
    <row r="80" spans="1:2" x14ac:dyDescent="0.35">
      <c r="A80" s="39" t="s">
        <v>1703</v>
      </c>
      <c r="B80" s="15" t="s">
        <v>1704</v>
      </c>
    </row>
  </sheetData>
  <conditionalFormatting sqref="A3:B80">
    <cfRule type="expression" dxfId="12" priority="8">
      <formula>#REF!="Y"</formula>
    </cfRule>
  </conditionalFormatting>
  <conditionalFormatting sqref="A3:B80">
    <cfRule type="cellIs" dxfId="11" priority="2" operator="equal">
      <formula>"PRINTED"</formula>
    </cfRule>
    <cfRule type="cellIs" dxfId="10" priority="3" operator="equal">
      <formula>"SIGNED OFF"</formula>
    </cfRule>
    <cfRule type="cellIs" dxfId="9" priority="4" operator="equal">
      <formula>"DMcG"</formula>
    </cfRule>
    <cfRule type="cellIs" dxfId="8" priority="5" operator="equal">
      <formula>"AW"</formula>
    </cfRule>
    <cfRule type="cellIs" dxfId="7" priority="6" operator="equal">
      <formula>"RE"</formula>
    </cfRule>
    <cfRule type="cellIs" dxfId="6" priority="7" operator="equal">
      <formula>"HI"</formula>
    </cfRule>
  </conditionalFormatting>
  <conditionalFormatting sqref="A56:B56 A80:B80 A51:B54">
    <cfRule type="expression" dxfId="5" priority="1">
      <formula>#REF!="Y"</formula>
    </cfRule>
  </conditionalFormatting>
  <pageMargins left="0.23622047244094491" right="0.23622047244094491" top="0.74803149606299213" bottom="0.74803149606299213" header="0.31496062992125984" footer="0.31496062992125984"/>
  <pageSetup paperSize="9" scale="95" orientation="portrait" r:id="rId1"/>
  <headerFooter alignWithMargins="0">
    <oddHeader>&amp;CAlternative Populations</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Find table</vt:lpstr>
      <vt:lpstr>List of tables</vt:lpstr>
      <vt:lpstr>Population Estimates</vt:lpstr>
      <vt:lpstr>Key Statistics</vt:lpstr>
      <vt:lpstr>Quick Statistics</vt:lpstr>
      <vt:lpstr>Detailed Characteristics</vt:lpstr>
      <vt:lpstr>Local Characteristics</vt:lpstr>
      <vt:lpstr>Postcode</vt:lpstr>
      <vt:lpstr>Alternative Populations</vt:lpstr>
      <vt:lpstr>Settlement2015</vt:lpstr>
      <vt:lpstr>Notes to Tables</vt:lpstr>
      <vt:lpstr>'Find table'!Print_Area</vt:lpstr>
      <vt:lpstr>'List of tables'!Print_Area</vt:lpstr>
      <vt:lpstr>'Alternative Populations'!Print_Titles</vt:lpstr>
      <vt:lpstr>'Detailed Characteristics'!Print_Titles</vt:lpstr>
      <vt:lpstr>'Find table'!Print_Titles</vt:lpstr>
      <vt:lpstr>'List of tables'!Print_Titles</vt:lpstr>
      <vt:lpstr>'Local Characteristics'!Print_Titles</vt:lpstr>
      <vt:lpstr>'Quick Statistics'!Print_Titles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2011 Census Standard Table Lookup</dc:title>
  <dc:creator>Census Office - NISRA</dc:creator>
  <cp:keywords>Census 2011, Table finder</cp:keywords>
  <cp:lastModifiedBy>Census Office - NISRA</cp:lastModifiedBy>
  <cp:lastPrinted>2016-07-20T14:42:34Z</cp:lastPrinted>
  <dcterms:created xsi:type="dcterms:W3CDTF">2002-04-03T15:37:49Z</dcterms:created>
  <dcterms:modified xsi:type="dcterms:W3CDTF">2022-09-02T10:58:46Z</dcterms:modified>
</cp:coreProperties>
</file>