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mih\Desktop\UNH\1 - Semesters\S4\Mechanics Of Materials\"/>
    </mc:Choice>
  </mc:AlternateContent>
  <xr:revisionPtr revIDLastSave="0" documentId="8_{C9347B01-824D-4FC5-A53D-D4E021FBF57A}" xr6:coauthVersionLast="47" xr6:coauthVersionMax="47" xr10:uidLastSave="{00000000-0000-0000-0000-000000000000}"/>
  <bookViews>
    <workbookView xWindow="-120" yWindow="-120" windowWidth="29040" windowHeight="16440" xr2:uid="{042AA634-B6E1-4B40-8A57-904586FAE0FC}"/>
  </bookViews>
  <sheets>
    <sheet name="Sheet1" sheetId="1" r:id="rId1"/>
  </sheets>
  <definedNames>
    <definedName name="A">Sheet1!$B$33</definedName>
    <definedName name="B">Sheet1!$B$34</definedName>
    <definedName name="CentroidOfSemiCircle">Sheet1!$D$194</definedName>
    <definedName name="CSecArea">Sheet1!$D$191</definedName>
    <definedName name="D">Sheet1!$B$36</definedName>
    <definedName name="Dens">Sheet1!$C$19</definedName>
    <definedName name="E">Sheet1!$B$37</definedName>
    <definedName name="F">Sheet1!$B$38</definedName>
    <definedName name="G">Sheet1!$B$39</definedName>
    <definedName name="H">Sheet1!$B$40</definedName>
    <definedName name="I">Sheet1!$B$41</definedName>
    <definedName name="ID">Sheet1!$D$190</definedName>
    <definedName name="InertiaOfCSection">Sheet1!$D$193</definedName>
    <definedName name="J">Sheet1!$B$42</definedName>
    <definedName name="K">Sheet1!$B$43</definedName>
    <definedName name="L">Sheet1!$B$44</definedName>
    <definedName name="M">Sheet1!$B$45</definedName>
    <definedName name="N">Sheet1!$B$46</definedName>
    <definedName name="O">Sheet1!$B$47</definedName>
    <definedName name="P">Sheet1!$B$48</definedName>
    <definedName name="PMax1">Sheet1!$D$231</definedName>
    <definedName name="PMax2">Sheet1!$J$231</definedName>
    <definedName name="PMax3">Sheet1!$D$264</definedName>
    <definedName name="PMax4">Sheet1!$J$264</definedName>
    <definedName name="PMin1">Sheet1!$D$230</definedName>
    <definedName name="PMin2">Sheet1!$J$230</definedName>
    <definedName name="PMin3">Sheet1!$D$263</definedName>
    <definedName name="PMin4">Sheet1!$J$263</definedName>
    <definedName name="PolarInertiaOfCSection">Sheet1!$D$192</definedName>
    <definedName name="PPlane1">Sheet1!$D$233</definedName>
    <definedName name="PPlane2">Sheet1!$J$233</definedName>
    <definedName name="PPlane3">Sheet1!$D$266</definedName>
    <definedName name="PPlane4">Sheet1!$J$266</definedName>
    <definedName name="PrinStresses">Sheet1!$G$26:$J$27</definedName>
    <definedName name="Q">Sheet1!$B$49</definedName>
    <definedName name="RMx">Sheet1!$C$154</definedName>
    <definedName name="RMy">Sheet1!$C$155</definedName>
    <definedName name="RMz">Sheet1!$C$156</definedName>
    <definedName name="Rx">Sheet1!$C$157</definedName>
    <definedName name="Ry">Sheet1!$C$158</definedName>
    <definedName name="Rz">Sheet1!$C$159</definedName>
    <definedName name="SafetyFactor">Sheet1!$D$25</definedName>
    <definedName name="ShearStr">Sheet1!$C$21</definedName>
    <definedName name="ShearStresses">Sheet1!$G$28:$J$28</definedName>
    <definedName name="SigMass">Sheet1!$I$19</definedName>
    <definedName name="SMax1">Sheet1!$D$232</definedName>
    <definedName name="SMax2">Sheet1!$J$232</definedName>
    <definedName name="SMax3">Sheet1!$D$265</definedName>
    <definedName name="SMax4">Sheet1!$J$265</definedName>
    <definedName name="SPlane1">Sheet1!$D$234</definedName>
    <definedName name="SPlane2">Sheet1!$J$234</definedName>
    <definedName name="SPlane3">Sheet1!$D$267</definedName>
    <definedName name="SPlane4">Sheet1!$J$267</definedName>
    <definedName name="StaticMArea">Sheet1!$D$195</definedName>
    <definedName name="Status">Sheet1!$D$29</definedName>
    <definedName name="TapLossMast">Sheet1!$C$107</definedName>
    <definedName name="TapLossVert">Sheet1!$C$60</definedName>
    <definedName name="TensStr">Sheet1!$C$20</definedName>
    <definedName name="Test">Sheet1!$N$70</definedName>
    <definedName name="WForce">Sheet1!$C$53</definedName>
    <definedName name="WSpeed">Sheet1!$F$19</definedName>
    <definedName name="Z">Sheet1!$B$35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5" i="1" l="1"/>
  <c r="C68" i="1"/>
  <c r="C69" i="1" s="1"/>
  <c r="J224" i="1"/>
  <c r="J257" i="1"/>
  <c r="C60" i="1"/>
  <c r="C80" i="1"/>
  <c r="J260" i="1"/>
  <c r="J254" i="1"/>
  <c r="D260" i="1"/>
  <c r="D259" i="1"/>
  <c r="D256" i="1"/>
  <c r="J227" i="1"/>
  <c r="J221" i="1"/>
  <c r="D227" i="1"/>
  <c r="D226" i="1"/>
  <c r="D223" i="1"/>
  <c r="D190" i="1"/>
  <c r="D194" i="1" s="1"/>
  <c r="D189" i="1"/>
  <c r="B28" i="1"/>
  <c r="C142" i="1"/>
  <c r="C131" i="1"/>
  <c r="C121" i="1"/>
  <c r="C120" i="1"/>
  <c r="C114" i="1"/>
  <c r="C115" i="1" s="1"/>
  <c r="C108" i="1"/>
  <c r="C107" i="1"/>
  <c r="C97" i="1" s="1"/>
  <c r="C106" i="1"/>
  <c r="C105" i="1"/>
  <c r="C104" i="1"/>
  <c r="C100" i="1"/>
  <c r="C96" i="1"/>
  <c r="C93" i="1"/>
  <c r="C92" i="1"/>
  <c r="C91" i="1"/>
  <c r="C87" i="1"/>
  <c r="C76" i="1"/>
  <c r="C75" i="1"/>
  <c r="C74" i="1"/>
  <c r="C67" i="1"/>
  <c r="C66" i="1"/>
  <c r="C65" i="1"/>
  <c r="C64" i="1"/>
  <c r="C63" i="1"/>
  <c r="C61" i="1"/>
  <c r="C59" i="1"/>
  <c r="C58" i="1"/>
  <c r="C57" i="1"/>
  <c r="C53" i="1" a="1"/>
  <c r="C53" i="1" s="1"/>
  <c r="C77" i="1" s="1"/>
  <c r="B38" i="1"/>
  <c r="C110" i="1" l="1"/>
  <c r="C81" i="1" a="1"/>
  <c r="C81" i="1" s="1"/>
  <c r="C122" i="1"/>
  <c r="C132" i="1"/>
  <c r="C133" i="1"/>
  <c r="C143" i="1"/>
  <c r="C144" i="1"/>
  <c r="C82" i="1"/>
  <c r="C78" i="1"/>
  <c r="C79" i="1"/>
  <c r="C86" i="1" s="1"/>
  <c r="C95" i="1"/>
  <c r="C99" i="1" s="1"/>
  <c r="D191" i="1"/>
  <c r="D195" i="1" s="1"/>
  <c r="D192" i="1"/>
  <c r="D193" i="1" s="1"/>
  <c r="C109" i="1"/>
  <c r="C111" i="1"/>
  <c r="C112" i="1" s="1"/>
  <c r="C94" i="1"/>
  <c r="C116" i="1"/>
  <c r="C70" i="1"/>
  <c r="C98" i="1"/>
  <c r="C83" i="1"/>
  <c r="C85" i="1"/>
  <c r="C62" i="1"/>
  <c r="D224" i="1" l="1"/>
  <c r="D257" i="1"/>
  <c r="C156" i="1"/>
  <c r="C158" i="1"/>
  <c r="C134" i="1"/>
  <c r="C135" i="1" s="1"/>
  <c r="C147" i="1"/>
  <c r="C148" i="1" s="1"/>
  <c r="C136" i="1"/>
  <c r="C137" i="1" s="1"/>
  <c r="C138" i="1" s="1"/>
  <c r="C145" i="1"/>
  <c r="C146" i="1" s="1"/>
  <c r="D258" i="1"/>
  <c r="B29" i="1"/>
  <c r="D225" i="1"/>
  <c r="J225" i="1"/>
  <c r="J258" i="1"/>
  <c r="C113" i="1"/>
  <c r="C84" i="1"/>
  <c r="C126" i="1"/>
  <c r="C123" i="1"/>
  <c r="C124" i="1" s="1"/>
  <c r="C159" i="1" l="1"/>
  <c r="C155" i="1"/>
  <c r="J255" i="1" s="1"/>
  <c r="C149" i="1"/>
  <c r="C154" i="1"/>
  <c r="J259" i="1"/>
  <c r="B27" i="1"/>
  <c r="J256" i="1"/>
  <c r="J261" i="1" s="1"/>
  <c r="J223" i="1"/>
  <c r="J228" i="1" s="1"/>
  <c r="C150" i="1"/>
  <c r="C139" i="1"/>
  <c r="C127" i="1"/>
  <c r="F149" i="1" s="1"/>
  <c r="C128" i="1"/>
  <c r="J226" i="1" l="1"/>
  <c r="B30" i="1"/>
  <c r="F150" i="1"/>
  <c r="D221" i="1"/>
  <c r="D228" i="1" s="1"/>
  <c r="D254" i="1"/>
  <c r="D261" i="1" s="1"/>
  <c r="B25" i="1"/>
  <c r="J222" i="1"/>
  <c r="J229" i="1" s="1"/>
  <c r="J233" i="1" s="1"/>
  <c r="J234" i="1" s="1"/>
  <c r="D255" i="1"/>
  <c r="D262" i="1" s="1"/>
  <c r="D222" i="1"/>
  <c r="B26" i="1"/>
  <c r="J262" i="1"/>
  <c r="J266" i="1" s="1"/>
  <c r="D229" i="1" l="1"/>
  <c r="D233" i="1" s="1"/>
  <c r="J232" i="1"/>
  <c r="H28" i="1" s="1"/>
  <c r="J230" i="1"/>
  <c r="H27" i="1" s="1"/>
  <c r="J231" i="1"/>
  <c r="H26" i="1" s="1"/>
  <c r="D266" i="1"/>
  <c r="I29" i="1" s="1"/>
  <c r="H30" i="1"/>
  <c r="H29" i="1"/>
  <c r="J263" i="1"/>
  <c r="J27" i="1" s="1"/>
  <c r="D264" i="1"/>
  <c r="I26" i="1" s="1"/>
  <c r="D265" i="1"/>
  <c r="I28" i="1" s="1"/>
  <c r="D263" i="1"/>
  <c r="I27" i="1" s="1"/>
  <c r="J267" i="1"/>
  <c r="J30" i="1" s="1"/>
  <c r="J29" i="1"/>
  <c r="J264" i="1"/>
  <c r="J26" i="1" s="1"/>
  <c r="J265" i="1"/>
  <c r="J28" i="1" s="1"/>
  <c r="D232" i="1"/>
  <c r="G28" i="1" s="1"/>
  <c r="D230" i="1"/>
  <c r="G27" i="1" s="1"/>
  <c r="D231" i="1"/>
  <c r="G26" i="1" s="1"/>
  <c r="G29" i="1" l="1"/>
  <c r="D234" i="1"/>
  <c r="G30" i="1" s="1"/>
  <c r="D267" i="1"/>
  <c r="I30" i="1" s="1"/>
  <c r="D29" i="1" a="1"/>
  <c r="D2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<sst xmlns="http://schemas.openxmlformats.org/spreadsheetml/2006/main" count="424" uniqueCount="159">
  <si>
    <t>Erhan Semih Akyuz</t>
  </si>
  <si>
    <r>
      <t xml:space="preserve">Project 2
</t>
    </r>
    <r>
      <rPr>
        <sz val="10"/>
        <color rgb="FFFF0000"/>
        <rFont val="Calibri"/>
        <family val="2"/>
        <scheme val="minor"/>
      </rPr>
      <t>Level 4</t>
    </r>
  </si>
  <si>
    <t>EASC-2220
Mechanics of Materials</t>
  </si>
  <si>
    <t>RMz</t>
  </si>
  <si>
    <t>RMx</t>
  </si>
  <si>
    <t>RMy</t>
  </si>
  <si>
    <t>Ry</t>
  </si>
  <si>
    <t>Rz</t>
  </si>
  <si>
    <t>Rx</t>
  </si>
  <si>
    <t>Nm</t>
  </si>
  <si>
    <t>N</t>
  </si>
  <si>
    <t>Reactions</t>
  </si>
  <si>
    <r>
      <t>σ</t>
    </r>
    <r>
      <rPr>
        <vertAlign val="subscript"/>
        <sz val="14"/>
        <color theme="1"/>
        <rFont val="Calibri"/>
        <family val="2"/>
        <scheme val="minor"/>
      </rPr>
      <t>Min</t>
    </r>
  </si>
  <si>
    <r>
      <t>σ</t>
    </r>
    <r>
      <rPr>
        <vertAlign val="subscript"/>
        <sz val="14"/>
        <color theme="1"/>
        <rFont val="Calibri"/>
        <family val="2"/>
        <scheme val="minor"/>
      </rPr>
      <t>Max</t>
    </r>
  </si>
  <si>
    <r>
      <t>τ</t>
    </r>
    <r>
      <rPr>
        <vertAlign val="subscript"/>
        <sz val="14"/>
        <color theme="1"/>
        <rFont val="Calibri"/>
        <family val="2"/>
        <scheme val="minor"/>
      </rPr>
      <t>Max</t>
    </r>
  </si>
  <si>
    <t>kPa</t>
  </si>
  <si>
    <t>deg</t>
  </si>
  <si>
    <t>Stresses &amp; Stress Planes</t>
  </si>
  <si>
    <t>A</t>
  </si>
  <si>
    <t>I</t>
  </si>
  <si>
    <t>B</t>
  </si>
  <si>
    <t>J</t>
  </si>
  <si>
    <t>C (Z)</t>
  </si>
  <si>
    <t>K</t>
  </si>
  <si>
    <t>D</t>
  </si>
  <si>
    <t>L</t>
  </si>
  <si>
    <t>E</t>
  </si>
  <si>
    <t>M</t>
  </si>
  <si>
    <t>F</t>
  </si>
  <si>
    <t>G</t>
  </si>
  <si>
    <t>O</t>
  </si>
  <si>
    <t>H</t>
  </si>
  <si>
    <t>P</t>
  </si>
  <si>
    <t>Q</t>
  </si>
  <si>
    <t>Modifiable Dimension Entry</t>
  </si>
  <si>
    <t>m</t>
  </si>
  <si>
    <t>rad</t>
  </si>
  <si>
    <t>CCW</t>
  </si>
  <si>
    <t>CW</t>
  </si>
  <si>
    <t>Left</t>
  </si>
  <si>
    <t>Right</t>
  </si>
  <si>
    <t>Up</t>
  </si>
  <si>
    <t>Down</t>
  </si>
  <si>
    <t>Into Page</t>
  </si>
  <si>
    <t>Axial Conventions</t>
  </si>
  <si>
    <t>Rotational conventions are from the perspective of the positive positive side of the axis, facing the origin.</t>
  </si>
  <si>
    <t>+M</t>
  </si>
  <si>
    <t>-M</t>
  </si>
  <si>
    <t>+X</t>
  </si>
  <si>
    <t>-X</t>
  </si>
  <si>
    <t>Out of Pg</t>
  </si>
  <si>
    <t>+Y</t>
  </si>
  <si>
    <t>-Y</t>
  </si>
  <si>
    <t>+Z</t>
  </si>
  <si>
    <t>-Z</t>
  </si>
  <si>
    <t>Material</t>
  </si>
  <si>
    <t>Al T6061</t>
  </si>
  <si>
    <t>Density</t>
  </si>
  <si>
    <r>
      <t>kg/m</t>
    </r>
    <r>
      <rPr>
        <vertAlign val="superscript"/>
        <sz val="11"/>
        <color theme="1"/>
        <rFont val="Calibri"/>
        <family val="2"/>
        <scheme val="minor"/>
      </rPr>
      <t>3</t>
    </r>
  </si>
  <si>
    <t>MPa</t>
  </si>
  <si>
    <t>Tens &amp; Comp Yield</t>
  </si>
  <si>
    <t>Shear Strength</t>
  </si>
  <si>
    <t>Wind Speed (m/s)</t>
  </si>
  <si>
    <t>Element 1</t>
  </si>
  <si>
    <t>Element 2</t>
  </si>
  <si>
    <t>Element 3</t>
  </si>
  <si>
    <t>Element 4</t>
  </si>
  <si>
    <t>Safety Factor</t>
  </si>
  <si>
    <t>Structure Status</t>
  </si>
  <si>
    <t>Mass Per Traffic Bulb (kg)</t>
  </si>
  <si>
    <r>
      <rPr>
        <sz val="11.5"/>
        <color theme="1"/>
        <rFont val="Calibri"/>
        <family val="2"/>
      </rPr>
      <t>θ</t>
    </r>
    <r>
      <rPr>
        <vertAlign val="subscript"/>
        <sz val="11.5"/>
        <color theme="1"/>
        <rFont val="Calibri"/>
        <family val="2"/>
      </rPr>
      <t>principle</t>
    </r>
  </si>
  <si>
    <r>
      <t>θ</t>
    </r>
    <r>
      <rPr>
        <vertAlign val="subscript"/>
        <sz val="11.5"/>
        <color theme="1"/>
        <rFont val="Calibri"/>
        <family val="2"/>
      </rPr>
      <t>shear</t>
    </r>
  </si>
  <si>
    <t>Material, Environmental, and Structure Properties</t>
  </si>
  <si>
    <t>Wind Speed is calculated and has maximum effect in -Z direction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</si>
  <si>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</si>
  <si>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m</t>
    </r>
    <r>
      <rPr>
        <vertAlign val="superscript"/>
        <sz val="11"/>
        <color theme="1"/>
        <rFont val="Calibri"/>
        <family val="2"/>
        <scheme val="minor"/>
      </rPr>
      <t>4</t>
    </r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</si>
  <si>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</si>
  <si>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t>kg</t>
  </si>
  <si>
    <t>Height</t>
  </si>
  <si>
    <t>OD Top</t>
  </si>
  <si>
    <t>Surface Area</t>
  </si>
  <si>
    <t>Local Windforce</t>
  </si>
  <si>
    <r>
      <t>I</t>
    </r>
    <r>
      <rPr>
        <vertAlign val="subscript"/>
        <sz val="11"/>
        <color theme="1"/>
        <rFont val="Calibri"/>
        <family val="2"/>
        <scheme val="minor"/>
      </rPr>
      <t>x</t>
    </r>
  </si>
  <si>
    <r>
      <t>I</t>
    </r>
    <r>
      <rPr>
        <vertAlign val="subscript"/>
        <sz val="11"/>
        <color theme="1"/>
        <rFont val="Calibri"/>
        <family val="2"/>
        <scheme val="minor"/>
      </rPr>
      <t>y</t>
    </r>
  </si>
  <si>
    <t>Volume</t>
  </si>
  <si>
    <t>Mass</t>
  </si>
  <si>
    <t>Weight</t>
  </si>
  <si>
    <t>Vertical Beam</t>
  </si>
  <si>
    <t>3 Segment Traffic Light</t>
  </si>
  <si>
    <t>Length</t>
  </si>
  <si>
    <t>Centroid dx</t>
  </si>
  <si>
    <r>
      <t>Centroid dx</t>
    </r>
    <r>
      <rPr>
        <vertAlign val="subscript"/>
        <sz val="11"/>
        <color theme="1"/>
        <rFont val="Calibri"/>
        <family val="2"/>
        <scheme val="minor"/>
      </rPr>
      <t>2</t>
    </r>
  </si>
  <si>
    <r>
      <t>Centroid dy</t>
    </r>
    <r>
      <rPr>
        <vertAlign val="subscript"/>
        <sz val="11"/>
        <color theme="1"/>
        <rFont val="Calibri"/>
        <family val="2"/>
        <scheme val="minor"/>
      </rPr>
      <t>1,2</t>
    </r>
  </si>
  <si>
    <r>
      <t>I</t>
    </r>
    <r>
      <rPr>
        <vertAlign val="subscript"/>
        <sz val="11"/>
        <color theme="1"/>
        <rFont val="Calibri"/>
        <family val="2"/>
        <scheme val="minor"/>
      </rPr>
      <t>x2</t>
    </r>
  </si>
  <si>
    <r>
      <t>I</t>
    </r>
    <r>
      <rPr>
        <vertAlign val="subscript"/>
        <sz val="11"/>
        <color theme="1"/>
        <rFont val="Calibri"/>
        <family val="2"/>
        <scheme val="minor"/>
      </rPr>
      <t>y2</t>
    </r>
  </si>
  <si>
    <t>4 Segment Traffic Light</t>
  </si>
  <si>
    <t>Centroid dy</t>
  </si>
  <si>
    <t>Centroid dz</t>
  </si>
  <si>
    <t>Calculations Page 1</t>
  </si>
  <si>
    <t>Calculations Page 2</t>
  </si>
  <si>
    <t>Mast (Whole)</t>
  </si>
  <si>
    <t>OD Root</t>
  </si>
  <si>
    <t>OD Tip</t>
  </si>
  <si>
    <t>Taper Loss/Meter</t>
  </si>
  <si>
    <t>m dia/m</t>
  </si>
  <si>
    <t>Mast Section 1</t>
  </si>
  <si>
    <t>Mast Section 2</t>
  </si>
  <si>
    <t>Mast Section 3</t>
  </si>
  <si>
    <t>Calculations Page 3</t>
  </si>
  <si>
    <t>Area</t>
  </si>
  <si>
    <t>J (Polar Moment of Inertia)</t>
  </si>
  <si>
    <r>
      <t>I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I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 J/2</t>
    </r>
  </si>
  <si>
    <t>Statical Moment of Area (Q)</t>
  </si>
  <si>
    <t>Effect of Mx (Tens Y+)</t>
  </si>
  <si>
    <t>Effect of My (Shear XY+)</t>
  </si>
  <si>
    <t>Effect of Mz (N/A)</t>
  </si>
  <si>
    <t>Effect of y (Comp Y-)</t>
  </si>
  <si>
    <t>Effect of z (N/A)</t>
  </si>
  <si>
    <r>
      <t>σ</t>
    </r>
    <r>
      <rPr>
        <vertAlign val="subscript"/>
        <sz val="14"/>
        <color theme="1"/>
        <rFont val="Calibri"/>
        <family val="2"/>
        <scheme val="minor"/>
      </rPr>
      <t>x</t>
    </r>
  </si>
  <si>
    <r>
      <t>σ</t>
    </r>
    <r>
      <rPr>
        <vertAlign val="subscript"/>
        <sz val="14"/>
        <color theme="1"/>
        <rFont val="Calibri"/>
        <family val="2"/>
        <scheme val="minor"/>
      </rPr>
      <t>y</t>
    </r>
  </si>
  <si>
    <r>
      <rPr>
        <sz val="14"/>
        <color theme="1"/>
        <rFont val="Calibri"/>
        <family val="2"/>
        <scheme val="minor"/>
      </rPr>
      <t>τ</t>
    </r>
    <r>
      <rPr>
        <vertAlign val="subscript"/>
        <sz val="14"/>
        <color theme="1"/>
        <rFont val="Calibri"/>
        <family val="2"/>
        <scheme val="minor"/>
      </rPr>
      <t>xy</t>
    </r>
  </si>
  <si>
    <r>
      <t>Θ</t>
    </r>
    <r>
      <rPr>
        <vertAlign val="subscript"/>
        <sz val="12"/>
        <color theme="1"/>
        <rFont val="Calibri"/>
        <family val="2"/>
      </rPr>
      <t>p</t>
    </r>
  </si>
  <si>
    <r>
      <t>Θ</t>
    </r>
    <r>
      <rPr>
        <vertAlign val="subscript"/>
        <sz val="12"/>
        <color theme="1"/>
        <rFont val="Calibri"/>
        <family val="2"/>
      </rPr>
      <t>s</t>
    </r>
  </si>
  <si>
    <t>Effect of Mx (N/A)</t>
  </si>
  <si>
    <t>Effect of Mz (Comp Y-)</t>
  </si>
  <si>
    <t>Effect of z (Shear XY+)</t>
  </si>
  <si>
    <t>Calculations Page 4</t>
  </si>
  <si>
    <t>Effect of Mx (Comp Y-)</t>
  </si>
  <si>
    <t>Effect of Mz (Tens Y+)</t>
  </si>
  <si>
    <t>Effect of z (Shear XY-)</t>
  </si>
  <si>
    <t>kNm</t>
  </si>
  <si>
    <t>kN</t>
  </si>
  <si>
    <r>
      <t>Centroid dz</t>
    </r>
    <r>
      <rPr>
        <vertAlign val="subscript"/>
        <sz val="11"/>
        <color theme="1"/>
        <rFont val="Calibri"/>
        <family val="2"/>
        <scheme val="minor"/>
      </rPr>
      <t>1</t>
    </r>
  </si>
  <si>
    <r>
      <t>Centroid dz</t>
    </r>
    <r>
      <rPr>
        <vertAlign val="subscript"/>
        <sz val="11"/>
        <color theme="1"/>
        <rFont val="Calibri"/>
        <family val="2"/>
        <scheme val="minor"/>
      </rPr>
      <t>2</t>
    </r>
  </si>
  <si>
    <t>Effect of x (N/A)</t>
  </si>
  <si>
    <t>Effect of x (Shear XY + or -)</t>
  </si>
  <si>
    <t>Effect of x (Shear XY - or +)</t>
  </si>
  <si>
    <t>Outer Diameter (OD)</t>
  </si>
  <si>
    <t>Inner Diameter (ID)</t>
  </si>
  <si>
    <t>Centroid of Semicircle (y)</t>
  </si>
  <si>
    <r>
      <t xml:space="preserve"> ΣXY Inertias (m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</si>
  <si>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r>
      <t>ΣI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</t>
    </r>
  </si>
  <si>
    <r>
      <t>ΣI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</t>
    </r>
  </si>
  <si>
    <t>Wind Pressure</t>
  </si>
  <si>
    <r>
      <t>N/m</t>
    </r>
    <r>
      <rPr>
        <vertAlign val="superscript"/>
        <sz val="11"/>
        <color theme="1"/>
        <rFont val="Calibri"/>
        <family val="2"/>
        <scheme val="minor"/>
      </rPr>
      <t>2</t>
    </r>
  </si>
  <si>
    <t>Center of Grav. dy</t>
  </si>
  <si>
    <t>Center of Grav. dx</t>
  </si>
  <si>
    <t>Cntrd &amp; COG dx, dz</t>
  </si>
  <si>
    <t>OD Base</t>
  </si>
  <si>
    <t>Fixed Base Support Cross Section</t>
  </si>
  <si>
    <t>Appendix</t>
  </si>
  <si>
    <t>Vertical Beam Center of Gravity dy &amp; Volume</t>
  </si>
  <si>
    <t>Mast Center of Gravity dx, dy &amp; Volume</t>
  </si>
  <si>
    <t>Axial Loading</t>
  </si>
  <si>
    <t>Appendix Continued</t>
  </si>
  <si>
    <t>Torsion</t>
  </si>
  <si>
    <t>Bending</t>
  </si>
  <si>
    <t>Transverse Shear</t>
  </si>
  <si>
    <t>Full Scale Dimension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</si>
</sst>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"/>
    <numFmt numFmtId="167" formatCode="0.00000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vertAlign val="subscript"/>
      <sz val="14"/>
      <color theme="1"/>
      <name val="Calibri"/>
      <family val="2"/>
      <scheme val="minor"/>
    </font>
    <font>
      <vertAlign val="subscript"/>
      <sz val="12"/>
      <color theme="1"/>
      <name val="Calibri"/>
      <family val="2"/>
    </font>
    <font>
      <sz val="8"/>
      <name val="Calibri"/>
      <family val="2"/>
      <scheme val="minor"/>
    </font>
    <font>
      <sz val="10.5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.5"/>
      <color theme="1"/>
      <name val="Calibri"/>
      <family val="2"/>
    </font>
    <font>
      <sz val="11.5"/>
      <color theme="1"/>
      <name val="Calibri"/>
      <family val="2"/>
    </font>
    <font>
      <vertAlign val="subscript"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3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1" xfId="0" quotePrefix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left"/>
    </xf>
    <xf numFmtId="165" fontId="0" fillId="0" borderId="1" xfId="0" applyNumberFormat="1" applyBorder="1"/>
    <xf numFmtId="165" fontId="0" fillId="0" borderId="1" xfId="0" applyNumberFormat="1" applyBorder="1" applyAlignment="1">
      <alignment horizontal="right" vertical="center"/>
    </xf>
    <xf numFmtId="166" fontId="0" fillId="0" borderId="1" xfId="0" applyNumberFormat="1" applyBorder="1"/>
    <xf numFmtId="11" fontId="0" fillId="0" borderId="1" xfId="0" applyNumberFormat="1" applyBorder="1" applyAlignment="1">
      <alignment horizontal="right" vertical="center"/>
    </xf>
    <xf numFmtId="166" fontId="0" fillId="0" borderId="1" xfId="0" applyNumberFormat="1" applyBorder="1" applyAlignment="1">
      <alignment horizontal="right" vertical="center"/>
    </xf>
    <xf numFmtId="0" fontId="0" fillId="3" borderId="13" xfId="0" applyFill="1" applyBorder="1" applyAlignment="1">
      <alignment vertical="center"/>
    </xf>
    <xf numFmtId="167" fontId="0" fillId="0" borderId="0" xfId="0" applyNumberFormat="1"/>
    <xf numFmtId="166" fontId="0" fillId="0" borderId="0" xfId="0" applyNumberFormat="1"/>
    <xf numFmtId="0" fontId="0" fillId="0" borderId="1" xfId="0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2">
    <dxf>
      <font>
        <color theme="0"/>
      </font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10" Type="http://schemas.openxmlformats.org/officeDocument/2006/relationships/customXml" Target="../customXml/item3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173938</xdr:colOff>
      <xdr:row>267</xdr:row>
      <xdr:rowOff>41413</xdr:rowOff>
    </xdr:from>
    <xdr:to>
      <xdr:col>4</xdr:col>
      <xdr:colOff>612913</xdr:colOff>
      <xdr:row>283</xdr:row>
      <xdr:rowOff>24849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6BF23E0-D2DD-2F48-8191-DEF5DA8D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938" y="50855217"/>
          <a:ext cx="2923758" cy="303143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9525</xdr:colOff>
      <xdr:row>2</xdr:row>
      <xdr:rowOff>28572</xdr:rowOff>
    </xdr:from>
    <xdr:to>
      <xdr:col>10</xdr:col>
      <xdr:colOff>579862</xdr:colOff>
      <xdr:row>10</xdr:row>
      <xdr:rowOff>126752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68923893-D008-9FEE-65C2-A04A63A6E1C3}"/>
            </a:ext>
          </a:extLst>
        </xdr:cNvPr>
        <xdr:cNvSpPr txBox="1"/>
      </xdr:nvSpPr>
      <xdr:spPr>
        <a:xfrm>
          <a:off x="9525" y="352422"/>
          <a:ext cx="6781800" cy="16287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The</a:t>
          </a:r>
          <a:r>
            <a:rPr lang="en-US" sz="1100" baseline="0"/>
            <a:t> intention of this document is to provide the information listed below for the traffic signal support structure.</a:t>
          </a:r>
        </a:p>
        <a:p>
          <a:pPr algn="l"/>
          <a:endParaRPr lang="en-US" sz="500" baseline="0"/>
        </a:p>
        <a:p>
          <a:pPr algn="l"/>
          <a:r>
            <a:rPr lang="en-US" sz="1100" baseline="0"/>
            <a:t>1) Reaction forces at the fixed support</a:t>
          </a:r>
        </a:p>
        <a:p>
          <a:pPr algn="l"/>
          <a:r>
            <a:rPr lang="en-US" sz="1100" baseline="0"/>
            <a:t>2) Principle stresses on the four elements located at the base and around the vertical beam</a:t>
          </a:r>
        </a:p>
        <a:p>
          <a:pPr algn="l"/>
          <a:r>
            <a:rPr lang="en-US" sz="1100" baseline="0"/>
            <a:t>3) Principle planes of the elements</a:t>
          </a:r>
        </a:p>
        <a:p>
          <a:pPr algn="l"/>
          <a:r>
            <a:rPr lang="en-US" sz="1100" baseline="0"/>
            <a:t>4) Maximum shear stress on the elements</a:t>
          </a:r>
        </a:p>
        <a:p>
          <a:pPr algn="l"/>
          <a:r>
            <a:rPr lang="en-US" sz="1100" baseline="0"/>
            <a:t>5) Shear plane on the elements</a:t>
          </a:r>
        </a:p>
        <a:p>
          <a:pPr algn="l"/>
          <a:endParaRPr lang="en-US" sz="500" baseline="0"/>
        </a:p>
        <a:p>
          <a:pPr algn="l"/>
          <a:endParaRPr lang="en-US" sz="700" baseline="0"/>
        </a:p>
        <a:p>
          <a:pPr algn="ctr"/>
          <a:r>
            <a:rPr lang="en-US" sz="1100" baseline="0"/>
            <a:t>Blue cells contain </a:t>
          </a:r>
          <a:r>
            <a:rPr lang="en-US" sz="1100" b="1" u="sng" baseline="0">
              <a:solidFill>
                <a:schemeClr val="accent5">
                  <a:lumMod val="75000"/>
                </a:schemeClr>
              </a:solidFill>
            </a:rPr>
            <a:t>modifiable</a:t>
          </a:r>
          <a:r>
            <a:rPr lang="en-US" sz="1100" baseline="0"/>
            <a:t> values, while white cells are calculation outputs and </a:t>
          </a:r>
          <a:r>
            <a:rPr lang="en-US" sz="1100" b="1" u="sng" baseline="0"/>
            <a:t>should not be changed</a:t>
          </a:r>
          <a:r>
            <a:rPr lang="en-US" sz="1100" baseline="0"/>
            <a:t>.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</xdr:txBody>
    </xdr:sp>
    <xdr:clientData/>
  </xdr:twoCellAnchor>
  <xdr:twoCellAnchor editAs="oneCell">
    <xdr:from>
      <xdr:col>3</xdr:col>
      <xdr:colOff>38101</xdr:colOff>
      <xdr:row>30</xdr:row>
      <xdr:rowOff>66676</xdr:rowOff>
    </xdr:from>
    <xdr:to>
      <xdr:col>10</xdr:col>
      <xdr:colOff>589312</xdr:colOff>
      <xdr:row>49</xdr:row>
      <xdr:rowOff>161926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744879-EE47-530E-5C62-8CD82025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6" y="5343526"/>
          <a:ext cx="4885086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28575</xdr:rowOff>
    </xdr:from>
    <xdr:to>
      <xdr:col>5</xdr:col>
      <xdr:colOff>180975</xdr:colOff>
      <xdr:row>217</xdr:row>
      <xdr:rowOff>161924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899E40F-D8AF-43FE-AE40-E60E420CFC65}"/>
                </a:ext>
              </a:extLst>
            </xdr:cNvPr>
            <xdr:cNvSpPr txBox="1"/>
          </xdr:nvSpPr>
          <xdr:spPr>
            <a:xfrm>
              <a:off x="0" y="38261925"/>
              <a:ext cx="3276600" cy="318134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directions of the reactions are flipped to observe the effect of the external forces on the material.</a:t>
              </a:r>
              <a:endParaRPr lang="en-US" sz="1100"/>
            </a:p>
            <a:p>
              <a:pPr algn="ctr"/>
              <a:endParaRPr lang="en-US" sz="1100"/>
            </a:p>
            <a:p>
              <a:pPr algn="ctr"/>
              <a:r>
                <a:rPr lang="en-US" sz="1100" b="1"/>
                <a:t>Mohrs Circle</a:t>
              </a:r>
              <a:r>
                <a:rPr lang="en-US" sz="1100" b="1" baseline="0"/>
                <a:t> Coordinates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𝑃𝑡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1=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,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1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𝑃𝑡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2=</m:t>
                    </m:r>
                    <m:d>
                      <m:d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𝜎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 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𝜏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b="1">
                  <a:effectLst/>
                </a:rPr>
                <a:t>Stress</a:t>
              </a:r>
              <a:r>
                <a:rPr lang="en-US" b="1" baseline="0">
                  <a:effectLst/>
                </a:rPr>
                <a:t> Element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200">
                <a:effectLst/>
              </a:endParaRPr>
            </a:p>
            <a:p>
              <a:pPr algn="ctr"/>
              <a:r>
                <a:rPr lang="en-US" sz="1100" baseline="0"/>
                <a:t>Visible orange edges are kept on top of the element diagrams as though viewed from the outside of the pole.</a:t>
              </a:r>
            </a:p>
            <a:p>
              <a:pPr algn="ctr"/>
              <a:endParaRPr lang="en-US" sz="1100" baseline="0"/>
            </a:p>
            <a:p>
              <a:pPr algn="ctr"/>
              <a:r>
                <a:rPr lang="en-US" sz="1100"/>
                <a:t>Forces from the central diagram</a:t>
              </a:r>
              <a:r>
                <a:rPr lang="en-US" sz="1100" baseline="0"/>
                <a:t> are translated to X, Y, and XY axis' on the element diagrams</a:t>
              </a:r>
            </a:p>
            <a:p>
              <a:pPr algn="ctr"/>
              <a:endParaRPr lang="en-US" sz="1100" baseline="0"/>
            </a:p>
            <a:p>
              <a:pPr algn="ctr"/>
              <a:r>
                <a:rPr lang="en-US" sz="1100" baseline="0"/>
                <a:t>See appendix for explanation of stress axis assignment and formulas</a:t>
              </a:r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899E40F-D8AF-43FE-AE40-E60E420CFC65}"/>
                </a:ext>
              </a:extLst>
            </xdr:cNvPr>
            <xdr:cNvSpPr txBox="1"/>
          </xdr:nvSpPr>
          <xdr:spPr>
            <a:xfrm>
              <a:off x="0" y="38261925"/>
              <a:ext cx="3276600" cy="318134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directions of the reactions are flipped to observe the effect of the external forces on the material.</a:t>
              </a:r>
              <a:endParaRPr lang="en-US" sz="1100"/>
            </a:p>
            <a:p>
              <a:pPr algn="ctr"/>
              <a:endParaRPr lang="en-US" sz="1100"/>
            </a:p>
            <a:p>
              <a:pPr algn="ctr"/>
              <a:r>
                <a:rPr lang="en-US" sz="1100" b="1"/>
                <a:t>Mohrs Circle</a:t>
              </a:r>
              <a:r>
                <a:rPr lang="en-US" sz="1100" b="1" baseline="0"/>
                <a:t> Coordinates</a:t>
              </a:r>
            </a:p>
            <a:p>
              <a:pPr algn="ctr"/>
              <a:r>
                <a:rPr lang="en-US" sz="1100" b="0" i="0">
                  <a:latin typeface="Cambria Math" panose="02040503050406030204" pitchFamily="18" charset="0"/>
                </a:rPr>
                <a:t>𝑃𝑡1=(𝜎_𝑥, 〖−𝜏〗_𝑥𝑦 )</a:t>
              </a:r>
              <a:endParaRPr lang="en-US" sz="11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𝑃𝑡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𝜎_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𝜏_𝑥𝑦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b="1">
                  <a:effectLst/>
                </a:rPr>
                <a:t>Stress</a:t>
              </a:r>
              <a:r>
                <a:rPr lang="en-US" b="1" baseline="0">
                  <a:effectLst/>
                </a:rPr>
                <a:t> Element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200">
                <a:effectLst/>
              </a:endParaRPr>
            </a:p>
            <a:p>
              <a:pPr algn="ctr"/>
              <a:r>
                <a:rPr lang="en-US" sz="1100" baseline="0"/>
                <a:t>Visible orange edges are kept on top of the element diagrams as though viewed from the outside of the pole.</a:t>
              </a:r>
            </a:p>
            <a:p>
              <a:pPr algn="ctr"/>
              <a:endParaRPr lang="en-US" sz="1100" baseline="0"/>
            </a:p>
            <a:p>
              <a:pPr algn="ctr"/>
              <a:r>
                <a:rPr lang="en-US" sz="1100"/>
                <a:t>Forces from the central diagram</a:t>
              </a:r>
              <a:r>
                <a:rPr lang="en-US" sz="1100" baseline="0"/>
                <a:t> are translated to X, Y, and XY axis' on the element diagrams</a:t>
              </a:r>
            </a:p>
            <a:p>
              <a:pPr algn="ctr"/>
              <a:endParaRPr lang="en-US" sz="1100" baseline="0"/>
            </a:p>
            <a:p>
              <a:pPr algn="ctr"/>
              <a:r>
                <a:rPr lang="en-US" sz="1100" baseline="0"/>
                <a:t>See appendix for explanation of stress axis assignment and formulas</a:t>
              </a:r>
              <a:endParaRPr lang="en-US" sz="1100"/>
            </a:p>
          </xdr:txBody>
        </xdr:sp>
      </mc:Fallback>
    </mc:AlternateContent>
    <xdr:clientData/>
  </xdr:twoCellAnchor>
  <xdr:twoCellAnchor editAs="oneCell">
    <xdr:from>
      <xdr:col>5</xdr:col>
      <xdr:colOff>381000</xdr:colOff>
      <xdr:row>201</xdr:row>
      <xdr:rowOff>40171</xdr:rowOff>
    </xdr:from>
    <xdr:to>
      <xdr:col>10</xdr:col>
      <xdr:colOff>590550</xdr:colOff>
      <xdr:row>217</xdr:row>
      <xdr:rowOff>162887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D45FF6-8A35-6407-D722-E80616A0D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16" t="1362" b="6168"/>
        <a:stretch/>
      </xdr:blipFill>
      <xdr:spPr>
        <a:xfrm>
          <a:off x="3476625" y="38273521"/>
          <a:ext cx="3305175" cy="317071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382252</xdr:colOff>
      <xdr:row>283</xdr:row>
      <xdr:rowOff>57150</xdr:rowOff>
    </xdr:from>
    <xdr:to>
      <xdr:col>10</xdr:col>
      <xdr:colOff>585693</xdr:colOff>
      <xdr:row>299</xdr:row>
      <xdr:rowOff>173935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F28ABC-1B46-656F-6EB3-79823D5A3B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alphaModFix/>
        </a:blip>
        <a:srcRect l="186" t="250" r="-54" b="651"/>
        <a:stretch/>
      </xdr:blipFill>
      <xdr:spPr>
        <a:xfrm>
          <a:off x="3488230" y="53918954"/>
          <a:ext cx="3309420" cy="316478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20703</xdr:colOff>
      <xdr:row>234</xdr:row>
      <xdr:rowOff>18884</xdr:rowOff>
    </xdr:from>
    <xdr:to>
      <xdr:col>10</xdr:col>
      <xdr:colOff>468378</xdr:colOff>
      <xdr:row>250</xdr:row>
      <xdr:rowOff>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EA422-0589-042D-4FE1-40CC3D12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35453" y="44538734"/>
          <a:ext cx="2924175" cy="30297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488349</xdr:colOff>
      <xdr:row>214</xdr:row>
      <xdr:rowOff>161926</xdr:rowOff>
    </xdr:from>
    <xdr:to>
      <xdr:col>6</xdr:col>
      <xdr:colOff>552450</xdr:colOff>
      <xdr:row>216</xdr:row>
      <xdr:rowOff>132028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C8A51-A746-4A2D-AB4A-DE1A146748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4848" t="91514" r="43338" b="1077"/>
        <a:stretch/>
      </xdr:blipFill>
      <xdr:spPr>
        <a:xfrm>
          <a:off x="3583974" y="40871776"/>
          <a:ext cx="683226" cy="351102"/>
        </a:xfrm>
        <a:prstGeom prst="rect">
          <a:avLst/>
        </a:prstGeom>
        <a:ln w="6350">
          <a:noFill/>
        </a:ln>
      </xdr:spPr>
    </xdr:pic>
    <xdr:clientData/>
  </xdr:twoCellAnchor>
  <xdr:twoCellAnchor editAs="oneCell">
    <xdr:from>
      <xdr:col>6</xdr:col>
      <xdr:colOff>457200</xdr:colOff>
      <xdr:row>217</xdr:row>
      <xdr:rowOff>40607</xdr:rowOff>
    </xdr:from>
    <xdr:to>
      <xdr:col>7</xdr:col>
      <xdr:colOff>590550</xdr:colOff>
      <xdr:row>217</xdr:row>
      <xdr:rowOff>162426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88577EF-2E42-127B-2081-DB1CD2072DE9}"/>
            </a:ext>
          </a:extLst>
        </xdr:cNvPr>
        <xdr:cNvSpPr/>
      </xdr:nvSpPr>
      <xdr:spPr>
        <a:xfrm>
          <a:off x="4171950" y="41321957"/>
          <a:ext cx="752475" cy="1218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0</xdr:col>
      <xdr:colOff>21533</xdr:colOff>
      <xdr:row>283</xdr:row>
      <xdr:rowOff>49696</xdr:rowOff>
    </xdr:from>
    <xdr:to>
      <xdr:col>5</xdr:col>
      <xdr:colOff>256760</xdr:colOff>
      <xdr:row>299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7D169BC8-4514-43E5-9B40-3477D8B10F49}"/>
                </a:ext>
              </a:extLst>
            </xdr:cNvPr>
            <xdr:cNvSpPr txBox="1"/>
          </xdr:nvSpPr>
          <xdr:spPr>
            <a:xfrm>
              <a:off x="21533" y="53911500"/>
              <a:ext cx="3341205" cy="316975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The directions of the reactions are flipped to observe the effect of the external forces on the material.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Mohrs Circle Coordinates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en-US" sz="11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𝑃𝑡</m:t>
                    </m:r>
                    <m:r>
                      <a:rPr kumimoji="0" lang="en-US" sz="11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1=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𝜎</m:t>
                            </m:r>
                          </m:e>
                          <m:sub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 </m:t>
                        </m:r>
                        <m:sSub>
                          <m:sSubPr>
                            <m:ctrlP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𝜏</m:t>
                            </m:r>
                          </m:e>
                          <m:sub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en-US" sz="11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𝑃𝑡</m:t>
                    </m:r>
                    <m:r>
                      <a:rPr kumimoji="0" lang="en-US" sz="11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2=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𝜎</m:t>
                            </m:r>
                          </m:e>
                          <m:sub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 </m:t>
                        </m:r>
                        <m:sSub>
                          <m:sSubPr>
                            <m:ctrlP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𝜏</m:t>
                            </m:r>
                          </m:e>
                          <m:sub>
                            <m: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Stress Element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Visible orange edges are kept on top of the element diagrams as though viewed from the outside of the pole.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Forces from the central diagram are translated to X, Y, and XY axis' on the element diagrams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See appendix for explanation of stress axis assignment and formulas</a:t>
              </a:r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7D169BC8-4514-43E5-9B40-3477D8B10F49}"/>
                </a:ext>
              </a:extLst>
            </xdr:cNvPr>
            <xdr:cNvSpPr txBox="1"/>
          </xdr:nvSpPr>
          <xdr:spPr>
            <a:xfrm>
              <a:off x="21533" y="53911500"/>
              <a:ext cx="3341205" cy="316975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The directions of the reactions are flipped to observe the effect of the external forces on the material.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Mohrs Circle Coordinates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𝑃𝑡1=(𝜎_𝑥, 〖−𝜏〗_𝑥𝑦 )</a:t>
              </a: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𝑃𝑡2=(𝜎_𝑦, 𝜏_𝑥𝑦 )</a:t>
              </a: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Stress Element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Visible orange edges are kept on top of the element diagrams as though viewed from the outside of the pole.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Forces from the central diagram are translated to X, Y, and XY axis' on the element diagrams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See appendix for explanation of stress axis assignment and formulas</a:t>
              </a:r>
              <a:endParaRPr lang="en-US">
                <a:effectLst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</mc:Fallback>
    </mc:AlternateContent>
    <xdr:clientData/>
  </xdr:twoCellAnchor>
  <xdr:twoCellAnchor editAs="oneCell">
    <xdr:from>
      <xdr:col>5</xdr:col>
      <xdr:colOff>611259</xdr:colOff>
      <xdr:row>267</xdr:row>
      <xdr:rowOff>38101</xdr:rowOff>
    </xdr:from>
    <xdr:to>
      <xdr:col>10</xdr:col>
      <xdr:colOff>572816</xdr:colOff>
      <xdr:row>283</xdr:row>
      <xdr:rowOff>16567</xdr:rowOff>
    </xdr:to>
    <xdr:pic>
      <xdr:nvPicPr>
        <xdr:cNvPr id="26" name="Picture 15">
          <a:extLst>
            <a:ext uri="{FF2B5EF4-FFF2-40B4-BE49-F238E27FC236}">
              <a16:creationId xmlns:a16="http://schemas.microsoft.com/office/drawing/2014/main" id="{0DA63168-9402-04DB-7E47-85EDE5A57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237" y="50851905"/>
          <a:ext cx="3067536" cy="302646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156127</xdr:colOff>
      <xdr:row>234</xdr:row>
      <xdr:rowOff>22362</xdr:rowOff>
    </xdr:from>
    <xdr:to>
      <xdr:col>4</xdr:col>
      <xdr:colOff>609601</xdr:colOff>
      <xdr:row>249</xdr:row>
      <xdr:rowOff>171449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3B7BCD-226A-2C2D-B0D0-E6541864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127" y="44542212"/>
          <a:ext cx="2929974" cy="300658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116497</xdr:colOff>
      <xdr:row>182</xdr:row>
      <xdr:rowOff>117844</xdr:rowOff>
    </xdr:from>
    <xdr:to>
      <xdr:col>10</xdr:col>
      <xdr:colOff>560168</xdr:colOff>
      <xdr:row>199</xdr:row>
      <xdr:rowOff>19049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B7EF6BEF-B78F-17C8-3B06-CA563D9B6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294" r="-3295"/>
        <a:stretch/>
      </xdr:blipFill>
      <xdr:spPr>
        <a:xfrm>
          <a:off x="3212122" y="34731694"/>
          <a:ext cx="3539296" cy="313970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11478</xdr:colOff>
      <xdr:row>151</xdr:row>
      <xdr:rowOff>14567</xdr:rowOff>
    </xdr:from>
    <xdr:to>
      <xdr:col>11</xdr:col>
      <xdr:colOff>0</xdr:colOff>
      <xdr:row>159</xdr:row>
      <xdr:rowOff>9524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76BC69D5-E755-2260-7978-CA0C56FDB606}"/>
            </a:ext>
          </a:extLst>
        </xdr:cNvPr>
        <xdr:cNvSpPr txBox="1"/>
      </xdr:nvSpPr>
      <xdr:spPr>
        <a:xfrm>
          <a:off x="2487978" y="28722917"/>
          <a:ext cx="4322397" cy="15189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Linear Axis' (X,Y,Z)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Rotational Axis' (Mx, My, Mz)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solidFill>
                <a:schemeClr val="accent3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Origin (0,0,0)</a:t>
          </a:r>
          <a:endParaRPr lang="en-US" sz="1400" b="0" baseline="0">
            <a:solidFill>
              <a:schemeClr val="accent3">
                <a:lumMod val="50000"/>
              </a:schemeClr>
            </a:solidFill>
          </a:endParaRPr>
        </a:p>
        <a:p>
          <a:pPr algn="l"/>
          <a:r>
            <a:rPr lang="en-US" sz="1400" b="0" baseline="0">
              <a:solidFill>
                <a:schemeClr val="accent2"/>
              </a:solidFill>
            </a:rPr>
            <a:t>Center of Gravity &amp; Weight Force</a:t>
          </a:r>
        </a:p>
        <a:p>
          <a:pPr algn="l"/>
          <a:r>
            <a:rPr lang="en-US" sz="1400" b="0" baseline="0">
              <a:solidFill>
                <a:srgbClr val="FF0000"/>
              </a:solidFill>
            </a:rPr>
            <a:t>Centroid &amp; Wind Force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COG = Centroid for Wind Force &amp; Weight Force</a:t>
          </a:r>
        </a:p>
      </xdr:txBody>
    </xdr:sp>
    <xdr:clientData/>
  </xdr:twoCellAnchor>
  <xdr:twoCellAnchor>
    <xdr:from>
      <xdr:col>4</xdr:col>
      <xdr:colOff>16565</xdr:colOff>
      <xdr:row>51</xdr:row>
      <xdr:rowOff>24847</xdr:rowOff>
    </xdr:from>
    <xdr:to>
      <xdr:col>10</xdr:col>
      <xdr:colOff>604630</xdr:colOff>
      <xdr:row>99</xdr:row>
      <xdr:rowOff>173935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2" name="TextBox 241">
              <a:extLst>
                <a:ext uri="{FF2B5EF4-FFF2-40B4-BE49-F238E27FC236}">
                  <a16:creationId xmlns:a16="http://schemas.microsoft.com/office/drawing/2014/main" id="{4EC520C0-B54A-5D79-3BA7-2C23B18B1351}"/>
                </a:ext>
              </a:extLst>
            </xdr:cNvPr>
            <xdr:cNvSpPr txBox="1"/>
          </xdr:nvSpPr>
          <xdr:spPr>
            <a:xfrm>
              <a:off x="2501348" y="9690651"/>
              <a:ext cx="4315239" cy="929308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Note that letters refer to labels in</a:t>
              </a:r>
              <a:r>
                <a:rPr lang="en-US" sz="1100" b="1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dimension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 baseline="0">
                <a:solidFill>
                  <a:srgbClr val="0070C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Assumptions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1) Wind is linear and blows only towards -Z axis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2) Anemometer is massless and dimensionless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3) Tapered beams have continuous wall thickness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4) Center of gravity of the light fixtures are located at </a:t>
              </a:r>
              <a:r>
                <a:rPr lang="en-US" sz="1100" b="0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Q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/2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5) Bottom edge of all light fixtures align with the top of dimension </a:t>
              </a:r>
              <a:r>
                <a:rPr lang="en-US" sz="1100" b="0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endParaRPr lang="en-US" sz="1100" b="0" i="0">
                <a:solidFill>
                  <a:srgbClr val="0070C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--General Equations--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Wind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Pressure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=0.613 ∗</m:t>
                    </m:r>
                    <m:sSup>
                      <m:sSup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Velocity</m:t>
                        </m:r>
                      </m:e>
                      <m:sup>
                        <m: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Taper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Loss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Per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Meter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(</m:t>
                    </m:r>
                    <m:r>
                      <m:rPr>
                        <m:sty m:val="p"/>
                      </m:rP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TLoss</m:t>
                    </m:r>
                    <m:r>
                      <a:rPr lang="en-US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</m:t>
                    </m:r>
                    <m:f>
                      <m:f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d>
                          <m:d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Root</m:t>
                            </m:r>
                            <m: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Diameter</m:t>
                            </m:r>
                            <m: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Tip</m:t>
                            </m:r>
                            <m: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Diameter</m:t>
                            </m:r>
                          </m:e>
                        </m:d>
                      </m:num>
                      <m:den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Length</m:t>
                        </m:r>
                      </m:den>
                    </m:f>
                  </m:oMath>
                </m:oMathPara>
              </a14:m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Dia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.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of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Tapered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Beam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at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Length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Root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Dia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TLoss</m:t>
                        </m:r>
                        <m: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∗</m:t>
                        </m:r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Length</m:t>
                        </m:r>
                      </m:e>
                    </m:d>
                  </m:oMath>
                </m:oMathPara>
              </a14:m>
              <a:endParaRPr lang="en-US" sz="1100" b="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-- Vertical</a:t>
              </a:r>
              <a:r>
                <a:rPr lang="en-US" sz="1100" b="1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Beam Calculations --</a:t>
              </a:r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Vertical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Beam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Trapezoid</m:t>
                        </m:r>
                      </m:e>
                    </m:d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Surface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Area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Height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Base</m:t>
                        </m:r>
                        <m: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Top</m:t>
                        </m:r>
                      </m:num>
                      <m:den>
                        <m: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Local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Windforce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Wind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Force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∗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Surface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Area</m:t>
                    </m:r>
                  </m:oMath>
                </m:oMathPara>
              </a14:m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Vertical</a:t>
              </a:r>
              <a:r>
                <a:rPr lang="en-US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Beam Center of Gravity dy - See </a:t>
              </a:r>
              <a:r>
                <a:rPr lang="en-US" sz="1100" i="0" u="sng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Appendix</a:t>
              </a:r>
              <a:endParaRPr lang="en-US" sz="1100" i="0" u="sng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Vertical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Beam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Centroid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dy</m:t>
                    </m:r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Height</m:t>
                        </m:r>
                      </m:num>
                      <m:den>
                        <m: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den>
                    </m:f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Top</m:t>
                            </m:r>
                            <m: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Base</m:t>
                            </m:r>
                          </m:num>
                          <m:den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Top</m:t>
                            </m:r>
                            <m: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Base</m:t>
                            </m:r>
                          </m:den>
                        </m:f>
                      </m:e>
                    </m:d>
                  </m:oMath>
                </m:oMathPara>
              </a14:m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Volume - See </a:t>
              </a:r>
              <a:r>
                <a:rPr lang="en-US" sz="1100" i="0" u="sng">
                  <a:latin typeface="Cambria Math" panose="02040503050406030204" pitchFamily="18" charset="0"/>
                  <a:ea typeface="Cambria Math" panose="02040503050406030204" pitchFamily="18" charset="0"/>
                </a:rPr>
                <a:t>Appendix</a:t>
              </a: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-- 3 Segment</a:t>
              </a:r>
              <a:r>
                <a:rPr lang="en-US" sz="1100" b="1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Traffic Light Calculations --</a:t>
              </a:r>
            </a:p>
            <a:p>
              <a:pPr algn="ctr"/>
              <a:endParaRPr lang="en-US" sz="1100" b="1" i="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14:m>
                <m:oMath xmlns:m="http://schemas.openxmlformats.org/officeDocument/2006/math"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Centroid</m:t>
                  </m:r>
                  <m: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dx</m:t>
                  </m:r>
                  <m: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=</m:t>
                  </m:r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Radius</m:t>
                  </m:r>
                  <m: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of</m:t>
                  </m:r>
                  <m: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Vertical</m:t>
                  </m:r>
                  <m: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r>
                    <m:rPr>
                      <m:sty m:val="p"/>
                    </m:rPr>
                    <a:rPr lang="en-US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Beam</m:t>
                  </m:r>
                  <m:r>
                    <a:rPr lang="en-US" sz="1100" b="0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+</m:t>
                  </m:r>
                  <m:d>
                    <m:dPr>
                      <m:ctrlPr>
                        <a:rPr lang="en-US" sz="1100" b="0" i="1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dPr>
                    <m:e>
                      <m:r>
                        <m:rPr>
                          <m:sty m:val="p"/>
                        </m:rP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70C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K</m:t>
                      </m:r>
                    </m:e>
                  </m:d>
                </m:oMath>
              </a14:m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cos(</a:t>
              </a:r>
              <a:r>
                <a:rPr lang="en-US" sz="1100" b="0" i="0">
                  <a:solidFill>
                    <a:srgbClr val="0070C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F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Centroid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sSub>
                      <m:sSub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dx</m:t>
                        </m:r>
                      </m:e>
                      <m:sub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b>
                    </m:sSub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Radius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of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Vertical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Beam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K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L</m:t>
                        </m:r>
                      </m:e>
                    </m:d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cos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F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Centroid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sSub>
                      <m:sSub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dy</m:t>
                        </m:r>
                      </m:e>
                      <m:sub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1,2</m:t>
                        </m:r>
                      </m:sub>
                    </m:sSub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+(</m:t>
                    </m:r>
                    <m:f>
                      <m:fPr>
                        <m:type m:val="lin"/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P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den>
                    </m:f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Centroid</m:t>
                    </m:r>
                    <m: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en-US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d</m:t>
                        </m:r>
                        <m:r>
                          <a:rPr lang="en-US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lang="en-US" sz="1100" b="0" i="0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1,2</m:t>
                        </m:r>
                      </m:sub>
                    </m:sSub>
                    <m: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Radius</m:t>
                    </m:r>
                    <m: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of</m:t>
                    </m:r>
                    <m: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Mast</m:t>
                    </m:r>
                    <m:r>
                      <a:rPr lang="en-US" sz="1100" b="0" i="0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f>
                      <m:fPr>
                        <m:type m:val="lin"/>
                        <m:ctrlPr>
                          <a:rPr lang="en-US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0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m:rPr>
                            <m:sty m:val="p"/>
                          </m:rPr>
                          <a:rPr lang="en-US" sz="1100" b="0" i="0" baseline="0">
                            <a:solidFill>
                              <a:srgbClr val="0070C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Q</m:t>
                        </m:r>
                      </m:num>
                      <m:den>
                        <m:r>
                          <a:rPr lang="en-US" sz="1100" b="0" i="0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2) </m:t>
                        </m:r>
                      </m:den>
                    </m:f>
                  </m:oMath>
                </m:oMathPara>
              </a14:m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-- 4 Segment Traffic Light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Centroid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dx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Radius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of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Vertical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Beam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K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L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M</m:t>
                        </m:r>
                      </m:e>
                    </m:d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cos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F</m:t>
                    </m:r>
                    <m:r>
                      <m:rPr>
                        <m:nor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Centroid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dy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+(</m:t>
                    </m:r>
                    <m:f>
                      <m:fPr>
                        <m:type m:val="lin"/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P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den>
                    </m:f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Centroid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dz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Radius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of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Mast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f>
                      <m:fPr>
                        <m:type m:val="lin"/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Q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2) </m:t>
                        </m:r>
                      </m:den>
                    </m:f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Note that the radius of the mast and the vertical beam differ over the span of their lengths. Taper Loss value is used to determine value at each location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>
        <xdr:sp macro="" textlink="">
          <xdr:nvSpPr>
            <xdr:cNvPr id="242" name="TextBox 241">
              <a:extLst>
                <a:ext uri="{FF2B5EF4-FFF2-40B4-BE49-F238E27FC236}">
                  <a16:creationId xmlns:a16="http://schemas.microsoft.com/office/drawing/2014/main" id="{4EC520C0-B54A-5D79-3BA7-2C23B18B1351}"/>
                </a:ext>
              </a:extLst>
            </xdr:cNvPr>
            <xdr:cNvSpPr txBox="1"/>
          </xdr:nvSpPr>
          <xdr:spPr>
            <a:xfrm>
              <a:off x="2501348" y="9690651"/>
              <a:ext cx="4315239" cy="929308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Note that letters refer to labels in</a:t>
              </a:r>
              <a:r>
                <a:rPr lang="en-US" sz="1100" b="1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dimension diagram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 baseline="0">
                <a:solidFill>
                  <a:srgbClr val="0070C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Assumptions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1) Wind is linear and blows only towards -Z axis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2) Anemometer is massless and dimensionless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3) Tapered beams have continuous wall thickness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4) Center of gravity of the light fixtures are located at </a:t>
              </a:r>
              <a:r>
                <a:rPr lang="en-US" sz="1100" b="0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Q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/2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5) Bottom edge of all light fixtures align with the top of dimension </a:t>
              </a:r>
              <a:r>
                <a:rPr lang="en-US" sz="1100" b="0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endParaRPr lang="en-US" sz="1100" b="0" i="0">
                <a:solidFill>
                  <a:srgbClr val="0070C0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--General Equations--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Wind Pressure=0.613 ∗Velocity^2</a:t>
              </a:r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Taper Loss Per Meter (TLoss)=((Root Diameter−Tip Diameter))/Length</a:t>
              </a:r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Dia. of Tapered Beam at Length=Root Dia −(TLoss ∗Length)</a:t>
              </a: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-- Vertical</a:t>
              </a:r>
              <a:r>
                <a:rPr lang="en-US" sz="1100" b="1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Beam Calculations --</a:t>
              </a:r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Vertical Beam (Trapezoid)  Surface Area=Height∗(Base+Top)/2</a:t>
              </a:r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Local Windforce=Wind Force ∗Surface Area</a:t>
              </a:r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Vertical</a:t>
              </a:r>
              <a:r>
                <a:rPr lang="en-US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Beam Center of Gravity dy - See </a:t>
              </a:r>
              <a:r>
                <a:rPr lang="en-US" sz="1100" i="0" u="sng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Appendix</a:t>
              </a:r>
              <a:endParaRPr lang="en-US" sz="1100" i="0" u="sng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Vertical Beam Centroid dy =Height/3 ((2Top+Base)/(Top+Base))</a:t>
              </a:r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Volume - See </a:t>
              </a:r>
              <a:r>
                <a:rPr lang="en-US" sz="1100" i="0" u="sng">
                  <a:latin typeface="Cambria Math" panose="02040503050406030204" pitchFamily="18" charset="0"/>
                  <a:ea typeface="Cambria Math" panose="02040503050406030204" pitchFamily="18" charset="0"/>
                </a:rPr>
                <a:t>Appendix</a:t>
              </a: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1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-- 3 Segment</a:t>
              </a:r>
              <a:r>
                <a:rPr lang="en-US" sz="1100" b="1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Traffic Light Calculations --</a:t>
              </a:r>
            </a:p>
            <a:p>
              <a:pPr algn="ctr"/>
              <a:endParaRPr lang="en-US" sz="1100" b="1" i="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Centroid dx=Radius of Vertical Beam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K)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cos(</a:t>
              </a:r>
              <a:r>
                <a:rPr lang="en-US" sz="1100" b="0" i="0">
                  <a:solidFill>
                    <a:srgbClr val="0070C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F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dx_2=Radius of Vertical Beam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K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L)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"cos(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)"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dy_1,2=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∕2)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Centroid 〖d𝑧〗_1,2=Radius of Mast+〖(</a:t>
              </a:r>
              <a:r>
                <a:rPr lang="en-US" sz="1100" b="0" i="0" baseline="0">
                  <a:solidFill>
                    <a:srgbClr val="0070C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Q</a:t>
              </a:r>
              <a:r>
                <a:rPr lang="en-US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〗∕〖2) 〗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-- 4 Segment Traffic Light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dx=Radius of Vertical Beam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K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M)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"cos(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)"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dy=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∕2)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Centroid dz=Radius of Mast+〖(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Q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〗∕〖2) 〗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Note that the radius of the mast and the vertical beam differ over the span of their lengths. Taper Loss value is used to determine value at each location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 b="0" i="0" baseline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twoCellAnchor>
  <xdr:twoCellAnchor>
    <xdr:from>
      <xdr:col>4</xdr:col>
      <xdr:colOff>19050</xdr:colOff>
      <xdr:row>101</xdr:row>
      <xdr:rowOff>9526</xdr:rowOff>
    </xdr:from>
    <xdr:to>
      <xdr:col>10</xdr:col>
      <xdr:colOff>607115</xdr:colOff>
      <xdr:row>146</xdr:row>
      <xdr:rowOff>152400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3" name="TextBox 242">
              <a:extLst>
                <a:ext uri="{FF2B5EF4-FFF2-40B4-BE49-F238E27FC236}">
                  <a16:creationId xmlns:a16="http://schemas.microsoft.com/office/drawing/2014/main" id="{A6C620A1-7755-49E8-A9C5-A6F58E40BC1F}"/>
                </a:ext>
              </a:extLst>
            </xdr:cNvPr>
            <xdr:cNvSpPr txBox="1"/>
          </xdr:nvSpPr>
          <xdr:spPr>
            <a:xfrm>
              <a:off x="2495550" y="19192876"/>
              <a:ext cx="4302815" cy="871537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Mast (Whole)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Mast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Trapezoid</m:t>
                        </m:r>
                      </m:e>
                    </m:d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Surface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Area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Length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∗</m:t>
                    </m:r>
                    <m:f>
                      <m:f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Root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Tip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den>
                    </m:f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Center of Gravity dx - </a:t>
              </a:r>
              <a:r>
                <a:rPr kumimoji="0" lang="en-US" sz="1100" b="0" i="0" u="sng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See Appendix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Center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of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Gravity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dy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func>
                      <m:func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uncPr>
                      <m:fName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dx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∗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tan</m:t>
                        </m:r>
                      </m:fName>
                      <m:e>
                        <m:d>
                          <m:dPr>
                            <m:ctrlPr>
                              <a:rPr kumimoji="0" lang="en-US" sz="11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kumimoji="0" 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70C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</m:t>
                            </m:r>
                          </m:e>
                        </m:d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 </m:t>
                        </m:r>
                      </m:e>
                    </m:func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Volume - </a:t>
              </a:r>
              <a:r>
                <a:rPr kumimoji="0" lang="en-US" sz="1100" b="0" i="0" u="sng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See Appendix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Mast Section 1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Length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K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−</m:t>
                    </m:r>
                    <m:f>
                      <m:fPr>
                        <m:type m:val="lin"/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70C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N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den>
                    </m:f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Mast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d>
                      <m:d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Trapezoid</m:t>
                        </m:r>
                      </m:e>
                    </m:d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Surface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Area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Length</m:t>
                    </m:r>
                    <m:r>
                      <a: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∗</m:t>
                    </m:r>
                    <m:f>
                      <m:fPr>
                        <m:ctrlPr>
                          <a:rPr kumimoji="0" lang="en-US" sz="11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Root</m:t>
                        </m:r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m:rPr>
                            <m:sty m:val="p"/>
                          </m:rP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Tip</m:t>
                        </m:r>
                      </m:num>
                      <m:den>
                        <m:r>
                          <a:rPr kumimoji="0" 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den>
                    </m:f>
                  </m:oMath>
                </m:oMathPara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dx </a:t>
              </a:r>
              <a14:m>
                <m:oMath xmlns:m="http://schemas.openxmlformats.org/officeDocument/2006/math">
                  <m:r>
                    <a: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f>
                    <m:fPr>
                      <m:ctrlPr>
                        <a:rPr kumimoji="0" lang="en-US" sz="11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kumimoji="0" lang="en-US" sz="11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h</m:t>
                      </m:r>
                    </m:num>
                    <m:den>
                      <m:r>
                        <a:rPr kumimoji="0" lang="en-US" sz="11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den>
                  </m:f>
                  <m:d>
                    <m:dPr>
                      <m:ctrlPr>
                        <a:rPr kumimoji="0" lang="en-US" sz="11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Pr>
                        <m:num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𝑅𝑜𝑜𝑡</m:t>
                          </m:r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+2</m:t>
                          </m:r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𝑇𝑖𝑝</m:t>
                          </m:r>
                        </m:num>
                        <m:den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𝑅𝑜𝑜𝑡</m:t>
                          </m:r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+</m:t>
                          </m:r>
                          <m: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𝑇𝑖𝑝</m:t>
                          </m:r>
                        </m:den>
                      </m:f>
                    </m:e>
                  </m:d>
                </m:oMath>
              </a14:m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cos(F) + Radius of Vertical Beam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ea typeface="Cambria Math" panose="02040503050406030204" pitchFamily="18" charset="0"/>
                  <a:cs typeface="+mn-cs"/>
                </a:rPr>
                <a:t>Centroid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dy</m:t>
                  </m:r>
                  <m:r>
                    <a: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r>
                    <m:rPr>
                      <m:sty m:val="p"/>
                    </m:rPr>
                    <a: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70C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B</m:t>
                  </m:r>
                  <m:r>
                    <a: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+</m:t>
                  </m:r>
                  <m:func>
                    <m:funcPr>
                      <m:ctrlPr>
                        <a:rPr kumimoji="0" lang="en-US" sz="11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uncPr>
                    <m:fName>
                      <m: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m:rPr>
                          <m:sty m:val="p"/>
                        </m:rP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dx</m:t>
                      </m:r>
                      <m: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∗</m:t>
                      </m:r>
                      <m:r>
                        <m:rPr>
                          <m:sty m:val="p"/>
                        </m:rP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tan</m:t>
                      </m:r>
                    </m:fName>
                    <m:e>
                      <m:d>
                        <m:dPr>
                          <m:ctrlPr>
                            <a:rPr kumimoji="0" lang="en-US" sz="11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dPr>
                        <m:e>
                          <m:r>
                            <m:rPr>
                              <m:sty m:val="p"/>
                            </m:rPr>
                            <a:rPr kumimoji="0" 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70C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F</m:t>
                          </m:r>
                        </m:e>
                      </m:d>
                      <m:r>
                        <a: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 </m:t>
                      </m:r>
                    </m:e>
                  </m:func>
                </m:oMath>
              </a14:m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Mast Sections 2 &amp; 3 follow similarly to Section 1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>
        <xdr:sp macro="" textlink="">
          <xdr:nvSpPr>
            <xdr:cNvPr id="243" name="TextBox 242">
              <a:extLst>
                <a:ext uri="{FF2B5EF4-FFF2-40B4-BE49-F238E27FC236}">
                  <a16:creationId xmlns:a16="http://schemas.microsoft.com/office/drawing/2014/main" id="{A6C620A1-7755-49E8-A9C5-A6F58E40BC1F}"/>
                </a:ext>
              </a:extLst>
            </xdr:cNvPr>
            <xdr:cNvSpPr txBox="1"/>
          </xdr:nvSpPr>
          <xdr:spPr>
            <a:xfrm>
              <a:off x="2495550" y="19192876"/>
              <a:ext cx="4302815" cy="871537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Mast (Whole)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Mast (Trapezoid)  Surface Area=Length∗(Root+Tip)/2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Center of Gravity dx - </a:t>
              </a:r>
              <a:r>
                <a:rPr kumimoji="0" lang="en-US" sz="1100" b="0" i="0" u="sng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See Appendix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Center of Gravity dy=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+〖(dx∗tan〗⁡〖(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F)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〗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Volume - </a:t>
              </a:r>
              <a:r>
                <a:rPr kumimoji="0" lang="en-US" sz="1100" b="0" i="0" u="sng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See Appendix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-- Mast Section 1 Calculations --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Length=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K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−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N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∕2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Mast (Trapezoid)  Surface Area=Length∗(Root+Tip)/2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Centroid dx =ℎ/3 ((𝑅𝑜𝑜𝑡+2𝑇𝑖𝑝)/(𝑅𝑜𝑜𝑡+𝑇𝑖𝑝))cos(F) + Radius of Vertical Beam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ea typeface="Cambria Math" panose="02040503050406030204" pitchFamily="18" charset="0"/>
                  <a:cs typeface="+mn-cs"/>
                </a:rPr>
                <a:t>Centroid 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dy=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+〖(dx∗tan〗⁡〖(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F)</a:t>
              </a: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〗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Mast Sections 2 &amp; 3 follow similarly to Section 1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twoCellAnchor>
  <xdr:twoCellAnchor editAs="oneCell">
    <xdr:from>
      <xdr:col>0</xdr:col>
      <xdr:colOff>47624</xdr:colOff>
      <xdr:row>302</xdr:row>
      <xdr:rowOff>19050</xdr:rowOff>
    </xdr:from>
    <xdr:to>
      <xdr:col>4</xdr:col>
      <xdr:colOff>451533</xdr:colOff>
      <xdr:row>316</xdr:row>
      <xdr:rowOff>171450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4EA59C9-24EE-18B6-13A0-192873EC1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548" t="3846"/>
        <a:stretch/>
      </xdr:blipFill>
      <xdr:spPr>
        <a:xfrm>
          <a:off x="47624" y="57492900"/>
          <a:ext cx="2880409" cy="2819400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302</xdr:row>
      <xdr:rowOff>9525</xdr:rowOff>
    </xdr:from>
    <xdr:to>
      <xdr:col>10</xdr:col>
      <xdr:colOff>600075</xdr:colOff>
      <xdr:row>316</xdr:row>
      <xdr:rowOff>161925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4" name="TextBox 303">
              <a:extLst>
                <a:ext uri="{FF2B5EF4-FFF2-40B4-BE49-F238E27FC236}">
                  <a16:creationId xmlns:a16="http://schemas.microsoft.com/office/drawing/2014/main" id="{961438E9-FB20-DB48-0F52-498D07379CC2}"/>
                </a:ext>
              </a:extLst>
            </xdr:cNvPr>
            <xdr:cNvSpPr txBox="1"/>
          </xdr:nvSpPr>
          <xdr:spPr>
            <a:xfrm>
              <a:off x="2895600" y="57483375"/>
              <a:ext cx="3895725" cy="281940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Center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of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Gravity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dx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dy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=0 , </m:t>
                    </m:r>
                    <m:f>
                      <m:fPr>
                        <m:ctrl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hA</m:t>
                        </m:r>
                      </m:num>
                      <m:den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</m:t>
                        </m:r>
                      </m:den>
                    </m:f>
                  </m:oMath>
                </m:oMathPara>
              </a14:m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endParaRPr lang="en-US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Volume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Whole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π</m:t>
                        </m:r>
                      </m:num>
                      <m:den>
                        <m: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den>
                    </m:f>
                    <m:d>
                      <m:dPr>
                        <m:ctrl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o</m:t>
                            </m:r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b</m:t>
                            </m:r>
                          </m:sub>
                          <m:sup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  <m: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o</m:t>
                            </m:r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b</m:t>
                            </m:r>
                          </m:sub>
                        </m:sSub>
                        <m:sSub>
                          <m:sSubPr>
                            <m:ctrl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o</m:t>
                            </m:r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t</m:t>
                            </m:r>
                          </m:sub>
                        </m:sSub>
                        <m: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Sup>
                          <m:sSubSupPr>
                            <m:ctrl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o</m:t>
                            </m:r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t</m:t>
                            </m:r>
                          </m:sub>
                          <m:sup>
                            <m:r>
                              <a:rPr lang="en-US" sz="1200" b="0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e>
                    </m:d>
                  </m:oMath>
                </m:oMathPara>
              </a14:m>
              <a:endParaRPr lang="en-US" sz="1200" b="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endParaRPr lang="en-US" sz="1200" b="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Volume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Inside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kumimoji="0" lang="en-US" sz="12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hπ</m:t>
                        </m:r>
                      </m:num>
                      <m:den>
                        <m: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3</m:t>
                        </m:r>
                      </m:den>
                    </m:f>
                    <m:d>
                      <m:dPr>
                        <m:ctrlPr>
                          <a:rPr kumimoji="0" lang="en-US" sz="12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kumimoji="0" lang="en-US" sz="12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i</m:t>
                            </m:r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b</m:t>
                            </m:r>
                          </m:sub>
                          <m:sup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bSup>
                        <m: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kumimoji="0" lang="en-US" sz="12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i</m:t>
                            </m:r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b</m:t>
                            </m:r>
                          </m:sub>
                        </m:sSub>
                        <m:sSub>
                          <m:sSubPr>
                            <m:ctrlPr>
                              <a:rPr kumimoji="0" lang="en-US" sz="12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i</m:t>
                            </m:r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b>
                        </m:sSub>
                        <m: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sSubSup>
                          <m:sSubSupPr>
                            <m:ctrlPr>
                              <a:rPr kumimoji="0" lang="en-US" sz="12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r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i</m:t>
                            </m:r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b>
                          <m:sup>
                            <m: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bSup>
                      </m:e>
                    </m:d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Volume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Volume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Whole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Volume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Inside</m:t>
                    </m:r>
                  </m:oMath>
                </m:oMathPara>
              </a14:m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04" name="TextBox 303">
              <a:extLst>
                <a:ext uri="{FF2B5EF4-FFF2-40B4-BE49-F238E27FC236}">
                  <a16:creationId xmlns:a16="http://schemas.microsoft.com/office/drawing/2014/main" id="{961438E9-FB20-DB48-0F52-498D07379CC2}"/>
                </a:ext>
              </a:extLst>
            </xdr:cNvPr>
            <xdr:cNvSpPr txBox="1"/>
          </xdr:nvSpPr>
          <xdr:spPr>
            <a:xfrm>
              <a:off x="2895600" y="57483375"/>
              <a:ext cx="3895725" cy="281940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endParaRPr lang="en-US" sz="1400" b="0" i="1">
                <a:latin typeface="Cambria Math" panose="02040503050406030204" pitchFamily="18" charset="0"/>
              </a:endParaRPr>
            </a:p>
            <a:p>
              <a:pPr/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Center of Gravity dx,dy=0 ,  hA/4𝐵</a:t>
              </a:r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endParaRPr lang="en-US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Volume Whole=hπ/3 (r_(o,b)^2+r_(o,b) r_(o,t)+r_(o,t)^2 )</a:t>
              </a:r>
            </a:p>
            <a:p>
              <a:pPr/>
              <a:endParaRPr lang="en-US" sz="1200" b="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Volume Inside=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hπ/3 (r_(i,b)^2+r_(i,b) r_(i,t)+r_(i,t)^2 ) 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Volume=Volume Whole −Volume Inside</a:t>
              </a:r>
              <a:endParaRPr lang="en-US" sz="1200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0</xdr:colOff>
      <xdr:row>318</xdr:row>
      <xdr:rowOff>9524</xdr:rowOff>
    </xdr:from>
    <xdr:to>
      <xdr:col>10</xdr:col>
      <xdr:colOff>581025</xdr:colOff>
      <xdr:row>334</xdr:row>
      <xdr:rowOff>190499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6" name="TextBox 325">
              <a:extLst>
                <a:ext uri="{FF2B5EF4-FFF2-40B4-BE49-F238E27FC236}">
                  <a16:creationId xmlns:a16="http://schemas.microsoft.com/office/drawing/2014/main" id="{A65CCF91-701E-0641-D1C8-A7E6D48D08AB}"/>
                </a:ext>
              </a:extLst>
            </xdr:cNvPr>
            <xdr:cNvSpPr txBox="1"/>
          </xdr:nvSpPr>
          <xdr:spPr>
            <a:xfrm>
              <a:off x="0" y="60531374"/>
              <a:ext cx="6772275" cy="3228975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lang="en-US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Center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of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Gravity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dx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hA</m:t>
                        </m:r>
                      </m:num>
                      <m:den>
                        <m: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4</m:t>
                        </m:r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B</m:t>
                        </m:r>
                      </m:den>
                    </m:f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∗</m:t>
                    </m:r>
                    <m:func>
                      <m:funcPr>
                        <m:ctrl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cos</m:t>
                        </m:r>
                      </m:fName>
                      <m:e>
                        <m:d>
                          <m:dPr>
                            <m:ctrl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70C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</m:t>
                            </m:r>
                          </m:e>
                        </m:d>
                      </m:e>
                    </m:func>
                  </m:oMath>
                </m:oMathPara>
              </a14:m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Center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of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Gravity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dy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70C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</m:t>
                    </m:r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d>
                      <m:dPr>
                        <m:ctrl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dx</m:t>
                        </m:r>
                        <m: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∗</m:t>
                        </m:r>
                        <m:r>
                          <m:rPr>
                            <m:sty m:val="p"/>
                          </m:rPr>
                          <a:rPr kumimoji="0" lang="en-US" sz="12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tan</m:t>
                        </m:r>
                        <m:d>
                          <m:dPr>
                            <m:ctrl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kumimoji="0" lang="en-US" sz="1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70C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</m:t>
                            </m:r>
                          </m:e>
                        </m:d>
                      </m:e>
                    </m:d>
                    <m:r>
                      <a:rPr kumimoji="0" 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</m:oMath>
                </m:oMathPara>
              </a14:m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/>
              <a:endParaRPr lang="en-US" sz="1100"/>
            </a:p>
            <a:p>
              <a:pPr algn="ctr"/>
              <a:endParaRPr lang="en-US" sz="1100"/>
            </a:p>
            <a:p>
              <a:pPr algn="ctr"/>
              <a:endParaRPr lang="en-US" sz="1100"/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Volume calculations are</a:t>
              </a:r>
              <a:r>
                <a:rPr lang="en-US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identical to the vertical beam using root radius and tip radius instead of bottom and top.</a:t>
              </a:r>
              <a:endParaRPr lang="en-US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26" name="TextBox 325">
              <a:extLst>
                <a:ext uri="{FF2B5EF4-FFF2-40B4-BE49-F238E27FC236}">
                  <a16:creationId xmlns:a16="http://schemas.microsoft.com/office/drawing/2014/main" id="{A65CCF91-701E-0641-D1C8-A7E6D48D08AB}"/>
                </a:ext>
              </a:extLst>
            </xdr:cNvPr>
            <xdr:cNvSpPr txBox="1"/>
          </xdr:nvSpPr>
          <xdr:spPr>
            <a:xfrm>
              <a:off x="0" y="60531374"/>
              <a:ext cx="6772275" cy="3228975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lang="en-US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Center of Gravity dx=hA/4B  ∗cos⁡(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Center of Gravity dy=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+(dx ∗tan(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F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)) 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ctr"/>
              <a:endParaRPr lang="en-US" sz="1100"/>
            </a:p>
            <a:p>
              <a:pPr algn="ctr"/>
              <a:endParaRPr lang="en-US" sz="1100"/>
            </a:p>
            <a:p>
              <a:pPr algn="ctr"/>
              <a:endParaRPr lang="en-US" sz="1100"/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endParaRPr lang="en-US" sz="14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 algn="ctr"/>
              <a:r>
                <a:rPr lang="en-US" sz="1200">
                  <a:latin typeface="Cambria Math" panose="02040503050406030204" pitchFamily="18" charset="0"/>
                  <a:ea typeface="Cambria Math" panose="02040503050406030204" pitchFamily="18" charset="0"/>
                </a:rPr>
                <a:t>Volume calculations are</a:t>
              </a:r>
              <a:r>
                <a:rPr lang="en-US" sz="12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identical to the vertical beam using root radius and tip radius instead of bottom and top.</a:t>
              </a:r>
              <a:endParaRPr lang="en-US" sz="12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 editAs="oneCell">
    <xdr:from>
      <xdr:col>4</xdr:col>
      <xdr:colOff>546652</xdr:colOff>
      <xdr:row>302</xdr:row>
      <xdr:rowOff>129211</xdr:rowOff>
    </xdr:from>
    <xdr:to>
      <xdr:col>10</xdr:col>
      <xdr:colOff>506979</xdr:colOff>
      <xdr:row>306</xdr:row>
      <xdr:rowOff>32291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13D9EDC3-7122-0DC1-C9E5-D21FA755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31435" y="57610515"/>
          <a:ext cx="3687501" cy="66508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530085</xdr:colOff>
      <xdr:row>323</xdr:row>
      <xdr:rowOff>173929</xdr:rowOff>
    </xdr:from>
    <xdr:to>
      <xdr:col>9</xdr:col>
      <xdr:colOff>171263</xdr:colOff>
      <xdr:row>330</xdr:row>
      <xdr:rowOff>145536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F88D7DA3-BB2A-E006-48C4-A6F91393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1" y="61655733"/>
          <a:ext cx="4610743" cy="1305107"/>
        </a:xfrm>
        <a:prstGeom prst="rect">
          <a:avLst/>
        </a:prstGeom>
      </xdr:spPr>
    </xdr:pic>
    <xdr:clientData/>
  </xdr:twoCellAnchor>
  <xdr:twoCellAnchor editAs="oneCell">
    <xdr:from>
      <xdr:col>4</xdr:col>
      <xdr:colOff>570948</xdr:colOff>
      <xdr:row>109</xdr:row>
      <xdr:rowOff>74544</xdr:rowOff>
    </xdr:from>
    <xdr:to>
      <xdr:col>10</xdr:col>
      <xdr:colOff>179548</xdr:colOff>
      <xdr:row>114</xdr:row>
      <xdr:rowOff>66261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7DBC5347-4F82-4ACA-B2E5-6F34B8C6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55731" y="20789348"/>
          <a:ext cx="3335774" cy="944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11164</xdr:rowOff>
    </xdr:from>
    <xdr:to>
      <xdr:col>10</xdr:col>
      <xdr:colOff>593044</xdr:colOff>
      <xdr:row>179</xdr:row>
      <xdr:rowOff>9525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6D8D6F1C-E4CF-FBF1-5D94-2EE0B9FB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243514"/>
          <a:ext cx="6784294" cy="3808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27624</xdr:rowOff>
    </xdr:from>
    <xdr:to>
      <xdr:col>10</xdr:col>
      <xdr:colOff>605117</xdr:colOff>
      <xdr:row>349</xdr:row>
      <xdr:rowOff>37687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53DE61B-7DCF-83D9-C93A-765C01D2B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584" r="3306"/>
        <a:stretch/>
      </xdr:blipFill>
      <xdr:spPr>
        <a:xfrm>
          <a:off x="0" y="63968389"/>
          <a:ext cx="6768352" cy="2486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7076</xdr:rowOff>
    </xdr:from>
    <xdr:to>
      <xdr:col>10</xdr:col>
      <xdr:colOff>595377</xdr:colOff>
      <xdr:row>366</xdr:row>
      <xdr:rowOff>133350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11B5B42B-32DB-22CB-DA5D-CDC623987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7005926"/>
          <a:ext cx="6786627" cy="2793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13138</xdr:rowOff>
    </xdr:from>
    <xdr:to>
      <xdr:col>10</xdr:col>
      <xdr:colOff>591206</xdr:colOff>
      <xdr:row>383</xdr:row>
      <xdr:rowOff>172082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86C7B3E0-9E28-C94C-D9CF-482DCE6B4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2277"/>
        <a:stretch/>
      </xdr:blipFill>
      <xdr:spPr>
        <a:xfrm>
          <a:off x="0" y="70064586"/>
          <a:ext cx="6766034" cy="301644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385</xdr:row>
      <xdr:rowOff>17860</xdr:rowOff>
    </xdr:from>
    <xdr:to>
      <xdr:col>10</xdr:col>
      <xdr:colOff>589355</xdr:colOff>
      <xdr:row>399</xdr:row>
      <xdr:rowOff>166687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FC170A5A-528A-C9B9-88E3-59F21C3A0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813" y="73300829"/>
          <a:ext cx="6756792" cy="28158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8283</xdr:rowOff>
    </xdr:from>
    <xdr:to>
      <xdr:col>10</xdr:col>
      <xdr:colOff>604852</xdr:colOff>
      <xdr:row>428</xdr:row>
      <xdr:rowOff>33131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6C255833-C58C-4CAA-8BF8-B2F8F01E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349087"/>
          <a:ext cx="6816809" cy="5168348"/>
        </a:xfrm>
        <a:prstGeom prst="rect">
          <a:avLst/>
        </a:prstGeom>
      </xdr:spPr>
    </xdr:pic>
    <xdr:clientData/>
  </xdr:twoCellAnchor>
  <xdr:twoCellAnchor>
    <xdr:from>
      <xdr:col>6</xdr:col>
      <xdr:colOff>256761</xdr:colOff>
      <xdr:row>30</xdr:row>
      <xdr:rowOff>49696</xdr:rowOff>
    </xdr:from>
    <xdr:to>
      <xdr:col>10</xdr:col>
      <xdr:colOff>588065</xdr:colOff>
      <xdr:row>31</xdr:row>
      <xdr:rowOff>107673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E7997297-5C34-4B8C-0C58-90713D45B5AA}"/>
            </a:ext>
          </a:extLst>
        </xdr:cNvPr>
        <xdr:cNvSpPr txBox="1"/>
      </xdr:nvSpPr>
      <xdr:spPr>
        <a:xfrm>
          <a:off x="3983935" y="5715000"/>
          <a:ext cx="2816087" cy="248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See Appendix for larger scale dimension sheet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DE50-E3B3-482D-9E80-41B82E1FCE72}">
  <dimension ref="A1:R410"/>
  <sheetViews>
    <sheetView tabSelected="1" zoomScale="115" zoomScaleNormal="115" workbookViewId="0">
      <selection activeCell="N42" sqref="N42"/>
    </sheetView>
  </sheetViews>
  <sheetFormatPr defaultRowHeight="15" x14ac:dyDescent="0.25"/>
  <cols>
    <col min="1" max="12" width="9.28515625" customWidth="1"/>
    <col min="14" max="14" width="10.5703125" bestFit="1" customWidth="1"/>
  </cols>
  <sheetData>
    <row r="1" spans="1:11" ht="12.75" customHeight="1" x14ac:dyDescent="0.25">
      <c r="A1" s="45" t="s">
        <v>2</v>
      </c>
      <c r="B1" s="45"/>
      <c r="C1" s="45"/>
      <c r="E1" s="45" t="s">
        <v>1</v>
      </c>
      <c r="F1" s="45"/>
      <c r="G1" s="45"/>
      <c r="H1" s="1"/>
      <c r="J1" s="42" t="s">
        <v>0</v>
      </c>
      <c r="K1" s="42"/>
    </row>
    <row r="2" spans="1:11" ht="12.75" customHeight="1" x14ac:dyDescent="0.25">
      <c r="A2" s="45"/>
      <c r="B2" s="45"/>
      <c r="C2" s="45"/>
      <c r="D2" s="2"/>
      <c r="E2" s="45"/>
      <c r="F2" s="45"/>
      <c r="G2" s="45"/>
      <c r="H2" s="1"/>
      <c r="J2" s="42"/>
      <c r="K2" s="42"/>
    </row>
    <row r="12" spans="1:11" x14ac:dyDescent="0.25">
      <c r="A12" s="43" t="s">
        <v>44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</row>
    <row r="13" spans="1:11" x14ac:dyDescent="0.25">
      <c r="A13" s="4" t="s">
        <v>37</v>
      </c>
      <c r="B13" s="9" t="s">
        <v>46</v>
      </c>
      <c r="C13" s="34"/>
      <c r="D13" s="4" t="s">
        <v>40</v>
      </c>
      <c r="E13" s="9" t="s">
        <v>48</v>
      </c>
      <c r="F13" s="34"/>
      <c r="G13" s="4" t="s">
        <v>41</v>
      </c>
      <c r="H13" s="9" t="s">
        <v>51</v>
      </c>
      <c r="I13" s="34"/>
      <c r="J13" s="4" t="s">
        <v>50</v>
      </c>
      <c r="K13" s="9" t="s">
        <v>53</v>
      </c>
    </row>
    <row r="14" spans="1:11" x14ac:dyDescent="0.25">
      <c r="A14" s="4" t="s">
        <v>38</v>
      </c>
      <c r="B14" s="9" t="s">
        <v>47</v>
      </c>
      <c r="C14" s="35"/>
      <c r="D14" s="4" t="s">
        <v>39</v>
      </c>
      <c r="E14" s="9" t="s">
        <v>49</v>
      </c>
      <c r="F14" s="35"/>
      <c r="G14" s="4" t="s">
        <v>42</v>
      </c>
      <c r="H14" s="9" t="s">
        <v>52</v>
      </c>
      <c r="I14" s="35"/>
      <c r="J14" s="4" t="s">
        <v>43</v>
      </c>
      <c r="K14" s="9" t="s">
        <v>54</v>
      </c>
    </row>
    <row r="15" spans="1:11" x14ac:dyDescent="0.25">
      <c r="A15" s="44" t="s">
        <v>45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</row>
    <row r="16" spans="1:1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</row>
    <row r="17" spans="1:18" x14ac:dyDescent="0.25">
      <c r="A17" s="43" t="s">
        <v>72</v>
      </c>
      <c r="B17" s="43"/>
      <c r="C17" s="43"/>
      <c r="D17" s="43"/>
      <c r="E17" s="43"/>
      <c r="F17" s="43"/>
      <c r="G17" s="43"/>
      <c r="H17" s="43"/>
      <c r="I17" s="43"/>
      <c r="J17" s="43"/>
      <c r="K17" s="43"/>
    </row>
    <row r="18" spans="1:18" ht="15" customHeight="1" x14ac:dyDescent="0.25">
      <c r="A18" s="59" t="s">
        <v>55</v>
      </c>
      <c r="B18" s="59"/>
      <c r="C18" s="59"/>
      <c r="D18" s="7" t="s">
        <v>56</v>
      </c>
      <c r="E18" s="36"/>
      <c r="F18" s="46" t="s">
        <v>62</v>
      </c>
      <c r="G18" s="47"/>
      <c r="H18" s="36"/>
      <c r="I18" s="46" t="s">
        <v>69</v>
      </c>
      <c r="J18" s="54"/>
      <c r="K18" s="47"/>
    </row>
    <row r="19" spans="1:18" ht="15" customHeight="1" x14ac:dyDescent="0.25">
      <c r="A19" s="60" t="s">
        <v>57</v>
      </c>
      <c r="B19" s="60"/>
      <c r="C19" s="13">
        <v>2700</v>
      </c>
      <c r="D19" s="17" t="s">
        <v>58</v>
      </c>
      <c r="E19" s="37"/>
      <c r="F19" s="48">
        <v>51</v>
      </c>
      <c r="G19" s="49"/>
      <c r="H19" s="37"/>
      <c r="I19" s="48">
        <v>1</v>
      </c>
      <c r="J19" s="55"/>
      <c r="K19" s="49"/>
    </row>
    <row r="20" spans="1:18" ht="15" customHeight="1" x14ac:dyDescent="0.25">
      <c r="A20" s="60" t="s">
        <v>60</v>
      </c>
      <c r="B20" s="60"/>
      <c r="C20" s="13">
        <v>276</v>
      </c>
      <c r="D20" s="8" t="s">
        <v>59</v>
      </c>
      <c r="E20" s="37"/>
      <c r="F20" s="50"/>
      <c r="G20" s="51"/>
      <c r="H20" s="37"/>
      <c r="I20" s="50"/>
      <c r="J20" s="56"/>
      <c r="K20" s="51"/>
    </row>
    <row r="21" spans="1:18" ht="15" customHeight="1" x14ac:dyDescent="0.25">
      <c r="A21" s="60" t="s">
        <v>61</v>
      </c>
      <c r="B21" s="60"/>
      <c r="C21" s="13">
        <v>207</v>
      </c>
      <c r="D21" s="6" t="s">
        <v>59</v>
      </c>
      <c r="E21" s="38"/>
      <c r="F21" s="52"/>
      <c r="G21" s="53"/>
      <c r="H21" s="38"/>
      <c r="I21" s="52"/>
      <c r="J21" s="57"/>
      <c r="K21" s="53"/>
    </row>
    <row r="22" spans="1:18" ht="15" customHeight="1" x14ac:dyDescent="0.25">
      <c r="A22" s="40" t="s">
        <v>73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</row>
    <row r="23" spans="1:18" ht="15" customHeight="1" x14ac:dyDescent="0.25"/>
    <row r="24" spans="1:18" ht="15" customHeight="1" x14ac:dyDescent="0.25">
      <c r="A24" s="61" t="s">
        <v>11</v>
      </c>
      <c r="B24" s="61"/>
      <c r="C24" s="61"/>
      <c r="D24" s="43" t="s">
        <v>67</v>
      </c>
      <c r="E24" s="43"/>
      <c r="F24" s="43" t="s">
        <v>17</v>
      </c>
      <c r="G24" s="43"/>
      <c r="H24" s="43"/>
      <c r="I24" s="43"/>
      <c r="J24" s="43"/>
      <c r="K24" s="43"/>
    </row>
    <row r="25" spans="1:18" ht="15" customHeight="1" x14ac:dyDescent="0.25">
      <c r="A25" s="4" t="s">
        <v>4</v>
      </c>
      <c r="B25" s="22">
        <f>RMx/1000</f>
        <v>50.764640558184311</v>
      </c>
      <c r="C25" s="8" t="s">
        <v>130</v>
      </c>
      <c r="D25" s="58">
        <v>2</v>
      </c>
      <c r="E25" s="58"/>
      <c r="F25" s="3"/>
      <c r="G25" s="7" t="s">
        <v>63</v>
      </c>
      <c r="H25" s="7" t="s">
        <v>64</v>
      </c>
      <c r="I25" s="7" t="s">
        <v>65</v>
      </c>
      <c r="J25" s="7" t="s">
        <v>66</v>
      </c>
      <c r="K25" s="4"/>
    </row>
    <row r="26" spans="1:18" ht="15" customHeight="1" x14ac:dyDescent="0.35">
      <c r="A26" s="4" t="s">
        <v>5</v>
      </c>
      <c r="B26" s="22">
        <f>RMy/1000</f>
        <v>-40.946032972235805</v>
      </c>
      <c r="C26" s="8" t="s">
        <v>130</v>
      </c>
      <c r="D26" s="58"/>
      <c r="E26" s="58"/>
      <c r="F26" s="10" t="s">
        <v>13</v>
      </c>
      <c r="G26" s="20">
        <f>PMax1/1000</f>
        <v>87.457814018632504</v>
      </c>
      <c r="H26" s="20">
        <f>PMax2/1000</f>
        <v>27.598457181706955</v>
      </c>
      <c r="I26" s="20">
        <f>PMax3/1000</f>
        <v>10.900030309435911</v>
      </c>
      <c r="J26" s="20">
        <f>PMax4/1000</f>
        <v>35.413501890227074</v>
      </c>
      <c r="K26" s="3" t="s">
        <v>59</v>
      </c>
      <c r="O26" s="25"/>
      <c r="P26" s="25"/>
      <c r="Q26" s="25"/>
      <c r="R26" s="25"/>
    </row>
    <row r="27" spans="1:18" ht="15" customHeight="1" x14ac:dyDescent="0.35">
      <c r="A27" s="4" t="s">
        <v>3</v>
      </c>
      <c r="B27" s="22">
        <f>RMz/1000</f>
        <v>8.750702189162336</v>
      </c>
      <c r="C27" s="8" t="s">
        <v>130</v>
      </c>
      <c r="D27" s="32" t="s">
        <v>68</v>
      </c>
      <c r="E27" s="32"/>
      <c r="F27" s="10" t="s">
        <v>12</v>
      </c>
      <c r="G27" s="20">
        <f>PMin1/1000</f>
        <v>-10.985200044427824</v>
      </c>
      <c r="H27" s="20">
        <f>PMin2/1000</f>
        <v>-41.231155646291647</v>
      </c>
      <c r="I27" s="20">
        <f>PMin3/1000</f>
        <v>-88.141184489308259</v>
      </c>
      <c r="J27" s="20">
        <f>PMin4/1000</f>
        <v>-22.549343631310062</v>
      </c>
      <c r="K27" s="3" t="s">
        <v>59</v>
      </c>
      <c r="O27" s="25"/>
      <c r="P27" s="25"/>
      <c r="Q27" s="25"/>
      <c r="R27" s="25"/>
    </row>
    <row r="28" spans="1:18" ht="15" customHeight="1" x14ac:dyDescent="0.35">
      <c r="A28" s="4" t="s">
        <v>8</v>
      </c>
      <c r="B28" s="22">
        <f>Rx/1000</f>
        <v>0</v>
      </c>
      <c r="C28" s="8" t="s">
        <v>131</v>
      </c>
      <c r="D28" s="32"/>
      <c r="E28" s="32"/>
      <c r="F28" s="10" t="s">
        <v>14</v>
      </c>
      <c r="G28" s="20">
        <f>SMax1/1000</f>
        <v>49.221507031530166</v>
      </c>
      <c r="H28" s="20">
        <f>SMax2/1000</f>
        <v>34.414806413999301</v>
      </c>
      <c r="I28" s="20">
        <f>SMax3/1000</f>
        <v>49.520607399372082</v>
      </c>
      <c r="J28" s="20">
        <f>SMax4/1000</f>
        <v>28.981422760768567</v>
      </c>
      <c r="K28" s="3" t="s">
        <v>59</v>
      </c>
      <c r="O28" s="25"/>
      <c r="P28" s="25"/>
      <c r="Q28" s="25"/>
      <c r="R28" s="25"/>
    </row>
    <row r="29" spans="1:18" ht="15" customHeight="1" x14ac:dyDescent="0.25">
      <c r="A29" s="4" t="s">
        <v>6</v>
      </c>
      <c r="B29" s="22">
        <f>Ry/1000</f>
        <v>2.8247019537922071</v>
      </c>
      <c r="C29" s="8" t="s">
        <v>131</v>
      </c>
      <c r="D29" s="39" t="str" cm="1">
        <f t="array" ref="D29">_xlfn.IFS(MAX(PrinStresses)*SafetyFactor&gt;TensStr, "FAILURE", MAX(ShearStresses)*SafetyFactor&gt;ShearStr, "FAILURE", TRUE, "SAFE")</f>
        <v>SAFE</v>
      </c>
      <c r="E29" s="39"/>
      <c r="F29" s="11" t="s">
        <v>70</v>
      </c>
      <c r="G29" s="20">
        <f>PPlane1</f>
        <v>-19.514781997737909</v>
      </c>
      <c r="H29" s="20">
        <f>PPlane2</f>
        <v>39.28810234592531</v>
      </c>
      <c r="I29" s="20">
        <f>PPlane3</f>
        <v>19.374793166931209</v>
      </c>
      <c r="J29" s="20">
        <f>PPlane4</f>
        <v>-38.588556572173459</v>
      </c>
      <c r="K29" s="3" t="s">
        <v>16</v>
      </c>
      <c r="O29" s="25"/>
      <c r="P29" s="25"/>
      <c r="Q29" s="25"/>
      <c r="R29" s="25"/>
    </row>
    <row r="30" spans="1:18" ht="15" customHeight="1" x14ac:dyDescent="0.25">
      <c r="A30" s="4" t="s">
        <v>7</v>
      </c>
      <c r="B30" s="22">
        <f>Rz/1000</f>
        <v>10.062330681287756</v>
      </c>
      <c r="C30" s="8" t="s">
        <v>131</v>
      </c>
      <c r="D30" s="39"/>
      <c r="E30" s="39"/>
      <c r="F30" s="12" t="s">
        <v>71</v>
      </c>
      <c r="G30" s="20">
        <f>SPlane1</f>
        <v>25.485218002262091</v>
      </c>
      <c r="H30" s="20">
        <f>SPlane2</f>
        <v>-5.71189765407469</v>
      </c>
      <c r="I30" s="20">
        <f>SPlane3</f>
        <v>-25.625206833068791</v>
      </c>
      <c r="J30" s="20">
        <f>SPlane4</f>
        <v>6.4114434278265406</v>
      </c>
      <c r="K30" s="3" t="s">
        <v>16</v>
      </c>
      <c r="O30" s="25"/>
      <c r="P30" s="25"/>
      <c r="Q30" s="25"/>
      <c r="R30" s="25"/>
    </row>
    <row r="31" spans="1:18" ht="15" customHeight="1" x14ac:dyDescent="0.25"/>
    <row r="32" spans="1:18" ht="15" customHeight="1" x14ac:dyDescent="0.25">
      <c r="A32" s="43" t="s">
        <v>34</v>
      </c>
      <c r="B32" s="43"/>
      <c r="C32" s="43"/>
    </row>
    <row r="33" spans="1:3" x14ac:dyDescent="0.25">
      <c r="A33" s="15" t="s">
        <v>18</v>
      </c>
      <c r="B33" s="14">
        <v>8.49</v>
      </c>
      <c r="C33" s="8" t="s">
        <v>35</v>
      </c>
    </row>
    <row r="34" spans="1:3" x14ac:dyDescent="0.25">
      <c r="A34" s="15" t="s">
        <v>20</v>
      </c>
      <c r="B34" s="14">
        <v>5.49</v>
      </c>
      <c r="C34" s="8" t="s">
        <v>35</v>
      </c>
    </row>
    <row r="35" spans="1:3" x14ac:dyDescent="0.25">
      <c r="A35" s="15" t="s">
        <v>22</v>
      </c>
      <c r="B35" s="14">
        <v>0.372</v>
      </c>
      <c r="C35" s="8" t="s">
        <v>35</v>
      </c>
    </row>
    <row r="36" spans="1:3" x14ac:dyDescent="0.25">
      <c r="A36" s="15" t="s">
        <v>24</v>
      </c>
      <c r="B36" s="14">
        <v>0.26200000000000001</v>
      </c>
      <c r="C36" s="8" t="s">
        <v>35</v>
      </c>
    </row>
    <row r="37" spans="1:3" x14ac:dyDescent="0.25">
      <c r="A37" s="15" t="s">
        <v>26</v>
      </c>
      <c r="B37" s="14">
        <v>6.4000000000000003E-3</v>
      </c>
      <c r="C37" s="8" t="s">
        <v>35</v>
      </c>
    </row>
    <row r="38" spans="1:3" x14ac:dyDescent="0.25">
      <c r="A38" s="15" t="s">
        <v>28</v>
      </c>
      <c r="B38" s="14">
        <f>RADIANS(5)</f>
        <v>8.7266462599716474E-2</v>
      </c>
      <c r="C38" s="8" t="s">
        <v>36</v>
      </c>
    </row>
    <row r="39" spans="1:3" x14ac:dyDescent="0.25">
      <c r="A39" s="15" t="s">
        <v>29</v>
      </c>
      <c r="B39" s="14">
        <v>0.27900000000000003</v>
      </c>
      <c r="C39" s="8" t="s">
        <v>35</v>
      </c>
    </row>
    <row r="40" spans="1:3" x14ac:dyDescent="0.25">
      <c r="A40" s="15" t="s">
        <v>31</v>
      </c>
      <c r="B40" s="14">
        <v>0.127</v>
      </c>
      <c r="C40" s="8" t="s">
        <v>35</v>
      </c>
    </row>
    <row r="41" spans="1:3" x14ac:dyDescent="0.25">
      <c r="A41" s="15" t="s">
        <v>19</v>
      </c>
      <c r="B41" s="14">
        <v>6.1000000000000004E-3</v>
      </c>
      <c r="C41" s="8" t="s">
        <v>35</v>
      </c>
    </row>
    <row r="42" spans="1:3" x14ac:dyDescent="0.25">
      <c r="A42" s="15" t="s">
        <v>21</v>
      </c>
      <c r="B42" s="14">
        <v>13.23</v>
      </c>
      <c r="C42" s="8" t="s">
        <v>35</v>
      </c>
    </row>
    <row r="43" spans="1:3" x14ac:dyDescent="0.25">
      <c r="A43" s="15" t="s">
        <v>23</v>
      </c>
      <c r="B43" s="14">
        <v>5.64</v>
      </c>
      <c r="C43" s="8" t="s">
        <v>35</v>
      </c>
    </row>
    <row r="44" spans="1:3" x14ac:dyDescent="0.25">
      <c r="A44" s="15" t="s">
        <v>25</v>
      </c>
      <c r="B44" s="14">
        <v>3.66</v>
      </c>
      <c r="C44" s="8" t="s">
        <v>35</v>
      </c>
    </row>
    <row r="45" spans="1:3" x14ac:dyDescent="0.25">
      <c r="A45" s="15" t="s">
        <v>27</v>
      </c>
      <c r="B45" s="14">
        <v>3.66</v>
      </c>
      <c r="C45" s="8" t="s">
        <v>35</v>
      </c>
    </row>
    <row r="46" spans="1:3" x14ac:dyDescent="0.25">
      <c r="A46" s="15" t="s">
        <v>10</v>
      </c>
      <c r="B46" s="14">
        <v>1.2</v>
      </c>
      <c r="C46" s="8" t="s">
        <v>35</v>
      </c>
    </row>
    <row r="47" spans="1:3" x14ac:dyDescent="0.25">
      <c r="A47" s="15" t="s">
        <v>30</v>
      </c>
      <c r="B47" s="14">
        <v>1.575</v>
      </c>
      <c r="C47" s="8" t="s">
        <v>35</v>
      </c>
    </row>
    <row r="48" spans="1:3" x14ac:dyDescent="0.25">
      <c r="A48" s="15" t="s">
        <v>32</v>
      </c>
      <c r="B48" s="14">
        <v>0.38700000000000001</v>
      </c>
      <c r="C48" s="8" t="s">
        <v>35</v>
      </c>
    </row>
    <row r="49" spans="1:11" x14ac:dyDescent="0.25">
      <c r="A49" s="15" t="s">
        <v>33</v>
      </c>
      <c r="B49" s="14">
        <v>0.56999999999999995</v>
      </c>
      <c r="C49" s="8" t="s">
        <v>35</v>
      </c>
    </row>
    <row r="51" spans="1:11" ht="15" customHeight="1" x14ac:dyDescent="0.25">
      <c r="A51" s="31" t="s">
        <v>98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  <row r="52" spans="1:11" ht="15" customHeight="1" x14ac:dyDescent="0.25"/>
    <row r="53" spans="1:11" ht="15" customHeight="1" x14ac:dyDescent="0.25">
      <c r="A53" s="41" t="s">
        <v>143</v>
      </c>
      <c r="B53" s="41"/>
      <c r="C53" s="26" cm="1">
        <f t="array" ref="C53">0.613*WSpeed^2</f>
        <v>1594.413</v>
      </c>
      <c r="D53" s="8" t="s">
        <v>144</v>
      </c>
    </row>
    <row r="54" spans="1:11" ht="15" customHeight="1" x14ac:dyDescent="0.25"/>
    <row r="55" spans="1:11" ht="15" customHeight="1" x14ac:dyDescent="0.25">
      <c r="A55" s="32" t="s">
        <v>87</v>
      </c>
      <c r="B55" s="32"/>
      <c r="C55" s="32"/>
      <c r="D55" s="32"/>
    </row>
    <row r="56" spans="1:11" ht="15" customHeight="1" x14ac:dyDescent="0.25">
      <c r="A56" s="32"/>
      <c r="B56" s="32"/>
      <c r="C56" s="32"/>
      <c r="D56" s="32"/>
    </row>
    <row r="57" spans="1:11" ht="15" customHeight="1" x14ac:dyDescent="0.25">
      <c r="A57" s="29" t="s">
        <v>78</v>
      </c>
      <c r="B57" s="29"/>
      <c r="C57" s="19">
        <f>A</f>
        <v>8.49</v>
      </c>
      <c r="D57" s="3" t="s">
        <v>35</v>
      </c>
    </row>
    <row r="58" spans="1:11" ht="15" customHeight="1" x14ac:dyDescent="0.25">
      <c r="A58" s="29" t="s">
        <v>148</v>
      </c>
      <c r="B58" s="29"/>
      <c r="C58" s="19">
        <f>Z</f>
        <v>0.372</v>
      </c>
      <c r="D58" s="3" t="s">
        <v>35</v>
      </c>
    </row>
    <row r="59" spans="1:11" ht="15" customHeight="1" x14ac:dyDescent="0.25">
      <c r="A59" s="29" t="s">
        <v>79</v>
      </c>
      <c r="B59" s="29"/>
      <c r="C59" s="19">
        <f>D</f>
        <v>0.26200000000000001</v>
      </c>
      <c r="D59" s="3" t="s">
        <v>35</v>
      </c>
    </row>
    <row r="60" spans="1:11" ht="15" customHeight="1" x14ac:dyDescent="0.25">
      <c r="A60" s="29" t="s">
        <v>103</v>
      </c>
      <c r="B60" s="29"/>
      <c r="C60" s="19">
        <f>(Z-D)/A</f>
        <v>1.2956419316843343E-2</v>
      </c>
      <c r="D60" s="3" t="s">
        <v>104</v>
      </c>
    </row>
    <row r="61" spans="1:11" ht="15" customHeight="1" x14ac:dyDescent="0.25">
      <c r="A61" s="29" t="s">
        <v>80</v>
      </c>
      <c r="B61" s="29"/>
      <c r="C61" s="19">
        <f>(Z+D)*A/2</f>
        <v>2.6913300000000002</v>
      </c>
      <c r="D61" s="16" t="s">
        <v>74</v>
      </c>
    </row>
    <row r="62" spans="1:11" ht="15" customHeight="1" x14ac:dyDescent="0.25">
      <c r="A62" s="29" t="s">
        <v>81</v>
      </c>
      <c r="B62" s="29"/>
      <c r="C62" s="19">
        <f>C61*WForce</f>
        <v>4291.0915392900006</v>
      </c>
      <c r="D62" s="16" t="s">
        <v>10</v>
      </c>
    </row>
    <row r="63" spans="1:11" ht="15" customHeight="1" x14ac:dyDescent="0.25">
      <c r="A63" s="29" t="s">
        <v>147</v>
      </c>
      <c r="B63" s="29"/>
      <c r="C63" s="19">
        <f>0</f>
        <v>0</v>
      </c>
      <c r="D63" s="16" t="s">
        <v>35</v>
      </c>
    </row>
    <row r="64" spans="1:11" ht="15" customHeight="1" x14ac:dyDescent="0.25">
      <c r="A64" s="29" t="s">
        <v>145</v>
      </c>
      <c r="B64" s="29"/>
      <c r="C64" s="19">
        <f xml:space="preserve"> (A/4) * (     ((Z/2)^2  +   2*(Z/2) * (D/2)   +   3*(D/2)^2)   -   ( ((Z/2)-E)^2  +   2*((Z/2)-E)*((D/2)-E) + 3*((D/2)-E)^2)      )          /          (     ((Z/2)^2  +   (Z/2)*(D/2)   +   (D/2)^2)   -   ( ((Z/2)-E)^2  +   ((Z/2)-E)*((D/2)-E) + ((D/2)-E)^2)      )</f>
        <v>3.9944365743721932</v>
      </c>
      <c r="D64" s="16" t="s">
        <v>35</v>
      </c>
    </row>
    <row r="65" spans="1:4" ht="15" customHeight="1" x14ac:dyDescent="0.25">
      <c r="A65" s="29" t="s">
        <v>96</v>
      </c>
      <c r="B65" s="29"/>
      <c r="C65" s="19">
        <f>(A*(Z+2*D))/(3*(Z+D))</f>
        <v>3.9994952681388014</v>
      </c>
      <c r="D65" s="16" t="s">
        <v>35</v>
      </c>
    </row>
    <row r="66" spans="1:4" ht="15" customHeight="1" x14ac:dyDescent="0.25">
      <c r="A66" s="29" t="s">
        <v>82</v>
      </c>
      <c r="B66" s="29"/>
      <c r="C66" s="19">
        <f>((A^3)/12)*(3*D+Z)</f>
        <v>59.054144728499999</v>
      </c>
      <c r="D66" s="16" t="s">
        <v>75</v>
      </c>
    </row>
    <row r="67" spans="1:4" ht="15" customHeight="1" x14ac:dyDescent="0.25">
      <c r="A67" s="29" t="s">
        <v>83</v>
      </c>
      <c r="B67" s="29"/>
      <c r="C67" s="19">
        <f>(A*(D+Z)*((D^2)+(Z^2)))/48</f>
        <v>2.3215861135000002E-2</v>
      </c>
      <c r="D67" s="16" t="s">
        <v>75</v>
      </c>
    </row>
    <row r="68" spans="1:4" ht="15" customHeight="1" x14ac:dyDescent="0.25">
      <c r="A68" s="29" t="s">
        <v>84</v>
      </c>
      <c r="B68" s="29"/>
      <c r="C68" s="19">
        <f>((A*PI()/3)*((Z/2)^2+(Z/2)*(D/2)+(D/2)^2))-((A*PI()/3)*(((Z/2)-E)^2+((Z/2)-E)*((D/2)-E)+((D/2)-E)^2))</f>
        <v>5.3019910258946146E-2</v>
      </c>
      <c r="D68" s="16" t="s">
        <v>76</v>
      </c>
    </row>
    <row r="69" spans="1:4" ht="15" customHeight="1" x14ac:dyDescent="0.25">
      <c r="A69" s="29" t="s">
        <v>85</v>
      </c>
      <c r="B69" s="29"/>
      <c r="C69" s="19">
        <f>C68*Dens</f>
        <v>143.1537576991546</v>
      </c>
      <c r="D69" s="16" t="s">
        <v>77</v>
      </c>
    </row>
    <row r="70" spans="1:4" ht="15" customHeight="1" x14ac:dyDescent="0.25">
      <c r="A70" s="29" t="s">
        <v>86</v>
      </c>
      <c r="B70" s="29"/>
      <c r="C70" s="19">
        <f>C69*9.81</f>
        <v>1404.3383630287067</v>
      </c>
      <c r="D70" s="16" t="s">
        <v>10</v>
      </c>
    </row>
    <row r="71" spans="1:4" ht="15" customHeight="1" x14ac:dyDescent="0.25"/>
    <row r="72" spans="1:4" ht="15" customHeight="1" x14ac:dyDescent="0.25">
      <c r="A72" s="32" t="s">
        <v>88</v>
      </c>
      <c r="B72" s="32"/>
      <c r="C72" s="32"/>
      <c r="D72" s="32"/>
    </row>
    <row r="73" spans="1:4" ht="15" customHeight="1" x14ac:dyDescent="0.25">
      <c r="A73" s="32"/>
      <c r="B73" s="32"/>
      <c r="C73" s="32"/>
      <c r="D73" s="32"/>
    </row>
    <row r="74" spans="1:4" ht="15" customHeight="1" x14ac:dyDescent="0.25">
      <c r="A74" s="29" t="s">
        <v>78</v>
      </c>
      <c r="B74" s="29"/>
      <c r="C74" s="18">
        <f>P</f>
        <v>0.38700000000000001</v>
      </c>
      <c r="D74" s="16" t="s">
        <v>35</v>
      </c>
    </row>
    <row r="75" spans="1:4" ht="15" customHeight="1" x14ac:dyDescent="0.25">
      <c r="A75" s="29" t="s">
        <v>89</v>
      </c>
      <c r="B75" s="29"/>
      <c r="C75" s="18">
        <f>N</f>
        <v>1.2</v>
      </c>
      <c r="D75" s="16" t="s">
        <v>35</v>
      </c>
    </row>
    <row r="76" spans="1:4" ht="15" customHeight="1" x14ac:dyDescent="0.25">
      <c r="A76" s="29" t="s">
        <v>80</v>
      </c>
      <c r="B76" s="29"/>
      <c r="C76" s="18">
        <f>P*N</f>
        <v>0.46439999999999998</v>
      </c>
      <c r="D76" s="16" t="s">
        <v>74</v>
      </c>
    </row>
    <row r="77" spans="1:4" ht="15" customHeight="1" x14ac:dyDescent="0.25">
      <c r="A77" s="29" t="s">
        <v>81</v>
      </c>
      <c r="B77" s="29"/>
      <c r="C77" s="18">
        <f>C76*WForce</f>
        <v>740.4453972</v>
      </c>
      <c r="D77" s="16" t="s">
        <v>10</v>
      </c>
    </row>
    <row r="78" spans="1:4" ht="15" customHeight="1" x14ac:dyDescent="0.25">
      <c r="A78" s="29" t="s">
        <v>90</v>
      </c>
      <c r="B78" s="29"/>
      <c r="C78" s="18">
        <f>K*COS(F) + (Z-(TapLossVert*B))/2</f>
        <v>5.7689727262127102</v>
      </c>
      <c r="D78" s="16" t="s">
        <v>35</v>
      </c>
    </row>
    <row r="79" spans="1:4" ht="15" customHeight="1" x14ac:dyDescent="0.25">
      <c r="A79" s="29" t="s">
        <v>91</v>
      </c>
      <c r="B79" s="29"/>
      <c r="C79" s="18">
        <f>(K+L)*COS(F)+(Z-(TapLossVert*B))/2</f>
        <v>9.415045321228499</v>
      </c>
      <c r="D79" s="16" t="s">
        <v>35</v>
      </c>
    </row>
    <row r="80" spans="1:4" ht="15" customHeight="1" x14ac:dyDescent="0.25">
      <c r="A80" s="29" t="s">
        <v>92</v>
      </c>
      <c r="B80" s="29"/>
      <c r="C80" s="18">
        <f>B+(P/2)</f>
        <v>5.6835000000000004</v>
      </c>
      <c r="D80" s="16" t="s">
        <v>35</v>
      </c>
    </row>
    <row r="81" spans="1:4" ht="15" customHeight="1" x14ac:dyDescent="0.25">
      <c r="A81" s="29" t="s">
        <v>132</v>
      </c>
      <c r="B81" s="29"/>
      <c r="C81" s="18" cm="1">
        <f t="array" ref="C81">(Q/2)+(G-(TapLossMast*K))</f>
        <v>0.49920181405895692</v>
      </c>
      <c r="D81" s="16" t="s">
        <v>35</v>
      </c>
    </row>
    <row r="82" spans="1:4" ht="15" customHeight="1" x14ac:dyDescent="0.25">
      <c r="A82" s="29" t="s">
        <v>133</v>
      </c>
      <c r="B82" s="29"/>
      <c r="C82" s="18">
        <f>(Q/2)+(G-(TapLossMast*(K+L)))</f>
        <v>0.45715192743764171</v>
      </c>
      <c r="D82" s="16" t="s">
        <v>35</v>
      </c>
    </row>
    <row r="83" spans="1:4" ht="15" customHeight="1" x14ac:dyDescent="0.25">
      <c r="A83" s="29" t="s">
        <v>82</v>
      </c>
      <c r="B83" s="29"/>
      <c r="C83" s="18">
        <f>((N*(P^3))/12)+(C76*(C80^2))</f>
        <v>15.006924853200001</v>
      </c>
      <c r="D83" s="16" t="s">
        <v>75</v>
      </c>
    </row>
    <row r="84" spans="1:4" ht="15" customHeight="1" x14ac:dyDescent="0.25">
      <c r="A84" s="29" t="s">
        <v>83</v>
      </c>
      <c r="B84" s="29"/>
      <c r="C84" s="18">
        <f>(((N^3)*P)/12)+(C76*(C78^2))</f>
        <v>15.511445909051067</v>
      </c>
      <c r="D84" s="16" t="s">
        <v>75</v>
      </c>
    </row>
    <row r="85" spans="1:4" ht="15" customHeight="1" x14ac:dyDescent="0.25">
      <c r="A85" s="29" t="s">
        <v>93</v>
      </c>
      <c r="B85" s="29"/>
      <c r="C85" s="18">
        <f>((N*(P^3))/12)+(C76*(C80^2))</f>
        <v>15.006924853200001</v>
      </c>
      <c r="D85" s="16" t="s">
        <v>75</v>
      </c>
    </row>
    <row r="86" spans="1:4" ht="15" customHeight="1" x14ac:dyDescent="0.25">
      <c r="A86" s="29" t="s">
        <v>94</v>
      </c>
      <c r="B86" s="29"/>
      <c r="C86" s="18">
        <f>(((N^3)*P)/12)+(C76*(C79^2))</f>
        <v>41.221573609325318</v>
      </c>
      <c r="D86" s="16" t="s">
        <v>75</v>
      </c>
    </row>
    <row r="87" spans="1:4" ht="15" customHeight="1" x14ac:dyDescent="0.25">
      <c r="A87" s="29" t="s">
        <v>86</v>
      </c>
      <c r="B87" s="29"/>
      <c r="C87" s="18">
        <f>SigMass*3*9.81</f>
        <v>29.43</v>
      </c>
      <c r="D87" s="16" t="s">
        <v>10</v>
      </c>
    </row>
    <row r="88" spans="1:4" ht="15" customHeight="1" x14ac:dyDescent="0.25"/>
    <row r="89" spans="1:4" ht="15" customHeight="1" x14ac:dyDescent="0.25">
      <c r="A89" s="32" t="s">
        <v>95</v>
      </c>
      <c r="B89" s="32"/>
      <c r="C89" s="32"/>
      <c r="D89" s="32"/>
    </row>
    <row r="90" spans="1:4" ht="15" customHeight="1" x14ac:dyDescent="0.25">
      <c r="A90" s="32"/>
      <c r="B90" s="32"/>
      <c r="C90" s="32"/>
      <c r="D90" s="32"/>
    </row>
    <row r="91" spans="1:4" ht="15" customHeight="1" x14ac:dyDescent="0.25">
      <c r="A91" s="29" t="s">
        <v>78</v>
      </c>
      <c r="B91" s="29"/>
      <c r="C91" s="18">
        <f>P</f>
        <v>0.38700000000000001</v>
      </c>
      <c r="D91" s="16" t="s">
        <v>35</v>
      </c>
    </row>
    <row r="92" spans="1:4" ht="15" customHeight="1" x14ac:dyDescent="0.25">
      <c r="A92" s="29" t="s">
        <v>89</v>
      </c>
      <c r="B92" s="29"/>
      <c r="C92" s="18">
        <f>O</f>
        <v>1.575</v>
      </c>
      <c r="D92" s="16" t="s">
        <v>35</v>
      </c>
    </row>
    <row r="93" spans="1:4" ht="15" customHeight="1" x14ac:dyDescent="0.25">
      <c r="A93" s="29" t="s">
        <v>80</v>
      </c>
      <c r="B93" s="29"/>
      <c r="C93" s="18">
        <f>P*O</f>
        <v>0.60952499999999998</v>
      </c>
      <c r="D93" s="16" t="s">
        <v>74</v>
      </c>
    </row>
    <row r="94" spans="1:4" ht="15" customHeight="1" x14ac:dyDescent="0.25">
      <c r="A94" s="29" t="s">
        <v>81</v>
      </c>
      <c r="B94" s="29"/>
      <c r="C94" s="18">
        <f>C93*WForce</f>
        <v>971.83458382499998</v>
      </c>
      <c r="D94" s="16" t="s">
        <v>10</v>
      </c>
    </row>
    <row r="95" spans="1:4" ht="15" customHeight="1" x14ac:dyDescent="0.25">
      <c r="A95" s="29" t="s">
        <v>90</v>
      </c>
      <c r="B95" s="29"/>
      <c r="C95" s="18">
        <f>(K+L+M)*COS(F)+(Z-(TapLossVert*B))/2</f>
        <v>13.061117916244289</v>
      </c>
      <c r="D95" s="16" t="s">
        <v>35</v>
      </c>
    </row>
    <row r="96" spans="1:4" ht="15" customHeight="1" x14ac:dyDescent="0.25">
      <c r="A96" s="29" t="s">
        <v>96</v>
      </c>
      <c r="B96" s="29"/>
      <c r="C96" s="18">
        <f>B+(P/2)</f>
        <v>5.6835000000000004</v>
      </c>
      <c r="D96" s="16" t="s">
        <v>35</v>
      </c>
    </row>
    <row r="97" spans="1:11" ht="15" customHeight="1" x14ac:dyDescent="0.25">
      <c r="A97" s="29" t="s">
        <v>97</v>
      </c>
      <c r="B97" s="29"/>
      <c r="C97" s="18">
        <f>(Q/2)+(G-(TapLossMast*(K+L+M)))</f>
        <v>0.41510204081632651</v>
      </c>
      <c r="D97" s="16" t="s">
        <v>35</v>
      </c>
    </row>
    <row r="98" spans="1:11" ht="15" customHeight="1" x14ac:dyDescent="0.25">
      <c r="A98" s="29" t="s">
        <v>82</v>
      </c>
      <c r="B98" s="29"/>
      <c r="C98" s="18">
        <f>(O*(P^3)/12)+(C93*(C96^2))</f>
        <v>19.696588869825</v>
      </c>
      <c r="D98" s="16" t="s">
        <v>75</v>
      </c>
    </row>
    <row r="99" spans="1:11" ht="15" customHeight="1" x14ac:dyDescent="0.25">
      <c r="A99" s="29" t="s">
        <v>83</v>
      </c>
      <c r="B99" s="29"/>
      <c r="C99" s="20">
        <f>((O^3)*P/12)+(C93*(C95^2))</f>
        <v>104.10657741095619</v>
      </c>
      <c r="D99" s="16" t="s">
        <v>75</v>
      </c>
    </row>
    <row r="100" spans="1:11" ht="15" customHeight="1" x14ac:dyDescent="0.25">
      <c r="A100" s="29" t="s">
        <v>86</v>
      </c>
      <c r="B100" s="29"/>
      <c r="C100" s="18">
        <f>SigMass*4*9.81</f>
        <v>39.24</v>
      </c>
      <c r="D100" s="16" t="s">
        <v>10</v>
      </c>
    </row>
    <row r="101" spans="1:11" ht="15" customHeight="1" x14ac:dyDescent="0.25">
      <c r="A101" s="31" t="s">
        <v>99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</row>
    <row r="102" spans="1:11" ht="15" customHeight="1" x14ac:dyDescent="0.25">
      <c r="A102" s="32" t="s">
        <v>100</v>
      </c>
      <c r="B102" s="32"/>
      <c r="C102" s="32"/>
      <c r="D102" s="32"/>
    </row>
    <row r="103" spans="1:11" ht="15" customHeight="1" x14ac:dyDescent="0.25">
      <c r="A103" s="32"/>
      <c r="B103" s="32"/>
      <c r="C103" s="32"/>
      <c r="D103" s="32"/>
    </row>
    <row r="104" spans="1:11" ht="15" customHeight="1" x14ac:dyDescent="0.25">
      <c r="A104" s="29" t="s">
        <v>89</v>
      </c>
      <c r="B104" s="29"/>
      <c r="C104" s="18">
        <f>J</f>
        <v>13.23</v>
      </c>
      <c r="D104" s="16" t="s">
        <v>35</v>
      </c>
    </row>
    <row r="105" spans="1:11" ht="15" customHeight="1" x14ac:dyDescent="0.25">
      <c r="A105" s="29" t="s">
        <v>101</v>
      </c>
      <c r="B105" s="29"/>
      <c r="C105" s="18">
        <f>G</f>
        <v>0.27900000000000003</v>
      </c>
      <c r="D105" s="16" t="s">
        <v>35</v>
      </c>
    </row>
    <row r="106" spans="1:11" ht="15" customHeight="1" x14ac:dyDescent="0.25">
      <c r="A106" s="29" t="s">
        <v>102</v>
      </c>
      <c r="B106" s="29"/>
      <c r="C106" s="18">
        <f>H</f>
        <v>0.127</v>
      </c>
      <c r="D106" s="16" t="s">
        <v>35</v>
      </c>
    </row>
    <row r="107" spans="1:11" ht="15" customHeight="1" x14ac:dyDescent="0.25">
      <c r="A107" s="29" t="s">
        <v>103</v>
      </c>
      <c r="B107" s="29"/>
      <c r="C107" s="18">
        <f>(G-H)/J</f>
        <v>1.1489040060468633E-2</v>
      </c>
      <c r="D107" s="16" t="s">
        <v>104</v>
      </c>
    </row>
    <row r="108" spans="1:11" ht="15" customHeight="1" x14ac:dyDescent="0.25">
      <c r="A108" s="29" t="s">
        <v>80</v>
      </c>
      <c r="B108" s="29"/>
      <c r="C108" s="18">
        <f>(G+H)*J/2</f>
        <v>2.6856900000000001</v>
      </c>
      <c r="D108" s="16" t="s">
        <v>74</v>
      </c>
    </row>
    <row r="109" spans="1:11" ht="15" customHeight="1" x14ac:dyDescent="0.25">
      <c r="A109" s="29" t="s">
        <v>81</v>
      </c>
      <c r="B109" s="29"/>
      <c r="C109" s="18">
        <f>C108*WForce</f>
        <v>4282.0990499700001</v>
      </c>
      <c r="D109" s="16" t="s">
        <v>10</v>
      </c>
    </row>
    <row r="110" spans="1:11" ht="15" customHeight="1" x14ac:dyDescent="0.25">
      <c r="A110" s="29" t="s">
        <v>146</v>
      </c>
      <c r="B110" s="29"/>
      <c r="C110" s="18">
        <f xml:space="preserve"> ((J/4) * COS(F) * (     ((G/2)^2  +   2*(G/2) * (H/2)   +   3*(H/2)^2)   -   ( ((G/2)-I)^2  +   2*((G/2)-I)*((H/2)-I) + 3*((H/2)-I)^2)      )          /          (     ((G/2)^2  +   (G/2)*(H/2)   +   (H/2)^2)   -   ( ((G/2)-I)^2  +   ((G/2)-I)*((H/2)-I) + ((H/2)-I)^2)      ))+(Z-(TapLossVert*B))/2</f>
        <v>5.8924092937429045</v>
      </c>
      <c r="D110" s="16" t="s">
        <v>35</v>
      </c>
    </row>
    <row r="111" spans="1:11" ht="15" customHeight="1" x14ac:dyDescent="0.25">
      <c r="A111" s="29" t="s">
        <v>145</v>
      </c>
      <c r="B111" s="29"/>
      <c r="C111" s="18">
        <f>B+((C110*TAN(F)))</f>
        <v>6.0055190140573007</v>
      </c>
      <c r="D111" s="16" t="s">
        <v>35</v>
      </c>
    </row>
    <row r="112" spans="1:11" ht="15" customHeight="1" x14ac:dyDescent="0.25">
      <c r="A112" s="29" t="s">
        <v>82</v>
      </c>
      <c r="B112" s="29"/>
      <c r="C112" s="18">
        <f>(J*(H+G)*((G^2)+(H^2))*(1/48))+(C108*(C111^2))</f>
        <v>96.873305730568106</v>
      </c>
      <c r="D112" s="16" t="s">
        <v>75</v>
      </c>
    </row>
    <row r="113" spans="1:4" ht="15" customHeight="1" x14ac:dyDescent="0.25">
      <c r="A113" s="29" t="s">
        <v>83</v>
      </c>
      <c r="B113" s="29"/>
      <c r="C113" s="18">
        <f>(((J^3)*((G^2)+(4*G*H)+(H^2)))/(36*(G+H)))+(C108*(C110^2))</f>
        <v>130.59190069089291</v>
      </c>
      <c r="D113" s="16" t="s">
        <v>75</v>
      </c>
    </row>
    <row r="114" spans="1:4" ht="15" customHeight="1" x14ac:dyDescent="0.25">
      <c r="A114" s="29" t="s">
        <v>84</v>
      </c>
      <c r="B114" s="29"/>
      <c r="C114" s="18">
        <f>((J*PI()/3)*((G/2)^2+(G/2)*(H/2)+(H/2)^2))-((J*PI()/3)*(((G/2)-I)^2+((G/2)-I)*((H/2)-I)+((H/2)-I)^2))</f>
        <v>4.9921228933571205E-2</v>
      </c>
      <c r="D114" s="16" t="s">
        <v>76</v>
      </c>
    </row>
    <row r="115" spans="1:4" ht="15" customHeight="1" x14ac:dyDescent="0.25">
      <c r="A115" s="29" t="s">
        <v>85</v>
      </c>
      <c r="B115" s="29"/>
      <c r="C115" s="18">
        <f>C114*Dens</f>
        <v>134.78731812064225</v>
      </c>
      <c r="D115" s="16" t="s">
        <v>77</v>
      </c>
    </row>
    <row r="116" spans="1:4" ht="15" customHeight="1" x14ac:dyDescent="0.25">
      <c r="A116" s="29" t="s">
        <v>86</v>
      </c>
      <c r="B116" s="29"/>
      <c r="C116" s="18">
        <f>C115*9.81</f>
        <v>1322.2635907635006</v>
      </c>
      <c r="D116" s="16" t="s">
        <v>10</v>
      </c>
    </row>
    <row r="117" spans="1:4" ht="15" customHeight="1" x14ac:dyDescent="0.25"/>
    <row r="118" spans="1:4" ht="15" customHeight="1" x14ac:dyDescent="0.25">
      <c r="A118" s="32" t="s">
        <v>105</v>
      </c>
      <c r="B118" s="32"/>
      <c r="C118" s="32"/>
      <c r="D118" s="32"/>
    </row>
    <row r="119" spans="1:4" ht="15" customHeight="1" x14ac:dyDescent="0.25">
      <c r="A119" s="32"/>
      <c r="B119" s="32"/>
      <c r="C119" s="32"/>
      <c r="D119" s="32"/>
    </row>
    <row r="120" spans="1:4" ht="15" customHeight="1" x14ac:dyDescent="0.25">
      <c r="A120" s="29" t="s">
        <v>89</v>
      </c>
      <c r="B120" s="29"/>
      <c r="C120" s="18">
        <f>K-(N/2)</f>
        <v>5.04</v>
      </c>
      <c r="D120" s="16" t="s">
        <v>35</v>
      </c>
    </row>
    <row r="121" spans="1:4" ht="15" customHeight="1" x14ac:dyDescent="0.25">
      <c r="A121" s="29" t="s">
        <v>101</v>
      </c>
      <c r="B121" s="29"/>
      <c r="C121" s="18">
        <f>G</f>
        <v>0.27900000000000003</v>
      </c>
      <c r="D121" s="16" t="s">
        <v>35</v>
      </c>
    </row>
    <row r="122" spans="1:4" ht="15" customHeight="1" x14ac:dyDescent="0.25">
      <c r="A122" s="29" t="s">
        <v>102</v>
      </c>
      <c r="B122" s="29"/>
      <c r="C122" s="18">
        <f>G-(TapLossMast*C120)</f>
        <v>0.22109523809523812</v>
      </c>
      <c r="D122" s="16" t="s">
        <v>35</v>
      </c>
    </row>
    <row r="123" spans="1:4" ht="15" customHeight="1" x14ac:dyDescent="0.25">
      <c r="A123" s="29" t="s">
        <v>80</v>
      </c>
      <c r="B123" s="29"/>
      <c r="C123" s="18">
        <f>(C121+C122)*C120/2</f>
        <v>1.2602400000000002</v>
      </c>
      <c r="D123" s="16" t="s">
        <v>74</v>
      </c>
    </row>
    <row r="124" spans="1:4" ht="15" customHeight="1" x14ac:dyDescent="0.25">
      <c r="A124" s="29" t="s">
        <v>81</v>
      </c>
      <c r="B124" s="29"/>
      <c r="C124" s="18">
        <f>C123*WForce</f>
        <v>2009.3430391200004</v>
      </c>
      <c r="D124" s="16" t="s">
        <v>10</v>
      </c>
    </row>
    <row r="125" spans="1:4" x14ac:dyDescent="0.25">
      <c r="A125" s="29" t="s">
        <v>90</v>
      </c>
      <c r="B125" s="29"/>
      <c r="C125" s="18">
        <f>((C120*(C121+2*C122))/(3*(C121+C122))*COS(F))+(Z-(TapLossVert*B))/2</f>
        <v>2.5639539034341432</v>
      </c>
      <c r="D125" s="16" t="s">
        <v>35</v>
      </c>
    </row>
    <row r="126" spans="1:4" ht="15" customHeight="1" x14ac:dyDescent="0.25">
      <c r="A126" s="29" t="s">
        <v>96</v>
      </c>
      <c r="B126" s="29"/>
      <c r="C126" s="18">
        <f>B+((C125*TAN(F)))</f>
        <v>5.7143169003535297</v>
      </c>
      <c r="D126" s="16" t="s">
        <v>35</v>
      </c>
    </row>
    <row r="127" spans="1:4" ht="15" customHeight="1" x14ac:dyDescent="0.25">
      <c r="A127" s="29" t="s">
        <v>82</v>
      </c>
      <c r="B127" s="29"/>
      <c r="C127" s="18">
        <f>(C120*(C122+C121)*((C121^2)+(C122^2))*(1/48))+(C123*(C126^2))</f>
        <v>41.157797326409408</v>
      </c>
      <c r="D127" s="16" t="s">
        <v>75</v>
      </c>
    </row>
    <row r="128" spans="1:4" ht="15" customHeight="1" x14ac:dyDescent="0.25">
      <c r="A128" s="29" t="s">
        <v>83</v>
      </c>
      <c r="B128" s="29"/>
      <c r="C128" s="18">
        <f>(((C120^3)*((C121^2)+(4*C121*C122)+(C122^2)))/(36*(C121+C122)))+(C123*(C125^2))</f>
        <v>10.940395266965961</v>
      </c>
      <c r="D128" s="16" t="s">
        <v>75</v>
      </c>
    </row>
    <row r="129" spans="1:4" x14ac:dyDescent="0.25">
      <c r="A129" s="32" t="s">
        <v>106</v>
      </c>
      <c r="B129" s="32"/>
      <c r="C129" s="32"/>
      <c r="D129" s="32"/>
    </row>
    <row r="130" spans="1:4" x14ac:dyDescent="0.25">
      <c r="A130" s="32"/>
      <c r="B130" s="32"/>
      <c r="C130" s="32"/>
      <c r="D130" s="32"/>
    </row>
    <row r="131" spans="1:4" x14ac:dyDescent="0.25">
      <c r="A131" s="29" t="s">
        <v>89</v>
      </c>
      <c r="B131" s="29"/>
      <c r="C131" s="18">
        <f>L-2*(N/2)</f>
        <v>2.46</v>
      </c>
      <c r="D131" s="16" t="s">
        <v>35</v>
      </c>
    </row>
    <row r="132" spans="1:4" x14ac:dyDescent="0.25">
      <c r="A132" s="29" t="s">
        <v>101</v>
      </c>
      <c r="B132" s="29"/>
      <c r="C132" s="18">
        <f>G-(TapLossMast*(K+(N/2)))</f>
        <v>0.20730839002267576</v>
      </c>
      <c r="D132" s="16" t="s">
        <v>35</v>
      </c>
    </row>
    <row r="133" spans="1:4" ht="15" customHeight="1" x14ac:dyDescent="0.25">
      <c r="A133" s="29" t="s">
        <v>102</v>
      </c>
      <c r="B133" s="29"/>
      <c r="C133" s="18">
        <f>G-(TapLossMast*(K+L-(N/2)))</f>
        <v>0.17904535147392292</v>
      </c>
      <c r="D133" s="16" t="s">
        <v>35</v>
      </c>
    </row>
    <row r="134" spans="1:4" ht="15" customHeight="1" x14ac:dyDescent="0.25">
      <c r="A134" s="29" t="s">
        <v>80</v>
      </c>
      <c r="B134" s="29"/>
      <c r="C134" s="18">
        <f>(C132+C133)*C131/2</f>
        <v>0.47521510204081635</v>
      </c>
      <c r="D134" s="16" t="s">
        <v>74</v>
      </c>
    </row>
    <row r="135" spans="1:4" ht="15" customHeight="1" x14ac:dyDescent="0.25">
      <c r="A135" s="29" t="s">
        <v>81</v>
      </c>
      <c r="B135" s="29"/>
      <c r="C135" s="18">
        <f>C134*WForce</f>
        <v>757.68913649020408</v>
      </c>
      <c r="D135" s="16" t="s">
        <v>10</v>
      </c>
    </row>
    <row r="136" spans="1:4" x14ac:dyDescent="0.25">
      <c r="A136" s="29" t="s">
        <v>90</v>
      </c>
      <c r="B136" s="29"/>
      <c r="C136" s="18">
        <f>((C131*(C132+2*C133))/(3*(C132+C133))*COS(F)+(K+(N/2))*COS(F))+(Z-(TapLossVert*B))/2</f>
        <v>7.562130315911233</v>
      </c>
      <c r="D136" s="16" t="s">
        <v>35</v>
      </c>
    </row>
    <row r="137" spans="1:4" ht="15" customHeight="1" x14ac:dyDescent="0.25">
      <c r="A137" s="29" t="s">
        <v>96</v>
      </c>
      <c r="B137" s="29"/>
      <c r="C137" s="18">
        <f>B+((C136*TAN(F)))</f>
        <v>6.1516006747479475</v>
      </c>
      <c r="D137" s="16" t="s">
        <v>35</v>
      </c>
    </row>
    <row r="138" spans="1:4" ht="15" customHeight="1" x14ac:dyDescent="0.25">
      <c r="A138" s="29" t="s">
        <v>82</v>
      </c>
      <c r="B138" s="29"/>
      <c r="C138" s="18">
        <f>(C131*(C133+C132)*((C132^2)+(C133^2))*(1/48))+(C134*(C137^2))</f>
        <v>17.984666312267148</v>
      </c>
      <c r="D138" s="16" t="s">
        <v>75</v>
      </c>
    </row>
    <row r="139" spans="1:4" ht="15" customHeight="1" x14ac:dyDescent="0.25">
      <c r="A139" s="29" t="s">
        <v>83</v>
      </c>
      <c r="B139" s="29"/>
      <c r="C139" s="18">
        <f>(((C131^3)*((C132^2)+(4*C132*C133)+(C133^2)))/(36*(C132+C133)))+(C134*(C136^2))</f>
        <v>27.414786356541441</v>
      </c>
      <c r="D139" s="16" t="s">
        <v>75</v>
      </c>
    </row>
    <row r="140" spans="1:4" ht="15" customHeight="1" x14ac:dyDescent="0.25">
      <c r="A140" s="32" t="s">
        <v>107</v>
      </c>
      <c r="B140" s="32"/>
      <c r="C140" s="32"/>
      <c r="D140" s="32"/>
    </row>
    <row r="141" spans="1:4" ht="15" customHeight="1" x14ac:dyDescent="0.25">
      <c r="A141" s="32"/>
      <c r="B141" s="32"/>
      <c r="C141" s="32"/>
      <c r="D141" s="32"/>
    </row>
    <row r="142" spans="1:4" ht="15" customHeight="1" x14ac:dyDescent="0.25">
      <c r="A142" s="29" t="s">
        <v>89</v>
      </c>
      <c r="B142" s="29"/>
      <c r="C142" s="18">
        <f>M-(N/2)-(O/2)</f>
        <v>2.2725</v>
      </c>
      <c r="D142" s="16" t="s">
        <v>35</v>
      </c>
    </row>
    <row r="143" spans="1:4" ht="15" customHeight="1" x14ac:dyDescent="0.25">
      <c r="A143" s="29" t="s">
        <v>101</v>
      </c>
      <c r="B143" s="29"/>
      <c r="C143" s="18">
        <f>G-(TapLossMast*(K+L+(N/2)))</f>
        <v>0.16525850340136056</v>
      </c>
      <c r="D143" s="16" t="s">
        <v>35</v>
      </c>
    </row>
    <row r="144" spans="1:4" ht="15" customHeight="1" x14ac:dyDescent="0.25">
      <c r="A144" s="29" t="s">
        <v>102</v>
      </c>
      <c r="B144" s="29"/>
      <c r="C144" s="18">
        <f>G-(TapLossMast*(K+L+M-(O/2)))</f>
        <v>0.13914965986394559</v>
      </c>
      <c r="D144" s="16" t="s">
        <v>35</v>
      </c>
    </row>
    <row r="145" spans="1:11" ht="15" customHeight="1" x14ac:dyDescent="0.25">
      <c r="A145" s="29" t="s">
        <v>80</v>
      </c>
      <c r="B145" s="29"/>
      <c r="C145" s="18">
        <f>(C143+C144)*C142/2</f>
        <v>0.34588377551020416</v>
      </c>
      <c r="D145" s="16" t="s">
        <v>74</v>
      </c>
    </row>
    <row r="146" spans="1:11" ht="15" customHeight="1" x14ac:dyDescent="0.25">
      <c r="A146" s="29" t="s">
        <v>81</v>
      </c>
      <c r="B146" s="29"/>
      <c r="C146" s="18">
        <f>C145*WForce</f>
        <v>551.48158816255113</v>
      </c>
      <c r="D146" s="16" t="s">
        <v>10</v>
      </c>
    </row>
    <row r="147" spans="1:11" ht="15" customHeight="1" x14ac:dyDescent="0.25">
      <c r="A147" s="29" t="s">
        <v>90</v>
      </c>
      <c r="B147" s="29"/>
      <c r="C147" s="18">
        <f>((C142*(C143+2*C144))/(3*(C143+C144))*COS(F)+(K+L+(N/2))*COS(F))+(Z-(TapLossVert*B))/2</f>
        <v>11.112326898206918</v>
      </c>
      <c r="D147" s="16" t="s">
        <v>35</v>
      </c>
    </row>
    <row r="148" spans="1:11" ht="15" customHeight="1" x14ac:dyDescent="0.25">
      <c r="A148" s="29" t="s">
        <v>96</v>
      </c>
      <c r="B148" s="29"/>
      <c r="C148" s="18">
        <f>B+((C147*TAN(F)))</f>
        <v>6.4622026289873</v>
      </c>
      <c r="D148" s="16" t="s">
        <v>35</v>
      </c>
      <c r="E148" s="27" t="s">
        <v>140</v>
      </c>
      <c r="F148" s="28"/>
    </row>
    <row r="149" spans="1:11" ht="15" customHeight="1" x14ac:dyDescent="0.35">
      <c r="A149" s="29" t="s">
        <v>82</v>
      </c>
      <c r="B149" s="29"/>
      <c r="C149" s="18">
        <f>(C142*(C144+C143)*((C143^2)+(C144^2))*(1/48))+(C145*(C148^2))</f>
        <v>14.444800836136332</v>
      </c>
      <c r="D149" s="16" t="s">
        <v>75</v>
      </c>
      <c r="E149" s="3" t="s">
        <v>141</v>
      </c>
      <c r="F149" s="19">
        <f>C66+C83+C85+C98+C127+C138+C149</f>
        <v>182.35184777953785</v>
      </c>
    </row>
    <row r="150" spans="1:11" ht="15" customHeight="1" x14ac:dyDescent="0.35">
      <c r="A150" s="29" t="s">
        <v>83</v>
      </c>
      <c r="B150" s="29"/>
      <c r="C150" s="18">
        <f>(((C142^3)*((C143^2)+(4*C143*C144)+(C144^2)))/(36*(C143+C144)))+(C145*(C147^2))</f>
        <v>42.859533803008091</v>
      </c>
      <c r="D150" s="16" t="s">
        <v>75</v>
      </c>
      <c r="E150" s="3" t="s">
        <v>142</v>
      </c>
      <c r="F150" s="18">
        <f>C67+C84+C86+C99+C128+C139+C150</f>
        <v>242.07752821698307</v>
      </c>
    </row>
    <row r="151" spans="1:11" ht="15" customHeight="1" x14ac:dyDescent="0.25">
      <c r="A151" s="31" t="s">
        <v>108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</row>
    <row r="152" spans="1:11" ht="15" customHeight="1" x14ac:dyDescent="0.25">
      <c r="A152" s="32" t="s">
        <v>11</v>
      </c>
      <c r="B152" s="32"/>
      <c r="C152" s="32"/>
      <c r="D152" s="32"/>
    </row>
    <row r="153" spans="1:11" ht="15" customHeight="1" x14ac:dyDescent="0.25">
      <c r="A153" s="32"/>
      <c r="B153" s="32"/>
      <c r="C153" s="32"/>
      <c r="D153" s="32"/>
    </row>
    <row r="154" spans="1:11" ht="15" customHeight="1" x14ac:dyDescent="0.25">
      <c r="A154" s="29" t="s">
        <v>4</v>
      </c>
      <c r="B154" s="29"/>
      <c r="C154" s="20">
        <f>(C65*C62) + (C126*C124) + (C137*C135) + (C148*C146) + 2*(C80*C77) + (C96*C94)-(C81*C87)-(C82*C87)-(C97*C100)</f>
        <v>50764.640558184314</v>
      </c>
      <c r="D154" s="16" t="s">
        <v>9</v>
      </c>
    </row>
    <row r="155" spans="1:11" ht="15" customHeight="1" x14ac:dyDescent="0.25">
      <c r="A155" s="29" t="s">
        <v>5</v>
      </c>
      <c r="B155" s="29"/>
      <c r="C155" s="20">
        <f xml:space="preserve"> -(C78*C77) - (C79*C77) - (C95*C94) - (C125*C124) - (C136*C135) - (C147*C146)</f>
        <v>-40946.032972235807</v>
      </c>
      <c r="D155" s="16" t="s">
        <v>9</v>
      </c>
    </row>
    <row r="156" spans="1:11" ht="15" customHeight="1" x14ac:dyDescent="0.25">
      <c r="A156" s="29" t="s">
        <v>3</v>
      </c>
      <c r="B156" s="29"/>
      <c r="C156" s="20">
        <f>(C78*C87)  +  (C79*C87)  +  (C95*C100)  +  (C110*C116)</f>
        <v>8750.7021891623353</v>
      </c>
      <c r="D156" s="16" t="s">
        <v>9</v>
      </c>
    </row>
    <row r="157" spans="1:11" ht="15" customHeight="1" x14ac:dyDescent="0.25">
      <c r="A157" s="29" t="s">
        <v>8</v>
      </c>
      <c r="B157" s="29"/>
      <c r="C157" s="20">
        <v>0</v>
      </c>
      <c r="D157" s="16" t="s">
        <v>10</v>
      </c>
    </row>
    <row r="158" spans="1:11" ht="15" customHeight="1" x14ac:dyDescent="0.25">
      <c r="A158" s="29" t="s">
        <v>6</v>
      </c>
      <c r="B158" s="29"/>
      <c r="C158" s="20">
        <f>C70+2*C87+C100+C116</f>
        <v>2824.701953792207</v>
      </c>
      <c r="D158" s="16" t="s">
        <v>10</v>
      </c>
    </row>
    <row r="159" spans="1:11" ht="15" customHeight="1" x14ac:dyDescent="0.25">
      <c r="A159" s="29" t="s">
        <v>7</v>
      </c>
      <c r="B159" s="29"/>
      <c r="C159" s="20">
        <f>C146+C135+C124+C94+2*C77+C62</f>
        <v>10062.330681287756</v>
      </c>
      <c r="D159" s="16" t="s">
        <v>10</v>
      </c>
    </row>
    <row r="160" spans="1:11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spans="1:5" ht="15" customHeight="1" x14ac:dyDescent="0.25"/>
    <row r="178" spans="1:5" ht="15" customHeight="1" x14ac:dyDescent="0.25"/>
    <row r="179" spans="1:5" ht="15" customHeight="1" x14ac:dyDescent="0.25"/>
    <row r="180" spans="1:5" ht="15" customHeight="1" x14ac:dyDescent="0.25"/>
    <row r="181" spans="1:5" ht="15" customHeight="1" x14ac:dyDescent="0.25"/>
    <row r="182" spans="1:5" ht="15" customHeight="1" x14ac:dyDescent="0.25"/>
    <row r="183" spans="1:5" ht="15" customHeight="1" x14ac:dyDescent="0.25"/>
    <row r="184" spans="1:5" ht="15" customHeight="1" x14ac:dyDescent="0.25"/>
    <row r="185" spans="1:5" ht="15" customHeight="1" x14ac:dyDescent="0.25"/>
    <row r="186" spans="1:5" ht="15" customHeight="1" x14ac:dyDescent="0.25"/>
    <row r="187" spans="1:5" ht="15" customHeight="1" x14ac:dyDescent="0.25">
      <c r="A187" s="32" t="s">
        <v>149</v>
      </c>
      <c r="B187" s="32"/>
      <c r="C187" s="32"/>
      <c r="D187" s="32"/>
      <c r="E187" s="32"/>
    </row>
    <row r="188" spans="1:5" ht="15" customHeight="1" x14ac:dyDescent="0.25">
      <c r="A188" s="32"/>
      <c r="B188" s="32"/>
      <c r="C188" s="32"/>
      <c r="D188" s="32"/>
      <c r="E188" s="32"/>
    </row>
    <row r="189" spans="1:5" ht="15" customHeight="1" x14ac:dyDescent="0.25">
      <c r="A189" s="29" t="s">
        <v>137</v>
      </c>
      <c r="B189" s="29"/>
      <c r="C189" s="29"/>
      <c r="D189" s="19">
        <f>Z</f>
        <v>0.372</v>
      </c>
      <c r="E189" s="16" t="s">
        <v>35</v>
      </c>
    </row>
    <row r="190" spans="1:5" ht="15" customHeight="1" x14ac:dyDescent="0.25">
      <c r="A190" s="29" t="s">
        <v>138</v>
      </c>
      <c r="B190" s="29"/>
      <c r="C190" s="29"/>
      <c r="D190" s="19">
        <f>Z-(2*E)</f>
        <v>0.35920000000000002</v>
      </c>
      <c r="E190" s="16" t="s">
        <v>35</v>
      </c>
    </row>
    <row r="191" spans="1:5" ht="15" customHeight="1" x14ac:dyDescent="0.25">
      <c r="A191" s="29" t="s">
        <v>109</v>
      </c>
      <c r="B191" s="29"/>
      <c r="C191" s="29"/>
      <c r="D191" s="19">
        <f xml:space="preserve"> (PI()*(Z/2)^2)  - (PI()*(ID/2)^2)</f>
        <v>7.3508241545755387E-3</v>
      </c>
      <c r="E191" s="16" t="s">
        <v>74</v>
      </c>
    </row>
    <row r="192" spans="1:5" ht="15" customHeight="1" x14ac:dyDescent="0.25">
      <c r="A192" s="29" t="s">
        <v>110</v>
      </c>
      <c r="B192" s="29"/>
      <c r="C192" s="29"/>
      <c r="D192" s="21">
        <f xml:space="preserve"> (PI()/2) *( (Z/2)^4 - (ID/2)^4 )</f>
        <v>2.4570923625677422E-4</v>
      </c>
      <c r="E192" s="16" t="s">
        <v>75</v>
      </c>
    </row>
    <row r="193" spans="1:11" ht="15" customHeight="1" x14ac:dyDescent="0.25">
      <c r="A193" s="29" t="s">
        <v>111</v>
      </c>
      <c r="B193" s="29"/>
      <c r="C193" s="29"/>
      <c r="D193" s="21">
        <f>D192/2</f>
        <v>1.2285461812838711E-4</v>
      </c>
      <c r="E193" s="16" t="s">
        <v>75</v>
      </c>
    </row>
    <row r="194" spans="1:11" ht="15" customHeight="1" x14ac:dyDescent="0.25">
      <c r="A194" s="29" t="s">
        <v>139</v>
      </c>
      <c r="B194" s="29"/>
      <c r="C194" s="29"/>
      <c r="D194" s="19">
        <f>(4/(3*PI()))* (((Z/2)^3 - (ID/2)^3) / ((Z/2)^2 - (ID/2)^2))</f>
        <v>0.11638598167265421</v>
      </c>
      <c r="E194" s="16" t="s">
        <v>35</v>
      </c>
    </row>
    <row r="195" spans="1:11" ht="15" customHeight="1" x14ac:dyDescent="0.25">
      <c r="A195" s="29" t="s">
        <v>112</v>
      </c>
      <c r="B195" s="29"/>
      <c r="C195" s="29"/>
      <c r="D195" s="21">
        <f>(D191/2)*D194</f>
        <v>4.2776644266666629E-4</v>
      </c>
      <c r="E195" s="16" t="s">
        <v>76</v>
      </c>
    </row>
    <row r="196" spans="1:11" ht="15" customHeight="1" x14ac:dyDescent="0.25"/>
    <row r="197" spans="1:11" ht="15" customHeight="1" x14ac:dyDescent="0.25"/>
    <row r="198" spans="1:11" ht="15" customHeight="1" x14ac:dyDescent="0.25"/>
    <row r="199" spans="1:11" ht="15" customHeight="1" x14ac:dyDescent="0.25"/>
    <row r="200" spans="1:11" ht="15" customHeight="1" x14ac:dyDescent="0.25"/>
    <row r="201" spans="1:11" ht="15" customHeight="1" x14ac:dyDescent="0.25">
      <c r="A201" s="31" t="s">
        <v>108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</row>
    <row r="210" spans="1:14" ht="15" customHeight="1" x14ac:dyDescent="0.25"/>
    <row r="211" spans="1:14" ht="15" customHeight="1" x14ac:dyDescent="0.25">
      <c r="N211" s="24"/>
    </row>
    <row r="212" spans="1:14" ht="15" customHeight="1" x14ac:dyDescent="0.25"/>
    <row r="213" spans="1:14" ht="15" customHeight="1" x14ac:dyDescent="0.25"/>
    <row r="214" spans="1:14" ht="15" customHeight="1" x14ac:dyDescent="0.25"/>
    <row r="215" spans="1:14" ht="15" customHeight="1" x14ac:dyDescent="0.25"/>
    <row r="216" spans="1:14" ht="15" customHeight="1" x14ac:dyDescent="0.25"/>
    <row r="217" spans="1:14" ht="15" customHeight="1" x14ac:dyDescent="0.25"/>
    <row r="218" spans="1:14" ht="15" customHeight="1" x14ac:dyDescent="0.25"/>
    <row r="219" spans="1:14" x14ac:dyDescent="0.25">
      <c r="A219" s="32" t="s">
        <v>63</v>
      </c>
      <c r="B219" s="32"/>
      <c r="C219" s="32"/>
      <c r="D219" s="32"/>
      <c r="E219" s="32"/>
      <c r="G219" s="32" t="s">
        <v>64</v>
      </c>
      <c r="H219" s="32"/>
      <c r="I219" s="32"/>
      <c r="J219" s="32"/>
      <c r="K219" s="32"/>
    </row>
    <row r="220" spans="1:14" x14ac:dyDescent="0.25">
      <c r="A220" s="32"/>
      <c r="B220" s="32"/>
      <c r="C220" s="32"/>
      <c r="D220" s="32"/>
      <c r="E220" s="32"/>
      <c r="G220" s="32"/>
      <c r="H220" s="32"/>
      <c r="I220" s="32"/>
      <c r="J220" s="32"/>
      <c r="K220" s="32"/>
    </row>
    <row r="221" spans="1:14" x14ac:dyDescent="0.25">
      <c r="A221" s="29" t="s">
        <v>113</v>
      </c>
      <c r="B221" s="29"/>
      <c r="C221" s="29"/>
      <c r="D221" s="22">
        <f>((1/1000)*RMx*(Z/2))/InertiaOfCSection</f>
        <v>76856.884077038514</v>
      </c>
      <c r="E221" s="16" t="s">
        <v>15</v>
      </c>
      <c r="G221" s="33" t="s">
        <v>123</v>
      </c>
      <c r="H221" s="33"/>
      <c r="I221" s="33"/>
      <c r="J221" s="22">
        <f>0</f>
        <v>0</v>
      </c>
      <c r="K221" s="23" t="s">
        <v>15</v>
      </c>
    </row>
    <row r="222" spans="1:14" x14ac:dyDescent="0.25">
      <c r="A222" s="29" t="s">
        <v>114</v>
      </c>
      <c r="B222" s="29"/>
      <c r="C222" s="29"/>
      <c r="D222" s="22">
        <f xml:space="preserve"> -(1/1000)*(RMy*(Z/2))/PolarInertiaOfCSection</f>
        <v>30995.831694649565</v>
      </c>
      <c r="E222" s="16" t="s">
        <v>15</v>
      </c>
      <c r="G222" s="29" t="s">
        <v>114</v>
      </c>
      <c r="H222" s="29"/>
      <c r="I222" s="29"/>
      <c r="J222" s="22">
        <f xml:space="preserve"> -(1/1000)*(RMy*(Z/2))/PolarInertiaOfCSection</f>
        <v>30995.831694649565</v>
      </c>
      <c r="K222" s="16" t="s">
        <v>15</v>
      </c>
    </row>
    <row r="223" spans="1:14" x14ac:dyDescent="0.25">
      <c r="A223" s="29" t="s">
        <v>115</v>
      </c>
      <c r="B223" s="29"/>
      <c r="C223" s="29"/>
      <c r="D223" s="22">
        <f>0</f>
        <v>0</v>
      </c>
      <c r="E223" s="16" t="s">
        <v>15</v>
      </c>
      <c r="G223" s="29" t="s">
        <v>124</v>
      </c>
      <c r="H223" s="29"/>
      <c r="I223" s="29"/>
      <c r="J223" s="22">
        <f>-((1/1000)*RMz*(Z/2))/InertiaOfCSection</f>
        <v>-13248.428361750854</v>
      </c>
      <c r="K223" s="16" t="s">
        <v>15</v>
      </c>
    </row>
    <row r="224" spans="1:14" x14ac:dyDescent="0.25">
      <c r="A224" s="29" t="s">
        <v>135</v>
      </c>
      <c r="B224" s="29"/>
      <c r="C224" s="29"/>
      <c r="D224" s="22">
        <f>-((1/1000)*(Rx*StaticMArea))/(InertiaOfCSection*2*E)</f>
        <v>0</v>
      </c>
      <c r="E224" s="16" t="s">
        <v>15</v>
      </c>
      <c r="G224" s="29" t="s">
        <v>134</v>
      </c>
      <c r="H224" s="29"/>
      <c r="I224" s="29"/>
      <c r="J224" s="22">
        <f>0</f>
        <v>0</v>
      </c>
      <c r="K224" s="16" t="s">
        <v>15</v>
      </c>
    </row>
    <row r="225" spans="1:11" x14ac:dyDescent="0.25">
      <c r="A225" s="29" t="s">
        <v>116</v>
      </c>
      <c r="B225" s="29"/>
      <c r="C225" s="29"/>
      <c r="D225" s="22">
        <f xml:space="preserve"> -((1/1000)*Ry)/CSecArea</f>
        <v>-384.27010283383862</v>
      </c>
      <c r="E225" s="16" t="s">
        <v>15</v>
      </c>
      <c r="G225" s="29" t="s">
        <v>116</v>
      </c>
      <c r="H225" s="29"/>
      <c r="I225" s="29"/>
      <c r="J225" s="22">
        <f xml:space="preserve"> -((1/1000)*Ry)/CSecArea</f>
        <v>-384.27010283383862</v>
      </c>
      <c r="K225" s="16" t="s">
        <v>15</v>
      </c>
    </row>
    <row r="226" spans="1:11" x14ac:dyDescent="0.25">
      <c r="A226" s="29" t="s">
        <v>117</v>
      </c>
      <c r="B226" s="29"/>
      <c r="C226" s="29"/>
      <c r="D226" s="22">
        <f>0</f>
        <v>0</v>
      </c>
      <c r="E226" s="16" t="s">
        <v>15</v>
      </c>
      <c r="G226" s="29" t="s">
        <v>125</v>
      </c>
      <c r="H226" s="29"/>
      <c r="I226" s="29"/>
      <c r="J226" s="22">
        <f>((1/1000)*(Rz*StaticMArea))/(InertiaOfCSection*2*E)</f>
        <v>2737.1830484248367</v>
      </c>
      <c r="K226" s="16" t="s">
        <v>15</v>
      </c>
    </row>
    <row r="227" spans="1:11" ht="15" customHeight="1" x14ac:dyDescent="0.35">
      <c r="A227" s="30" t="s">
        <v>118</v>
      </c>
      <c r="B227" s="30"/>
      <c r="C227" s="30"/>
      <c r="D227" s="22">
        <f>0</f>
        <v>0</v>
      </c>
      <c r="E227" s="16" t="s">
        <v>15</v>
      </c>
      <c r="G227" s="30" t="s">
        <v>118</v>
      </c>
      <c r="H227" s="30"/>
      <c r="I227" s="30"/>
      <c r="J227" s="22">
        <f>0</f>
        <v>0</v>
      </c>
      <c r="K227" s="16" t="s">
        <v>15</v>
      </c>
    </row>
    <row r="228" spans="1:11" ht="15" customHeight="1" x14ac:dyDescent="0.35">
      <c r="A228" s="30" t="s">
        <v>119</v>
      </c>
      <c r="B228" s="30"/>
      <c r="C228" s="30"/>
      <c r="D228" s="22">
        <f>D221+D225</f>
        <v>76472.61397420468</v>
      </c>
      <c r="E228" s="16" t="s">
        <v>15</v>
      </c>
      <c r="G228" s="30" t="s">
        <v>119</v>
      </c>
      <c r="H228" s="30"/>
      <c r="I228" s="30"/>
      <c r="J228" s="22">
        <f>J223+J225</f>
        <v>-13632.698464584691</v>
      </c>
      <c r="K228" s="16" t="s">
        <v>15</v>
      </c>
    </row>
    <row r="229" spans="1:11" ht="15" customHeight="1" x14ac:dyDescent="0.35">
      <c r="A229" s="30" t="s">
        <v>120</v>
      </c>
      <c r="B229" s="30"/>
      <c r="C229" s="30"/>
      <c r="D229" s="22">
        <f>D222+D224</f>
        <v>30995.831694649565</v>
      </c>
      <c r="E229" s="16" t="s">
        <v>15</v>
      </c>
      <c r="G229" s="30" t="s">
        <v>120</v>
      </c>
      <c r="H229" s="30"/>
      <c r="I229" s="30"/>
      <c r="J229" s="22">
        <f>J222+J226</f>
        <v>33733.014743074404</v>
      </c>
      <c r="K229" s="16" t="s">
        <v>15</v>
      </c>
    </row>
    <row r="230" spans="1:11" ht="15" customHeight="1" x14ac:dyDescent="0.35">
      <c r="A230" s="30" t="s">
        <v>12</v>
      </c>
      <c r="B230" s="30"/>
      <c r="C230" s="30"/>
      <c r="D230" s="22">
        <f>((D227+D228)/2)-SQRT(((D227-D228)/2)^2+D229^2)</f>
        <v>-10985.200044427824</v>
      </c>
      <c r="E230" s="16" t="s">
        <v>15</v>
      </c>
      <c r="G230" s="30" t="s">
        <v>12</v>
      </c>
      <c r="H230" s="30"/>
      <c r="I230" s="30"/>
      <c r="J230" s="22">
        <f>((J227+J228)/2)-SQRT(((J227-J228)/2)^2+J229^2)</f>
        <v>-41231.155646291649</v>
      </c>
      <c r="K230" s="16" t="s">
        <v>15</v>
      </c>
    </row>
    <row r="231" spans="1:11" ht="15" customHeight="1" x14ac:dyDescent="0.35">
      <c r="A231" s="30" t="s">
        <v>13</v>
      </c>
      <c r="B231" s="30"/>
      <c r="C231" s="30"/>
      <c r="D231" s="22">
        <f>((D227+D228)/2)+SQRT(((D227-D228)/2)^2+D229^2)</f>
        <v>87457.814018632504</v>
      </c>
      <c r="E231" s="16" t="s">
        <v>15</v>
      </c>
      <c r="G231" s="30" t="s">
        <v>13</v>
      </c>
      <c r="H231" s="30"/>
      <c r="I231" s="30"/>
      <c r="J231" s="22">
        <f>((J227+J228)/2)+SQRT(((J227-J228)/2)^2+J229^2)</f>
        <v>27598.457181706955</v>
      </c>
      <c r="K231" s="16" t="s">
        <v>15</v>
      </c>
    </row>
    <row r="232" spans="1:11" ht="15" customHeight="1" x14ac:dyDescent="0.35">
      <c r="A232" s="30" t="s">
        <v>14</v>
      </c>
      <c r="B232" s="30"/>
      <c r="C232" s="30"/>
      <c r="D232" s="22">
        <f>SQRT(((D227-D228)/2)^2+D229^2)</f>
        <v>49221.507031530164</v>
      </c>
      <c r="E232" s="16" t="s">
        <v>15</v>
      </c>
      <c r="G232" s="30" t="s">
        <v>14</v>
      </c>
      <c r="H232" s="30"/>
      <c r="I232" s="30"/>
      <c r="J232" s="22">
        <f>SQRT(((J227-J228)/2)^2+J229^2)</f>
        <v>34414.8064139993</v>
      </c>
      <c r="K232" s="16" t="s">
        <v>15</v>
      </c>
    </row>
    <row r="233" spans="1:11" ht="15" customHeight="1" x14ac:dyDescent="0.35">
      <c r="A233" s="30" t="s">
        <v>121</v>
      </c>
      <c r="B233" s="30"/>
      <c r="C233" s="30"/>
      <c r="D233" s="22">
        <f>DEGREES(ATAN((2*D229)/(D227-D228))/2)</f>
        <v>-19.514781997737909</v>
      </c>
      <c r="E233" s="16" t="s">
        <v>16</v>
      </c>
      <c r="G233" s="30" t="s">
        <v>121</v>
      </c>
      <c r="H233" s="30"/>
      <c r="I233" s="30"/>
      <c r="J233" s="22">
        <f>DEGREES(ATAN((2*J229)/(J227-J228))/2)</f>
        <v>39.28810234592531</v>
      </c>
      <c r="K233" s="16" t="s">
        <v>16</v>
      </c>
    </row>
    <row r="234" spans="1:11" ht="15" customHeight="1" x14ac:dyDescent="0.35">
      <c r="A234" s="30" t="s">
        <v>122</v>
      </c>
      <c r="B234" s="30"/>
      <c r="C234" s="30"/>
      <c r="D234" s="22">
        <f>D233+45</f>
        <v>25.485218002262091</v>
      </c>
      <c r="E234" s="16" t="s">
        <v>16</v>
      </c>
      <c r="G234" s="30" t="s">
        <v>122</v>
      </c>
      <c r="H234" s="30"/>
      <c r="I234" s="30"/>
      <c r="J234" s="22">
        <f>J233-45</f>
        <v>-5.71189765407469</v>
      </c>
      <c r="K234" s="16" t="s">
        <v>16</v>
      </c>
    </row>
    <row r="235" spans="1:11" ht="15" customHeight="1" x14ac:dyDescent="0.25"/>
    <row r="236" spans="1:11" ht="15" customHeight="1" x14ac:dyDescent="0.25"/>
    <row r="237" spans="1:11" ht="15" customHeight="1" x14ac:dyDescent="0.25"/>
    <row r="238" spans="1:11" ht="15" customHeight="1" x14ac:dyDescent="0.25"/>
    <row r="239" spans="1:11" ht="15" customHeight="1" x14ac:dyDescent="0.25"/>
    <row r="240" spans="1:11" ht="15" customHeight="1" x14ac:dyDescent="0.25"/>
    <row r="241" spans="1:11" ht="15" customHeight="1" x14ac:dyDescent="0.25"/>
    <row r="242" spans="1:11" ht="15" customHeight="1" x14ac:dyDescent="0.25"/>
    <row r="243" spans="1:11" ht="15" customHeight="1" x14ac:dyDescent="0.25"/>
    <row r="244" spans="1:11" ht="15" customHeight="1" x14ac:dyDescent="0.25"/>
    <row r="245" spans="1:11" ht="15" customHeight="1" x14ac:dyDescent="0.25"/>
    <row r="246" spans="1:11" ht="15" customHeight="1" x14ac:dyDescent="0.25"/>
    <row r="247" spans="1:11" ht="15" customHeight="1" x14ac:dyDescent="0.25"/>
    <row r="248" spans="1:11" ht="15" customHeight="1" x14ac:dyDescent="0.25"/>
    <row r="249" spans="1:11" ht="15" customHeight="1" x14ac:dyDescent="0.25"/>
    <row r="250" spans="1:11" ht="15" customHeight="1" x14ac:dyDescent="0.25"/>
    <row r="251" spans="1:11" ht="15" customHeight="1" x14ac:dyDescent="0.25">
      <c r="A251" s="31" t="s">
        <v>126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</row>
    <row r="252" spans="1:11" ht="15" customHeight="1" x14ac:dyDescent="0.25">
      <c r="A252" s="32" t="s">
        <v>65</v>
      </c>
      <c r="B252" s="32"/>
      <c r="C252" s="32"/>
      <c r="D252" s="32"/>
      <c r="E252" s="32"/>
      <c r="G252" s="32" t="s">
        <v>66</v>
      </c>
      <c r="H252" s="32"/>
      <c r="I252" s="32"/>
      <c r="J252" s="32"/>
      <c r="K252" s="32"/>
    </row>
    <row r="253" spans="1:11" ht="15" customHeight="1" x14ac:dyDescent="0.25">
      <c r="A253" s="32"/>
      <c r="B253" s="32"/>
      <c r="C253" s="32"/>
      <c r="D253" s="32"/>
      <c r="E253" s="32"/>
      <c r="G253" s="32"/>
      <c r="H253" s="32"/>
      <c r="I253" s="32"/>
      <c r="J253" s="32"/>
      <c r="K253" s="32"/>
    </row>
    <row r="254" spans="1:11" ht="15" customHeight="1" x14ac:dyDescent="0.25">
      <c r="A254" s="29" t="s">
        <v>127</v>
      </c>
      <c r="B254" s="29"/>
      <c r="C254" s="29"/>
      <c r="D254" s="22">
        <f>-((1/1000)*RMx*(Z/2))/InertiaOfCSection</f>
        <v>-76856.884077038514</v>
      </c>
      <c r="E254" s="16" t="s">
        <v>15</v>
      </c>
      <c r="G254" s="29" t="s">
        <v>123</v>
      </c>
      <c r="H254" s="29"/>
      <c r="I254" s="29"/>
      <c r="J254" s="22">
        <f>0</f>
        <v>0</v>
      </c>
      <c r="K254" s="16" t="s">
        <v>15</v>
      </c>
    </row>
    <row r="255" spans="1:11" ht="15" customHeight="1" x14ac:dyDescent="0.25">
      <c r="A255" s="29" t="s">
        <v>114</v>
      </c>
      <c r="B255" s="29"/>
      <c r="C255" s="29"/>
      <c r="D255" s="22">
        <f xml:space="preserve"> -(1/1000)*(RMy*(Z/2))/PolarInertiaOfCSection</f>
        <v>30995.831694649565</v>
      </c>
      <c r="E255" s="16" t="s">
        <v>15</v>
      </c>
      <c r="G255" s="29" t="s">
        <v>114</v>
      </c>
      <c r="H255" s="29"/>
      <c r="I255" s="29"/>
      <c r="J255" s="22">
        <f xml:space="preserve"> -((1/1000)*(RMy*(Z/2)))/PolarInertiaOfCSection</f>
        <v>30995.831694649565</v>
      </c>
      <c r="K255" s="16" t="s">
        <v>15</v>
      </c>
    </row>
    <row r="256" spans="1:11" ht="15" customHeight="1" x14ac:dyDescent="0.25">
      <c r="A256" s="29" t="s">
        <v>115</v>
      </c>
      <c r="B256" s="29"/>
      <c r="C256" s="29"/>
      <c r="D256" s="22">
        <f>0</f>
        <v>0</v>
      </c>
      <c r="E256" s="16" t="s">
        <v>15</v>
      </c>
      <c r="G256" s="29" t="s">
        <v>128</v>
      </c>
      <c r="H256" s="29"/>
      <c r="I256" s="29"/>
      <c r="J256" s="22">
        <f>((1/1000)*(RMz*(Z/2)))/InertiaOfCSection</f>
        <v>13248.428361750854</v>
      </c>
      <c r="K256" s="16" t="s">
        <v>15</v>
      </c>
    </row>
    <row r="257" spans="1:11" ht="15" customHeight="1" x14ac:dyDescent="0.25">
      <c r="A257" s="29" t="s">
        <v>136</v>
      </c>
      <c r="B257" s="29"/>
      <c r="C257" s="29"/>
      <c r="D257" s="22">
        <f>((1/1000)*(Rx*StaticMArea))/(InertiaOfCSection*2*E)</f>
        <v>0</v>
      </c>
      <c r="E257" s="16" t="s">
        <v>15</v>
      </c>
      <c r="G257" s="29" t="s">
        <v>134</v>
      </c>
      <c r="H257" s="29"/>
      <c r="I257" s="29"/>
      <c r="J257" s="22">
        <f>0</f>
        <v>0</v>
      </c>
      <c r="K257" s="16" t="s">
        <v>15</v>
      </c>
    </row>
    <row r="258" spans="1:11" ht="15" customHeight="1" x14ac:dyDescent="0.25">
      <c r="A258" s="29" t="s">
        <v>116</v>
      </c>
      <c r="B258" s="29"/>
      <c r="C258" s="29"/>
      <c r="D258" s="22">
        <f xml:space="preserve"> -((1/1000)*Ry)/CSecArea</f>
        <v>-384.27010283383862</v>
      </c>
      <c r="E258" s="16" t="s">
        <v>15</v>
      </c>
      <c r="G258" s="29" t="s">
        <v>116</v>
      </c>
      <c r="H258" s="29"/>
      <c r="I258" s="29"/>
      <c r="J258" s="22">
        <f xml:space="preserve"> -((1/1000)*Ry)/CSecArea</f>
        <v>-384.27010283383862</v>
      </c>
      <c r="K258" s="16" t="s">
        <v>15</v>
      </c>
    </row>
    <row r="259" spans="1:11" ht="15" customHeight="1" x14ac:dyDescent="0.25">
      <c r="A259" s="29" t="s">
        <v>117</v>
      </c>
      <c r="B259" s="29"/>
      <c r="C259" s="29"/>
      <c r="D259" s="22">
        <f>0</f>
        <v>0</v>
      </c>
      <c r="E259" s="16" t="s">
        <v>15</v>
      </c>
      <c r="G259" s="29" t="s">
        <v>129</v>
      </c>
      <c r="H259" s="29"/>
      <c r="I259" s="29"/>
      <c r="J259" s="22">
        <f>-((1/1000)*(Rz*StaticMArea))/(InertiaOfCSection*2*E)</f>
        <v>-2737.1830484248367</v>
      </c>
      <c r="K259" s="16" t="s">
        <v>15</v>
      </c>
    </row>
    <row r="260" spans="1:11" ht="15" customHeight="1" x14ac:dyDescent="0.35">
      <c r="A260" s="30" t="s">
        <v>118</v>
      </c>
      <c r="B260" s="30"/>
      <c r="C260" s="30"/>
      <c r="D260" s="22">
        <f>0</f>
        <v>0</v>
      </c>
      <c r="E260" s="16" t="s">
        <v>15</v>
      </c>
      <c r="G260" s="30" t="s">
        <v>118</v>
      </c>
      <c r="H260" s="30"/>
      <c r="I260" s="30"/>
      <c r="J260" s="22">
        <f>0</f>
        <v>0</v>
      </c>
      <c r="K260" s="16" t="s">
        <v>15</v>
      </c>
    </row>
    <row r="261" spans="1:11" ht="15" customHeight="1" x14ac:dyDescent="0.35">
      <c r="A261" s="30" t="s">
        <v>119</v>
      </c>
      <c r="B261" s="30"/>
      <c r="C261" s="30"/>
      <c r="D261" s="22">
        <f>D254+D258</f>
        <v>-77241.154179872348</v>
      </c>
      <c r="E261" s="16" t="s">
        <v>15</v>
      </c>
      <c r="G261" s="30" t="s">
        <v>119</v>
      </c>
      <c r="H261" s="30"/>
      <c r="I261" s="30"/>
      <c r="J261" s="22">
        <f>J256+J258</f>
        <v>12864.158258917016</v>
      </c>
      <c r="K261" s="16" t="s">
        <v>15</v>
      </c>
    </row>
    <row r="262" spans="1:11" ht="15" customHeight="1" x14ac:dyDescent="0.35">
      <c r="A262" s="30" t="s">
        <v>120</v>
      </c>
      <c r="B262" s="30"/>
      <c r="C262" s="30"/>
      <c r="D262" s="22">
        <f>D255+D257</f>
        <v>30995.831694649565</v>
      </c>
      <c r="E262" s="16" t="s">
        <v>15</v>
      </c>
      <c r="G262" s="30" t="s">
        <v>120</v>
      </c>
      <c r="H262" s="30"/>
      <c r="I262" s="30"/>
      <c r="J262" s="22">
        <f>J255+J259</f>
        <v>28258.648646224727</v>
      </c>
      <c r="K262" s="16" t="s">
        <v>15</v>
      </c>
    </row>
    <row r="263" spans="1:11" ht="15" customHeight="1" x14ac:dyDescent="0.35">
      <c r="A263" s="30" t="s">
        <v>12</v>
      </c>
      <c r="B263" s="30"/>
      <c r="C263" s="30"/>
      <c r="D263" s="22">
        <f>((D260+D261)/2)-SQRT(((D260-D261)/2)^2+D262^2)</f>
        <v>-88141.18448930826</v>
      </c>
      <c r="E263" s="16" t="s">
        <v>15</v>
      </c>
      <c r="G263" s="30" t="s">
        <v>12</v>
      </c>
      <c r="H263" s="30"/>
      <c r="I263" s="30"/>
      <c r="J263" s="22">
        <f>((J260+J261)/2)-SQRT(((J260-J261)/2)^2+J262^2)</f>
        <v>-22549.343631310061</v>
      </c>
      <c r="K263" s="16" t="s">
        <v>15</v>
      </c>
    </row>
    <row r="264" spans="1:11" ht="15" customHeight="1" x14ac:dyDescent="0.35">
      <c r="A264" s="30" t="s">
        <v>13</v>
      </c>
      <c r="B264" s="30"/>
      <c r="C264" s="30"/>
      <c r="D264" s="22">
        <f>((D260+D261)/2)+SQRT(((D260-D261)/2)^2+D262^2)</f>
        <v>10900.030309435911</v>
      </c>
      <c r="E264" s="16" t="s">
        <v>15</v>
      </c>
      <c r="G264" s="30" t="s">
        <v>13</v>
      </c>
      <c r="H264" s="30"/>
      <c r="I264" s="30"/>
      <c r="J264" s="22">
        <f>((J260+J261)/2)+SQRT(((J260-J261)/2)^2+J262^2)</f>
        <v>35413.501890227075</v>
      </c>
      <c r="K264" s="16" t="s">
        <v>15</v>
      </c>
    </row>
    <row r="265" spans="1:11" ht="15" customHeight="1" x14ac:dyDescent="0.35">
      <c r="A265" s="30" t="s">
        <v>14</v>
      </c>
      <c r="B265" s="30"/>
      <c r="C265" s="30"/>
      <c r="D265" s="22">
        <f>SQRT(((D260-D261)/2)^2+D262^2)</f>
        <v>49520.607399372086</v>
      </c>
      <c r="E265" s="16" t="s">
        <v>15</v>
      </c>
      <c r="G265" s="30" t="s">
        <v>14</v>
      </c>
      <c r="H265" s="30"/>
      <c r="I265" s="30"/>
      <c r="J265" s="22">
        <f>SQRT(((J260-J261)/2)^2+J262^2)</f>
        <v>28981.422760768568</v>
      </c>
      <c r="K265" s="16" t="s">
        <v>15</v>
      </c>
    </row>
    <row r="266" spans="1:11" ht="15" customHeight="1" x14ac:dyDescent="0.35">
      <c r="A266" s="30" t="s">
        <v>121</v>
      </c>
      <c r="B266" s="30"/>
      <c r="C266" s="30"/>
      <c r="D266" s="22">
        <f>DEGREES(ATAN((2*D262)/(D260-D261))/2)</f>
        <v>19.374793166931209</v>
      </c>
      <c r="E266" s="16" t="s">
        <v>16</v>
      </c>
      <c r="G266" s="30" t="s">
        <v>121</v>
      </c>
      <c r="H266" s="30"/>
      <c r="I266" s="30"/>
      <c r="J266" s="22">
        <f>DEGREES(ATAN((2*J262)/(J260-J261))/2)</f>
        <v>-38.588556572173459</v>
      </c>
      <c r="K266" s="16" t="s">
        <v>16</v>
      </c>
    </row>
    <row r="267" spans="1:11" ht="15" customHeight="1" x14ac:dyDescent="0.35">
      <c r="A267" s="30" t="s">
        <v>122</v>
      </c>
      <c r="B267" s="30"/>
      <c r="C267" s="30"/>
      <c r="D267" s="22">
        <f>D266-45</f>
        <v>-25.625206833068791</v>
      </c>
      <c r="E267" s="16" t="s">
        <v>16</v>
      </c>
      <c r="G267" s="30" t="s">
        <v>122</v>
      </c>
      <c r="H267" s="30"/>
      <c r="I267" s="30"/>
      <c r="J267" s="22">
        <f>J266+45</f>
        <v>6.4114434278265406</v>
      </c>
      <c r="K267" s="16" t="s">
        <v>16</v>
      </c>
    </row>
    <row r="268" spans="1:11" ht="15" customHeight="1" x14ac:dyDescent="0.25"/>
    <row r="269" spans="1:11" ht="15" customHeight="1" x14ac:dyDescent="0.25"/>
    <row r="270" spans="1:11" ht="15" customHeight="1" x14ac:dyDescent="0.25"/>
    <row r="271" spans="1:11" ht="15" customHeight="1" x14ac:dyDescent="0.25"/>
    <row r="272" spans="1:11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spans="1:11" ht="15" customHeight="1" x14ac:dyDescent="0.25"/>
    <row r="290" spans="1:11" ht="15" customHeight="1" x14ac:dyDescent="0.25"/>
    <row r="291" spans="1:11" ht="15" customHeight="1" x14ac:dyDescent="0.25"/>
    <row r="292" spans="1:11" ht="15" customHeight="1" x14ac:dyDescent="0.25"/>
    <row r="293" spans="1:11" ht="15" customHeight="1" x14ac:dyDescent="0.25"/>
    <row r="294" spans="1:11" ht="15" customHeight="1" x14ac:dyDescent="0.25"/>
    <row r="295" spans="1:11" ht="15" customHeight="1" x14ac:dyDescent="0.25"/>
    <row r="296" spans="1:11" ht="15" customHeight="1" x14ac:dyDescent="0.25"/>
    <row r="297" spans="1:11" ht="15" customHeight="1" x14ac:dyDescent="0.25"/>
    <row r="298" spans="1:11" ht="15" customHeight="1" x14ac:dyDescent="0.25"/>
    <row r="299" spans="1:11" ht="15" customHeight="1" x14ac:dyDescent="0.25"/>
    <row r="300" spans="1:11" ht="15" customHeight="1" x14ac:dyDescent="0.25"/>
    <row r="301" spans="1:11" ht="15" customHeight="1" x14ac:dyDescent="0.25">
      <c r="A301" s="31" t="s">
        <v>150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</row>
    <row r="302" spans="1:11" ht="15" customHeight="1" x14ac:dyDescent="0.25">
      <c r="A302" s="41" t="s">
        <v>151</v>
      </c>
      <c r="B302" s="41"/>
      <c r="C302" s="41"/>
      <c r="D302" s="41"/>
      <c r="E302" s="41"/>
      <c r="F302" s="41"/>
      <c r="G302" s="41"/>
      <c r="H302" s="41"/>
      <c r="I302" s="41"/>
      <c r="J302" s="41"/>
      <c r="K302" s="41"/>
    </row>
    <row r="303" spans="1:11" ht="15" customHeight="1" x14ac:dyDescent="0.25"/>
    <row r="304" spans="1:11" ht="15" customHeight="1" x14ac:dyDescent="0.25"/>
    <row r="305" spans="1:11" ht="15" customHeight="1" x14ac:dyDescent="0.25"/>
    <row r="306" spans="1:11" ht="15" customHeight="1" x14ac:dyDescent="0.25"/>
    <row r="307" spans="1:11" ht="15" customHeight="1" x14ac:dyDescent="0.25"/>
    <row r="308" spans="1:11" ht="15" customHeight="1" x14ac:dyDescent="0.25"/>
    <row r="309" spans="1:11" ht="15" customHeight="1" x14ac:dyDescent="0.25"/>
    <row r="310" spans="1:11" ht="15" customHeight="1" x14ac:dyDescent="0.25"/>
    <row r="311" spans="1:11" ht="15" customHeight="1" x14ac:dyDescent="0.25"/>
    <row r="312" spans="1:11" ht="15" customHeight="1" x14ac:dyDescent="0.25"/>
    <row r="313" spans="1:11" ht="15" customHeight="1" x14ac:dyDescent="0.25"/>
    <row r="314" spans="1:11" ht="15" customHeight="1" x14ac:dyDescent="0.25"/>
    <row r="315" spans="1:11" ht="15" customHeight="1" x14ac:dyDescent="0.25"/>
    <row r="316" spans="1:11" ht="15" customHeight="1" x14ac:dyDescent="0.25"/>
    <row r="317" spans="1:11" ht="15" customHeight="1" x14ac:dyDescent="0.25"/>
    <row r="318" spans="1:11" ht="15" customHeight="1" x14ac:dyDescent="0.25">
      <c r="A318" s="41" t="s">
        <v>152</v>
      </c>
      <c r="B318" s="41"/>
      <c r="C318" s="41"/>
      <c r="D318" s="41"/>
      <c r="E318" s="41"/>
      <c r="F318" s="41"/>
      <c r="G318" s="41"/>
      <c r="H318" s="41"/>
      <c r="I318" s="41"/>
      <c r="J318" s="41"/>
      <c r="K318" s="41"/>
    </row>
    <row r="319" spans="1:11" ht="15" customHeight="1" x14ac:dyDescent="0.25"/>
    <row r="320" spans="1:11" ht="15" customHeight="1" x14ac:dyDescent="0.25"/>
    <row r="321" spans="1:11" ht="15" customHeight="1" x14ac:dyDescent="0.25"/>
    <row r="322" spans="1:11" ht="15" customHeight="1" x14ac:dyDescent="0.25"/>
    <row r="323" spans="1:11" ht="15" customHeight="1" x14ac:dyDescent="0.25"/>
    <row r="324" spans="1:11" ht="15" customHeight="1" x14ac:dyDescent="0.25"/>
    <row r="325" spans="1:11" ht="15" customHeight="1" x14ac:dyDescent="0.25"/>
    <row r="326" spans="1:11" ht="15" customHeight="1" x14ac:dyDescent="0.25"/>
    <row r="327" spans="1:11" ht="15" customHeight="1" x14ac:dyDescent="0.25"/>
    <row r="328" spans="1:11" ht="15" customHeight="1" x14ac:dyDescent="0.25"/>
    <row r="329" spans="1:11" ht="15" customHeight="1" x14ac:dyDescent="0.25"/>
    <row r="330" spans="1:11" ht="15" customHeight="1" x14ac:dyDescent="0.25"/>
    <row r="331" spans="1:11" ht="15" customHeight="1" x14ac:dyDescent="0.25"/>
    <row r="332" spans="1:11" ht="15" customHeight="1" x14ac:dyDescent="0.25"/>
    <row r="333" spans="1:11" ht="15" customHeight="1" x14ac:dyDescent="0.25"/>
    <row r="334" spans="1:11" ht="15" customHeight="1" x14ac:dyDescent="0.25"/>
    <row r="335" spans="1:11" ht="15" customHeight="1" x14ac:dyDescent="0.25"/>
    <row r="336" spans="1:11" ht="15" customHeight="1" x14ac:dyDescent="0.25">
      <c r="A336" s="41" t="s">
        <v>153</v>
      </c>
      <c r="B336" s="41"/>
      <c r="C336" s="41"/>
      <c r="D336" s="41"/>
      <c r="E336" s="41"/>
      <c r="F336" s="41"/>
      <c r="G336" s="41"/>
      <c r="H336" s="41"/>
      <c r="I336" s="41"/>
      <c r="J336" s="41"/>
      <c r="K336" s="41"/>
    </row>
    <row r="337" spans="1:11" ht="15" customHeight="1" x14ac:dyDescent="0.25"/>
    <row r="338" spans="1:11" ht="15" customHeight="1" x14ac:dyDescent="0.25"/>
    <row r="339" spans="1:11" ht="15" customHeight="1" x14ac:dyDescent="0.25"/>
    <row r="340" spans="1:11" ht="15" customHeight="1" x14ac:dyDescent="0.25"/>
    <row r="341" spans="1:11" ht="15" customHeight="1" x14ac:dyDescent="0.25"/>
    <row r="342" spans="1:11" ht="15" customHeight="1" x14ac:dyDescent="0.25"/>
    <row r="343" spans="1:11" ht="15" customHeight="1" x14ac:dyDescent="0.25"/>
    <row r="344" spans="1:11" ht="15" customHeight="1" x14ac:dyDescent="0.25"/>
    <row r="345" spans="1:11" ht="15" customHeight="1" x14ac:dyDescent="0.25"/>
    <row r="346" spans="1:11" ht="15" customHeight="1" x14ac:dyDescent="0.25"/>
    <row r="347" spans="1:11" ht="15" customHeight="1" x14ac:dyDescent="0.25"/>
    <row r="348" spans="1:11" ht="15" customHeight="1" x14ac:dyDescent="0.25"/>
    <row r="349" spans="1:11" ht="15" customHeight="1" x14ac:dyDescent="0.25"/>
    <row r="350" spans="1:11" ht="15" customHeight="1" x14ac:dyDescent="0.25"/>
    <row r="351" spans="1:11" ht="15" customHeight="1" x14ac:dyDescent="0.25">
      <c r="A351" s="31" t="s">
        <v>154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</row>
    <row r="352" spans="1:11" ht="15" customHeight="1" x14ac:dyDescent="0.25">
      <c r="A352" s="41" t="s">
        <v>155</v>
      </c>
      <c r="B352" s="41"/>
      <c r="C352" s="41"/>
      <c r="D352" s="41"/>
      <c r="E352" s="41"/>
      <c r="F352" s="41"/>
      <c r="G352" s="41"/>
      <c r="H352" s="41"/>
      <c r="I352" s="41"/>
      <c r="J352" s="41"/>
      <c r="K352" s="41"/>
    </row>
    <row r="353" spans="1:11" ht="15" customHeight="1" x14ac:dyDescent="0.25"/>
    <row r="354" spans="1:11" ht="15" customHeight="1" x14ac:dyDescent="0.25"/>
    <row r="355" spans="1:11" ht="15" customHeight="1" x14ac:dyDescent="0.25"/>
    <row r="356" spans="1:11" ht="15" customHeight="1" x14ac:dyDescent="0.25"/>
    <row r="357" spans="1:11" ht="15" customHeight="1" x14ac:dyDescent="0.25"/>
    <row r="358" spans="1:11" ht="15" customHeight="1" x14ac:dyDescent="0.25"/>
    <row r="359" spans="1:11" ht="15" customHeight="1" x14ac:dyDescent="0.25"/>
    <row r="360" spans="1:11" ht="15" customHeight="1" x14ac:dyDescent="0.25"/>
    <row r="361" spans="1:11" ht="15" customHeight="1" x14ac:dyDescent="0.25"/>
    <row r="362" spans="1:11" ht="15" customHeight="1" x14ac:dyDescent="0.25"/>
    <row r="363" spans="1:11" ht="15" customHeight="1" x14ac:dyDescent="0.25"/>
    <row r="364" spans="1:11" ht="15" customHeight="1" x14ac:dyDescent="0.25"/>
    <row r="365" spans="1:11" ht="15" customHeight="1" x14ac:dyDescent="0.25"/>
    <row r="366" spans="1:11" ht="15" customHeight="1" x14ac:dyDescent="0.25"/>
    <row r="367" spans="1:11" ht="15" customHeight="1" x14ac:dyDescent="0.25"/>
    <row r="368" spans="1:11" ht="15" customHeight="1" x14ac:dyDescent="0.25">
      <c r="A368" s="41" t="s">
        <v>156</v>
      </c>
      <c r="B368" s="41"/>
      <c r="C368" s="41"/>
      <c r="D368" s="41"/>
      <c r="E368" s="41"/>
      <c r="F368" s="41"/>
      <c r="G368" s="41"/>
      <c r="H368" s="41"/>
      <c r="I368" s="41"/>
      <c r="J368" s="41"/>
      <c r="K368" s="41"/>
    </row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spans="1:11" ht="15" customHeight="1" x14ac:dyDescent="0.25">
      <c r="A385" s="41" t="s">
        <v>157</v>
      </c>
      <c r="B385" s="41"/>
      <c r="C385" s="41"/>
      <c r="D385" s="41"/>
      <c r="E385" s="41"/>
      <c r="F385" s="41"/>
      <c r="G385" s="41"/>
      <c r="H385" s="41"/>
      <c r="I385" s="41"/>
      <c r="J385" s="41"/>
      <c r="K385" s="41"/>
    </row>
    <row r="386" spans="1:11" ht="15" customHeight="1" x14ac:dyDescent="0.25"/>
    <row r="387" spans="1:11" ht="15" customHeight="1" x14ac:dyDescent="0.25"/>
    <row r="388" spans="1:11" ht="15" customHeight="1" x14ac:dyDescent="0.25"/>
    <row r="389" spans="1:11" ht="15" customHeight="1" x14ac:dyDescent="0.25"/>
    <row r="390" spans="1:11" ht="15" customHeight="1" x14ac:dyDescent="0.25"/>
    <row r="391" spans="1:11" ht="15" customHeight="1" x14ac:dyDescent="0.25"/>
    <row r="392" spans="1:11" ht="15" customHeight="1" x14ac:dyDescent="0.25"/>
    <row r="393" spans="1:11" ht="15" customHeight="1" x14ac:dyDescent="0.25"/>
    <row r="394" spans="1:11" ht="15" customHeight="1" x14ac:dyDescent="0.25"/>
    <row r="395" spans="1:11" ht="15" customHeight="1" x14ac:dyDescent="0.25"/>
    <row r="396" spans="1:11" ht="15" customHeight="1" x14ac:dyDescent="0.25"/>
    <row r="397" spans="1:11" ht="15" customHeight="1" x14ac:dyDescent="0.25"/>
    <row r="398" spans="1:11" ht="15" customHeight="1" x14ac:dyDescent="0.25"/>
    <row r="399" spans="1:11" ht="15" customHeight="1" x14ac:dyDescent="0.25"/>
    <row r="400" spans="1:11" ht="15" customHeight="1" x14ac:dyDescent="0.25"/>
    <row r="401" spans="1:11" ht="15" customHeight="1" x14ac:dyDescent="0.25">
      <c r="A401" s="62" t="s">
        <v>158</v>
      </c>
      <c r="B401" s="62"/>
      <c r="C401" s="62"/>
      <c r="D401" s="62"/>
      <c r="E401" s="62"/>
      <c r="F401" s="62"/>
      <c r="G401" s="62"/>
      <c r="H401" s="62"/>
      <c r="I401" s="62"/>
      <c r="J401" s="62"/>
      <c r="K401" s="62"/>
    </row>
    <row r="402" spans="1:11" ht="15" customHeight="1" x14ac:dyDescent="0.25"/>
    <row r="403" spans="1:11" ht="15" customHeight="1" x14ac:dyDescent="0.25"/>
    <row r="404" spans="1:11" ht="15" customHeight="1" x14ac:dyDescent="0.25"/>
    <row r="405" spans="1:11" ht="15" customHeight="1" x14ac:dyDescent="0.25"/>
    <row r="406" spans="1:11" ht="15" customHeight="1" x14ac:dyDescent="0.25"/>
    <row r="407" spans="1:11" ht="15" customHeight="1" x14ac:dyDescent="0.25"/>
    <row r="408" spans="1:11" ht="15" customHeight="1" x14ac:dyDescent="0.25"/>
    <row r="409" spans="1:11" ht="15" customHeight="1" x14ac:dyDescent="0.25"/>
    <row r="410" spans="1:11" ht="15" customHeight="1" x14ac:dyDescent="0.25"/>
  </sheetData>
  <mergeCells count="203">
    <mergeCell ref="A301:K301"/>
    <mergeCell ref="A302:K302"/>
    <mergeCell ref="A318:K318"/>
    <mergeCell ref="A336:K336"/>
    <mergeCell ref="A351:K351"/>
    <mergeCell ref="A352:K352"/>
    <mergeCell ref="A368:K368"/>
    <mergeCell ref="A385:K385"/>
    <mergeCell ref="A401:K401"/>
    <mergeCell ref="J1:K2"/>
    <mergeCell ref="A17:K17"/>
    <mergeCell ref="F24:K24"/>
    <mergeCell ref="A32:C32"/>
    <mergeCell ref="A12:K12"/>
    <mergeCell ref="A15:K15"/>
    <mergeCell ref="A1:C2"/>
    <mergeCell ref="E1:G2"/>
    <mergeCell ref="F18:G18"/>
    <mergeCell ref="F19:G21"/>
    <mergeCell ref="I18:K18"/>
    <mergeCell ref="I19:K21"/>
    <mergeCell ref="D24:E24"/>
    <mergeCell ref="D25:E26"/>
    <mergeCell ref="A18:C18"/>
    <mergeCell ref="A19:B19"/>
    <mergeCell ref="A20:B20"/>
    <mergeCell ref="A21:B21"/>
    <mergeCell ref="A24:C24"/>
    <mergeCell ref="A57:B57"/>
    <mergeCell ref="A58:B58"/>
    <mergeCell ref="A59:B59"/>
    <mergeCell ref="A61:B61"/>
    <mergeCell ref="A62:B62"/>
    <mergeCell ref="D27:E28"/>
    <mergeCell ref="D29:E30"/>
    <mergeCell ref="A22:K22"/>
    <mergeCell ref="A53:B53"/>
    <mergeCell ref="A51:K51"/>
    <mergeCell ref="A60:B60"/>
    <mergeCell ref="A74:B74"/>
    <mergeCell ref="A75:B75"/>
    <mergeCell ref="A76:B76"/>
    <mergeCell ref="A77:B77"/>
    <mergeCell ref="A68:B68"/>
    <mergeCell ref="A69:B69"/>
    <mergeCell ref="A70:B70"/>
    <mergeCell ref="A63:B63"/>
    <mergeCell ref="A64:B64"/>
    <mergeCell ref="A65:B65"/>
    <mergeCell ref="A66:B66"/>
    <mergeCell ref="A67:B67"/>
    <mergeCell ref="A99:B99"/>
    <mergeCell ref="A100:B100"/>
    <mergeCell ref="A94:B94"/>
    <mergeCell ref="A95:B95"/>
    <mergeCell ref="A96:B96"/>
    <mergeCell ref="A97:B97"/>
    <mergeCell ref="A98:B98"/>
    <mergeCell ref="A91:B91"/>
    <mergeCell ref="A93:B93"/>
    <mergeCell ref="A114:B114"/>
    <mergeCell ref="A115:B115"/>
    <mergeCell ref="A116:B116"/>
    <mergeCell ref="A109:B109"/>
    <mergeCell ref="A110:B110"/>
    <mergeCell ref="A111:B111"/>
    <mergeCell ref="A112:B112"/>
    <mergeCell ref="A113:B113"/>
    <mergeCell ref="A104:B104"/>
    <mergeCell ref="A105:B105"/>
    <mergeCell ref="A106:B106"/>
    <mergeCell ref="A107:B107"/>
    <mergeCell ref="A108:B108"/>
    <mergeCell ref="A124:B124"/>
    <mergeCell ref="A125:B125"/>
    <mergeCell ref="A126:B126"/>
    <mergeCell ref="A127:B127"/>
    <mergeCell ref="A128:B128"/>
    <mergeCell ref="A120:B120"/>
    <mergeCell ref="A121:B121"/>
    <mergeCell ref="A122:B122"/>
    <mergeCell ref="A123:B123"/>
    <mergeCell ref="A159:B159"/>
    <mergeCell ref="A154:B154"/>
    <mergeCell ref="A155:B155"/>
    <mergeCell ref="A156:B156"/>
    <mergeCell ref="A157:B157"/>
    <mergeCell ref="A158:B158"/>
    <mergeCell ref="A147:B147"/>
    <mergeCell ref="A148:B148"/>
    <mergeCell ref="A149:B149"/>
    <mergeCell ref="A150:B150"/>
    <mergeCell ref="A151:K151"/>
    <mergeCell ref="A152:D153"/>
    <mergeCell ref="A55:D56"/>
    <mergeCell ref="A72:D73"/>
    <mergeCell ref="A92:B92"/>
    <mergeCell ref="A101:K101"/>
    <mergeCell ref="A102:D103"/>
    <mergeCell ref="A118:D119"/>
    <mergeCell ref="A129:D130"/>
    <mergeCell ref="A140:D141"/>
    <mergeCell ref="A142:B142"/>
    <mergeCell ref="A143:B143"/>
    <mergeCell ref="A144:B144"/>
    <mergeCell ref="A145:B145"/>
    <mergeCell ref="A146:B146"/>
    <mergeCell ref="A138:B138"/>
    <mergeCell ref="A139:B139"/>
    <mergeCell ref="A133:B133"/>
    <mergeCell ref="A134:B134"/>
    <mergeCell ref="A135:B135"/>
    <mergeCell ref="A136:B136"/>
    <mergeCell ref="A137:B137"/>
    <mergeCell ref="A131:B131"/>
    <mergeCell ref="A132:B132"/>
    <mergeCell ref="A191:C191"/>
    <mergeCell ref="A192:C192"/>
    <mergeCell ref="A193:C193"/>
    <mergeCell ref="A194:C194"/>
    <mergeCell ref="A195:C195"/>
    <mergeCell ref="A187:E188"/>
    <mergeCell ref="A189:C189"/>
    <mergeCell ref="A190:C190"/>
    <mergeCell ref="C13:C14"/>
    <mergeCell ref="F13:F14"/>
    <mergeCell ref="I13:I14"/>
    <mergeCell ref="E18:E21"/>
    <mergeCell ref="H18:H21"/>
    <mergeCell ref="A89:D90"/>
    <mergeCell ref="A84:B84"/>
    <mergeCell ref="A85:B85"/>
    <mergeCell ref="A86:B86"/>
    <mergeCell ref="A87:B87"/>
    <mergeCell ref="A78:B78"/>
    <mergeCell ref="A79:B79"/>
    <mergeCell ref="A80:B80"/>
    <mergeCell ref="A81:B81"/>
    <mergeCell ref="A83:B83"/>
    <mergeCell ref="A82:B82"/>
    <mergeCell ref="A201:K201"/>
    <mergeCell ref="A219:E220"/>
    <mergeCell ref="A221:C221"/>
    <mergeCell ref="A222:C222"/>
    <mergeCell ref="A223:C223"/>
    <mergeCell ref="G219:K220"/>
    <mergeCell ref="G221:I221"/>
    <mergeCell ref="G222:I222"/>
    <mergeCell ref="G223:I223"/>
    <mergeCell ref="G230:I230"/>
    <mergeCell ref="G231:I231"/>
    <mergeCell ref="G232:I232"/>
    <mergeCell ref="G233:I233"/>
    <mergeCell ref="G234:I234"/>
    <mergeCell ref="A234:C234"/>
    <mergeCell ref="G225:I225"/>
    <mergeCell ref="G226:I226"/>
    <mergeCell ref="G227:I227"/>
    <mergeCell ref="G228:I228"/>
    <mergeCell ref="G229:I229"/>
    <mergeCell ref="A230:C230"/>
    <mergeCell ref="A231:C231"/>
    <mergeCell ref="A232:C232"/>
    <mergeCell ref="A233:C233"/>
    <mergeCell ref="A225:C225"/>
    <mergeCell ref="A226:C226"/>
    <mergeCell ref="A227:C227"/>
    <mergeCell ref="A228:C228"/>
    <mergeCell ref="A229:C229"/>
    <mergeCell ref="G256:I256"/>
    <mergeCell ref="A258:C258"/>
    <mergeCell ref="G258:I258"/>
    <mergeCell ref="A257:C257"/>
    <mergeCell ref="G257:I257"/>
    <mergeCell ref="A251:K251"/>
    <mergeCell ref="A252:E253"/>
    <mergeCell ref="G252:K253"/>
    <mergeCell ref="A254:C254"/>
    <mergeCell ref="G254:I254"/>
    <mergeCell ref="E148:F148"/>
    <mergeCell ref="A224:C224"/>
    <mergeCell ref="G224:I224"/>
    <mergeCell ref="A265:C265"/>
    <mergeCell ref="G265:I265"/>
    <mergeCell ref="A266:C266"/>
    <mergeCell ref="G266:I266"/>
    <mergeCell ref="A267:C267"/>
    <mergeCell ref="G267:I267"/>
    <mergeCell ref="A262:C262"/>
    <mergeCell ref="G262:I262"/>
    <mergeCell ref="A263:C263"/>
    <mergeCell ref="G263:I263"/>
    <mergeCell ref="A264:C264"/>
    <mergeCell ref="G264:I264"/>
    <mergeCell ref="A259:C259"/>
    <mergeCell ref="G259:I259"/>
    <mergeCell ref="A260:C260"/>
    <mergeCell ref="G260:I260"/>
    <mergeCell ref="A261:C261"/>
    <mergeCell ref="G261:I261"/>
    <mergeCell ref="A255:C255"/>
    <mergeCell ref="G255:I255"/>
    <mergeCell ref="A256:C256"/>
  </mergeCells>
  <phoneticPr fontId="6" type="noConversion"/>
  <conditionalFormatting sqref="D29:E30">
    <cfRule type="containsText" dxfId="1" priority="1" operator="containsText" text="SAFE">
      <formula>NOT(ISERROR(SEARCH("SAFE",D29)))</formula>
    </cfRule>
    <cfRule type="containsText" dxfId="0" priority="2" operator="containsText" text="FAILURE">
      <formula>NOT(ISERROR(SEARCH("FAILURE",D29)))</formula>
    </cfRule>
  </conditionalFormatting>
  <printOptions horizontalCentered="1"/>
  <pageMargins left="0.25" right="0.15" top="0.4" bottom="0.4" header="0.3" footer="0.3"/>
  <pageSetup fitToWidth="0" orientation="portrait" horizontalDpi="1200" verticalDpi="1200" r:id="rId1"/>
  <ignoredErrors>
    <ignoredError sqref="D258" formula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b44a7b9-38fe-451f-97b1-a578fac7081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B6419E9B7AED479E9F4DD8FD33F6A5" ma:contentTypeVersion="9" ma:contentTypeDescription="Create a new document." ma:contentTypeScope="" ma:versionID="51c7f918b0de7150b0d23ba656d21503">
  <xsd:schema xmlns:xsd="http://www.w3.org/2001/XMLSchema" xmlns:xs="http://www.w3.org/2001/XMLSchema" xmlns:p="http://schemas.microsoft.com/office/2006/metadata/properties" xmlns:ns3="5b44a7b9-38fe-451f-97b1-a578fac70816" xmlns:ns4="bf73c00f-5419-41e1-8be3-4333508ac8df" targetNamespace="http://schemas.microsoft.com/office/2006/metadata/properties" ma:root="true" ma:fieldsID="e2a387f400472d887fa0a465fc2be694" ns3:_="" ns4:_="">
    <xsd:import namespace="5b44a7b9-38fe-451f-97b1-a578fac70816"/>
    <xsd:import namespace="bf73c00f-5419-41e1-8be3-4333508ac8d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4a7b9-38fe-451f-97b1-a578fac708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73c00f-5419-41e1-8be3-4333508ac8d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641324-FFFF-40BD-B5DC-130D99A446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21D458-5014-40DB-8F25-EA1D4B699385}">
  <ds:schemaRefs>
    <ds:schemaRef ds:uri="bf73c00f-5419-41e1-8be3-4333508ac8df"/>
    <ds:schemaRef ds:uri="http://www.w3.org/XML/1998/namespace"/>
    <ds:schemaRef ds:uri="http://purl.org/dc/elements/1.1/"/>
    <ds:schemaRef ds:uri="http://purl.org/dc/terms/"/>
    <ds:schemaRef ds:uri="5b44a7b9-38fe-451f-97b1-a578fac70816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0C768C07-BD4E-48FB-848A-6FDC2F8956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44a7b9-38fe-451f-97b1-a578fac70816"/>
    <ds:schemaRef ds:uri="bf73c00f-5419-41e1-8be3-4333508ac8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62</vt:i4>
      </vt:variant>
    </vt:vector>
  </HeadingPairs>
  <TitlesOfParts>
    <vt:vector size="63" baseType="lpstr">
      <vt:lpstr>Sheet1</vt:lpstr>
      <vt:lpstr>A</vt:lpstr>
      <vt:lpstr>B</vt:lpstr>
      <vt:lpstr>CentroidOfSemiCircle</vt:lpstr>
      <vt:lpstr>CSecArea</vt:lpstr>
      <vt:lpstr>D</vt:lpstr>
      <vt:lpstr>Dens</vt:lpstr>
      <vt:lpstr>E</vt:lpstr>
      <vt:lpstr>F</vt:lpstr>
      <vt:lpstr>G</vt:lpstr>
      <vt:lpstr>H</vt:lpstr>
      <vt:lpstr>I</vt:lpstr>
      <vt:lpstr>ID</vt:lpstr>
      <vt:lpstr>InertiaOfCSection</vt:lpstr>
      <vt:lpstr>J</vt:lpstr>
      <vt:lpstr>K</vt:lpstr>
      <vt:lpstr>L</vt:lpstr>
      <vt:lpstr>M</vt:lpstr>
      <vt:lpstr>N</vt:lpstr>
      <vt:lpstr>O</vt:lpstr>
      <vt:lpstr>P</vt:lpstr>
      <vt:lpstr>PMax1</vt:lpstr>
      <vt:lpstr>PMax2</vt:lpstr>
      <vt:lpstr>PMax3</vt:lpstr>
      <vt:lpstr>PMax4</vt:lpstr>
      <vt:lpstr>PMin1</vt:lpstr>
      <vt:lpstr>PMin2</vt:lpstr>
      <vt:lpstr>PMin3</vt:lpstr>
      <vt:lpstr>PMin4</vt:lpstr>
      <vt:lpstr>PolarInertiaOfCSection</vt:lpstr>
      <vt:lpstr>PPlane1</vt:lpstr>
      <vt:lpstr>PPlane2</vt:lpstr>
      <vt:lpstr>PPlane3</vt:lpstr>
      <vt:lpstr>PPlane4</vt:lpstr>
      <vt:lpstr>PrinStresses</vt:lpstr>
      <vt:lpstr>Q</vt:lpstr>
      <vt:lpstr>RMx</vt:lpstr>
      <vt:lpstr>RMy</vt:lpstr>
      <vt:lpstr>RMz</vt:lpstr>
      <vt:lpstr>Rx</vt:lpstr>
      <vt:lpstr>Ry</vt:lpstr>
      <vt:lpstr>Rz</vt:lpstr>
      <vt:lpstr>SafetyFactor</vt:lpstr>
      <vt:lpstr>ShearStr</vt:lpstr>
      <vt:lpstr>ShearStresses</vt:lpstr>
      <vt:lpstr>SigMass</vt:lpstr>
      <vt:lpstr>SMax1</vt:lpstr>
      <vt:lpstr>SMax2</vt:lpstr>
      <vt:lpstr>SMax3</vt:lpstr>
      <vt:lpstr>SMax4</vt:lpstr>
      <vt:lpstr>SPlane1</vt:lpstr>
      <vt:lpstr>SPlane2</vt:lpstr>
      <vt:lpstr>SPlane3</vt:lpstr>
      <vt:lpstr>SPlane4</vt:lpstr>
      <vt:lpstr>StaticMArea</vt:lpstr>
      <vt:lpstr>Status</vt:lpstr>
      <vt:lpstr>TapLossMast</vt:lpstr>
      <vt:lpstr>TapLossVert</vt:lpstr>
      <vt:lpstr>TensStr</vt:lpstr>
      <vt:lpstr>Test</vt:lpstr>
      <vt:lpstr>WForce</vt:lpstr>
      <vt:lpstr>WSpeed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Semih</dc:creator>
  <cp:lastModifiedBy>Semih Akyuz</cp:lastModifiedBy>
  <cp:lastPrinted>2023-05-09T05:05:46Z</cp:lastPrinted>
  <dcterms:created xsi:type="dcterms:W3CDTF">2023-05-07T00:32:36Z</dcterms:created>
  <dcterms:modified xsi:type="dcterms:W3CDTF">2023-05-09T05:06:35Z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0x01010089B6419E9B7AED479E9F4DD8FD33F6A5</vt:lpwstr>
  </property>
</Properties>
</file>