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aliso\ETC Cooperative Dropbox\ETC Cooperative\Business\Finance\Budget\Budget 2023\"/>
    </mc:Choice>
  </mc:AlternateContent>
  <xr:revisionPtr revIDLastSave="0" documentId="13_ncr:1_{1252DD59-00F0-4A76-B49C-F021B8F212C3}" xr6:coauthVersionLast="47" xr6:coauthVersionMax="47" xr10:uidLastSave="{00000000-0000-0000-0000-000000000000}"/>
  <bookViews>
    <workbookView xWindow="-120" yWindow="-120" windowWidth="29040" windowHeight="15840" xr2:uid="{BF1D4F84-C192-47F9-9348-B5FAFD569775}"/>
  </bookViews>
  <sheets>
    <sheet name="2023 Budget Expenses Model" sheetId="3" r:id="rId1"/>
    <sheet name="Budget Summary" sheetId="1" state="hidden" r:id="rId2"/>
    <sheet name="Summary by Department &amp; Categor" sheetId="6" state="hidden" r:id="rId3"/>
    <sheet name="Sheet3" sheetId="17" state="hidden" r:id="rId4"/>
    <sheet name="Summary for Presentation" sheetId="11" state="hidden" r:id="rId5"/>
    <sheet name="Grant Budget" sheetId="21" state="hidden" r:id="rId6"/>
    <sheet name="Budget 2020" sheetId="22" state="hidden" r:id="rId7"/>
    <sheet name="Balance Sheet" sheetId="20" state="hidden" r:id="rId8"/>
    <sheet name="Cash-Flow" sheetId="18" state="hidden" r:id="rId9"/>
    <sheet name="P&amp;L " sheetId="19" state="hidden" r:id="rId10"/>
    <sheet name="Financial Position" sheetId="16" state="hidden" r:id="rId11"/>
    <sheet name="Income Scenarios" sheetId="4" state="hidden" r:id="rId12"/>
    <sheet name="Highlevel Master COA" sheetId="14" state="hidden" r:id="rId13"/>
    <sheet name="COA" sheetId="15"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123Graph_A" hidden="1">'[1]Forecast 2009'!#REF!</definedName>
    <definedName name="__123Graph_ACurrent" hidden="1">#REF!</definedName>
    <definedName name="__123Graph_B" hidden="1">'[1]Forecast 2009'!#REF!</definedName>
    <definedName name="__123Graph_BCurrent" hidden="1">#REF!</definedName>
    <definedName name="__123Graph_C" hidden="1">'[1]Forecast 2009'!#REF!</definedName>
    <definedName name="__123Graph_D" hidden="1">'[1]Forecast 2009'!#REF!</definedName>
    <definedName name="__123Graph_X" hidden="1">'[1]Forecast 2009'!#REF!</definedName>
    <definedName name="__123Graph_XCurrent" hidden="1">#REF!</definedName>
    <definedName name="__FDS_HYPERLINK_TOGGLE_STATE__" hidden="1">"OFF"</definedName>
    <definedName name="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sdf2" hidden="1">{#N/A,#N/A,FALSE,"Calc";#N/A,#N/A,FALSE,"Sensitivity";#N/A,#N/A,FALSE,"LT Earn.Dil.";#N/A,#N/A,FALSE,"Dil. AVP"}</definedName>
    <definedName name="__wrn2" hidden="1">{#N/A,#N/A,FALSE,"Calc";#N/A,#N/A,FALSE,"Sensitivity";#N/A,#N/A,FALSE,"LT Earn.Dil.";#N/A,#N/A,FALSE,"Dil. AVP"}</definedName>
    <definedName name="_10__123Graph_XCHART_2" hidden="1">'[2]DCF Assump-F3'!#REF!</definedName>
    <definedName name="_12__123Graph_XCHART_3" hidden="1">'[2]DCF Assump-F3'!#REF!</definedName>
    <definedName name="_2__123Graph_ACHART_1" hidden="1">'[2]DCF Assump-F3'!#REF!</definedName>
    <definedName name="_4__123Graph_ACHART_2" hidden="1">'[2]DCF Assump-F3'!#REF!</definedName>
    <definedName name="_6__123Graph_ACHART_3" hidden="1">'[2]DCF Assump-F3'!#REF!</definedName>
    <definedName name="_8__123Graph_BCHART_3" hidden="1">'[2]DCF Assump-F3'!#REF!</definedName>
    <definedName name="_aaa2" hidden="1">{#N/A,#N/A,TRUE,"financial";#N/A,#N/A,TRUE,"plants"}</definedName>
    <definedName name="_ab2" hidden="1">{#N/A,#N/A,TRUE,"Pro Forma";#N/A,#N/A,TRUE,"PF_Bal";#N/A,#N/A,TRUE,"PF_INC";#N/A,#N/A,TRUE,"CBE";#N/A,#N/A,TRUE,"SWK"}</definedName>
    <definedName name="_abc2" hidden="1">{#N/A,#N/A,TRUE,"Pro Forma";#N/A,#N/A,TRUE,"PF_Bal";#N/A,#N/A,TRUE,"PF_INC";#N/A,#N/A,TRUE,"CBE";#N/A,#N/A,TRUE,"SWK"}</definedName>
    <definedName name="_as2" hidden="1">{"comp1",#N/A,FALSE,"COMPS";"footnotes",#N/A,FALSE,"COMPS"}</definedName>
    <definedName name="_bdm.1D12C875560549AE8C2FFA475755D007.edm" hidden="1">#REF!</definedName>
    <definedName name="_bdm.1DAB935FD1754524825CD421EDE30CC7.edm" hidden="1">#REF!</definedName>
    <definedName name="_bdm.1E1ADE9132224304A29CEF33E46AA0CD.edm" hidden="1">[3]Profile!$1:$1048576</definedName>
    <definedName name="_bdm.23CCEEA7D76A49C5B721F001521830EF.edm" hidden="1">'[3]Tactic Options'!$1:$1048576</definedName>
    <definedName name="_bdm.24BA006B1D89414AB3B6F6D0E9ACFCFF.edm" hidden="1">#REF!</definedName>
    <definedName name="_bdm.255B957CA315446A8244F42CF164814D.edm" hidden="1">#REF!</definedName>
    <definedName name="_bdm.28B88CA80AA94FF9A7EB642447841A3D.edm" hidden="1">#REF!</definedName>
    <definedName name="_bdm.2E53D2ED51134F56B8244B880E5FEF76.edm" hidden="1">#REF!</definedName>
    <definedName name="_bdm.2FF99FB69CF942C69C38F45956C01832.edm" hidden="1">#REF!</definedName>
    <definedName name="_bdm.3598D3CA201B4C79A73F0614544EA1CE.edm" hidden="1">[4]SandPs!$1:$1048576</definedName>
    <definedName name="_bdm.3B1DC52AB73240009B9EDA70131D3FF7.edm" hidden="1">[4]ExtendExpire!$1:$1048576</definedName>
    <definedName name="_bdm.3D34C55D28374E988D0A0CF52B126D20.edm" hidden="1">#REF!</definedName>
    <definedName name="_bdm.44B8EF609FFE409DB4B3DE6E3449745D.edm" hidden="1">'[5]Shareholder proposals by type'!$1:$1048576</definedName>
    <definedName name="_bdm.46C79F8CD9D843FAAE6E8AD94E660FA2.edm" hidden="1">'[5]2007ISSWatchlist'!$1:$1048576</definedName>
    <definedName name="_bdm.4C769668C10D423B8F51C26A6952D92E.edm" hidden="1">#REF!</definedName>
    <definedName name="_bdm.5A8D724E90CB483DB12067E00163B252.edm" hidden="1">#REF!</definedName>
    <definedName name="_bdm.5AD17A7D2A894DDBBA3FBD97A616C453.edm" hidden="1">#REF!</definedName>
    <definedName name="_bdm.5AD7256008E748C4BEB74568AA0AA068.edm" hidden="1">#REF!</definedName>
    <definedName name="_bdm.5B56CBBF40174F30A214D0FAF6927131.edm" hidden="1">#REF!</definedName>
    <definedName name="_bdm.5CAB10FB985D4A57879840DE74199658.edm" hidden="1">'[3]Indexed Chart'!$1:$1048576</definedName>
    <definedName name="_bdm.66530AD6F44B4312940DD7032E2F7FC4.edm" hidden="1">#REF!</definedName>
    <definedName name="_bdm.66FFF72FAFE047969122AC9DF1F69358.edm" hidden="1">#REF!</definedName>
    <definedName name="_bdm.67632E388A6C45B3BB1D120C6A9EEB52.edm" hidden="1">#REF!</definedName>
    <definedName name="_bdm.6FFE0002618B471AB5B5BB9164C41EA1.edm" hidden="1">[6]Sheet1!$1:$1048576</definedName>
    <definedName name="_bdm.744963FA5FFB4C9E8AC02EA6E4BFB338.edm" hidden="1">#REF!</definedName>
    <definedName name="_bdm.74DAEC2FF2554C0E88DD9DEAA3D45988.edm" hidden="1">[3]Graphs!$1:$1048576</definedName>
    <definedName name="_bdm.7723A254FE8B484AA4C8E56845E054CE.edm" hidden="1">'[4]Peer Defense Comparison'!$1:$1048576</definedName>
    <definedName name="_bdm.7C61DF3627FC4A328715E87787DE2B77.edm" hidden="1">'[4]Industry Rights Provisions'!$1:$1048576</definedName>
    <definedName name="_bdm.7C640B983ECF46BFA426901A06AF3654.edm" hidden="1">#REF!</definedName>
    <definedName name="_bdm.812FDE8087554CA89728A721B8D88EF1.edm" hidden="1">[3]Quartiles!$1:$1048576</definedName>
    <definedName name="_bdm.8262156DFD6D400FB6DBDC7D2D5A75A9.edm" hidden="1">#REF!</definedName>
    <definedName name="_bdm.8BCF272F69244B8D8ECFCAE0DCEFAE7B.edm" hidden="1">'[4]Defense Profile Summary'!$1:$1048576</definedName>
    <definedName name="_bdm.9388ECE20BE14F5DBDE940F3019EFF2D.edm" hidden="1">#REF!</definedName>
    <definedName name="_bdm.9BC380C819344E4BBF407E09E223F42D.edm" hidden="1">'[5]SH poison pill proposals by yr'!$1:$1048576</definedName>
    <definedName name="_bdm.9E77370805BA4442A75BBC561C34426A.edm" hidden="1">#REF!</definedName>
    <definedName name="_bdm.A2BE92D780EF4B9986E82EC658284B8B.edm" hidden="1">#REF!</definedName>
    <definedName name="_bdm.AFDFC669C1C743C08789BA6598D8C7C7.edm" hidden="1">#REF!</definedName>
    <definedName name="_bdm.B0B2DD5326A744EC8C20645E58BA870A.edm" hidden="1">#REF!</definedName>
    <definedName name="_bdm.D30B6BBFA36D4F14BF64725259521514.edm" hidden="1">[7]Contracts!$1:$1048576</definedName>
    <definedName name="_bdm.D71813CD4C154CB899859A5978D8AA00.edm" hidden="1">#REF!</definedName>
    <definedName name="_bdm.D9657B267EDF42C294F3560936290C74.edm" hidden="1">#REF!</definedName>
    <definedName name="_bdm.DA9CF9DE967A4F88A5CADB3EC18BCDB7.edm" hidden="1">'[3]Detail Profile'!$1:$1048576</definedName>
    <definedName name="_bdm.E05541A91C5C48DEAF2B3D9A457CA591.edm" hidden="1">[4]SandPTakeover!$1:$1048576</definedName>
    <definedName name="_bdm.E29FBD2524274A0B95F3A12500F57A69.edm" hidden="1">#REF!</definedName>
    <definedName name="_bdm.E8364B49FD9E42F6B3B906F9122484A1.edm" hidden="1">#REF!</definedName>
    <definedName name="_bdm.F43A40C7265B4CA58869BA762742FBE7.edm" hidden="1">#REF!</definedName>
    <definedName name="_bdm.F51B8BE1CB5549CD9E353C81B958E990.edm" hidden="1">'[3]Profile Comparison'!$1:$1048576</definedName>
    <definedName name="_Dist_Values" hidden="1">#REF!</definedName>
    <definedName name="_Fill" hidden="1">#REF!</definedName>
    <definedName name="_Key1" hidden="1">#REF!</definedName>
    <definedName name="_Key2" hidden="1">#REF!</definedName>
    <definedName name="_new1" hidden="1">{"Central",#N/A,FALSE,"Total"}</definedName>
    <definedName name="_new2" hidden="1">{"Central",#N/A,FALSE,"Total"}</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255</definedName>
    <definedName name="_Order2" hidden="1">255</definedName>
    <definedName name="_Regression_Out" hidden="1">#REF!</definedName>
    <definedName name="_Regression_X" hidden="1">#REF!</definedName>
    <definedName name="_Regression_Y" hidden="1">#REF!</definedName>
    <definedName name="_sdf2" hidden="1">{#N/A,#N/A,FALSE,"Calc";#N/A,#N/A,FALSE,"Sensitivity";#N/A,#N/A,FALSE,"LT Earn.Dil.";#N/A,#N/A,FALSE,"Dil. AVP"}</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ble3_Out" hidden="1">#REF!</definedName>
    <definedName name="_wrn2" hidden="1">{#N/A,#N/A,FALSE,"Calc";#N/A,#N/A,FALSE,"Sensitivity";#N/A,#N/A,FALSE,"LT Earn.Dil.";#N/A,#N/A,FALSE,"Dil. AVP"}</definedName>
    <definedName name="aa" hidden="1">{#N/A,#N/A,TRUE,"Pro Forma";#N/A,#N/A,TRUE,"PF_Bal";#N/A,#N/A,TRUE,"PF_INC";#N/A,#N/A,TRUE,"CBE";#N/A,#N/A,TRUE,"SWK"}</definedName>
    <definedName name="aaa" hidden="1">{#N/A,#N/A,TRUE,"financial";#N/A,#N/A,TRUE,"plants"}</definedName>
    <definedName name="AAA_DOCTOPS" hidden="1">"AAA_SET"</definedName>
    <definedName name="AAA_duser" hidden="1">"OFF"</definedName>
    <definedName name="aaaa" hidden="1">{#N/A,#N/A,TRUE,"financial";#N/A,#N/A,TRUE,"plants"}</definedName>
    <definedName name="aaaa2" hidden="1">{#N/A,#N/A,TRUE,"financial";#N/A,#N/A,TRUE,"plants"}</definedName>
    <definedName name="aaaaaaaaaaaaaaaaaa" hidden="1">{#N/A,#N/A,FALSE,"Calc";#N/A,#N/A,FALSE,"Sensitivity";#N/A,#N/A,FALSE,"LT Earn.Dil.";#N/A,#N/A,FALSE,"Dil. AVP"}</definedName>
    <definedName name="aaaaaaaaaaaaaaaaaa2" hidden="1">{#N/A,#N/A,FALSE,"Calc";#N/A,#N/A,FALSE,"Sensitivity";#N/A,#N/A,FALSE,"LT Earn.Dil.";#N/A,#N/A,FALSE,"Dil. AVP"}</definedName>
    <definedName name="AAB_Addin5" hidden="1">"AAB_Description for addin 5,Description for addin 5,Description for addin 5,Description for addin 5,Description for addin 5,Description for addin 5"</definedName>
    <definedName name="ab" hidden="1">{#N/A,#N/A,TRUE,"Pro Forma";#N/A,#N/A,TRUE,"PF_Bal";#N/A,#N/A,TRUE,"PF_INC";#N/A,#N/A,TRUE,"CBE";#N/A,#N/A,TRUE,"SWK"}</definedName>
    <definedName name="abc" hidden="1">{#N/A,#N/A,TRUE,"Pro Forma";#N/A,#N/A,TRUE,"PF_Bal";#N/A,#N/A,TRUE,"PF_INC";#N/A,#N/A,TRUE,"CBE";#N/A,#N/A,TRUE,"SWK"}</definedName>
    <definedName name="Actuals_Month">'Summary by Department &amp; Categor'!#REF!</definedName>
    <definedName name="addg" hidden="1">{#N/A,#N/A,FALSE,"CBE";#N/A,#N/A,FALSE,"SWK"}</definedName>
    <definedName name="addg2" hidden="1">{#N/A,#N/A,FALSE,"CBE";#N/A,#N/A,FALSE,"SWK"}</definedName>
    <definedName name="anscount" hidden="1">1</definedName>
    <definedName name="arsc3" hidden="1">{"AR_SCH2",#N/A,FALSE,"AR-SCH2"}</definedName>
    <definedName name="as" hidden="1">{"comp1",#N/A,FALSE,"COMPS";"footnotes",#N/A,FALSE,"COMPS"}</definedName>
    <definedName name="AS2DocOpenMode" hidden="1">"AS2DocumentBrowse"</definedName>
    <definedName name="asad" hidden="1">{"away stand alones",#N/A,FALSE,"Target"}</definedName>
    <definedName name="asdf" hidden="1">{#N/A,#N/A,FALSE,"Calc";#N/A,#N/A,FALSE,"Sensitivity";#N/A,#N/A,FALSE,"LT Earn.Dil.";#N/A,#N/A,FALSE,"Dil. AVP"}</definedName>
    <definedName name="avdd" hidden="1">{#N/A,#N/A,FALSE,"Calc";#N/A,#N/A,FALSE,"Sensitivity";#N/A,#N/A,FALSE,"LT Earn.Dil.";#N/A,#N/A,FALSE,"Dil. AVP"}</definedName>
    <definedName name="b" hidden="1">{#N/A,#N/A,FALSE,"Calc";#N/A,#N/A,FALSE,"Sensitivity";#N/A,#N/A,FALSE,"LT Earn.Dil.";#N/A,#N/A,FALSE,"Dil. AVP"}</definedName>
    <definedName name="bnkj" hidden="1">{#N/A,#N/A,FALSE,"output";#N/A,#N/A,FALSE,"contrib";#N/A,#N/A,FALSE,"profile";#N/A,#N/A,FALSE,"comps"}</definedName>
    <definedName name="Cable" hidden="1">{#N/A,#N/A,FALSE,"Operations";#N/A,#N/A,FALSE,"Financials"}</definedName>
    <definedName name="Cable2" hidden="1">{#N/A,#N/A,FALSE,"Operations";#N/A,#N/A,FALSE,"Financials"}</definedName>
    <definedName name="cc" hidden="1">{#N/A,#N/A,FALSE,"CBE";#N/A,#N/A,FALSE,"SWK"}</definedName>
    <definedName name="cen" hidden="1">{"Central",#N/A,FALSE,"Total"}</definedName>
    <definedName name="Cent" hidden="1">{"Central",#N/A,FALSE,"Total"}</definedName>
    <definedName name="CIQWBGuid" hidden="1">"f453db0c-9a05-4424-895e-a9720658eae3"</definedName>
    <definedName name="CnvAmaz">#REF!</definedName>
    <definedName name="CnvGp">#REF!</definedName>
    <definedName name="CnvIos">#REF!</definedName>
    <definedName name="CnvWeb">#REF!</definedName>
    <definedName name="confused" hidden="1">{"BS",#N/A,FALSE,"NGC";"PL",#N/A,FALSE,"NGC";"CF",#N/A,FALSE,"NGC"}</definedName>
    <definedName name="cooper2" hidden="1">{#N/A,#N/A,TRUE,"Pro Forma";#N/A,#N/A,TRUE,"PF_Bal";#N/A,#N/A,TRUE,"PF_INC";#N/A,#N/A,TRUE,"CBE";#N/A,#N/A,TRUE,"SWK"}</definedName>
    <definedName name="Cwvu.GREY_ALL." hidden="1">'[1]MX WAP'!#REF!</definedName>
    <definedName name="ddd" hidden="1">{"AR_SCH4",#N/A,FALSE,"ARSCH4-5";"AR_SCH5",#N/A,FALSE,"ARSCH4-5"}</definedName>
    <definedName name="dddd" hidden="1">{"Central",#N/A,FALSE,"Total"}</definedName>
    <definedName name="DepositorsAmaz">#REF!</definedName>
    <definedName name="DepositorsGp">#REF!</definedName>
    <definedName name="DepositorsIos">#REF!</definedName>
    <definedName name="DepositorsWeb">#REF!</definedName>
    <definedName name="df" hidden="1">{"comps",#N/A,FALSE,"comps";"notes",#N/A,FALSE,"comps"}</definedName>
    <definedName name="dfd" hidden="1">{"comp1",#N/A,FALSE,"COMPS";"footnotes",#N/A,FALSE,"COMPS"}</definedName>
    <definedName name="dfsaadsfa" hidden="1">{#N/A,#N/A,FALSE,"Calc";#N/A,#N/A,FALSE,"Sensitivity";#N/A,#N/A,FALSE,"LT Earn.Dil.";#N/A,#N/A,FALSE,"Dil. AVP"}</definedName>
    <definedName name="Documents">[8]Summary!$B$6:$B$214</definedName>
    <definedName name="doo" hidden="1">{"Central",#N/A,FALSE,"Total"}</definedName>
    <definedName name="edp" hidden="1">{"assumption 50 50",#N/A,TRUE,"Merger";"has gets cash",#N/A,TRUE,"Merger";"accretion dilution",#N/A,TRUE,"Merger";"comparison credit stats",#N/A,TRUE,"Merger";"pf credit stats",#N/A,TRUE,"Merger";"pf sheets",#N/A,TRUE,"Merger"}</definedName>
    <definedName name="eeee" hidden="1">{#N/A,#N/A,FALSE,"Calc";#N/A,#N/A,FALSE,"Sensitivity";#N/A,#N/A,FALSE,"LT Earn.Dil.";#N/A,#N/A,FALSE,"Dil. AVP"}</definedName>
    <definedName name="emily" hidden="1">{#N/A,#N/A,FALSE,"Calc";#N/A,#N/A,FALSE,"Sensitivity";#N/A,#N/A,FALSE,"LT Earn.Dil.";#N/A,#N/A,FALSE,"Dil. AVP"}</definedName>
    <definedName name="ev.Calculation" hidden="1">-4105</definedName>
    <definedName name="ev.Initialized" hidden="1">FALSE</definedName>
    <definedName name="EV__LASTREFTIME__" hidden="1">39191.6322337963</definedName>
    <definedName name="ExactAddinConnection" hidden="1">"100"</definedName>
    <definedName name="ExactAddinConnection.001" hidden="1">"macola;001;aconnors;1"</definedName>
    <definedName name="ExactAddinConnection.0012" hidden="1">"ATMSSV-MSQL01;100;ghoppenbrouwer;1"</definedName>
    <definedName name="ExactAddinConnection.100" hidden="1">"ATMSSV-MSQL01;100;tryan;1"</definedName>
    <definedName name="ExactAddinConnection.199" hidden="1">"ATMSSV-MSQL01;199;TRyan;1"</definedName>
    <definedName name="ExactAddinConnection.200" hidden="1">"ATMSSV-MSQL01;200;tryan;1"</definedName>
    <definedName name="ExactAddinConnection.299" hidden="1">"ATMSSV-MSQL01;299;TRyan;1"</definedName>
    <definedName name="ExactAddinConnection.300" hidden="1">"ATMSSV-MSQL01;300;DKorneev;1"</definedName>
    <definedName name="ExactAddinConnection.301" hidden="1">"ATMSSV-MSQL01;300;TMurphy;1"</definedName>
    <definedName name="ExactAddinConnection.399" hidden="1">"ATMSSV-MSQL01;399;TRyan;1"</definedName>
    <definedName name="ExactAddinConnection.400" hidden="1">"ATMSSV-MSQL01;400;pramey;1"</definedName>
    <definedName name="ExactAddinConnvection.201" hidden="1">"ATMSSV-MSQL01;200;TMurphy;1"</definedName>
    <definedName name="ExactAddinReports" hidden="1">1</definedName>
    <definedName name="eyr" hidden="1">{"hiden",#N/A,FALSE,"14";"hidden",#N/A,FALSE,"16";"hidden",#N/A,FALSE,"18";"hidden",#N/A,FALSE,"20"}</definedName>
    <definedName name="f" hidden="1">{"assumption cash",#N/A,TRUE,"Merger";"has gets cash",#N/A,TRUE,"Merger";"accretion dilution",#N/A,TRUE,"Merger";"comparison credit stats",#N/A,TRUE,"Merger";"pf credit stats",#N/A,TRUE,"Merger";"pf sheets",#N/A,TRUE,"Merger"}</definedName>
    <definedName name="fd" hidden="1">{"equity comps",#N/A,FALSE,"CS Comps";"equity comps",#N/A,FALSE,"PS Comps";"equity comps",#N/A,FALSE,"GIC_Comps";"equity comps",#N/A,FALSE,"GIC2_Comps";"debt comps",#N/A,FALSE,"CS Comps";"debt comps",#N/A,FALSE,"PS Comps";"debt comps",#N/A,FALSE,"GIC_Comps";"debt comps",#N/A,FALSE,"GIC2_Comps"}</definedName>
    <definedName name="fds" hidden="1">{"comps",#N/A,FALSE,"comps";"notes",#N/A,FALSE,"comps"}</definedName>
    <definedName name="fdsf" hidden="1">{"general",#N/A,FALSE,"Assumptions"}</definedName>
    <definedName name="Figures">[9]Maintenance!$AY$93:$BA$93</definedName>
    <definedName name="fins1" hidden="1">{#N/A,#N/A,FALSE,"Calc";#N/A,#N/A,FALSE,"Sensitivity";#N/A,#N/A,FALSE,"LT Earn.Dil.";#N/A,#N/A,FALSE,"Dil. AVP"}</definedName>
    <definedName name="Flat_EBITDA_Ni_Price">[10]Flat_Price_EBITDA!$B$210</definedName>
    <definedName name="fore">[11]LOOKUP!#REF!</definedName>
    <definedName name="FOREX">[11]LOOKUP!#REF!</definedName>
    <definedName name="ggf" hidden="1">{"comps",#N/A,FALSE,"comps";"notes",#N/A,FALSE,"comps"}</definedName>
    <definedName name="hhhsdf" hidden="1">{"up stand alones",#N/A,FALSE,"Acquiror"}</definedName>
    <definedName name="hlkup">[12]graphs!$B$49:$BC$64</definedName>
    <definedName name="hn.ExtDb" hidden="1">FALSE</definedName>
    <definedName name="hn.ModelType" hidden="1">"DEAL"</definedName>
    <definedName name="hn.ModelVersion" hidden="1">1</definedName>
    <definedName name="hn.NoUpload" hidden="1">0</definedName>
    <definedName name="ik" hidden="1">{"casespecific",#N/A,FALSE,"Assumptions"}</definedName>
    <definedName name="Ikotin" hidden="1">{"Central",#N/A,FALSE,"Total"}</definedName>
    <definedName name="Installmonth">#REF!</definedName>
    <definedName name="Installs_amazfbid">#REF!</definedName>
    <definedName name="Installs_amazonguest">#REF!</definedName>
    <definedName name="Installs_googlefbid">#REF!</definedName>
    <definedName name="Installs_googleguest">#REF!</definedName>
    <definedName name="Installs_ios_guest">#REF!</definedName>
    <definedName name="Installs_iosFB">#REF!</definedName>
    <definedName name="Installs_Web_fbsource">#REF!</definedName>
    <definedName name="Installs_Web_other">#REF!</definedName>
    <definedName name="Installs_Web_Paid">#REF!</definedName>
    <definedName name="Installs_Web_viral">#REF!</definedName>
    <definedName name="Installs_Web_xsell">#REF!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PRICE_TARGET" hidden="1">"c82"</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STDDEV_EST_REUT" hidden="1">"c5408"</definedName>
    <definedName name="IQ_CAPEX_BR" hidden="1">"c111"</definedName>
    <definedName name="IQ_CASH_DIVIDENDS_NET_INCOME_FDIC" hidden="1">"c6738"</definedName>
    <definedName name="IQ_CASH_IN_PROCESS_FDIC" hidden="1">"c6386"</definedName>
    <definedName name="IQ_CCE_FDIC" hidden="1">"c6296"</definedName>
    <definedName name="IQ_CH">110000</definedName>
    <definedName name="IQ_CHANGE_AP_BR" hidden="1">"c135"</definedName>
    <definedName name="IQ_CHANGE_AR_BR" hidden="1">"c142"</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NET_OPER_ASSETS_BR" hidden="1">"c3595"</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EARNING_ASSETS_FDIC" hidden="1">"c6360"</definedName>
    <definedName name="IQ_EARNING_ASSETS_YIELD_FDIC" hidden="1">"c6724"</definedName>
    <definedName name="IQ_EARNINGS_COVERAGE_NET_CHARGE_OFFS_FDIC" hidden="1">"c6735"</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_ACT_BV_REUT" hidden="1">"c5409"</definedName>
    <definedName name="IQ_EST_ACT_EPS_PRIMARY" hidden="1">"c2232"</definedName>
    <definedName name="IQ_EST_ACT_FFO_REUT" hidden="1">"c3843"</definedName>
    <definedName name="IQ_EST_BV_DIFF_REUT" hidden="1">"c5433"</definedName>
    <definedName name="IQ_EST_BV_SURPRISE_PERCENT_REUT" hidden="1">"c5434"</definedName>
    <definedName name="IQ_EST_EPS_SURPRISE" hidden="1">"c1635"</definedName>
    <definedName name="IQ_EST_FFO_DIFF_REUT" hidden="1">"c3890"</definedName>
    <definedName name="IQ_EST_FFO_SURPRISE_PERCENT_REUT" hidden="1">"c3891"</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IMATED_ASSESSABLE_DEPOSITS_FDIC" hidden="1">"c6490"</definedName>
    <definedName name="IQ_ESTIMATED_INSURED_DEPOSITS_FDIC" hidden="1">"c6491"</definedName>
    <definedName name="IQ_EXPENSE_CODE_" hidden="1">"GoldenBoy"</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"c4970"</definedName>
    <definedName name="IQ_FFO_EST_REUT" hidden="1">"c3837"</definedName>
    <definedName name="IQ_FFO_HIGH_EST_CIQ" hidden="1">"c4977"</definedName>
    <definedName name="IQ_FFO_HIGH_EST_REUT" hidden="1">"c3839"</definedName>
    <definedName name="IQ_FFO_LOW_EST_CIQ" hidden="1">"c4978"</definedName>
    <definedName name="IQ_FFO_LOW_EST_REUT" hidden="1">"c3840"</definedName>
    <definedName name="IQ_FFO_MEDIAN_EST_CIQ" hidden="1">"c4979"</definedName>
    <definedName name="IQ_FFO_MEDIAN_EST_REUT" hidden="1">"c3838"</definedName>
    <definedName name="IQ_FFO_NUM_EST_CIQ" hidden="1">"c4980"</definedName>
    <definedName name="IQ_FFO_NUM_EST_REUT" hidden="1">"c3841"</definedName>
    <definedName name="IQ_FFO_STDDEV_EST_CIQ" hidden="1">"c4981"</definedName>
    <definedName name="IQ_FFO_STDDEV_EST_REUT" hidden="1">"c3842"</definedName>
    <definedName name="IQ_FH">100000</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42149.6407060185</definedName>
    <definedName name="IQ_NAV_ACT_OR_EST" hidden="1">"c2225"</definedName>
    <definedName name="IQ_NET_CHARGE_OFFS_FDIC" hidden="1">"c6641"</definedName>
    <definedName name="IQ_NET_CHARGE_OFFS_LOANS_FDIC" hidden="1">"c6751"</definedName>
    <definedName name="IQ_NET_DEBT_ISSUED_BR" hidden="1">"c753"</definedName>
    <definedName name="IQ_NET_INCOME_FDIC" hidden="1">"c6587"</definedName>
    <definedName name="IQ_NET_INT_INC_BNK_FDIC" hidden="1">"c6570"</definedName>
    <definedName name="IQ_NET_INT_INC_BR" hidden="1">"c765"</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G_TOTAL_OIL_PRODUCTON" hidden="1">"c2059"</definedName>
    <definedName name="IQ_OPENED55" hidden="1">1</definedName>
    <definedName name="IQ_OPER_INC_BR" hidden="1">"c850"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C_WRITTEN" hidden="1">"c1027"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INSURED_FDIC" hidden="1">"c6374"</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FDIC" hidden="1">"c6349"</definedName>
    <definedName name="IQ_PREMISES_EQUIPMENT_FDIC" hidden="1">"c6577"</definedName>
    <definedName name="IQ_PRETAX_RETURN_ASSETS_FDIC" hidden="1">"c6731"</definedName>
    <definedName name="IQ_PRIMARY_EPS_TYPE_THOM" hidden="1">"c5297"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HAREOUTSTANDING" hidden="1">"c1347"</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HARGE_OFFS_FDIC" hidden="1">"c6603"</definedName>
    <definedName name="IQ_TOTAL_DEBT_ISSUED_BR" hidden="1">"c1253"</definedName>
    <definedName name="IQ_TOTAL_DEBT_REPAID_BR" hidden="1">"c1260"</definedName>
    <definedName name="IQ_TOTAL_DEBT_SECURITIES_FDIC" hidden="1">"c6410"</definedName>
    <definedName name="IQ_TOTAL_DEPOSITS_FDIC" hidden="1">"c6342"</definedName>
    <definedName name="IQ_TOTAL_EMPLOYEES_FDIC" hidden="1">"c6355"</definedName>
    <definedName name="IQ_TOTAL_LIAB_BR" hidden="1">"c1278"</definedName>
    <definedName name="IQ_TOTAL_LIAB_EQUITY_FDIC" hidden="1">"c6354"</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RAA22" hidden="1">"$AA$23:$AA$1280"</definedName>
    <definedName name="IQRAB22" hidden="1">"$AB$23:$AB$1280"</definedName>
    <definedName name="IQRAF22" hidden="1">"$AF$23:$AF$1281"</definedName>
    <definedName name="IQRAG22" hidden="1">"$AG$23:$AG$1281"</definedName>
    <definedName name="IQRB15" hidden="1">"$B$16"</definedName>
    <definedName name="IQRB16" hidden="1">"$B$17"</definedName>
    <definedName name="IQRB21" hidden="1">"$B$22:$B$1280"</definedName>
    <definedName name="IQRB22" hidden="1">"$B$23:$B$1282"</definedName>
    <definedName name="IQRC1278" hidden="1">"$C$1279:$C$2537"</definedName>
    <definedName name="IQRC1280" hidden="1">"$C$1281:$C$2539"</definedName>
    <definedName name="IQRC21" hidden="1">"$C$22:$C$1280"</definedName>
    <definedName name="IQRC22" hidden="1">"$C$23:$C$1282"</definedName>
    <definedName name="IQRCapitalizationA82" hidden="1">[13]Capitalization!$A$83:$A$90</definedName>
    <definedName name="IQRCapitalizationD79" hidden="1">[13]Capitalization!$D$80:$D$87</definedName>
    <definedName name="IQRCapitalizationE79" hidden="1">[13]Capitalization!$E$80:$E$87</definedName>
    <definedName name="IQRF13" hidden="1">"$F$14:$F$1383"</definedName>
    <definedName name="IQRG15" hidden="1">"$G$16:$G$504"</definedName>
    <definedName name="IQRG21" hidden="1">"$G$22:$G$1246"</definedName>
    <definedName name="IQRG22" hidden="1">"$G$23:$G$1280"</definedName>
    <definedName name="IQRH1280" hidden="1">"$H$1281:$H$2539"</definedName>
    <definedName name="IQRH1281" hidden="1">"$H$1282:$H$2540"</definedName>
    <definedName name="IQRH21" hidden="1">"$H$22:$H$1246"</definedName>
    <definedName name="IQRH22" hidden="1">"$H$23:$H$1282"</definedName>
    <definedName name="IQRH23" hidden="1">"$H$24:$H$1282"</definedName>
    <definedName name="IQRL21" hidden="1">"$L$22:$L$1280"</definedName>
    <definedName name="IQRL22" hidden="1">"$L$23:$L$1280"</definedName>
    <definedName name="IQRM21" hidden="1">"$M$22:$M$1280"</definedName>
    <definedName name="IQRM22" hidden="1">"$M$23:$M$1282"</definedName>
    <definedName name="IQRM23" hidden="1">"$M$24"</definedName>
    <definedName name="IQRQ21" hidden="1">"$Q$22:$Q$1280"</definedName>
    <definedName name="IQRQ22" hidden="1">"$Q$23:$Q$1280"</definedName>
    <definedName name="IQRR1261" hidden="1">"$R$1262:$R$2497"</definedName>
    <definedName name="IQRR1262" hidden="1">"$R$1263:$R$2498"</definedName>
    <definedName name="IQRR21" hidden="1">"$R$22:$R$1280"</definedName>
    <definedName name="IQRR22" hidden="1">"$R$23:$R$1282"</definedName>
    <definedName name="IQRSavA85" hidden="1">[13]Sav!$A$86:$A$93</definedName>
    <definedName name="IQRSavD82" hidden="1">[13]Sav!$D$83:$D$90</definedName>
    <definedName name="IQRSavE82" hidden="1">[13]Sav!$E$83:$E$90</definedName>
    <definedName name="IQRV21" hidden="1">"$V$22:$V$562"</definedName>
    <definedName name="IQRV22" hidden="1">"$V$23:$V$1281"</definedName>
    <definedName name="IQRVolatilityCalculationAM21" hidden="1">'[14]Volatility Calculation'!#REF!</definedName>
    <definedName name="IQRVolatilityCalculationAR21" hidden="1">'[14]Volatility Calculation'!#REF!</definedName>
    <definedName name="IQRW21" hidden="1">"$W$22:$W$562"</definedName>
    <definedName name="IQRW22" hidden="1">"$W$23:$W$1281"</definedName>
    <definedName name="IsColHidden" hidden="1">FALSE</definedName>
    <definedName name="IsLTMColHidden" hidden="1">FALSE</definedName>
    <definedName name="kerri" hidden="1">{"Costprogram",#N/A,FALSE,"COST OF PROGRAM PROJECTION"}</definedName>
    <definedName name="KIT" hidden="1">{"equity comps",#N/A,FALSE,"CS Comps";"equity comps",#N/A,FALSE,"PS Comps";"equity comps",#N/A,FALSE,"GIC_Comps";"equity comps",#N/A,FALSE,"GIC2_Comps"}</definedName>
    <definedName name="kol" hidden="1">{"away stand alones",#N/A,FALSE,"Target"}</definedName>
    <definedName name="LEVEL">[11]LOOKUP!$B$4:$B$15</definedName>
    <definedName name="limcount" hidden="1">1</definedName>
    <definedName name="ListOffset" hidden="1">1</definedName>
    <definedName name="LKLK" hidden="1">{"Costprogram",#N/A,FALSE,"COST OF PROGRAM PROJECTION"}</definedName>
    <definedName name="M2InstallRetained">#REF!</definedName>
    <definedName name="M3InstallRetained">#REF!</definedName>
    <definedName name="M4InstallRetained">#REF!</definedName>
    <definedName name="mason?" hidden="1">{#N/A,#N/A,FALSE,"Data &amp; Key Results";#N/A,#N/A,FALSE,"Summary Template";#N/A,#N/A,FALSE,"Budget";#N/A,#N/A,FALSE,"Present Value Comparison";#N/A,#N/A,FALSE,"Cashflow";#N/A,#N/A,FALSE,"Income";#N/A,#N/A,FALSE,"Inputs"}</definedName>
    <definedName name="mason2" hidden="1">{#N/A,#N/A,FALSE,"Data &amp; Key Results";#N/A,#N/A,FALSE,"Summary Template";#N/A,#N/A,FALSE,"Budget";#N/A,#N/A,FALSE,"Present Value Comparison";#N/A,#N/A,FALSE,"Cashflow";#N/A,#N/A,FALSE,"Income";#N/A,#N/A,FALSE,"Inputs"}</definedName>
    <definedName name="mason3" hidden="1">{#N/A,#N/A,FALSE,"Data &amp; Key Results";#N/A,#N/A,FALSE,"Summary Template";#N/A,#N/A,FALSE,"Budget";#N/A,#N/A,FALSE,"Present Value Comparison";#N/A,#N/A,FALSE,"Cashflow";#N/A,#N/A,FALSE,"Income";#N/A,#N/A,FALSE,"Inputs"}</definedName>
    <definedName name="mason4" hidden="1">{#N/A,#N/A,FALSE,"Data &amp; Key Results";#N/A,#N/A,FALSE,"Summary Template";#N/A,#N/A,FALSE,"Budget";#N/A,#N/A,FALSE,"Present Value Comparison";#N/A,#N/A,FALSE,"Cashflow";#N/A,#N/A,FALSE,"Income";#N/A,#N/A,FALSE,"Inputs"}</definedName>
    <definedName name="mason5" hidden="1">{#N/A,#N/A,FALSE,"Data &amp; Key Results";#N/A,#N/A,FALSE,"Summary Template";#N/A,#N/A,FALSE,"Budget";#N/A,#N/A,FALSE,"Present Value Comparison";#N/A,#N/A,FALSE,"Cashflow";#N/A,#N/A,FALSE,"Income";#N/A,#N/A,FALSE,"Inputs"}</definedName>
    <definedName name="masonII" hidden="1">{#N/A,#N/A,FALSE,"Data &amp; Key Results";#N/A,#N/A,FALSE,"Summary Template";#N/A,#N/A,FALSE,"Budget";#N/A,#N/A,FALSE,"Present Value Comparison";#N/A,#N/A,FALSE,"Cashflow";#N/A,#N/A,FALSE,"Income";#N/A,#N/A,FALSE,"Inputs"}</definedName>
    <definedName name="MAU">#REF!</definedName>
    <definedName name="mau_all">#REF!</definedName>
    <definedName name="mau_amaz">#REF!</definedName>
    <definedName name="MAU_FB">#REF!</definedName>
    <definedName name="MAU_GOOA">#REF!</definedName>
    <definedName name="MAU_GOOP">#REF!</definedName>
    <definedName name="mau_gp">#REF!</definedName>
    <definedName name="mau_ios">#REF!</definedName>
    <definedName name="mau_web">#REF!</definedName>
    <definedName name="MAUMonth2Retained">#REF!</definedName>
    <definedName name="MAUMonth3Retained">#REF!</definedName>
    <definedName name="MAUMonth4Retained">#REF!</definedName>
    <definedName name="Month1CNV">#REF!</definedName>
    <definedName name="Month1NetUSD">#REF!</definedName>
    <definedName name="Month2MultiDeposit">#REF!</definedName>
    <definedName name="Month3MultiDeposit">#REF!</definedName>
    <definedName name="Month4MultiDeposit">#REF!</definedName>
    <definedName name="MonthInstallsPaid">#REF!</definedName>
    <definedName name="Monthly_Dates">#REF!</definedName>
    <definedName name="Monthly_Depositors">#REF!</definedName>
    <definedName name="Monthly_Depositors_FB">#REF!</definedName>
    <definedName name="Monthly_Depositors_gooa">#REF!</definedName>
    <definedName name="Monthly_Depositors_goop">#REF!</definedName>
    <definedName name="Monthly_Depositors_iOS">#REF!</definedName>
    <definedName name="Monthly_NetRev">#REF!</definedName>
    <definedName name="Monthly_NetRev_FB">#REF!</definedName>
    <definedName name="Monthly_NetRev_gooa">#REF!</definedName>
    <definedName name="Monthly_NetRev_goop">#REF!</definedName>
    <definedName name="Monthly_NetRev_iOS">#REF!</definedName>
    <definedName name="Monthly_NewP2Ps">#REF!</definedName>
    <definedName name="Monthly_NewP2Ps_FB">#REF!</definedName>
    <definedName name="Monthly_NewP2Ps_gooa">#REF!</definedName>
    <definedName name="Monthly_NewP2Ps_goop">#REF!</definedName>
    <definedName name="Monthly_NewP2Ps_iOS">#REF!</definedName>
    <definedName name="MonthlyCNVToDate">#REF!</definedName>
    <definedName name="MonthlyinstallsAndroidAmazonFB_ID">#REF!</definedName>
    <definedName name="MonthlyinstallsAndroidAmazonGUEST_ID">#REF!</definedName>
    <definedName name="MonthlyinstallsAndroidGoogleFB_ID">#REF!</definedName>
    <definedName name="MonthlyinstallsAndroidGoogleGUEST_ID">#REF!</definedName>
    <definedName name="MonthlyInstallsFBsource">#REF!</definedName>
    <definedName name="MonthlyInstallsIOSFB_ID">#REF!</definedName>
    <definedName name="MonthlyinstallsIOSGUEST_ID">#REF!</definedName>
    <definedName name="MonthlyInstallsOther">#REF!</definedName>
    <definedName name="MonthlyInstallsViral">#REF!</definedName>
    <definedName name="MonthlyInstallsXsell">#REF!</definedName>
    <definedName name="MonthlyLastModified">#REF!</definedName>
    <definedName name="MonthlyLastUpdated">#REF!</definedName>
    <definedName name="MonthlyNetRevToDate">#REF!</definedName>
    <definedName name="MonthlyPlayingP2Ps">#REF!</definedName>
    <definedName name="MonthlyPlayingP2Ps_FB">#REF!</definedName>
    <definedName name="MonthlyPlayingP2Ps_gooa">#REF!</definedName>
    <definedName name="MonthlyPlayingP2Ps_goop">#REF!</definedName>
    <definedName name="MonthlyPlayingP2Ps_iOS">#REF!</definedName>
    <definedName name="n" hidden="1">{"Central",#N/A,FALSE,"Total"}</definedName>
    <definedName name="NAV">#REF!</definedName>
    <definedName name="New" hidden="1">{"West",#N/A,FALSE,"Total"}</definedName>
    <definedName name="NFT" hidden="1">'[2]DCF Assump-F3'!#REF!</definedName>
    <definedName name="noidea" hidden="1">{#N/A,#N/A,FALSE,"Calc";#N/A,#N/A,FALSE,"Sensitivity";#N/A,#N/A,FALSE,"LT Earn.Dil.";#N/A,#N/A,FALSE,"Dil. AVP"}</definedName>
    <definedName name="NOIDEA2" hidden="1">{#N/A,#N/A,FALSE,"Calc";#N/A,#N/A,FALSE,"Sensitivity";#N/A,#N/A,FALSE,"LT Earn.Dil.";#N/A,#N/A,FALSE,"Dil. AVP"}</definedName>
    <definedName name="o" hidden="1">{#N/A,#N/A,FALSE,"New Depr Sch-150% DB";#N/A,#N/A,FALSE,"Cash Flows RLP";#N/A,#N/A,FALSE,"IRR";#N/A,#N/A,FALSE,"Proforma IS";#N/A,#N/A,FALSE,"Assumptions"}</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P" hidden="1">{#N/A,#N/A,FALSE,"Operations";#N/A,#N/A,FALSE,"Financials"}</definedName>
    <definedName name="P2PMonth2Retained">#REF!</definedName>
    <definedName name="P2PMonth3Retained">#REF!</definedName>
    <definedName name="P2PMonth4Retained">#REF!</definedName>
    <definedName name="po" hidden="1">{#N/A,#N/A,FALSE,"Calc";#N/A,#N/A,FALSE,"Sensitivity";#N/A,#N/A,FALSE,"LT Earn.Dil.";#N/A,#N/A,FALSE,"Dil. AVP"}</definedName>
    <definedName name="poi" hidden="1">{"assumption 50 50",#N/A,TRUE,"Merger";"has gets cash",#N/A,TRUE,"Merger";"accretion dilution",#N/A,TRUE,"Merger";"comparison credit stats",#N/A,TRUE,"Merger";"pf credit stats",#N/A,TRUE,"Merger";"pf sheets",#N/A,TRUE,"Merger"}</definedName>
    <definedName name="prout" hidden="1">{"comp1",#N/A,FALSE,"COMPS";"footnotes",#N/A,FALSE,"COMPS"}</definedName>
    <definedName name="PurchaseMonth">#REF!</definedName>
    <definedName name="qewreqrqwer" hidden="1">{"comp1",#N/A,FALSE,"COMPS";"footnotes",#N/A,FALSE,"COMPS"}</definedName>
    <definedName name="qq" hidden="1">{"equity comps",#N/A,FALSE,"CS Comps";"equity comps",#N/A,FALSE,"PS Comps";"equity comps",#N/A,FALSE,"GIC_Comps";"equity comps",#N/A,FALSE,"GIC2_Comps"}</definedName>
    <definedName name="qwe" hidden="1">{"assumption cash",#N/A,TRUE,"Merger";"has gets cash",#N/A,TRUE,"Merger";"accretion dilution",#N/A,TRUE,"Merger";"comparison credit stats",#N/A,TRUE,"Merger";"pf credit stats",#N/A,TRUE,"Merger";"pf sheets",#N/A,TRUE,"Merger"}</definedName>
    <definedName name="qwer" hidden="1">{"hiden",#N/A,FALSE,"14";"hidden",#N/A,FALSE,"16";"hidden",#N/A,FALSE,"18";"hidden",#N/A,FALSE,"20"}</definedName>
    <definedName name="qwerqewr" hidden="1">{#N/A,#N/A,FALSE,"Calc";#N/A,#N/A,FALSE,"Sensitivity";#N/A,#N/A,FALSE,"LT Earn.Dil.";#N/A,#N/A,FALSE,"Dil. AVP"}</definedName>
    <definedName name="qwerqwerq" hidden="1">{"assumption 50 50",#N/A,TRUE,"Merger";"has gets cash",#N/A,TRUE,"Merger";"accretion dilution",#N/A,TRUE,"Merger";"comparison credit stats",#N/A,TRUE,"Merger";"pf credit stats",#N/A,TRUE,"Merger";"pf sheets",#N/A,TRUE,"Merger"}</definedName>
    <definedName name="RevenueAmaz">#REF!</definedName>
    <definedName name="RevenueGp">#REF!</definedName>
    <definedName name="RevenueIos">#REF!</definedName>
    <definedName name="RevenueWeb">#REF!</definedName>
    <definedName name="rrrr" hidden="1">{"comp1",#N/A,FALSE,"COMPS";"footnotes",#N/A,FALSE,"COMPS"}</definedName>
    <definedName name="rty" hidden="1">{#N/A,#N/A,TRUE,"Pro Forma";#N/A,#N/A,TRUE,"PF_Bal";#N/A,#N/A,TRUE,"PF_INC";#N/A,#N/A,TRUE,"CBE";#N/A,#N/A,TRUE,"SWK"}</definedName>
    <definedName name="saaaaaaaaaaaaaaa" hidden="1">{"up stand alones",#N/A,FALSE,"Acquiror"}</definedName>
    <definedName name="sdf" hidden="1">{#N/A,#N/A,FALSE,"Calc";#N/A,#N/A,FALSE,"Sensitivity";#N/A,#N/A,FALSE,"LT Earn.Dil.";#N/A,#N/A,FALSE,"Dil. AVP"}</definedName>
    <definedName name="sdgdfghfhgfjhgfjhjjjg" hidden="1">{"general",#N/A,FALSE,"Assumptions"}</definedName>
    <definedName name="se" hidden="1">{"consolidated",#N/A,FALSE,"Sheet1";"cms",#N/A,FALSE,"Sheet1";"fse",#N/A,FALSE,"Sheet1"}</definedName>
    <definedName name="sencount" hidden="1">1</definedName>
    <definedName name="sfs" hidden="1">{"comps",#N/A,FALSE,"HANDPACK";"footnotes",#N/A,FALSE,"HANDPACK"}</definedName>
    <definedName name="SPS" hidden="1">{#N/A,#N/A,TRUE,"financial";#N/A,#N/A,TRUE,"plants"}</definedName>
    <definedName name="ss" hidden="1">{#N/A,#N/A,TRUE,"Pro Forma";#N/A,#N/A,TRUE,"PF_Bal";#N/A,#N/A,TRUE,"PF_INC";#N/A,#N/A,TRUE,"CBE";#N/A,#N/A,TRUE,"SWK"}</definedName>
    <definedName name="StatusPR">[15]LOOKUPS!$A$4:$A$7</definedName>
    <definedName name="svfs" hidden="1">{"comps2",#N/A,FALSE,"AERO";"footnotes",#N/A,FALSE,"AERO"}</definedName>
    <definedName name="test"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TIMEFRAME">[11]LOOKUP!$H$5:$H$23</definedName>
    <definedName name="tt" hidden="1">{"away stand alones",#N/A,FALSE,"Target"}</definedName>
    <definedName name="tyu" hidden="1">{"consolidated",#N/A,FALSE,"Sheet1";"cms",#N/A,FALSE,"Sheet1";"fse",#N/A,FALSE,"Sheet1"}</definedName>
    <definedName name="uu" hidden="1">{"away stand alones",#N/A,FALSE,"Target"}</definedName>
    <definedName name="v" hidden="1">{"hiden",#N/A,FALSE,"14";"hidden",#N/A,FALSE,"16";"hidden",#N/A,FALSE,"18";"hidden",#N/A,FALSE,"20"}</definedName>
    <definedName name="vsv" hidden="1">{"comp",#N/A,FALSE,"SPEC";"footnotes",#N/A,FALSE,"SPEC"}</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rittenbyNBC">[15]LOOKUPS!$C$4:$C$5</definedName>
    <definedName name="wrn"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1." hidden="1">{#N/A,#N/A,FALSE,"Calc";#N/A,#N/A,FALSE,"Sensitivity";#N/A,#N/A,FALSE,"LT Earn.Dil.";#N/A,#N/A,FALSE,"Dil. AVP"}</definedName>
    <definedName name="WRN.2." hidden="1">{#N/A,#N/A,FALSE,"Calc";#N/A,#N/A,FALSE,"Sensitivity";#N/A,#N/A,FALSE,"LT Earn.Dil.";#N/A,#N/A,FALSE,"Dil. AVP"}</definedName>
    <definedName name="wrn.20._.year._.indices." hidden="1">{#N/A,#N/A,FALSE,"20 yrindrefema";#N/A,#N/A,FALSE,"20yrindloema";#N/A,#N/A,FALSE,"20yrindhiema"}</definedName>
    <definedName name="wrn.50._.50." hidden="1">{"assumption 50 50",#N/A,TRUE,"Merger";"has gets cash",#N/A,TRUE,"Merger";"accretion dilution",#N/A,TRUE,"Merger";"comparison credit stats",#N/A,TRUE,"Merger";"pf credit stats",#N/A,TRUE,"Merger";"pf sheets",#N/A,TRUE,"Merger"}</definedName>
    <definedName name="wrn.50.2"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Reports." hidden="1">{"BS",#N/A,FALSE,"NGC";"PL",#N/A,FALSE,"NGC";"CF",#N/A,FALSE,"NGC"}</definedName>
    <definedName name="wrn.ALL._.SCH.."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wrn.All._.Up." hidden="1">{"All Up",#N/A,FALSE,"Feedstock"}</definedName>
    <definedName name="wrn.All._.Worksheets."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apsc5" hidden="1">{"AR_SCH6",#N/A,FALSE,"AR-SCH6"}</definedName>
    <definedName name="wrn.ar" hidden="1">{"AR_SCH1",#N/A,FALSE,"AR-SCH1"}</definedName>
    <definedName name="wrn.arsc15" hidden="1">{"AR_SCH4",#N/A,FALSE,"ARSCH4-5";"AR_SCH5",#N/A,FALSE,"ARSCH4-5"}</definedName>
    <definedName name="WRN.ARSC2" hidden="1">{"AR_SCH2",#N/A,FALSE,"AR-SCH2"}</definedName>
    <definedName name="wrn.ARSC2." hidden="1">{"AR_SCH2",#N/A,FALSE,"AR-SCH2"}</definedName>
    <definedName name="wrn.ARSC3." hidden="1">{"AR_SCH3",#N/A,FALSE,"AR-SCH3"}</definedName>
    <definedName name="WRN.ARSC4" hidden="1">{"AR_SCH3",#N/A,FALSE,"AR-SCH3"}</definedName>
    <definedName name="wrn.ARSC4.5." hidden="1">{"AR_SCH4",#N/A,FALSE,"ARSCH4-5";"AR_SCH5",#N/A,FALSE,"ARSCH4-5"}</definedName>
    <definedName name="wrn.ARSC6." hidden="1">{"AR_SCH6",#N/A,FALSE,"AR-SCH6"}</definedName>
    <definedName name="wrn.ARSCH1." hidden="1">{"AR_SCH1",#N/A,FALSE,"AR-SCH1"}</definedName>
    <definedName name="wrn.assumptions." hidden="1">{"casespecific",#N/A,FALSE,"Assumptions"}</definedName>
    <definedName name="wrn.Auto._.Comp." hidden="1">{#N/A,#N/A,FALSE,"Sheet1"}</definedName>
    <definedName name="wrn.away." hidden="1">{"away stand alones",#N/A,FALSE,"Target"}</definedName>
    <definedName name="wrn.BARTERSUM." hidden="1">{#N/A,#N/A,FALSE,"AR_SCH8 BARTER SUM"}</definedName>
    <definedName name="wrn.Basic._.Report." hidden="1">{#N/A,#N/A,FALSE,"New Depr Sch-150% DB";#N/A,#N/A,FALSE,"Cash Flows RLP";#N/A,#N/A,FALSE,"IRR";#N/A,#N/A,FALSE,"Proforma IS";#N/A,#N/A,FALSE,"Assumptions"}</definedName>
    <definedName name="wrn.brian." hidden="1">{#N/A,#N/A,FALSE,"output";#N/A,#N/A,FALSE,"contrib";#N/A,#N/A,FALSE,"profile";#N/A,#N/A,FALSE,"comps"}</definedName>
    <definedName name="wrn.Budget." hidden="1">{"Budget",#N/A,FALSE,"Summary"}</definedName>
    <definedName name="wrn.CAESARS._.PROJECT._.D." hidden="1">{"CONSOLIDATED INCOME STMT",#N/A,TRUE,"Sheet1";"PROPERTY COMPARABLES",#N/A,TRUE,"Sheet1";"SENSITIVITY",#N/A,TRUE,"Sheet1";"CASH FLOW",#N/A,TRUE,"Sheet6";"CASINO DEPT",#N/A,TRUE,"Sheet1";"TABLE GAMES DEPT",#N/A,TRUE,"Sheet2";"SLOT DEPT",#N/A,TRUE,"Sheet2";"ROOMS DEPARTMENT",#N/A,TRUE,"Sheet4";"FOOD AND BEVERAGE",#N/A,TRUE,"Sheet1";"FOOD DEPARTMENT",#N/A,TRUE,"Sheet3";"BEVERAGE DEPARTMENT",#N/A,TRUE,"Sheet3";"OTHER REVENUE",#N/A,TRUE,"Sheet4";"GIFT SHOP MERCHANDISE",#N/A,TRUE,"Sheet4";"MUSIC AND ENTERTAINMENT",#N/A,TRUE,"Sheet1";"GENERAL AND ADMIN",#N/A,TRUE,"Sheet5";"PROJECT COST CAP STRUCTURE",#N/A,TRUE,"Sheet8";"DEVELOPMENT WORKSHEET",#N/A,TRUE,"Sheet11";"DEPRECIATION SCHEDULE",#N/A,TRUE,"Sheet6";"CAP INT",#N/A,TRUE,"Sheet14"}</definedName>
    <definedName name="wrn.cash." hidden="1">{"assumption cash",#N/A,TRUE,"Merger";"has gets cash",#N/A,TRUE,"Merger";"accretion dilution",#N/A,TRUE,"Merger";"comparison credit stats",#N/A,TRUE,"Merger";"pf credit stats",#N/A,TRUE,"Merger";"pf sheets",#N/A,TRUE,"Merger"}</definedName>
    <definedName name="wrn.Central." hidden="1">{"Central",#N/A,FALSE,"Total"}</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plete._.Report." hidden="1">{#N/A,#N/A,FALSE,"Assumptions";#N/A,#N/A,FALSE,"Proforma IS";#N/A,#N/A,FALSE,"Cash Flows RLP";#N/A,#N/A,FALSE,"IRR";#N/A,#N/A,FALSE,"New Depr Sch-150% DB";#N/A,#N/A,FALSE,"Comments"}</definedName>
    <definedName name="wrn.comps." hidden="1">{"comps",#N/A,FALSE,"comps";"notes",#N/A,FALSE,"comps"}</definedName>
    <definedName name="wrn.cooper." hidden="1">{#N/A,#N/A,TRUE,"Pro Forma";#N/A,#N/A,TRUE,"PF_Bal";#N/A,#N/A,TRUE,"PF_INC";#N/A,#N/A,TRUE,"CBE";#N/A,#N/A,TRUE,"SWK"}</definedName>
    <definedName name="wrn.COSTPROGPROJ." hidden="1">{"Costprogram",#N/A,FALSE,"COST OF PROGRAM PROJECTION"}</definedName>
    <definedName name="wrn.COSTPROGRPOJ2" hidden="1">{"Costprogram",#N/A,FALSE,"COST OF PROGRAM PROJECTION"}</definedName>
    <definedName name="wrn.Development." hidden="1">{"Development",#N/A,FALSE,"Total"}</definedName>
    <definedName name="wrn.DevRptMatz." hidden="1">{"DevSumm-Matz",#N/A,FALSE,"DevSumm-Matz";"DevSumm-Matz,2",#N/A,FALSE,"DevSumm-Matz";"DevSumm-Matz,3",#N/A,FALSE,"DevSumm-Matz"}</definedName>
    <definedName name="wrn.dil_anal." hidden="1">{"hiden",#N/A,FALSE,"14";"hidden",#N/A,FALSE,"16";"hidden",#N/A,FALSE,"18";"hidden",#N/A,FALSE,"20"}</definedName>
    <definedName name="wrn.document." hidden="1">{"consolidated",#N/A,FALSE,"Sheet1";"cms",#N/A,FALSE,"Sheet1";"fse",#N/A,FALSE,"Sheet1"}</definedName>
    <definedName name="wrn.documentaero." hidden="1">{"comps2",#N/A,FALSE,"AERO";"footnotes",#N/A,FALSE,"AERO"}</definedName>
    <definedName name="wrn.documenthand." hidden="1">{"comps",#N/A,FALSE,"HANDPACK";"footnotes",#N/A,FALSE,"HANDPACK"}</definedName>
    <definedName name="wrn.East." hidden="1">{"East",#N/A,FALSE,"Total"}</definedName>
    <definedName name="wrn.equity._.comps." hidden="1">{"equity comps",#N/A,FALSE,"CS Comps";"equity comps",#N/A,FALSE,"PS Comps";"equity comps",#N/A,FALSE,"GIC_Comps";"equity comps",#N/A,FALSE,"GIC2_Comps"}</definedName>
    <definedName name="wrn.fcb2" hidden="1">{"FCB_ALL",#N/A,FALSE,"FCB"}</definedName>
    <definedName name="wrn.Feedstock." hidden="1">{"Feedstock",#N/A,FALSE,"Feedstock"}</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riendly." hidden="1">{#N/A,#N/A,TRUE,"Julio";#N/A,#N/A,TRUE,"Agosto";#N/A,#N/A,TRUE,"BHCo";#N/A,#N/A,TRUE,"Abril";#N/A,#N/A,TRUE,"Pro Forma"}</definedName>
    <definedName name="wrn.Full._.Report." hidden="1">{"RACC",#N/A,FALSE,"RACC";"Summary",#N/A,FALSE,"Model";"Income Statement",#N/A,FALSE,"Model";"Balance Sheet",#N/A,FALSE,"Model";"Cash Flow",#N/A,FALSE,"Model";"Availability",#N/A,FALSE,"Model";"Valuation",#N/A,FALSE,"Model";"IRR Analysis",#N/A,FALSE,"Model";"Sensitivity",#N/A,FALSE,"MODEL"}</definedName>
    <definedName name="wrn.HIGH._.SENARIO." hidden="1">{"CONSOLIDATED INCOME STMT",#N/A,TRUE,"Sheet1 (3)";"PROPERTY COMPARABLES",#N/A,TRUE,"Sheet1 (3)";"SENSITIVITY",#N/A,TRUE,"Sheet1 (3)";"CASH FLOW",#N/A,TRUE,"Sheet6 (3)";"CASINO DEPT",#N/A,TRUE,"Sheet1 (3)";"TABLE GAMES DEPT",#N/A,TRUE,"Sheet2 (3)";"SLOT DEPT",#N/A,TRUE,"Sheet2 (3)";"ROOMS DEPARTMENT",#N/A,TRUE,"Sheet4 (3)";"FOOD AND BEVERAGE",#N/A,TRUE,"Sheet1 (3)";"FOOD DEPARTMENT",#N/A,TRUE,"Sheet3 (3)";"BEVERAGE DEPARTMENT",#N/A,TRUE,"Sheet3 (3)";"OTHER REVENUE",#N/A,TRUE,"Sheet4 (3)";"GIFT SHOP MERCHANDISE",#N/A,TRUE,"Sheet4 (3)";"MUSIC AND ENTERTAINMENT",#N/A,TRUE,"Sheet1 (3)";"GENERAL AND ADMIN",#N/A,TRUE,"Sheet5 (3)";"PROJECT COST CAP STRUCTURE",#N/A,TRUE,"Sheet8 (3)";"DEVELOPMENT WORKSHEET",#N/A,TRUE,"Sheet11 (3)";"DEPRECIATION SCHEDULE",#N/A,TRUE,"Sheet6 (3)";"CAP INT",#N/A,TRUE,"Sheet14 (3)"}</definedName>
    <definedName name="wrn.LOW._.SENARIO." hidden="1">{"CONSOLIDATED INCOME STMT",#N/A,TRUE,"Sheet1 (2)";"PROPERTY COMPARABLES",#N/A,TRUE,"Sheet1 (2)";"SENSITIVITY",#N/A,TRUE,"Sheet1 (2)";"CASH FLOW",#N/A,TRUE,"Sheet6 (2)";"CASINO DEPT",#N/A,TRUE,"Sheet1 (2)";"TABLE GAMES DEPT",#N/A,TRUE,"Sheet2 (2)";"SLOT DEPT",#N/A,TRUE,"Sheet2 (2)";"ROOMS DEPARTMENT",#N/A,TRUE,"Sheet4 (2)";"FOOD AND BEVERAGE",#N/A,TRUE,"Sheet1 (2)";"FOOD DEPARTMENT",#N/A,TRUE,"Sheet3 (2)";"BEVERAGE DEPARTMENT",#N/A,TRUE,"Sheet3 (2)";"OTHER REVENUE",#N/A,TRUE,"Sheet4 (2)";"GIFT SHOP MERCHANDISE",#N/A,TRUE,"Sheet4 (2)";"MUSIC AND ENTERTAINMENT",#N/A,TRUE,"Sheet1 (2)";"GENERAL AND ADMIN",#N/A,TRUE,"Sheet5 (2)";"PROJECT COST CAP STRUCTURE",#N/A,TRUE,"Sheet8 (2)";"DEVELOPMENT WORKSHEET",#N/A,TRUE,"Sheet11 (2)";"DEPRECIATION SCHEDULE",#N/A,TRUE,"Sheet6 (2)";"CAP INT",#N/A,TRUE,"Sheet14 (2)"}</definedName>
    <definedName name="wrn.Mason._.Deliverables." hidden="1">{#N/A,#N/A,FALSE,"Data &amp; Key Results";#N/A,#N/A,FALSE,"Summary Template";#N/A,#N/A,FALSE,"Budget";#N/A,#N/A,FALSE,"Present Value Comparison";#N/A,#N/A,FALSE,"Cashflow";#N/A,#N/A,FALSE,"Income";#N/A,#N/A,FALSE,"Inputs"}</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onthly._.no._.Notes." hidden="1">{"Without Notes",#N/A,FALSE,"23 Mo Forecast"}</definedName>
    <definedName name="wrn.Monthly._.with._.Notes." hidden="1">{"With Notes",#N/A,FALSE,"23 Mo Forecast"}</definedName>
    <definedName name="wrn.perimeter._.comp." hidden="1">{#N/A,#N/A,TRUE,"comp";#N/A,#N/A,TRUE,"notes"}</definedName>
    <definedName name="wrn.Pianocomp." hidden="1">{"page_1",#N/A,TRUE,"Sheet1";"page_2",#N/A,TRUE,"Sheet1";"page_notes",#N/A,TRUE,"Sheet1"}</definedName>
    <definedName name="wrn.print." hidden="1">{"ass",#N/A,FALSE,"Assumptions";#N/A,#N/A,FALSE,"Merg";"sens",#N/A,FALSE,"Assumptions";#N/A,#N/A,FALSE,"Bach";#N/A,#N/A,FALSE,"Kent";#N/A,#N/A,FALSE,"Bell"}</definedName>
    <definedName name="wrn.print._.graphs." hidden="1">{"cap_structure",#N/A,FALSE,"Graph-Mkt Cap";"price",#N/A,FALSE,"Graph-Price";"ebit",#N/A,FALSE,"Graph-EBITDA";"ebitda",#N/A,FALSE,"Graph-EBITDA"}</definedName>
    <definedName name="wrn.print._.raw._.data._.entry." hidden="1">{"inputs raw data",#N/A,TRUE,"INPUT"}</definedName>
    <definedName name="wrn.print._.summary._.sheets." hidden="1">{"summary1",#N/A,TRUE,"Comps";"summary2",#N/A,TRUE,"Comps";"summary3",#N/A,TRUE,"Comps"}</definedName>
    <definedName name="wrn.Print._.the._.lot." hidden="1">{"First Page",#N/A,FALSE,"Surfactants LBO";"Second Page",#N/A,FALSE,"Surfactants LBO"}</definedName>
    <definedName name="wrn.print._raw." hidden="1">{"inputs raw data",#N/A,TRUE,"INPUT"}</definedName>
    <definedName name="wrn.print.2" hidden="1">{"ass",#N/A,FALSE,"Assumptions";#N/A,#N/A,FALSE,"Merg";"sens",#N/A,FALSE,"Assumptions";#N/A,#N/A,FALSE,"Bach";#N/A,#N/A,FALSE,"Kent";#N/A,#N/A,FALSE,"Bell"}</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OGRAMSUMMARY." hidden="1">{"INVENTORY",#N/A,FALSE,"RECAP OF INVENTORY"}</definedName>
    <definedName name="wrn.RECAPINVENTORY." hidden="1">{#N/A,#N/A,FALSE,"RECAP OF INVENTORY"}</definedName>
    <definedName name="wrn.Report1." hidden="1">{#N/A,#N/A,FALSE,"Operations";#N/A,#N/A,FALSE,"Financials"}</definedName>
    <definedName name="wrn.REVSUM." hidden="1">{"REVENUE",#N/A,FALSE,"REVENUE COMPARISON"}</definedName>
    <definedName name="wrn.revsum2" hidden="1">{"REVENUE",#N/A,FALSE,"REVENUE COMPARISON"}</definedName>
    <definedName name="wrn.sens." hidden="1">{#N/A,#N/A,FALSE,"Sensitivities";#N/A,#N/A,FALSE,"Sensitivities2"}</definedName>
    <definedName name="wrn.sensitivity._.analyses." hidden="1">{"general",#N/A,FALSE,"Assumptions"}</definedName>
    <definedName name="wrn.STAFFING." hidden="1">{"TG STAFF",#N/A,TRUE,"Sheet1";"SLOT STAFF",#N/A,TRUE,"Sheet1";"F AND B STAFF",#N/A,TRUE,"Sheet1";"ADMIN STAFF",#N/A,TRUE,"Sheet1";"OTHER STAFF",#N/A,TRUE,"Sheet1"}</definedName>
    <definedName name="wrn.stand_alone." hidden="1">{#N/A,#N/A,FALSE,"CBE";#N/A,#N/A,FALSE,"SWK"}</definedName>
    <definedName name="wrn.Strategic." hidden="1">{"Strategic",#N/A,FALSE,"Total"}</definedName>
    <definedName name="wrn.Summary." hidden="1">{#N/A,#N/A,FALSE,"Summary3";#N/A,#N/A,FALSE,"Summary1";#N/A,#N/A,FALSE,"Summary2";#N/A,#N/A,FALSE,"Sensitivities1";#N/A,#N/A,FALSE,"Sensitivities2"}</definedName>
    <definedName name="wrn.Summary._.Report." hidden="1">{"Summary",#N/A,FALSE,"Model";"Income Statement",#N/A,FALSE,"MODEL";"Balance Sheet",#N/A,FALSE,"Model";"Cash Flow",#N/A,FALSE,"Model";"Availability Analysis",#N/A,FALSE,"Model"}</definedName>
    <definedName name="wrn.Thomas_Case." hidden="1">{#N/A,#N/A,TRUE,"Thomas Case";#N/A,#N/A,TRUE,"Corporate Overhead";#N/A,#N/A,TRUE,"Arizona";#N/A,#N/A,TRUE,"Cal";#N/A,#N/A,TRUE,"Illinois";#N/A,#N/A,TRUE,"Indiana";#N/A,#N/A,TRUE,"Ohio";#N/A,#N/A,TRUE,"Pennsylvania";#N/A,#N/A,TRUE,"Growth";#N/A,#N/A,TRUE,"Anthem";#N/A,#N/A,TRUE,"Pipeline"}</definedName>
    <definedName name="wrn.TotalBud." hidden="1">{"SumBud",#N/A,FALSE,"Summary";"IEMBud",#N/A,FALSE,"IE&amp;M";"GenBud",#N/A,FALSE,"Gen";"ETBud",#N/A,FALSE,"ET";"IPBud",#N/A,FALSE,"Interstate Pipeline";"NEGBud",#N/A,FALSE,"NEG";"MerchBud",#N/A,FALSE,"Merch";#N/A,#N/A,FALSE,"LT Cont (2)";#N/A,#N/A,FALSE,"Mgmt"}</definedName>
    <definedName name="wrn.totalcomp." hidden="1">{"comp1",#N/A,FALSE,"COMPS";"footnotes",#N/A,FALSE,"COMPS"}</definedName>
    <definedName name="wrn.trans._.sum." hidden="1">{"trans assumptions",#N/A,FALSE,"Merger";"trans accretion",#N/A,FALSE,"Merger"}</definedName>
    <definedName name="wrn.up." hidden="1">{"up stand alones",#N/A,FALSE,"Acquiror"}</definedName>
    <definedName name="wrn.Wacc." hidden="1">{"Area1",#N/A,FALSE,"OREWACC";"Area2",#N/A,FALSE,"OREWACC"}</definedName>
    <definedName name="wrn.West." hidden="1">{"West",#N/A,FALSE,"Total"}</definedName>
    <definedName name="wrn.Worldwide." hidden="1">{"Worldwide",#N/A,FALSE,"Total";"West",#N/A,FALSE,"Total";"Central",#N/A,FALSE,"Total";"East",#N/A,FALSE,"Total";"Strategic",#N/A,FALSE,"Total";"Development",#N/A,FALSE,"Total"}</definedName>
    <definedName name="WRN2.Document" hidden="1">{"consolidated",#N/A,FALSE,"Sheet1";"cms",#N/A,FALSE,"Sheet1";"fse",#N/A,FALSE,"Sheet1"}</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yes_no">[11]LOOKUP!$F$4:$F$6</definedName>
    <definedName name="Z_2891AF67_639B_11D2_AA4E_AB73DC59AB4D_.wvu.PrintArea" hidden="1">'[1]Forecast 2009'!$B$2:$U$50</definedName>
    <definedName name="Z_2891AF68_639B_11D2_AA4E_AB73DC59AB4D_.wvu.PrintArea" hidden="1">'[1]Forecast 2009'!$B$51:$U$88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79" i="3" l="1"/>
  <c r="M78" i="3"/>
  <c r="M77" i="3"/>
  <c r="U81" i="3" l="1"/>
  <c r="U80" i="3"/>
  <c r="U82" i="3"/>
  <c r="U78" i="3"/>
  <c r="U77" i="3"/>
  <c r="U79" i="3"/>
  <c r="J73" i="3"/>
  <c r="K73" i="3"/>
  <c r="L73" i="3"/>
  <c r="M73" i="3"/>
  <c r="N73" i="3"/>
  <c r="O73" i="3"/>
  <c r="P73" i="3"/>
  <c r="Q73" i="3"/>
  <c r="R73" i="3"/>
  <c r="S73" i="3"/>
  <c r="T73" i="3"/>
  <c r="I73" i="3"/>
  <c r="I83" i="3" l="1"/>
  <c r="U69" i="3"/>
  <c r="U70" i="3"/>
  <c r="U71" i="3"/>
  <c r="U72" i="3"/>
  <c r="U76" i="3"/>
  <c r="U83" i="3" s="1"/>
  <c r="U68" i="3"/>
  <c r="U36" i="3"/>
  <c r="U37" i="3"/>
  <c r="U38" i="3"/>
  <c r="U39" i="3"/>
  <c r="U40" i="3"/>
  <c r="G65" i="3"/>
  <c r="G52" i="3"/>
  <c r="G42" i="3"/>
  <c r="G31" i="3"/>
  <c r="T201" i="22"/>
  <c r="T202" i="22" s="1"/>
  <c r="S201" i="22"/>
  <c r="S202" i="22" s="1"/>
  <c r="R201" i="22"/>
  <c r="R202" i="22" s="1"/>
  <c r="Q201" i="22"/>
  <c r="Q202" i="22" s="1"/>
  <c r="P201" i="22"/>
  <c r="P202" i="22" s="1"/>
  <c r="O201" i="22"/>
  <c r="O202" i="22" s="1"/>
  <c r="N201" i="22"/>
  <c r="N202" i="22" s="1"/>
  <c r="M201" i="22"/>
  <c r="M202" i="22" s="1"/>
  <c r="L201" i="22"/>
  <c r="L202" i="22" s="1"/>
  <c r="K201" i="22"/>
  <c r="K202" i="22" s="1"/>
  <c r="J201" i="22"/>
  <c r="J202" i="22" s="1"/>
  <c r="I201" i="22"/>
  <c r="I202" i="22" s="1"/>
  <c r="G201" i="22"/>
  <c r="U200" i="22"/>
  <c r="U199" i="22"/>
  <c r="U198" i="22"/>
  <c r="U197" i="22"/>
  <c r="G194" i="22"/>
  <c r="U193" i="22"/>
  <c r="U192" i="22"/>
  <c r="T186" i="22"/>
  <c r="S186" i="22"/>
  <c r="R186" i="22"/>
  <c r="Q186" i="22"/>
  <c r="P186" i="22"/>
  <c r="O186" i="22"/>
  <c r="N186" i="22"/>
  <c r="M186" i="22"/>
  <c r="L186" i="22"/>
  <c r="K186" i="22"/>
  <c r="J186" i="22"/>
  <c r="I186" i="22"/>
  <c r="G186" i="22"/>
  <c r="U185" i="22"/>
  <c r="U184" i="22"/>
  <c r="T182" i="22"/>
  <c r="S182" i="22"/>
  <c r="R182" i="22"/>
  <c r="Q182" i="22"/>
  <c r="P182" i="22"/>
  <c r="O182" i="22"/>
  <c r="N182" i="22"/>
  <c r="M182" i="22"/>
  <c r="L182" i="22"/>
  <c r="K182" i="22"/>
  <c r="J182" i="22"/>
  <c r="I182" i="22"/>
  <c r="T181" i="22"/>
  <c r="T187" i="22" s="1"/>
  <c r="S181" i="22"/>
  <c r="S187" i="22" s="1"/>
  <c r="R181" i="22"/>
  <c r="R187" i="22" s="1"/>
  <c r="Q181" i="22"/>
  <c r="P181" i="22"/>
  <c r="P187" i="22" s="1"/>
  <c r="O181" i="22"/>
  <c r="N181" i="22"/>
  <c r="M181" i="22"/>
  <c r="L181" i="22"/>
  <c r="K181" i="22"/>
  <c r="J181" i="22"/>
  <c r="I181" i="22"/>
  <c r="G181" i="22"/>
  <c r="U180" i="22"/>
  <c r="U179" i="22"/>
  <c r="U178" i="22"/>
  <c r="U177" i="22"/>
  <c r="U176" i="22"/>
  <c r="U175" i="22"/>
  <c r="T172" i="22"/>
  <c r="T173" i="22" s="1"/>
  <c r="S172" i="22"/>
  <c r="S173" i="22" s="1"/>
  <c r="R172" i="22"/>
  <c r="R173" i="22" s="1"/>
  <c r="Q172" i="22"/>
  <c r="Q173" i="22" s="1"/>
  <c r="P172" i="22"/>
  <c r="P173" i="22" s="1"/>
  <c r="O172" i="22"/>
  <c r="O173" i="22" s="1"/>
  <c r="N172" i="22"/>
  <c r="N173" i="22" s="1"/>
  <c r="M172" i="22"/>
  <c r="M173" i="22" s="1"/>
  <c r="L172" i="22"/>
  <c r="L173" i="22" s="1"/>
  <c r="K172" i="22"/>
  <c r="K173" i="22" s="1"/>
  <c r="J172" i="22"/>
  <c r="J173" i="22" s="1"/>
  <c r="I172" i="22"/>
  <c r="I173" i="22" s="1"/>
  <c r="G172" i="22"/>
  <c r="U171" i="22"/>
  <c r="U170" i="22"/>
  <c r="U169" i="22"/>
  <c r="U166" i="22"/>
  <c r="T165" i="22"/>
  <c r="S165" i="22"/>
  <c r="R165" i="22"/>
  <c r="Q165" i="22"/>
  <c r="P165" i="22"/>
  <c r="O165" i="22"/>
  <c r="N165" i="22"/>
  <c r="M165" i="22"/>
  <c r="L165" i="22"/>
  <c r="K165" i="22"/>
  <c r="J165" i="22"/>
  <c r="I165" i="22"/>
  <c r="T164" i="22"/>
  <c r="S164" i="22"/>
  <c r="R164" i="22"/>
  <c r="Q164" i="22"/>
  <c r="P164" i="22"/>
  <c r="O164" i="22"/>
  <c r="N164" i="22"/>
  <c r="M164" i="22"/>
  <c r="L164" i="22"/>
  <c r="K164" i="22"/>
  <c r="J164" i="22"/>
  <c r="I164" i="22"/>
  <c r="T163" i="22"/>
  <c r="S163" i="22"/>
  <c r="R163" i="22"/>
  <c r="R167" i="22" s="1"/>
  <c r="Q163" i="22"/>
  <c r="Q167" i="22" s="1"/>
  <c r="P163" i="22"/>
  <c r="P167" i="22" s="1"/>
  <c r="O163" i="22"/>
  <c r="N163" i="22"/>
  <c r="M163" i="22"/>
  <c r="L163" i="22"/>
  <c r="K163" i="22"/>
  <c r="J163" i="22"/>
  <c r="I163" i="22"/>
  <c r="I167" i="22" s="1"/>
  <c r="U160" i="22"/>
  <c r="T160" i="22"/>
  <c r="S160" i="22"/>
  <c r="R160" i="22"/>
  <c r="Q160" i="22"/>
  <c r="P160" i="22"/>
  <c r="O160" i="22"/>
  <c r="N160" i="22"/>
  <c r="M160" i="22"/>
  <c r="L160" i="22"/>
  <c r="K160" i="22"/>
  <c r="J160" i="22"/>
  <c r="I160" i="22"/>
  <c r="T135" i="22"/>
  <c r="T136" i="22" s="1"/>
  <c r="S135" i="22"/>
  <c r="S136" i="22" s="1"/>
  <c r="R135" i="22"/>
  <c r="R136" i="22" s="1"/>
  <c r="Q135" i="22"/>
  <c r="Q136" i="22" s="1"/>
  <c r="P135" i="22"/>
  <c r="P136" i="22" s="1"/>
  <c r="O135" i="22"/>
  <c r="O136" i="22" s="1"/>
  <c r="N135" i="22"/>
  <c r="N136" i="22" s="1"/>
  <c r="M135" i="22"/>
  <c r="M136" i="22" s="1"/>
  <c r="L135" i="22"/>
  <c r="L136" i="22" s="1"/>
  <c r="K135" i="22"/>
  <c r="K136" i="22" s="1"/>
  <c r="J135" i="22"/>
  <c r="J136" i="22" s="1"/>
  <c r="I135" i="22"/>
  <c r="I136" i="22" s="1"/>
  <c r="G135" i="22"/>
  <c r="U134" i="22"/>
  <c r="U133" i="22"/>
  <c r="U132" i="22"/>
  <c r="U131" i="22"/>
  <c r="G128" i="22"/>
  <c r="U127" i="22"/>
  <c r="U126" i="22"/>
  <c r="U125" i="22"/>
  <c r="T120" i="22"/>
  <c r="T121" i="22" s="1"/>
  <c r="S120" i="22"/>
  <c r="S121" i="22" s="1"/>
  <c r="R120" i="22"/>
  <c r="R121" i="22" s="1"/>
  <c r="Q120" i="22"/>
  <c r="Q121" i="22" s="1"/>
  <c r="P120" i="22"/>
  <c r="P121" i="22" s="1"/>
  <c r="O120" i="22"/>
  <c r="O121" i="22" s="1"/>
  <c r="N120" i="22"/>
  <c r="N121" i="22" s="1"/>
  <c r="M120" i="22"/>
  <c r="M121" i="22" s="1"/>
  <c r="L120" i="22"/>
  <c r="L121" i="22" s="1"/>
  <c r="K120" i="22"/>
  <c r="K121" i="22" s="1"/>
  <c r="J120" i="22"/>
  <c r="J121" i="22" s="1"/>
  <c r="I120" i="22"/>
  <c r="I121" i="22" s="1"/>
  <c r="G120" i="22"/>
  <c r="U119" i="22"/>
  <c r="U118" i="22"/>
  <c r="T116" i="22"/>
  <c r="S116" i="22"/>
  <c r="R116" i="22"/>
  <c r="Q116" i="22"/>
  <c r="P116" i="22"/>
  <c r="O116" i="22"/>
  <c r="N116" i="22"/>
  <c r="M116" i="22"/>
  <c r="L116" i="22"/>
  <c r="K116" i="22"/>
  <c r="J116" i="22"/>
  <c r="I116" i="22"/>
  <c r="T115" i="22"/>
  <c r="S115" i="22"/>
  <c r="R115" i="22"/>
  <c r="Q115" i="22"/>
  <c r="P115" i="22"/>
  <c r="O115" i="22"/>
  <c r="N115" i="22"/>
  <c r="M115" i="22"/>
  <c r="L115" i="22"/>
  <c r="K115" i="22"/>
  <c r="J115" i="22"/>
  <c r="I115" i="22"/>
  <c r="G115" i="22"/>
  <c r="U114" i="22"/>
  <c r="U113" i="22"/>
  <c r="U112" i="22"/>
  <c r="U111" i="22"/>
  <c r="U110" i="22"/>
  <c r="U109" i="22"/>
  <c r="T106" i="22"/>
  <c r="T107" i="22" s="1"/>
  <c r="S106" i="22"/>
  <c r="S107" i="22" s="1"/>
  <c r="R106" i="22"/>
  <c r="R107" i="22" s="1"/>
  <c r="Q106" i="22"/>
  <c r="Q107" i="22" s="1"/>
  <c r="P106" i="22"/>
  <c r="P107" i="22" s="1"/>
  <c r="O106" i="22"/>
  <c r="O107" i="22" s="1"/>
  <c r="N106" i="22"/>
  <c r="N107" i="22" s="1"/>
  <c r="M106" i="22"/>
  <c r="M107" i="22" s="1"/>
  <c r="L106" i="22"/>
  <c r="L107" i="22" s="1"/>
  <c r="K106" i="22"/>
  <c r="K107" i="22" s="1"/>
  <c r="J106" i="22"/>
  <c r="J107" i="22" s="1"/>
  <c r="I106" i="22"/>
  <c r="I107" i="22" s="1"/>
  <c r="G106" i="22"/>
  <c r="U105" i="22"/>
  <c r="U104" i="22"/>
  <c r="U103" i="22"/>
  <c r="U100" i="22"/>
  <c r="T99" i="22"/>
  <c r="S99" i="22"/>
  <c r="R99" i="22"/>
  <c r="Q99" i="22"/>
  <c r="P99" i="22"/>
  <c r="O99" i="22"/>
  <c r="N99" i="22"/>
  <c r="M99" i="22"/>
  <c r="L99" i="22"/>
  <c r="K99" i="22"/>
  <c r="J99" i="22"/>
  <c r="I99" i="22"/>
  <c r="T98" i="22"/>
  <c r="S98" i="22"/>
  <c r="R98" i="22"/>
  <c r="Q98" i="22"/>
  <c r="P98" i="22"/>
  <c r="O98" i="22"/>
  <c r="N98" i="22"/>
  <c r="M98" i="22"/>
  <c r="L98" i="22"/>
  <c r="K98" i="22"/>
  <c r="J98" i="22"/>
  <c r="I98" i="22"/>
  <c r="T97" i="22"/>
  <c r="S97" i="22"/>
  <c r="R97" i="22"/>
  <c r="Q97" i="22"/>
  <c r="P97" i="22"/>
  <c r="O97" i="22"/>
  <c r="N97" i="22"/>
  <c r="M97" i="22"/>
  <c r="L97" i="22"/>
  <c r="K97" i="22"/>
  <c r="J97" i="22"/>
  <c r="I97" i="22"/>
  <c r="U94" i="22"/>
  <c r="T94" i="22"/>
  <c r="S94" i="22"/>
  <c r="R94" i="22"/>
  <c r="Q94" i="22"/>
  <c r="P94" i="22"/>
  <c r="O94" i="22"/>
  <c r="N94" i="22"/>
  <c r="M94" i="22"/>
  <c r="L94" i="22"/>
  <c r="K94" i="22"/>
  <c r="J94" i="22"/>
  <c r="I94" i="22"/>
  <c r="U72" i="22"/>
  <c r="T72" i="22"/>
  <c r="S72" i="22"/>
  <c r="R72" i="22"/>
  <c r="Q72" i="22"/>
  <c r="P72" i="22"/>
  <c r="O72" i="22"/>
  <c r="N72" i="22"/>
  <c r="M72" i="22"/>
  <c r="L72" i="22"/>
  <c r="K72" i="22"/>
  <c r="J72" i="22"/>
  <c r="I72" i="22"/>
  <c r="S63" i="22"/>
  <c r="S64" i="22" s="1"/>
  <c r="R63" i="22"/>
  <c r="R64" i="22" s="1"/>
  <c r="Q63" i="22"/>
  <c r="Q64" i="22" s="1"/>
  <c r="P63" i="22"/>
  <c r="P64" i="22" s="1"/>
  <c r="O63" i="22"/>
  <c r="O64" i="22" s="1"/>
  <c r="N63" i="22"/>
  <c r="N64" i="22" s="1"/>
  <c r="M63" i="22"/>
  <c r="M64" i="22" s="1"/>
  <c r="L63" i="22"/>
  <c r="L64" i="22" s="1"/>
  <c r="K63" i="22"/>
  <c r="K64" i="22" s="1"/>
  <c r="J63" i="22"/>
  <c r="J64" i="22" s="1"/>
  <c r="I63" i="22"/>
  <c r="I64" i="22" s="1"/>
  <c r="G63" i="22"/>
  <c r="C63" i="22"/>
  <c r="U62" i="22"/>
  <c r="C62" i="22"/>
  <c r="U61" i="22"/>
  <c r="C61" i="22"/>
  <c r="U60" i="22"/>
  <c r="C60" i="22"/>
  <c r="U59" i="22"/>
  <c r="C59" i="22"/>
  <c r="U58" i="22"/>
  <c r="C58" i="22"/>
  <c r="U57" i="22"/>
  <c r="C57" i="22"/>
  <c r="T56" i="22"/>
  <c r="U56" i="22" s="1"/>
  <c r="C56" i="22"/>
  <c r="T55" i="22"/>
  <c r="U55" i="22" s="1"/>
  <c r="C55" i="22"/>
  <c r="T54" i="22"/>
  <c r="U54" i="22" s="1"/>
  <c r="C54" i="22"/>
  <c r="U53" i="22"/>
  <c r="C53" i="22"/>
  <c r="C52" i="22"/>
  <c r="L51" i="22"/>
  <c r="C51" i="22"/>
  <c r="T50" i="22"/>
  <c r="T51" i="22" s="1"/>
  <c r="S50" i="22"/>
  <c r="S51" i="22" s="1"/>
  <c r="R50" i="22"/>
  <c r="R51" i="22" s="1"/>
  <c r="Q50" i="22"/>
  <c r="Q51" i="22" s="1"/>
  <c r="P50" i="22"/>
  <c r="P51" i="22" s="1"/>
  <c r="O50" i="22"/>
  <c r="O51" i="22" s="1"/>
  <c r="N50" i="22"/>
  <c r="N51" i="22" s="1"/>
  <c r="M50" i="22"/>
  <c r="M51" i="22" s="1"/>
  <c r="L50" i="22"/>
  <c r="K50" i="22"/>
  <c r="K51" i="22" s="1"/>
  <c r="J50" i="22"/>
  <c r="J51" i="22" s="1"/>
  <c r="I50" i="22"/>
  <c r="I51" i="22" s="1"/>
  <c r="G50" i="22"/>
  <c r="C50" i="22"/>
  <c r="U49" i="22"/>
  <c r="C49" i="22"/>
  <c r="U48" i="22"/>
  <c r="C48" i="22"/>
  <c r="U47" i="22"/>
  <c r="C47" i="22"/>
  <c r="U46" i="22"/>
  <c r="C46" i="22"/>
  <c r="U45" i="22"/>
  <c r="C45" i="22"/>
  <c r="U44" i="22"/>
  <c r="C44" i="22"/>
  <c r="U43" i="22"/>
  <c r="C43" i="22"/>
  <c r="C42" i="22"/>
  <c r="K41" i="22"/>
  <c r="C41" i="22"/>
  <c r="T40" i="22"/>
  <c r="T41" i="22" s="1"/>
  <c r="S40" i="22"/>
  <c r="S41" i="22" s="1"/>
  <c r="R40" i="22"/>
  <c r="R41" i="22" s="1"/>
  <c r="Q40" i="22"/>
  <c r="Q41" i="22" s="1"/>
  <c r="P40" i="22"/>
  <c r="P41" i="22" s="1"/>
  <c r="O40" i="22"/>
  <c r="O41" i="22" s="1"/>
  <c r="N40" i="22"/>
  <c r="N41" i="22" s="1"/>
  <c r="M40" i="22"/>
  <c r="M41" i="22" s="1"/>
  <c r="L40" i="22"/>
  <c r="L41" i="22" s="1"/>
  <c r="K40" i="22"/>
  <c r="J40" i="22"/>
  <c r="J41" i="22" s="1"/>
  <c r="I40" i="22"/>
  <c r="I41" i="22" s="1"/>
  <c r="G40" i="22"/>
  <c r="C40" i="22"/>
  <c r="U39" i="22"/>
  <c r="C39" i="22"/>
  <c r="U38" i="22"/>
  <c r="C38" i="22"/>
  <c r="U37" i="22"/>
  <c r="C37" i="22"/>
  <c r="U36" i="22"/>
  <c r="C36" i="22"/>
  <c r="U35" i="22"/>
  <c r="C35" i="22"/>
  <c r="U34" i="22"/>
  <c r="C34" i="22"/>
  <c r="C33" i="22"/>
  <c r="C32" i="22"/>
  <c r="T31" i="22"/>
  <c r="T32" i="22" s="1"/>
  <c r="S31" i="22"/>
  <c r="S32" i="22" s="1"/>
  <c r="R31" i="22"/>
  <c r="R32" i="22" s="1"/>
  <c r="Q31" i="22"/>
  <c r="Q32" i="22" s="1"/>
  <c r="P31" i="22"/>
  <c r="P32" i="22" s="1"/>
  <c r="O31" i="22"/>
  <c r="O32" i="22" s="1"/>
  <c r="N31" i="22"/>
  <c r="N32" i="22" s="1"/>
  <c r="M31" i="22"/>
  <c r="M32" i="22" s="1"/>
  <c r="L31" i="22"/>
  <c r="L32" i="22" s="1"/>
  <c r="K31" i="22"/>
  <c r="K32" i="22" s="1"/>
  <c r="J31" i="22"/>
  <c r="J32" i="22" s="1"/>
  <c r="I31" i="22"/>
  <c r="I32" i="22" s="1"/>
  <c r="G31" i="22"/>
  <c r="C31" i="22"/>
  <c r="U30" i="22"/>
  <c r="C30" i="22"/>
  <c r="U29" i="22"/>
  <c r="C29" i="22"/>
  <c r="U28" i="22"/>
  <c r="C28" i="22"/>
  <c r="C27" i="22"/>
  <c r="C26" i="22"/>
  <c r="U25" i="22"/>
  <c r="C25" i="22"/>
  <c r="T24" i="22"/>
  <c r="S24" i="22"/>
  <c r="R24" i="22"/>
  <c r="Q24" i="22"/>
  <c r="P24" i="22"/>
  <c r="O24" i="22"/>
  <c r="N24" i="22"/>
  <c r="M24" i="22"/>
  <c r="L24" i="22"/>
  <c r="K24" i="22"/>
  <c r="U23" i="22"/>
  <c r="U22" i="22"/>
  <c r="C22" i="22"/>
  <c r="T21" i="22"/>
  <c r="S21" i="22"/>
  <c r="R21" i="22"/>
  <c r="Q21" i="22"/>
  <c r="P21" i="22"/>
  <c r="O21" i="22"/>
  <c r="N21" i="22"/>
  <c r="M21" i="22"/>
  <c r="L21" i="22"/>
  <c r="K21" i="22"/>
  <c r="J21" i="22"/>
  <c r="I21" i="22"/>
  <c r="C21" i="22"/>
  <c r="U20" i="22"/>
  <c r="C20" i="22"/>
  <c r="U19" i="22"/>
  <c r="C19" i="22"/>
  <c r="T18" i="22"/>
  <c r="S18" i="22"/>
  <c r="R18" i="22"/>
  <c r="Q18" i="22"/>
  <c r="P18" i="22"/>
  <c r="O18" i="22"/>
  <c r="N18" i="22"/>
  <c r="M18" i="22"/>
  <c r="L18" i="22"/>
  <c r="K18" i="22"/>
  <c r="J18" i="22"/>
  <c r="I18" i="22"/>
  <c r="C18" i="22"/>
  <c r="C17" i="22"/>
  <c r="C16" i="22"/>
  <c r="T15" i="22"/>
  <c r="S15" i="22"/>
  <c r="R15" i="22"/>
  <c r="Q15" i="22"/>
  <c r="P15" i="22"/>
  <c r="O15" i="22"/>
  <c r="N15" i="22"/>
  <c r="M15" i="22"/>
  <c r="L15" i="22"/>
  <c r="K15" i="22"/>
  <c r="J15" i="22"/>
  <c r="I15" i="22"/>
  <c r="C15" i="22"/>
  <c r="U14" i="22"/>
  <c r="C14" i="22"/>
  <c r="U13" i="22"/>
  <c r="C13" i="22"/>
  <c r="U12" i="22"/>
  <c r="C12" i="22"/>
  <c r="U11" i="22"/>
  <c r="C11" i="22"/>
  <c r="U10" i="22"/>
  <c r="C10" i="22"/>
  <c r="U23" i="3"/>
  <c r="AE93" i="6"/>
  <c r="J26" i="22" l="1"/>
  <c r="I26" i="3"/>
  <c r="U73" i="3"/>
  <c r="J101" i="22"/>
  <c r="T167" i="22"/>
  <c r="K101" i="22"/>
  <c r="I187" i="22"/>
  <c r="J187" i="22"/>
  <c r="J167" i="22"/>
  <c r="L187" i="22"/>
  <c r="U136" i="22"/>
  <c r="M187" i="22"/>
  <c r="R101" i="22"/>
  <c r="L167" i="22"/>
  <c r="N187" i="22"/>
  <c r="N101" i="22"/>
  <c r="K187" i="22"/>
  <c r="M167" i="22"/>
  <c r="O187" i="22"/>
  <c r="N167" i="22"/>
  <c r="O101" i="22"/>
  <c r="S101" i="22"/>
  <c r="J74" i="22"/>
  <c r="J76" i="22" s="1"/>
  <c r="U24" i="22"/>
  <c r="L26" i="22"/>
  <c r="P26" i="22"/>
  <c r="T26" i="22"/>
  <c r="N26" i="22"/>
  <c r="N74" i="22" s="1"/>
  <c r="N76" i="22" s="1"/>
  <c r="I26" i="22"/>
  <c r="I74" i="22" s="1"/>
  <c r="I76" i="22" s="1"/>
  <c r="M26" i="22"/>
  <c r="M74" i="22" s="1"/>
  <c r="M76" i="22" s="1"/>
  <c r="Q26" i="22"/>
  <c r="Q74" i="22" s="1"/>
  <c r="Q76" i="22" s="1"/>
  <c r="R26" i="22"/>
  <c r="R74" i="22" s="1"/>
  <c r="R76" i="22" s="1"/>
  <c r="U163" i="22"/>
  <c r="U186" i="22"/>
  <c r="Q187" i="22"/>
  <c r="U97" i="22"/>
  <c r="U98" i="22"/>
  <c r="M101" i="22"/>
  <c r="Q101" i="22"/>
  <c r="U116" i="22"/>
  <c r="U182" i="22"/>
  <c r="U202" i="22"/>
  <c r="U15" i="22"/>
  <c r="U18" i="22"/>
  <c r="K26" i="22"/>
  <c r="K74" i="22" s="1"/>
  <c r="K76" i="22" s="1"/>
  <c r="O26" i="22"/>
  <c r="O74" i="22" s="1"/>
  <c r="O76" i="22" s="1"/>
  <c r="S26" i="22"/>
  <c r="S74" i="22" s="1"/>
  <c r="S76" i="22" s="1"/>
  <c r="U21" i="22"/>
  <c r="U40" i="22"/>
  <c r="U41" i="22" s="1"/>
  <c r="L101" i="22"/>
  <c r="P101" i="22"/>
  <c r="T101" i="22"/>
  <c r="I101" i="22"/>
  <c r="U120" i="22"/>
  <c r="U164" i="22"/>
  <c r="U165" i="22"/>
  <c r="L74" i="22"/>
  <c r="L76" i="22" s="1"/>
  <c r="P74" i="22"/>
  <c r="P76" i="22" s="1"/>
  <c r="U31" i="22"/>
  <c r="U32" i="22" s="1"/>
  <c r="U50" i="22"/>
  <c r="U51" i="22" s="1"/>
  <c r="T63" i="22"/>
  <c r="T64" i="22" s="1"/>
  <c r="T74" i="22" s="1"/>
  <c r="T76" i="22" s="1"/>
  <c r="U115" i="22"/>
  <c r="U121" i="22" s="1"/>
  <c r="U135" i="22"/>
  <c r="K167" i="22"/>
  <c r="O167" i="22"/>
  <c r="S167" i="22"/>
  <c r="U181" i="22"/>
  <c r="U99" i="22"/>
  <c r="U106" i="22"/>
  <c r="U107" i="22" s="1"/>
  <c r="U201" i="22"/>
  <c r="U172" i="22"/>
  <c r="U173" i="22" s="1"/>
  <c r="C46" i="3"/>
  <c r="C22" i="3"/>
  <c r="C21" i="3"/>
  <c r="U24" i="3"/>
  <c r="F29" i="21"/>
  <c r="U58" i="3"/>
  <c r="U59" i="3"/>
  <c r="U60" i="3"/>
  <c r="U61" i="3"/>
  <c r="U62" i="3"/>
  <c r="U63" i="3"/>
  <c r="U64" i="3"/>
  <c r="U46" i="3"/>
  <c r="U47" i="3"/>
  <c r="U10" i="3"/>
  <c r="U22" i="3"/>
  <c r="J83" i="3"/>
  <c r="K83" i="3"/>
  <c r="L83" i="3"/>
  <c r="M83" i="3"/>
  <c r="N83" i="3"/>
  <c r="O83" i="3"/>
  <c r="P83" i="3"/>
  <c r="Q83" i="3"/>
  <c r="R83" i="3"/>
  <c r="S83" i="3"/>
  <c r="T83" i="3"/>
  <c r="U101" i="22" l="1"/>
  <c r="U187" i="22"/>
  <c r="U63" i="22"/>
  <c r="U64" i="22" s="1"/>
  <c r="U167" i="22"/>
  <c r="U26" i="22"/>
  <c r="U76" i="22"/>
  <c r="U74" i="22"/>
  <c r="U21" i="3"/>
  <c r="M15" i="3" l="1"/>
  <c r="N15" i="3"/>
  <c r="O15" i="3"/>
  <c r="P15" i="3"/>
  <c r="Q15" i="3"/>
  <c r="R15" i="3"/>
  <c r="S15" i="3"/>
  <c r="T15" i="3"/>
  <c r="L15" i="3"/>
  <c r="I15" i="3"/>
  <c r="K15" i="3"/>
  <c r="J15" i="3"/>
  <c r="D14" i="6" l="1"/>
  <c r="C52" i="3"/>
  <c r="J52" i="3"/>
  <c r="J53" i="3" s="1"/>
  <c r="K52" i="3"/>
  <c r="K53" i="3" s="1"/>
  <c r="L52" i="3"/>
  <c r="L53" i="3" s="1"/>
  <c r="M52" i="3"/>
  <c r="M53" i="3" s="1"/>
  <c r="N52" i="3"/>
  <c r="N53" i="3" s="1"/>
  <c r="O52" i="3"/>
  <c r="O53" i="3" s="1"/>
  <c r="P52" i="3"/>
  <c r="P53" i="3" s="1"/>
  <c r="Q52" i="3"/>
  <c r="Q53" i="3" s="1"/>
  <c r="R52" i="3"/>
  <c r="R53" i="3" s="1"/>
  <c r="S52" i="3"/>
  <c r="S53" i="3" s="1"/>
  <c r="T52" i="3"/>
  <c r="T53" i="3" s="1"/>
  <c r="I52" i="3"/>
  <c r="I53" i="3" s="1"/>
  <c r="C65" i="3"/>
  <c r="U55" i="3"/>
  <c r="U11" i="3"/>
  <c r="U12" i="3"/>
  <c r="U13" i="3"/>
  <c r="U14" i="3"/>
  <c r="U34" i="3"/>
  <c r="U48" i="3"/>
  <c r="U49" i="3"/>
  <c r="U50" i="3"/>
  <c r="U51" i="3"/>
  <c r="U45" i="3"/>
  <c r="C55" i="19"/>
  <c r="D55" i="19" s="1"/>
  <c r="E55" i="19" s="1"/>
  <c r="F55" i="19" s="1"/>
  <c r="G55" i="19" s="1"/>
  <c r="H55" i="19" s="1"/>
  <c r="I55" i="19" s="1"/>
  <c r="J55" i="19" s="1"/>
  <c r="K55" i="19" s="1"/>
  <c r="L55" i="19" s="1"/>
  <c r="M55" i="19" s="1"/>
  <c r="N55" i="19" s="1"/>
  <c r="Y47" i="19"/>
  <c r="S48" i="19"/>
  <c r="S49" i="19" s="1"/>
  <c r="S50" i="19" s="1"/>
  <c r="R48" i="19"/>
  <c r="R49" i="19" s="1"/>
  <c r="R50" i="19" s="1"/>
  <c r="Q48" i="19"/>
  <c r="Q49" i="19" s="1"/>
  <c r="Q50" i="19" s="1"/>
  <c r="P48" i="19"/>
  <c r="P49" i="19" s="1"/>
  <c r="P50" i="19" s="1"/>
  <c r="O48" i="19"/>
  <c r="O49" i="19" s="1"/>
  <c r="Y38" i="19"/>
  <c r="Y37" i="19"/>
  <c r="Y36" i="19"/>
  <c r="W39" i="19"/>
  <c r="W40" i="19" s="1"/>
  <c r="V39" i="19"/>
  <c r="V40" i="19" s="1"/>
  <c r="U39" i="19"/>
  <c r="U40" i="19" s="1"/>
  <c r="T39" i="19"/>
  <c r="T40" i="19" s="1"/>
  <c r="S39" i="19"/>
  <c r="S40" i="19" s="1"/>
  <c r="R39" i="19"/>
  <c r="R40" i="19" s="1"/>
  <c r="Q39" i="19"/>
  <c r="Q40" i="19" s="1"/>
  <c r="P39" i="19"/>
  <c r="P40" i="19" s="1"/>
  <c r="X35" i="19"/>
  <c r="W31" i="19"/>
  <c r="W32" i="19" s="1"/>
  <c r="V31" i="19"/>
  <c r="V32" i="19" s="1"/>
  <c r="U31" i="19"/>
  <c r="U32" i="19" s="1"/>
  <c r="T31" i="19"/>
  <c r="T32" i="19" s="1"/>
  <c r="S31" i="19"/>
  <c r="S32" i="19" s="1"/>
  <c r="R31" i="19"/>
  <c r="R32" i="19" s="1"/>
  <c r="Q31" i="19"/>
  <c r="Q32" i="19" s="1"/>
  <c r="P31" i="19"/>
  <c r="P32" i="19" s="1"/>
  <c r="Y30" i="19"/>
  <c r="Y25" i="19"/>
  <c r="W26" i="19"/>
  <c r="W27" i="19" s="1"/>
  <c r="V26" i="19"/>
  <c r="V27" i="19" s="1"/>
  <c r="U26" i="19"/>
  <c r="U27" i="19" s="1"/>
  <c r="T26" i="19"/>
  <c r="T27" i="19" s="1"/>
  <c r="S26" i="19"/>
  <c r="S27" i="19" s="1"/>
  <c r="R26" i="19"/>
  <c r="R27" i="19" s="1"/>
  <c r="Q26" i="19"/>
  <c r="Q27" i="19" s="1"/>
  <c r="P26" i="19"/>
  <c r="P27" i="19" s="1"/>
  <c r="O26" i="19"/>
  <c r="Y19" i="19"/>
  <c r="Y18" i="19"/>
  <c r="W20" i="19"/>
  <c r="V20" i="19"/>
  <c r="U20" i="19"/>
  <c r="T20" i="19"/>
  <c r="S20" i="19"/>
  <c r="R20" i="19"/>
  <c r="Q20" i="19"/>
  <c r="P20" i="19"/>
  <c r="O20" i="19"/>
  <c r="W15" i="19"/>
  <c r="V15" i="19"/>
  <c r="U15" i="19"/>
  <c r="T15" i="19"/>
  <c r="S15" i="19"/>
  <c r="R15" i="19"/>
  <c r="Q15" i="19"/>
  <c r="P15" i="19"/>
  <c r="O15" i="19"/>
  <c r="W43" i="18"/>
  <c r="V43" i="18"/>
  <c r="U43" i="18"/>
  <c r="T43" i="18"/>
  <c r="S43" i="18"/>
  <c r="R43" i="18"/>
  <c r="Q43" i="18"/>
  <c r="P43" i="18"/>
  <c r="O43" i="18"/>
  <c r="N43" i="18"/>
  <c r="M43" i="18"/>
  <c r="L43" i="18"/>
  <c r="K43" i="18"/>
  <c r="J43" i="18"/>
  <c r="I43" i="18"/>
  <c r="H43" i="18"/>
  <c r="G43" i="18"/>
  <c r="F43" i="18"/>
  <c r="E43" i="18"/>
  <c r="D43" i="18"/>
  <c r="W27" i="18"/>
  <c r="V27" i="18"/>
  <c r="U27" i="18"/>
  <c r="T27" i="18"/>
  <c r="S27" i="18"/>
  <c r="R27" i="18"/>
  <c r="Q27" i="18"/>
  <c r="P27" i="18"/>
  <c r="O27" i="18"/>
  <c r="N27" i="18"/>
  <c r="M27" i="18"/>
  <c r="K27" i="18"/>
  <c r="I27" i="18"/>
  <c r="H27" i="18"/>
  <c r="G27" i="18"/>
  <c r="F27" i="18"/>
  <c r="E27" i="18"/>
  <c r="D27" i="18"/>
  <c r="C27" i="18"/>
  <c r="L27" i="18"/>
  <c r="J27" i="18"/>
  <c r="W20" i="18"/>
  <c r="V20" i="18"/>
  <c r="U20" i="18"/>
  <c r="T20" i="18"/>
  <c r="S20" i="18"/>
  <c r="R20" i="18"/>
  <c r="Q20" i="18"/>
  <c r="P20" i="18"/>
  <c r="O20" i="18"/>
  <c r="N20" i="18"/>
  <c r="M20" i="18"/>
  <c r="L20" i="18"/>
  <c r="K20" i="18"/>
  <c r="J20" i="18"/>
  <c r="I20" i="18"/>
  <c r="H20" i="18"/>
  <c r="G20" i="18"/>
  <c r="F20" i="18"/>
  <c r="E20" i="18"/>
  <c r="D20" i="18"/>
  <c r="C20" i="18"/>
  <c r="W15" i="18"/>
  <c r="T48" i="19" l="1"/>
  <c r="T49" i="19" s="1"/>
  <c r="T50" i="19" s="1"/>
  <c r="U48" i="19"/>
  <c r="U49" i="19" s="1"/>
  <c r="U50" i="19" s="1"/>
  <c r="V48" i="19"/>
  <c r="V49" i="19" s="1"/>
  <c r="V50" i="19" s="1"/>
  <c r="W48" i="19"/>
  <c r="W49" i="19" s="1"/>
  <c r="W50" i="19" s="1"/>
  <c r="T21" i="19"/>
  <c r="H13" i="18"/>
  <c r="H15" i="18" s="1"/>
  <c r="H29" i="18" s="1"/>
  <c r="H33" i="18" s="1"/>
  <c r="H37" i="18" s="1"/>
  <c r="W29" i="18"/>
  <c r="G13" i="18"/>
  <c r="K13" i="18"/>
  <c r="O13" i="18"/>
  <c r="S13" i="18"/>
  <c r="G15" i="18"/>
  <c r="G29" i="18" s="1"/>
  <c r="G33" i="18" s="1"/>
  <c r="G37" i="18" s="1"/>
  <c r="K15" i="18"/>
  <c r="K29" i="18" s="1"/>
  <c r="K33" i="18" s="1"/>
  <c r="K37" i="18" s="1"/>
  <c r="O15" i="18"/>
  <c r="O29" i="18" s="1"/>
  <c r="O33" i="18" s="1"/>
  <c r="O37" i="18" s="1"/>
  <c r="S15" i="18"/>
  <c r="S29" i="18" s="1"/>
  <c r="C13" i="18"/>
  <c r="C15" i="18" s="1"/>
  <c r="O31" i="19"/>
  <c r="O32" i="19" s="1"/>
  <c r="D13" i="18"/>
  <c r="D15" i="18" s="1"/>
  <c r="D29" i="18" s="1"/>
  <c r="D33" i="18" s="1"/>
  <c r="D37" i="18" s="1"/>
  <c r="L13" i="18"/>
  <c r="L15" i="18" s="1"/>
  <c r="L29" i="18" s="1"/>
  <c r="L33" i="18" s="1"/>
  <c r="L37" i="18" s="1"/>
  <c r="P13" i="18"/>
  <c r="P15" i="18" s="1"/>
  <c r="P29" i="18" s="1"/>
  <c r="T13" i="18"/>
  <c r="T15" i="18" s="1"/>
  <c r="T29" i="18" s="1"/>
  <c r="P21" i="19"/>
  <c r="P41" i="19" s="1"/>
  <c r="P42" i="19" s="1"/>
  <c r="P52" i="19" s="1"/>
  <c r="U15" i="3"/>
  <c r="U52" i="3"/>
  <c r="U53" i="3" s="1"/>
  <c r="E13" i="18"/>
  <c r="E15" i="18" s="1"/>
  <c r="E29" i="18" s="1"/>
  <c r="E33" i="18" s="1"/>
  <c r="E37" i="18" s="1"/>
  <c r="I13" i="18"/>
  <c r="I15" i="18" s="1"/>
  <c r="I29" i="18" s="1"/>
  <c r="I33" i="18" s="1"/>
  <c r="I37" i="18" s="1"/>
  <c r="M13" i="18"/>
  <c r="M15" i="18" s="1"/>
  <c r="M29" i="18" s="1"/>
  <c r="M33" i="18" s="1"/>
  <c r="M37" i="18" s="1"/>
  <c r="Q13" i="18"/>
  <c r="Q15" i="18" s="1"/>
  <c r="Q29" i="18" s="1"/>
  <c r="U13" i="18"/>
  <c r="U15" i="18" s="1"/>
  <c r="U29" i="18" s="1"/>
  <c r="R21" i="19"/>
  <c r="R41" i="19" s="1"/>
  <c r="R42" i="19" s="1"/>
  <c r="R52" i="19" s="1"/>
  <c r="V21" i="19"/>
  <c r="F13" i="18"/>
  <c r="F15" i="18" s="1"/>
  <c r="F29" i="18" s="1"/>
  <c r="F33" i="18" s="1"/>
  <c r="F37" i="18" s="1"/>
  <c r="J13" i="18"/>
  <c r="J15" i="18" s="1"/>
  <c r="J29" i="18" s="1"/>
  <c r="J33" i="18" s="1"/>
  <c r="J37" i="18" s="1"/>
  <c r="N13" i="18"/>
  <c r="N15" i="18" s="1"/>
  <c r="N29" i="18" s="1"/>
  <c r="N33" i="18" s="1"/>
  <c r="N37" i="18" s="1"/>
  <c r="R13" i="18"/>
  <c r="R15" i="18" s="1"/>
  <c r="R29" i="18" s="1"/>
  <c r="V13" i="18"/>
  <c r="V15" i="18" s="1"/>
  <c r="V29" i="18" s="1"/>
  <c r="X38" i="19"/>
  <c r="X46" i="19"/>
  <c r="X20" i="19"/>
  <c r="Y20" i="19"/>
  <c r="O21" i="19"/>
  <c r="Y15" i="19"/>
  <c r="X15" i="19"/>
  <c r="S21" i="19"/>
  <c r="S41" i="19" s="1"/>
  <c r="S42" i="19" s="1"/>
  <c r="S52" i="19" s="1"/>
  <c r="W21" i="19"/>
  <c r="W41" i="19" s="1"/>
  <c r="W42" i="19" s="1"/>
  <c r="W52" i="19" s="1"/>
  <c r="O27" i="19"/>
  <c r="Y26" i="19"/>
  <c r="X26" i="19"/>
  <c r="V41" i="19"/>
  <c r="V42" i="19" s="1"/>
  <c r="V52" i="19" s="1"/>
  <c r="Y32" i="19"/>
  <c r="X32" i="19"/>
  <c r="T41" i="19"/>
  <c r="T42" i="19" s="1"/>
  <c r="T52" i="19" s="1"/>
  <c r="Q21" i="19"/>
  <c r="Q41" i="19" s="1"/>
  <c r="Q42" i="19" s="1"/>
  <c r="Q52" i="19" s="1"/>
  <c r="U21" i="19"/>
  <c r="U41" i="19" s="1"/>
  <c r="U42" i="19" s="1"/>
  <c r="U52" i="19" s="1"/>
  <c r="O50" i="19"/>
  <c r="X49" i="19"/>
  <c r="Y49" i="19"/>
  <c r="Y17" i="19"/>
  <c r="Y35" i="19"/>
  <c r="Y46" i="19"/>
  <c r="X14" i="19"/>
  <c r="X19" i="19"/>
  <c r="X25" i="19"/>
  <c r="X31" i="19"/>
  <c r="X37" i="19"/>
  <c r="X48" i="19"/>
  <c r="Y14" i="19"/>
  <c r="X18" i="19"/>
  <c r="X24" i="19"/>
  <c r="X30" i="19"/>
  <c r="Y31" i="19"/>
  <c r="X36" i="19"/>
  <c r="O39" i="19"/>
  <c r="X47" i="19"/>
  <c r="Y48" i="19"/>
  <c r="X17" i="19"/>
  <c r="Y24" i="19"/>
  <c r="P31" i="18" l="1"/>
  <c r="P33" i="18" s="1"/>
  <c r="X21" i="19"/>
  <c r="Y21" i="19"/>
  <c r="X50" i="19"/>
  <c r="Y50" i="19"/>
  <c r="X39" i="19"/>
  <c r="Y39" i="19"/>
  <c r="O40" i="19"/>
  <c r="X27" i="19"/>
  <c r="Y27" i="19"/>
  <c r="Q31" i="18" l="1"/>
  <c r="Q33" i="18" s="1"/>
  <c r="P37" i="18"/>
  <c r="Y40" i="19"/>
  <c r="X40" i="19"/>
  <c r="O41" i="19"/>
  <c r="R31" i="18"/>
  <c r="R33" i="18" s="1"/>
  <c r="Q37" i="18"/>
  <c r="O42" i="19" l="1"/>
  <c r="Y41" i="19"/>
  <c r="X41" i="19"/>
  <c r="S31" i="18"/>
  <c r="S33" i="18" s="1"/>
  <c r="R37" i="18"/>
  <c r="X42" i="19" l="1"/>
  <c r="O52" i="19"/>
  <c r="Y42" i="19"/>
  <c r="S37" i="18"/>
  <c r="T31" i="18"/>
  <c r="T33" i="18" s="1"/>
  <c r="Y52" i="19" l="1"/>
  <c r="Y55" i="19"/>
  <c r="X52" i="19"/>
  <c r="O55" i="19"/>
  <c r="P55" i="19" s="1"/>
  <c r="Q55" i="19" s="1"/>
  <c r="R55" i="19" s="1"/>
  <c r="S55" i="19" s="1"/>
  <c r="T55" i="19" s="1"/>
  <c r="U55" i="19" s="1"/>
  <c r="V55" i="19" s="1"/>
  <c r="W55" i="19" s="1"/>
  <c r="X55" i="19" s="1"/>
  <c r="T37" i="18"/>
  <c r="U31" i="18"/>
  <c r="U33" i="18" s="1"/>
  <c r="V31" i="18" l="1"/>
  <c r="V33" i="18" s="1"/>
  <c r="U37" i="18"/>
  <c r="W31" i="18" l="1"/>
  <c r="W33" i="18" s="1"/>
  <c r="W37" i="18" s="1"/>
  <c r="V37" i="18"/>
  <c r="T100" i="6" l="1"/>
  <c r="U100" i="6"/>
  <c r="V100" i="6"/>
  <c r="W100" i="6"/>
  <c r="X100" i="6"/>
  <c r="Y100" i="6"/>
  <c r="Z100" i="6"/>
  <c r="AA100" i="6"/>
  <c r="AB100" i="6"/>
  <c r="AC100" i="6"/>
  <c r="AD100" i="6"/>
  <c r="T101" i="6"/>
  <c r="U101" i="6"/>
  <c r="V101" i="6"/>
  <c r="W101" i="6"/>
  <c r="X101" i="6"/>
  <c r="Y101" i="6"/>
  <c r="Z101" i="6"/>
  <c r="AA101" i="6"/>
  <c r="AB101" i="6"/>
  <c r="AC101" i="6"/>
  <c r="AD101" i="6"/>
  <c r="T102" i="6"/>
  <c r="U102" i="6"/>
  <c r="V102" i="6"/>
  <c r="W102" i="6"/>
  <c r="X102" i="6"/>
  <c r="Y102" i="6"/>
  <c r="Z102" i="6"/>
  <c r="AA102" i="6"/>
  <c r="AB102" i="6"/>
  <c r="AC102" i="6"/>
  <c r="AD102" i="6"/>
  <c r="T103" i="6"/>
  <c r="U103" i="6"/>
  <c r="V103" i="6"/>
  <c r="W103" i="6"/>
  <c r="X103" i="6"/>
  <c r="Y103" i="6"/>
  <c r="Z103" i="6"/>
  <c r="AA103" i="6"/>
  <c r="AB103" i="6"/>
  <c r="AC103" i="6"/>
  <c r="AD103" i="6"/>
  <c r="T104" i="6"/>
  <c r="U104" i="6"/>
  <c r="V104" i="6"/>
  <c r="W104" i="6"/>
  <c r="X104" i="6"/>
  <c r="Y104" i="6"/>
  <c r="Z104" i="6"/>
  <c r="AA104" i="6"/>
  <c r="AB104" i="6"/>
  <c r="AC104" i="6"/>
  <c r="AD104" i="6"/>
  <c r="T105" i="6"/>
  <c r="U105" i="6"/>
  <c r="V105" i="6"/>
  <c r="W105" i="6"/>
  <c r="X105" i="6"/>
  <c r="Y105" i="6"/>
  <c r="Z105" i="6"/>
  <c r="AA105" i="6"/>
  <c r="AB105" i="6"/>
  <c r="AC105" i="6"/>
  <c r="AD105" i="6"/>
  <c r="T106" i="6"/>
  <c r="U106" i="6"/>
  <c r="V106" i="6"/>
  <c r="W106" i="6"/>
  <c r="X106" i="6"/>
  <c r="Y106" i="6"/>
  <c r="Z106" i="6"/>
  <c r="AA106" i="6"/>
  <c r="AB106" i="6"/>
  <c r="AC106" i="6"/>
  <c r="AD106" i="6"/>
  <c r="T107" i="6"/>
  <c r="U107" i="6"/>
  <c r="V107" i="6"/>
  <c r="W107" i="6"/>
  <c r="X107" i="6"/>
  <c r="Y107" i="6"/>
  <c r="Z107" i="6"/>
  <c r="AA107" i="6"/>
  <c r="AB107" i="6"/>
  <c r="AC107" i="6"/>
  <c r="AD107" i="6"/>
  <c r="S101" i="6"/>
  <c r="S102" i="6"/>
  <c r="S103" i="6"/>
  <c r="S104" i="6"/>
  <c r="S105" i="6"/>
  <c r="S106" i="6"/>
  <c r="S107" i="6"/>
  <c r="S100" i="6"/>
  <c r="W83" i="6"/>
  <c r="AY83" i="6"/>
  <c r="BB83" i="6"/>
  <c r="V83" i="6"/>
  <c r="Y83" i="6"/>
  <c r="AB83" i="6"/>
  <c r="AC83" i="6"/>
  <c r="AD83" i="6"/>
  <c r="AW83" i="6"/>
  <c r="AX83" i="6"/>
  <c r="AZ83" i="6"/>
  <c r="BA83" i="6"/>
  <c r="BD83" i="6"/>
  <c r="BE83" i="6"/>
  <c r="BF83" i="6"/>
  <c r="AV13" i="6"/>
  <c r="AW13" i="6"/>
  <c r="AX13" i="6"/>
  <c r="AY13" i="6"/>
  <c r="AZ13" i="6"/>
  <c r="BA13" i="6"/>
  <c r="BB13" i="6"/>
  <c r="BC13" i="6"/>
  <c r="BD13" i="6"/>
  <c r="BE13" i="6"/>
  <c r="BF13" i="6"/>
  <c r="AU13" i="6"/>
  <c r="BF74" i="6"/>
  <c r="BE74" i="6"/>
  <c r="BD74" i="6"/>
  <c r="BC74" i="6"/>
  <c r="BB74" i="6"/>
  <c r="BA74" i="6"/>
  <c r="AZ74" i="6"/>
  <c r="AY74" i="6"/>
  <c r="AX74" i="6"/>
  <c r="AW74" i="6"/>
  <c r="AV74" i="6"/>
  <c r="AU74" i="6"/>
  <c r="BF65" i="6"/>
  <c r="BE65" i="6"/>
  <c r="BD65" i="6"/>
  <c r="BC65" i="6"/>
  <c r="BB65" i="6"/>
  <c r="BA65" i="6"/>
  <c r="AZ65" i="6"/>
  <c r="AY65" i="6"/>
  <c r="AX65" i="6"/>
  <c r="AW65" i="6"/>
  <c r="AV65" i="6"/>
  <c r="AU65" i="6"/>
  <c r="BF56" i="6"/>
  <c r="BE56" i="6"/>
  <c r="BD56" i="6"/>
  <c r="BC56" i="6"/>
  <c r="BB56" i="6"/>
  <c r="BA56" i="6"/>
  <c r="AZ56" i="6"/>
  <c r="AY56" i="6"/>
  <c r="AX56" i="6"/>
  <c r="AW56" i="6"/>
  <c r="AV56" i="6"/>
  <c r="AU56" i="6"/>
  <c r="BF47" i="6"/>
  <c r="BE47" i="6"/>
  <c r="BD47" i="6"/>
  <c r="BC47" i="6"/>
  <c r="BB47" i="6"/>
  <c r="BA47" i="6"/>
  <c r="AZ47" i="6"/>
  <c r="AY47" i="6"/>
  <c r="AX47" i="6"/>
  <c r="AW47" i="6"/>
  <c r="AV47" i="6"/>
  <c r="AU47" i="6"/>
  <c r="BF38" i="6"/>
  <c r="BE38" i="6"/>
  <c r="BD38" i="6"/>
  <c r="BC38" i="6"/>
  <c r="BB38" i="6"/>
  <c r="BA38" i="6"/>
  <c r="AZ38" i="6"/>
  <c r="AY38" i="6"/>
  <c r="AX38" i="6"/>
  <c r="AW38" i="6"/>
  <c r="AV38" i="6"/>
  <c r="AU38" i="6"/>
  <c r="BF29" i="6"/>
  <c r="BE29" i="6"/>
  <c r="BD29" i="6"/>
  <c r="BC29" i="6"/>
  <c r="BB29" i="6"/>
  <c r="BA29" i="6"/>
  <c r="AZ29" i="6"/>
  <c r="AY29" i="6"/>
  <c r="AX29" i="6"/>
  <c r="AW29" i="6"/>
  <c r="AV29" i="6"/>
  <c r="AU29" i="6"/>
  <c r="AV20" i="6"/>
  <c r="AW20" i="6"/>
  <c r="AX20" i="6"/>
  <c r="AY20" i="6"/>
  <c r="AZ20" i="6"/>
  <c r="BA20" i="6"/>
  <c r="BB20" i="6"/>
  <c r="BC20" i="6"/>
  <c r="BD20" i="6"/>
  <c r="BE20" i="6"/>
  <c r="BF20" i="6"/>
  <c r="AU20" i="6"/>
  <c r="D22" i="6"/>
  <c r="D23" i="6"/>
  <c r="D24" i="6"/>
  <c r="D25" i="6"/>
  <c r="D26" i="6"/>
  <c r="D27" i="6"/>
  <c r="D28" i="6"/>
  <c r="D30" i="6"/>
  <c r="D31" i="6"/>
  <c r="D32" i="6"/>
  <c r="D33" i="6"/>
  <c r="D34" i="6"/>
  <c r="D35" i="6"/>
  <c r="D36" i="6"/>
  <c r="D37" i="6"/>
  <c r="D39" i="6"/>
  <c r="D40" i="6"/>
  <c r="D41" i="6"/>
  <c r="D42" i="6"/>
  <c r="D43" i="6"/>
  <c r="D44" i="6"/>
  <c r="D45" i="6"/>
  <c r="D46" i="6"/>
  <c r="D48" i="6"/>
  <c r="D49" i="6"/>
  <c r="D50" i="6"/>
  <c r="D51" i="6"/>
  <c r="D52" i="6"/>
  <c r="D53" i="6"/>
  <c r="D54" i="6"/>
  <c r="D55" i="6"/>
  <c r="D57" i="6"/>
  <c r="D58" i="6"/>
  <c r="D59" i="6"/>
  <c r="D60" i="6"/>
  <c r="D61" i="6"/>
  <c r="D62" i="6"/>
  <c r="D63" i="6"/>
  <c r="D64" i="6"/>
  <c r="D66" i="6"/>
  <c r="D67" i="6"/>
  <c r="D68" i="6"/>
  <c r="D69" i="6"/>
  <c r="D70" i="6"/>
  <c r="D71" i="6"/>
  <c r="D72" i="6"/>
  <c r="D73" i="6"/>
  <c r="D75" i="6"/>
  <c r="D76" i="6"/>
  <c r="D77" i="6"/>
  <c r="D78" i="6"/>
  <c r="D79" i="6"/>
  <c r="D80" i="6"/>
  <c r="D81" i="6"/>
  <c r="D82" i="6"/>
  <c r="D84" i="6"/>
  <c r="D85" i="6"/>
  <c r="D86" i="6"/>
  <c r="D87" i="6"/>
  <c r="D88" i="6"/>
  <c r="D89" i="6"/>
  <c r="D90" i="6"/>
  <c r="D91" i="6"/>
  <c r="D21" i="6"/>
  <c r="C60" i="3"/>
  <c r="C61" i="3"/>
  <c r="C62" i="3"/>
  <c r="C63" i="3"/>
  <c r="C64" i="3"/>
  <c r="C19" i="3"/>
  <c r="C20" i="3"/>
  <c r="C25" i="3"/>
  <c r="C26" i="3"/>
  <c r="C27" i="3"/>
  <c r="C28" i="3"/>
  <c r="C29" i="3"/>
  <c r="C30" i="3"/>
  <c r="C31" i="3"/>
  <c r="C32" i="3"/>
  <c r="C33" i="3"/>
  <c r="C34" i="3"/>
  <c r="C35" i="3"/>
  <c r="C37" i="3"/>
  <c r="C38" i="3"/>
  <c r="C40" i="3"/>
  <c r="C41" i="3"/>
  <c r="C42" i="3"/>
  <c r="C43" i="3"/>
  <c r="C44" i="3"/>
  <c r="C45" i="3"/>
  <c r="C47" i="3"/>
  <c r="C48" i="3"/>
  <c r="C49" i="3"/>
  <c r="C50" i="3"/>
  <c r="C51" i="3"/>
  <c r="C53" i="3"/>
  <c r="C54" i="3"/>
  <c r="C55" i="3"/>
  <c r="C56" i="3"/>
  <c r="C57" i="3"/>
  <c r="C58" i="3"/>
  <c r="C59" i="3"/>
  <c r="C11" i="3"/>
  <c r="C12" i="3"/>
  <c r="C13" i="3"/>
  <c r="C14" i="3"/>
  <c r="C15" i="3"/>
  <c r="C16" i="3"/>
  <c r="C17" i="3"/>
  <c r="C18" i="3"/>
  <c r="C10" i="3"/>
  <c r="X83" i="6"/>
  <c r="U83" i="6"/>
  <c r="AD74" i="6"/>
  <c r="AC74" i="6"/>
  <c r="AB74" i="6"/>
  <c r="AA74" i="6"/>
  <c r="Z74" i="6"/>
  <c r="Y74" i="6"/>
  <c r="X74" i="6"/>
  <c r="W74" i="6"/>
  <c r="V74" i="6"/>
  <c r="U74" i="6"/>
  <c r="T74" i="6"/>
  <c r="S74" i="6"/>
  <c r="AD65" i="6"/>
  <c r="AC65" i="6"/>
  <c r="AB65" i="6"/>
  <c r="AA65" i="6"/>
  <c r="Z65" i="6"/>
  <c r="Y65" i="6"/>
  <c r="X65" i="6"/>
  <c r="W65" i="6"/>
  <c r="V65" i="6"/>
  <c r="U65" i="6"/>
  <c r="T65" i="6"/>
  <c r="S65" i="6"/>
  <c r="AD56" i="6"/>
  <c r="AC56" i="6"/>
  <c r="AB56" i="6"/>
  <c r="AA56" i="6"/>
  <c r="Z56" i="6"/>
  <c r="Y56" i="6"/>
  <c r="X56" i="6"/>
  <c r="W56" i="6"/>
  <c r="V56" i="6"/>
  <c r="U56" i="6"/>
  <c r="T56" i="6"/>
  <c r="S56" i="6"/>
  <c r="AD47" i="6"/>
  <c r="AC47" i="6"/>
  <c r="AB47" i="6"/>
  <c r="AA47" i="6"/>
  <c r="Z47" i="6"/>
  <c r="Y47" i="6"/>
  <c r="X47" i="6"/>
  <c r="W47" i="6"/>
  <c r="V47" i="6"/>
  <c r="U47" i="6"/>
  <c r="T47" i="6"/>
  <c r="S47" i="6"/>
  <c r="AD38" i="6"/>
  <c r="AC38" i="6"/>
  <c r="AB38" i="6"/>
  <c r="AA38" i="6"/>
  <c r="Z38" i="6"/>
  <c r="Y38" i="6"/>
  <c r="X38" i="6"/>
  <c r="W38" i="6"/>
  <c r="V38" i="6"/>
  <c r="U38" i="6"/>
  <c r="T38" i="6"/>
  <c r="S38" i="6"/>
  <c r="AD29" i="6"/>
  <c r="AC29" i="6"/>
  <c r="AB29" i="6"/>
  <c r="AA29" i="6"/>
  <c r="Z29" i="6"/>
  <c r="Y29" i="6"/>
  <c r="X29" i="6"/>
  <c r="W29" i="6"/>
  <c r="V29" i="6"/>
  <c r="U29" i="6"/>
  <c r="T29" i="6"/>
  <c r="S29" i="6"/>
  <c r="S20" i="6"/>
  <c r="S13" i="6"/>
  <c r="S95" i="6" s="1"/>
  <c r="T20" i="6"/>
  <c r="U20" i="6"/>
  <c r="V20" i="6"/>
  <c r="W20" i="6"/>
  <c r="X20" i="6"/>
  <c r="X93" i="6" s="1"/>
  <c r="X96" i="6" s="1"/>
  <c r="Y20" i="6"/>
  <c r="Z20" i="6"/>
  <c r="AA20" i="6"/>
  <c r="AB20" i="6"/>
  <c r="AC20" i="6"/>
  <c r="AD20" i="6"/>
  <c r="C80" i="15"/>
  <c r="E80" i="15"/>
  <c r="F80" i="15"/>
  <c r="G80" i="15"/>
  <c r="G28" i="16"/>
  <c r="G23" i="16"/>
  <c r="G18" i="16"/>
  <c r="G13" i="16"/>
  <c r="F13" i="16"/>
  <c r="BE93" i="6" l="1"/>
  <c r="AB93" i="6"/>
  <c r="AB96" i="6" s="1"/>
  <c r="F18" i="16"/>
  <c r="F23" i="16"/>
  <c r="F25" i="16" s="1"/>
  <c r="G25" i="16"/>
  <c r="AF54" i="6"/>
  <c r="AF60" i="6"/>
  <c r="AH15" i="6"/>
  <c r="AL15" i="6"/>
  <c r="AP15" i="6"/>
  <c r="AH16" i="6"/>
  <c r="AL16" i="6"/>
  <c r="AP16" i="6"/>
  <c r="AH17" i="6"/>
  <c r="AL17" i="6"/>
  <c r="AP17" i="6"/>
  <c r="AH18" i="6"/>
  <c r="AL18" i="6"/>
  <c r="AP18" i="6"/>
  <c r="AO18" i="6"/>
  <c r="AI15" i="6"/>
  <c r="AM15" i="6"/>
  <c r="AQ15" i="6"/>
  <c r="AI16" i="6"/>
  <c r="AM16" i="6"/>
  <c r="AQ16" i="6"/>
  <c r="AI17" i="6"/>
  <c r="AM17" i="6"/>
  <c r="AQ17" i="6"/>
  <c r="AI18" i="6"/>
  <c r="AM18" i="6"/>
  <c r="AQ18" i="6"/>
  <c r="AF15" i="6"/>
  <c r="AJ15" i="6"/>
  <c r="AN15" i="6"/>
  <c r="AF16" i="6"/>
  <c r="AJ16" i="6"/>
  <c r="AN16" i="6"/>
  <c r="AF17" i="6"/>
  <c r="AJ17" i="6"/>
  <c r="AN17" i="6"/>
  <c r="AF18" i="6"/>
  <c r="AJ18" i="6"/>
  <c r="AN18" i="6"/>
  <c r="AG15" i="6"/>
  <c r="AK15" i="6"/>
  <c r="AO15" i="6"/>
  <c r="AG16" i="6"/>
  <c r="AK16" i="6"/>
  <c r="AO16" i="6"/>
  <c r="AG17" i="6"/>
  <c r="AK17" i="6"/>
  <c r="AO17" i="6"/>
  <c r="AG18" i="6"/>
  <c r="AK18" i="6"/>
  <c r="AK14" i="6"/>
  <c r="AH14" i="6"/>
  <c r="AQ14" i="6"/>
  <c r="AG14" i="6"/>
  <c r="AP14" i="6"/>
  <c r="AJ14" i="6"/>
  <c r="AM14" i="6"/>
  <c r="AO14" i="6"/>
  <c r="AI14" i="6"/>
  <c r="AN14" i="6"/>
  <c r="AF14" i="6"/>
  <c r="AL14" i="6"/>
  <c r="AD93" i="6"/>
  <c r="AD96" i="6" s="1"/>
  <c r="AM85" i="6"/>
  <c r="F28" i="16"/>
  <c r="E23" i="16"/>
  <c r="E28" i="16"/>
  <c r="E18" i="16"/>
  <c r="AJ71" i="6"/>
  <c r="AW93" i="6"/>
  <c r="AG84" i="6"/>
  <c r="AH70" i="6"/>
  <c r="AI57" i="6"/>
  <c r="AJ48" i="6"/>
  <c r="AJ30" i="6"/>
  <c r="AI23" i="6"/>
  <c r="AH36" i="6"/>
  <c r="AN41" i="6"/>
  <c r="AL51" i="6"/>
  <c r="AJ79" i="6"/>
  <c r="AH60" i="6"/>
  <c r="AG79" i="6"/>
  <c r="AI66" i="6"/>
  <c r="AG43" i="6"/>
  <c r="AQ25" i="6"/>
  <c r="AQ45" i="6"/>
  <c r="AJ40" i="6"/>
  <c r="AG64" i="6"/>
  <c r="AG67" i="6"/>
  <c r="AI89" i="6"/>
  <c r="AF91" i="6"/>
  <c r="AG82" i="6"/>
  <c r="AH73" i="6"/>
  <c r="AH64" i="6"/>
  <c r="AI51" i="6"/>
  <c r="AG42" i="6"/>
  <c r="AI33" i="6"/>
  <c r="AM22" i="6"/>
  <c r="AP37" i="6"/>
  <c r="AH35" i="6"/>
  <c r="AJ45" i="6"/>
  <c r="AF44" i="6"/>
  <c r="AI41" i="6"/>
  <c r="AQ48" i="6"/>
  <c r="AH53" i="6"/>
  <c r="AL49" i="6"/>
  <c r="AG62" i="6"/>
  <c r="AO73" i="6"/>
  <c r="AK69" i="6"/>
  <c r="AF67" i="6"/>
  <c r="AF78" i="6"/>
  <c r="AQ86" i="6"/>
  <c r="AL22" i="6"/>
  <c r="AL37" i="6"/>
  <c r="AP33" i="6"/>
  <c r="AI45" i="6"/>
  <c r="AN42" i="6"/>
  <c r="AF41" i="6"/>
  <c r="AM48" i="6"/>
  <c r="AP52" i="6"/>
  <c r="AL57" i="6"/>
  <c r="AJ61" i="6"/>
  <c r="AN72" i="6"/>
  <c r="AK68" i="6"/>
  <c r="AQ91" i="6"/>
  <c r="AH61" i="6"/>
  <c r="AI52" i="6"/>
  <c r="AF25" i="6"/>
  <c r="AM27" i="6"/>
  <c r="AL32" i="6"/>
  <c r="AM44" i="6"/>
  <c r="AH55" i="6"/>
  <c r="AN67" i="6"/>
  <c r="AJ68" i="6"/>
  <c r="AG69" i="6"/>
  <c r="AG71" i="6"/>
  <c r="AO71" i="6"/>
  <c r="AK72" i="6"/>
  <c r="AK73" i="6"/>
  <c r="AO58" i="6"/>
  <c r="AK60" i="6"/>
  <c r="AG61" i="6"/>
  <c r="AO61" i="6"/>
  <c r="AF64" i="6"/>
  <c r="AN64" i="6"/>
  <c r="AK57" i="6"/>
  <c r="AH49" i="6"/>
  <c r="AN82" i="6"/>
  <c r="AF87" i="6"/>
  <c r="AG78" i="6"/>
  <c r="AH69" i="6"/>
  <c r="AI55" i="6"/>
  <c r="AG46" i="6"/>
  <c r="AI37" i="6"/>
  <c r="AF28" i="6"/>
  <c r="AQ85" i="6"/>
  <c r="AM23" i="6"/>
  <c r="AQ27" i="6"/>
  <c r="AL36" i="6"/>
  <c r="AP32" i="6"/>
  <c r="AF46" i="6"/>
  <c r="AN44" i="6"/>
  <c r="AQ41" i="6"/>
  <c r="AM40" i="6"/>
  <c r="AL55" i="6"/>
  <c r="AP51" i="6"/>
  <c r="AO64" i="6"/>
  <c r="AN60" i="6"/>
  <c r="AF72" i="6"/>
  <c r="AO67" i="6"/>
  <c r="AN80" i="6"/>
  <c r="AM90" i="6"/>
  <c r="AJ80" i="6"/>
  <c r="AF79" i="6"/>
  <c r="AN76" i="6"/>
  <c r="AM91" i="6"/>
  <c r="AI90" i="6"/>
  <c r="AQ87" i="6"/>
  <c r="AM86" i="6"/>
  <c r="AI85" i="6"/>
  <c r="AF90" i="6"/>
  <c r="AF86" i="6"/>
  <c r="AG81" i="6"/>
  <c r="AG77" i="6"/>
  <c r="AH72" i="6"/>
  <c r="AH68" i="6"/>
  <c r="AH63" i="6"/>
  <c r="AH59" i="6"/>
  <c r="AI54" i="6"/>
  <c r="AI50" i="6"/>
  <c r="AG45" i="6"/>
  <c r="AG41" i="6"/>
  <c r="AI36" i="6"/>
  <c r="AI32" i="6"/>
  <c r="AF27" i="6"/>
  <c r="AF23" i="6"/>
  <c r="AQ22" i="6"/>
  <c r="AI22" i="6"/>
  <c r="AI27" i="6"/>
  <c r="AM25" i="6"/>
  <c r="AH37" i="6"/>
  <c r="AP35" i="6"/>
  <c r="AL33" i="6"/>
  <c r="AH32" i="6"/>
  <c r="AN46" i="6"/>
  <c r="AN45" i="6"/>
  <c r="AF45" i="6"/>
  <c r="AJ44" i="6"/>
  <c r="AJ42" i="6"/>
  <c r="AM41" i="6"/>
  <c r="AQ40" i="6"/>
  <c r="AI40" i="6"/>
  <c r="AI48" i="6"/>
  <c r="AP53" i="6"/>
  <c r="AL52" i="6"/>
  <c r="AH51" i="6"/>
  <c r="AP57" i="6"/>
  <c r="AH57" i="6"/>
  <c r="AK64" i="6"/>
  <c r="AO62" i="6"/>
  <c r="AN61" i="6"/>
  <c r="AF61" i="6"/>
  <c r="AJ60" i="6"/>
  <c r="AK58" i="6"/>
  <c r="AG73" i="6"/>
  <c r="AJ72" i="6"/>
  <c r="AN71" i="6"/>
  <c r="AF71" i="6"/>
  <c r="AO68" i="6"/>
  <c r="AG68" i="6"/>
  <c r="AK67" i="6"/>
  <c r="AO75" i="6"/>
  <c r="AJ82" i="6"/>
  <c r="AF80" i="6"/>
  <c r="AN78" i="6"/>
  <c r="AJ76" i="6"/>
  <c r="AI91" i="6"/>
  <c r="AQ89" i="6"/>
  <c r="AM87" i="6"/>
  <c r="AI86" i="6"/>
  <c r="AF89" i="6"/>
  <c r="AF85" i="6"/>
  <c r="AG80" i="6"/>
  <c r="AG76" i="6"/>
  <c r="AH71" i="6"/>
  <c r="AH67" i="6"/>
  <c r="AH62" i="6"/>
  <c r="AH58" i="6"/>
  <c r="AI53" i="6"/>
  <c r="AI49" i="6"/>
  <c r="AG44" i="6"/>
  <c r="AG40" i="6"/>
  <c r="AI35" i="6"/>
  <c r="AF22" i="6"/>
  <c r="AQ23" i="6"/>
  <c r="AP22" i="6"/>
  <c r="AH22" i="6"/>
  <c r="AI25" i="6"/>
  <c r="AP36" i="6"/>
  <c r="AL35" i="6"/>
  <c r="AH33" i="6"/>
  <c r="AJ46" i="6"/>
  <c r="AM45" i="6"/>
  <c r="AQ44" i="6"/>
  <c r="AI44" i="6"/>
  <c r="AF42" i="6"/>
  <c r="AJ41" i="6"/>
  <c r="AN40" i="6"/>
  <c r="AF40" i="6"/>
  <c r="AP55" i="6"/>
  <c r="AL53" i="6"/>
  <c r="AH52" i="6"/>
  <c r="AP49" i="6"/>
  <c r="AO57" i="6"/>
  <c r="AG57" i="6"/>
  <c r="AJ64" i="6"/>
  <c r="AK62" i="6"/>
  <c r="AK61" i="6"/>
  <c r="AO60" i="6"/>
  <c r="AG60" i="6"/>
  <c r="AG58" i="6"/>
  <c r="AO72" i="6"/>
  <c r="AG72" i="6"/>
  <c r="AK71" i="6"/>
  <c r="AO69" i="6"/>
  <c r="AN68" i="6"/>
  <c r="AF68" i="6"/>
  <c r="AJ67" i="6"/>
  <c r="AK75" i="6"/>
  <c r="AF82" i="6"/>
  <c r="AN79" i="6"/>
  <c r="AJ78" i="6"/>
  <c r="AF76" i="6"/>
  <c r="AQ90" i="6"/>
  <c r="AM89" i="6"/>
  <c r="AI87" i="6"/>
  <c r="AQ84" i="6"/>
  <c r="AM84" i="6"/>
  <c r="AI84" i="6"/>
  <c r="AP91" i="6"/>
  <c r="AL91" i="6"/>
  <c r="AH91" i="6"/>
  <c r="AP90" i="6"/>
  <c r="AL90" i="6"/>
  <c r="AH90" i="6"/>
  <c r="AP89" i="6"/>
  <c r="AL89" i="6"/>
  <c r="AH89" i="6"/>
  <c r="AP87" i="6"/>
  <c r="AL87" i="6"/>
  <c r="AH87" i="6"/>
  <c r="AP86" i="6"/>
  <c r="AL86" i="6"/>
  <c r="AH86" i="6"/>
  <c r="AP85" i="6"/>
  <c r="AL85" i="6"/>
  <c r="AH85" i="6"/>
  <c r="AF84" i="6"/>
  <c r="AP84" i="6"/>
  <c r="AL84" i="6"/>
  <c r="AH84" i="6"/>
  <c r="AO91" i="6"/>
  <c r="AK91" i="6"/>
  <c r="AG91" i="6"/>
  <c r="AO90" i="6"/>
  <c r="AK90" i="6"/>
  <c r="AG90" i="6"/>
  <c r="AO89" i="6"/>
  <c r="AK89" i="6"/>
  <c r="AG89" i="6"/>
  <c r="AO87" i="6"/>
  <c r="AK87" i="6"/>
  <c r="AG87" i="6"/>
  <c r="AO86" i="6"/>
  <c r="AK86" i="6"/>
  <c r="AG86" i="6"/>
  <c r="AO85" i="6"/>
  <c r="AK85" i="6"/>
  <c r="AG85" i="6"/>
  <c r="AN84" i="6"/>
  <c r="AJ84" i="6"/>
  <c r="AO84" i="6"/>
  <c r="AK84" i="6"/>
  <c r="AN91" i="6"/>
  <c r="AJ91" i="6"/>
  <c r="AN90" i="6"/>
  <c r="AJ90" i="6"/>
  <c r="AN89" i="6"/>
  <c r="AJ89" i="6"/>
  <c r="AN87" i="6"/>
  <c r="AJ87" i="6"/>
  <c r="AN86" i="6"/>
  <c r="AJ86" i="6"/>
  <c r="AN85" i="6"/>
  <c r="AJ85" i="6"/>
  <c r="AF77" i="6"/>
  <c r="AN75" i="6"/>
  <c r="AJ75" i="6"/>
  <c r="AQ82" i="6"/>
  <c r="AM82" i="6"/>
  <c r="AI82" i="6"/>
  <c r="AQ81" i="6"/>
  <c r="AM81" i="6"/>
  <c r="AI81" i="6"/>
  <c r="AQ80" i="6"/>
  <c r="AM80" i="6"/>
  <c r="AI80" i="6"/>
  <c r="AQ79" i="6"/>
  <c r="AM79" i="6"/>
  <c r="AI79" i="6"/>
  <c r="AQ78" i="6"/>
  <c r="AM78" i="6"/>
  <c r="AI78" i="6"/>
  <c r="AQ77" i="6"/>
  <c r="AM77" i="6"/>
  <c r="AI77" i="6"/>
  <c r="AQ76" i="6"/>
  <c r="AM76" i="6"/>
  <c r="AI76" i="6"/>
  <c r="AN81" i="6"/>
  <c r="AJ81" i="6"/>
  <c r="AF81" i="6"/>
  <c r="AN77" i="6"/>
  <c r="AQ75" i="6"/>
  <c r="AM75" i="6"/>
  <c r="AP82" i="6"/>
  <c r="AL82" i="6"/>
  <c r="AH82" i="6"/>
  <c r="AP81" i="6"/>
  <c r="AL81" i="6"/>
  <c r="AH81" i="6"/>
  <c r="AP80" i="6"/>
  <c r="AL80" i="6"/>
  <c r="AH80" i="6"/>
  <c r="AP79" i="6"/>
  <c r="AL79" i="6"/>
  <c r="AH79" i="6"/>
  <c r="AP78" i="6"/>
  <c r="AL78" i="6"/>
  <c r="AH78" i="6"/>
  <c r="AP77" i="6"/>
  <c r="AL77" i="6"/>
  <c r="AH77" i="6"/>
  <c r="AP76" i="6"/>
  <c r="AL76" i="6"/>
  <c r="AH76" i="6"/>
  <c r="AJ77" i="6"/>
  <c r="AP75" i="6"/>
  <c r="AL75" i="6"/>
  <c r="AO82" i="6"/>
  <c r="AK82" i="6"/>
  <c r="AO81" i="6"/>
  <c r="AK81" i="6"/>
  <c r="AO80" i="6"/>
  <c r="AK80" i="6"/>
  <c r="AO79" i="6"/>
  <c r="AK79" i="6"/>
  <c r="AO78" i="6"/>
  <c r="AK78" i="6"/>
  <c r="AO77" i="6"/>
  <c r="AK77" i="6"/>
  <c r="AO76" i="6"/>
  <c r="AK76" i="6"/>
  <c r="AK70" i="6"/>
  <c r="AO66" i="6"/>
  <c r="AK66" i="6"/>
  <c r="AG66" i="6"/>
  <c r="AN73" i="6"/>
  <c r="AJ73" i="6"/>
  <c r="AF73" i="6"/>
  <c r="AF66" i="6"/>
  <c r="AN66" i="6"/>
  <c r="AJ66" i="6"/>
  <c r="AQ73" i="6"/>
  <c r="AM73" i="6"/>
  <c r="AI73" i="6"/>
  <c r="AQ72" i="6"/>
  <c r="AM72" i="6"/>
  <c r="AI72" i="6"/>
  <c r="AQ71" i="6"/>
  <c r="AM71" i="6"/>
  <c r="AI71" i="6"/>
  <c r="AQ70" i="6"/>
  <c r="AM70" i="6"/>
  <c r="AI70" i="6"/>
  <c r="AQ69" i="6"/>
  <c r="AM69" i="6"/>
  <c r="AI69" i="6"/>
  <c r="AQ68" i="6"/>
  <c r="AM68" i="6"/>
  <c r="AI68" i="6"/>
  <c r="AQ67" i="6"/>
  <c r="AM67" i="6"/>
  <c r="AI67" i="6"/>
  <c r="AP66" i="6"/>
  <c r="AL66" i="6"/>
  <c r="AH66" i="6"/>
  <c r="AO70" i="6"/>
  <c r="AG70" i="6"/>
  <c r="AN70" i="6"/>
  <c r="AJ70" i="6"/>
  <c r="AF70" i="6"/>
  <c r="AN69" i="6"/>
  <c r="AJ69" i="6"/>
  <c r="AF69" i="6"/>
  <c r="AQ66" i="6"/>
  <c r="AM66" i="6"/>
  <c r="AP73" i="6"/>
  <c r="AL73" i="6"/>
  <c r="AP72" i="6"/>
  <c r="AL72" i="6"/>
  <c r="AP71" i="6"/>
  <c r="AL71" i="6"/>
  <c r="AP70" i="6"/>
  <c r="AL70" i="6"/>
  <c r="AP69" i="6"/>
  <c r="AL69" i="6"/>
  <c r="AP68" i="6"/>
  <c r="AL68" i="6"/>
  <c r="AP67" i="6"/>
  <c r="AL67" i="6"/>
  <c r="AN63" i="6"/>
  <c r="AN62" i="6"/>
  <c r="AN59" i="6"/>
  <c r="AF59" i="6"/>
  <c r="AF58" i="6"/>
  <c r="AF57" i="6"/>
  <c r="AN57" i="6"/>
  <c r="AJ57" i="6"/>
  <c r="AQ64" i="6"/>
  <c r="AM64" i="6"/>
  <c r="AI64" i="6"/>
  <c r="AQ63" i="6"/>
  <c r="AM63" i="6"/>
  <c r="AI63" i="6"/>
  <c r="AQ62" i="6"/>
  <c r="AM62" i="6"/>
  <c r="AI62" i="6"/>
  <c r="AQ61" i="6"/>
  <c r="AM61" i="6"/>
  <c r="AI61" i="6"/>
  <c r="AQ60" i="6"/>
  <c r="AM60" i="6"/>
  <c r="AI60" i="6"/>
  <c r="AQ59" i="6"/>
  <c r="AM59" i="6"/>
  <c r="AI59" i="6"/>
  <c r="AQ58" i="6"/>
  <c r="AM58" i="6"/>
  <c r="AI58" i="6"/>
  <c r="AO63" i="6"/>
  <c r="AK63" i="6"/>
  <c r="AG63" i="6"/>
  <c r="AO59" i="6"/>
  <c r="AK59" i="6"/>
  <c r="AG59" i="6"/>
  <c r="V93" i="6"/>
  <c r="V96" i="6" s="1"/>
  <c r="V108" i="6" s="1"/>
  <c r="AJ63" i="6"/>
  <c r="AF63" i="6"/>
  <c r="AJ62" i="6"/>
  <c r="AF62" i="6"/>
  <c r="AJ59" i="6"/>
  <c r="AN58" i="6"/>
  <c r="AJ58" i="6"/>
  <c r="AQ57" i="6"/>
  <c r="AM57" i="6"/>
  <c r="AP64" i="6"/>
  <c r="AL64" i="6"/>
  <c r="AP63" i="6"/>
  <c r="AL63" i="6"/>
  <c r="AP62" i="6"/>
  <c r="AL62" i="6"/>
  <c r="AP61" i="6"/>
  <c r="AL61" i="6"/>
  <c r="AP60" i="6"/>
  <c r="AL60" i="6"/>
  <c r="AP59" i="6"/>
  <c r="AL59" i="6"/>
  <c r="AP58" i="6"/>
  <c r="AL58" i="6"/>
  <c r="AN43" i="6"/>
  <c r="AJ43" i="6"/>
  <c r="AF43" i="6"/>
  <c r="AM46" i="6"/>
  <c r="AQ43" i="6"/>
  <c r="AI43" i="6"/>
  <c r="AM42" i="6"/>
  <c r="AI42" i="6"/>
  <c r="AP46" i="6"/>
  <c r="AL46" i="6"/>
  <c r="AH46" i="6"/>
  <c r="AP45" i="6"/>
  <c r="AL45" i="6"/>
  <c r="AH45" i="6"/>
  <c r="AP44" i="6"/>
  <c r="AL44" i="6"/>
  <c r="AH44" i="6"/>
  <c r="AP43" i="6"/>
  <c r="AL43" i="6"/>
  <c r="AH43" i="6"/>
  <c r="AP42" i="6"/>
  <c r="AL42" i="6"/>
  <c r="AH42" i="6"/>
  <c r="AP41" i="6"/>
  <c r="AL41" i="6"/>
  <c r="AH41" i="6"/>
  <c r="AP40" i="6"/>
  <c r="AL40" i="6"/>
  <c r="AH40" i="6"/>
  <c r="AQ46" i="6"/>
  <c r="AI46" i="6"/>
  <c r="AM43" i="6"/>
  <c r="AQ42" i="6"/>
  <c r="AO46" i="6"/>
  <c r="AK46" i="6"/>
  <c r="AO45" i="6"/>
  <c r="AK45" i="6"/>
  <c r="AO44" i="6"/>
  <c r="AK44" i="6"/>
  <c r="AO43" i="6"/>
  <c r="AK43" i="6"/>
  <c r="AO42" i="6"/>
  <c r="AK42" i="6"/>
  <c r="AO41" i="6"/>
  <c r="AK41" i="6"/>
  <c r="AO40" i="6"/>
  <c r="AK40" i="6"/>
  <c r="AL50" i="6"/>
  <c r="AP48" i="6"/>
  <c r="AL48" i="6"/>
  <c r="AH48" i="6"/>
  <c r="AO55" i="6"/>
  <c r="AK55" i="6"/>
  <c r="AG55" i="6"/>
  <c r="AO54" i="6"/>
  <c r="AK54" i="6"/>
  <c r="AG54" i="6"/>
  <c r="AO53" i="6"/>
  <c r="AK53" i="6"/>
  <c r="AG53" i="6"/>
  <c r="AO52" i="6"/>
  <c r="AK52" i="6"/>
  <c r="AG52" i="6"/>
  <c r="AO51" i="6"/>
  <c r="AK51" i="6"/>
  <c r="AG51" i="6"/>
  <c r="AO50" i="6"/>
  <c r="AK50" i="6"/>
  <c r="AG50" i="6"/>
  <c r="AO49" i="6"/>
  <c r="AK49" i="6"/>
  <c r="AG49" i="6"/>
  <c r="AP54" i="6"/>
  <c r="AL54" i="6"/>
  <c r="AH54" i="6"/>
  <c r="AO48" i="6"/>
  <c r="AK48" i="6"/>
  <c r="AG48" i="6"/>
  <c r="AN55" i="6"/>
  <c r="AJ55" i="6"/>
  <c r="AF55" i="6"/>
  <c r="AN54" i="6"/>
  <c r="AJ54" i="6"/>
  <c r="AN53" i="6"/>
  <c r="AJ53" i="6"/>
  <c r="AF53" i="6"/>
  <c r="AN52" i="6"/>
  <c r="AJ52" i="6"/>
  <c r="AF52" i="6"/>
  <c r="AN51" i="6"/>
  <c r="AJ51" i="6"/>
  <c r="AF51" i="6"/>
  <c r="AN50" i="6"/>
  <c r="AJ50" i="6"/>
  <c r="AF50" i="6"/>
  <c r="AN49" i="6"/>
  <c r="AJ49" i="6"/>
  <c r="AF49" i="6"/>
  <c r="AP50" i="6"/>
  <c r="AH50" i="6"/>
  <c r="AF48" i="6"/>
  <c r="AN48" i="6"/>
  <c r="AQ55" i="6"/>
  <c r="AM55" i="6"/>
  <c r="AQ54" i="6"/>
  <c r="AM54" i="6"/>
  <c r="AQ53" i="6"/>
  <c r="AM53" i="6"/>
  <c r="AQ52" i="6"/>
  <c r="AM52" i="6"/>
  <c r="AQ51" i="6"/>
  <c r="AM51" i="6"/>
  <c r="AQ50" i="6"/>
  <c r="AM50" i="6"/>
  <c r="AQ49" i="6"/>
  <c r="AM49" i="6"/>
  <c r="AM30" i="6"/>
  <c r="AP30" i="6"/>
  <c r="AL30" i="6"/>
  <c r="AH30" i="6"/>
  <c r="AO37" i="6"/>
  <c r="AK37" i="6"/>
  <c r="AG37" i="6"/>
  <c r="AO36" i="6"/>
  <c r="AK36" i="6"/>
  <c r="AG36" i="6"/>
  <c r="AO35" i="6"/>
  <c r="AK35" i="6"/>
  <c r="AG35" i="6"/>
  <c r="AO33" i="6"/>
  <c r="AK33" i="6"/>
  <c r="AG33" i="6"/>
  <c r="AO32" i="6"/>
  <c r="AK32" i="6"/>
  <c r="AG32" i="6"/>
  <c r="AF30" i="6"/>
  <c r="AO30" i="6"/>
  <c r="AK30" i="6"/>
  <c r="AG30" i="6"/>
  <c r="AN37" i="6"/>
  <c r="AJ37" i="6"/>
  <c r="AF37" i="6"/>
  <c r="AN36" i="6"/>
  <c r="AJ36" i="6"/>
  <c r="AF36" i="6"/>
  <c r="AN35" i="6"/>
  <c r="AJ35" i="6"/>
  <c r="AF35" i="6"/>
  <c r="AN33" i="6"/>
  <c r="AJ33" i="6"/>
  <c r="AF33" i="6"/>
  <c r="AN32" i="6"/>
  <c r="AJ32" i="6"/>
  <c r="AF32" i="6"/>
  <c r="AQ30" i="6"/>
  <c r="AI30" i="6"/>
  <c r="AN30" i="6"/>
  <c r="AQ37" i="6"/>
  <c r="AM37" i="6"/>
  <c r="AQ36" i="6"/>
  <c r="AM36" i="6"/>
  <c r="AQ35" i="6"/>
  <c r="AM35" i="6"/>
  <c r="AQ33" i="6"/>
  <c r="AM33" i="6"/>
  <c r="AQ32" i="6"/>
  <c r="AM32" i="6"/>
  <c r="AQ28" i="6"/>
  <c r="AM28" i="6"/>
  <c r="AI28" i="6"/>
  <c r="AP23" i="6"/>
  <c r="AL23" i="6"/>
  <c r="AH23" i="6"/>
  <c r="AP28" i="6"/>
  <c r="AL28" i="6"/>
  <c r="AH28" i="6"/>
  <c r="AP27" i="6"/>
  <c r="AL27" i="6"/>
  <c r="AH27" i="6"/>
  <c r="AP25" i="6"/>
  <c r="AL25" i="6"/>
  <c r="AH25" i="6"/>
  <c r="AO23" i="6"/>
  <c r="AK23" i="6"/>
  <c r="AG23" i="6"/>
  <c r="AO22" i="6"/>
  <c r="AK22" i="6"/>
  <c r="AG22" i="6"/>
  <c r="AO28" i="6"/>
  <c r="AK28" i="6"/>
  <c r="AG28" i="6"/>
  <c r="AO27" i="6"/>
  <c r="AK27" i="6"/>
  <c r="AG27" i="6"/>
  <c r="AO25" i="6"/>
  <c r="AK25" i="6"/>
  <c r="AG25" i="6"/>
  <c r="AN23" i="6"/>
  <c r="AJ23" i="6"/>
  <c r="AN22" i="6"/>
  <c r="AJ22" i="6"/>
  <c r="AN28" i="6"/>
  <c r="AJ28" i="6"/>
  <c r="AN27" i="6"/>
  <c r="AJ27" i="6"/>
  <c r="AN25" i="6"/>
  <c r="AJ25" i="6"/>
  <c r="BF93" i="6"/>
  <c r="BB93" i="6"/>
  <c r="AX93" i="6"/>
  <c r="W93" i="6"/>
  <c r="W96" i="6" s="1"/>
  <c r="BA93" i="6"/>
  <c r="AY93" i="6"/>
  <c r="BD93" i="6"/>
  <c r="AZ93" i="6"/>
  <c r="AB108" i="6"/>
  <c r="X108" i="6"/>
  <c r="AC93" i="6"/>
  <c r="AC96" i="6" s="1"/>
  <c r="AC108" i="6" s="1"/>
  <c r="Y93" i="6"/>
  <c r="Y96" i="6" s="1"/>
  <c r="Y108" i="6" s="1"/>
  <c r="U93" i="6"/>
  <c r="U96" i="6" s="1"/>
  <c r="U108" i="6" s="1"/>
  <c r="AD108" i="6"/>
  <c r="H80" i="15"/>
  <c r="E13" i="16"/>
  <c r="E25" i="16" l="1"/>
  <c r="AG13" i="6"/>
  <c r="AG95" i="6" s="1"/>
  <c r="AL13" i="6"/>
  <c r="AL95" i="6" s="1"/>
  <c r="AO13" i="6"/>
  <c r="AO95" i="6" s="1"/>
  <c r="BK17" i="6"/>
  <c r="BK14" i="6"/>
  <c r="AF13" i="6"/>
  <c r="AF95" i="6" s="1"/>
  <c r="AM13" i="6"/>
  <c r="AM95" i="6" s="1"/>
  <c r="AQ13" i="6"/>
  <c r="AQ95" i="6" s="1"/>
  <c r="BK18" i="6"/>
  <c r="AN13" i="6"/>
  <c r="AN95" i="6" s="1"/>
  <c r="AJ13" i="6"/>
  <c r="AJ95" i="6" s="1"/>
  <c r="AH13" i="6"/>
  <c r="AH95" i="6" s="1"/>
  <c r="BK15" i="6"/>
  <c r="AI13" i="6"/>
  <c r="AI95" i="6" s="1"/>
  <c r="AP13" i="6"/>
  <c r="AP95" i="6" s="1"/>
  <c r="AK13" i="6"/>
  <c r="AK95" i="6" s="1"/>
  <c r="BK16" i="6"/>
  <c r="BK62" i="6"/>
  <c r="BK51" i="6"/>
  <c r="BK55" i="6"/>
  <c r="BK59" i="6"/>
  <c r="BK69" i="6"/>
  <c r="BK85" i="6"/>
  <c r="BK80" i="6"/>
  <c r="BK61" i="6"/>
  <c r="BK86" i="6"/>
  <c r="BK79" i="6"/>
  <c r="BK32" i="6"/>
  <c r="BK36" i="6"/>
  <c r="BK35" i="6"/>
  <c r="BK50" i="6"/>
  <c r="BK54" i="6"/>
  <c r="BK77" i="6"/>
  <c r="BK68" i="6"/>
  <c r="BK89" i="6"/>
  <c r="BK90" i="6"/>
  <c r="BK72" i="6"/>
  <c r="BK46" i="6"/>
  <c r="BK87" i="6"/>
  <c r="BK41" i="6"/>
  <c r="BK78" i="6"/>
  <c r="BK60" i="6"/>
  <c r="BK30" i="6"/>
  <c r="BK49" i="6"/>
  <c r="BK53" i="6"/>
  <c r="BK43" i="6"/>
  <c r="BK63" i="6"/>
  <c r="BK57" i="6"/>
  <c r="BK66" i="6"/>
  <c r="BK82" i="6"/>
  <c r="BK42" i="6"/>
  <c r="BK71" i="6"/>
  <c r="BK23" i="6"/>
  <c r="BK64" i="6"/>
  <c r="BK25" i="6"/>
  <c r="BK67" i="6"/>
  <c r="BK44" i="6"/>
  <c r="BK91" i="6"/>
  <c r="BK33" i="6"/>
  <c r="BK37" i="6"/>
  <c r="BK48" i="6"/>
  <c r="BK52" i="6"/>
  <c r="BK58" i="6"/>
  <c r="BK70" i="6"/>
  <c r="BK73" i="6"/>
  <c r="BK81" i="6"/>
  <c r="BK84" i="6"/>
  <c r="BK76" i="6"/>
  <c r="BK40" i="6"/>
  <c r="BK22" i="6"/>
  <c r="BK45" i="6"/>
  <c r="BK27" i="6"/>
  <c r="BK28" i="6"/>
  <c r="W108" i="6"/>
  <c r="AF65" i="6"/>
  <c r="AQ106" i="6"/>
  <c r="AN107" i="6"/>
  <c r="AK102" i="6"/>
  <c r="AJ106" i="6"/>
  <c r="AL107" i="6"/>
  <c r="AK106" i="6"/>
  <c r="AJ102" i="6"/>
  <c r="AI106" i="6"/>
  <c r="AQ102" i="6"/>
  <c r="AQ107" i="6"/>
  <c r="AP107" i="6"/>
  <c r="AP102" i="6"/>
  <c r="AP106" i="6"/>
  <c r="AO56" i="6"/>
  <c r="AO107" i="6"/>
  <c r="AO102" i="6"/>
  <c r="AO106" i="6"/>
  <c r="AN102" i="6"/>
  <c r="AN65" i="6"/>
  <c r="AN106" i="6"/>
  <c r="AM102" i="6"/>
  <c r="AM107" i="6"/>
  <c r="AM106" i="6"/>
  <c r="AL102" i="6"/>
  <c r="AL106" i="6"/>
  <c r="AK107" i="6"/>
  <c r="AJ47" i="6"/>
  <c r="AJ107" i="6"/>
  <c r="AI102" i="6"/>
  <c r="AI107" i="6"/>
  <c r="AG102" i="6"/>
  <c r="AH107" i="6"/>
  <c r="AH102" i="6"/>
  <c r="AH106" i="6"/>
  <c r="AG107" i="6"/>
  <c r="AG106" i="6"/>
  <c r="AF107" i="6"/>
  <c r="AF102" i="6"/>
  <c r="AF106" i="6"/>
  <c r="AJ74" i="6"/>
  <c r="AJ56" i="6"/>
  <c r="AL65" i="6"/>
  <c r="AK47" i="6"/>
  <c r="AN74" i="6"/>
  <c r="AM47" i="6"/>
  <c r="AH47" i="6"/>
  <c r="AF56" i="6"/>
  <c r="AJ65" i="6"/>
  <c r="AN56" i="6"/>
  <c r="AO47" i="6"/>
  <c r="AG65" i="6"/>
  <c r="AM74" i="6"/>
  <c r="AQ56" i="6"/>
  <c r="AQ74" i="6"/>
  <c r="AP47" i="6"/>
  <c r="AO74" i="6"/>
  <c r="AN47" i="6"/>
  <c r="AP74" i="6"/>
  <c r="AI47" i="6"/>
  <c r="AH56" i="6"/>
  <c r="AQ65" i="6"/>
  <c r="AK56" i="6"/>
  <c r="AP65" i="6"/>
  <c r="AF47" i="6"/>
  <c r="AM65" i="6"/>
  <c r="AH65" i="6"/>
  <c r="AL74" i="6"/>
  <c r="AP56" i="6"/>
  <c r="AM56" i="6"/>
  <c r="AG56" i="6"/>
  <c r="AK65" i="6"/>
  <c r="AQ47" i="6"/>
  <c r="AL47" i="6"/>
  <c r="AG47" i="6"/>
  <c r="AI65" i="6"/>
  <c r="AK74" i="6"/>
  <c r="AO65" i="6"/>
  <c r="AI56" i="6"/>
  <c r="AL56" i="6"/>
  <c r="B7" i="4"/>
  <c r="E40" i="15"/>
  <c r="F40" i="15"/>
  <c r="G40" i="15"/>
  <c r="E41" i="15"/>
  <c r="F41" i="15"/>
  <c r="G41" i="15"/>
  <c r="E42" i="15"/>
  <c r="F42" i="15"/>
  <c r="G42" i="15"/>
  <c r="C40" i="15"/>
  <c r="C41" i="15"/>
  <c r="C42" i="15"/>
  <c r="H42" i="15" l="1"/>
  <c r="BK13" i="6"/>
  <c r="BK95" i="6" s="1"/>
  <c r="BK107" i="6"/>
  <c r="BK102" i="6"/>
  <c r="BK106" i="6"/>
  <c r="BK56" i="6"/>
  <c r="BK65" i="6"/>
  <c r="BK47" i="6"/>
  <c r="H41" i="15"/>
  <c r="H40" i="15"/>
  <c r="G87" i="15" l="1"/>
  <c r="F87" i="15"/>
  <c r="E87" i="15"/>
  <c r="C87" i="15"/>
  <c r="G86" i="15"/>
  <c r="F86" i="15"/>
  <c r="E86" i="15"/>
  <c r="C86" i="15"/>
  <c r="G85" i="15"/>
  <c r="F85" i="15"/>
  <c r="E85" i="15"/>
  <c r="C85" i="15"/>
  <c r="G84" i="15"/>
  <c r="F84" i="15"/>
  <c r="E84" i="15"/>
  <c r="C84" i="15"/>
  <c r="G83" i="15"/>
  <c r="F83" i="15"/>
  <c r="E83" i="15"/>
  <c r="C83" i="15"/>
  <c r="G82" i="15"/>
  <c r="F82" i="15"/>
  <c r="E82" i="15"/>
  <c r="C82" i="15"/>
  <c r="G79" i="15"/>
  <c r="F79" i="15"/>
  <c r="E79" i="15"/>
  <c r="C79" i="15"/>
  <c r="G78" i="15"/>
  <c r="F78" i="15"/>
  <c r="E78" i="15"/>
  <c r="C78" i="15"/>
  <c r="G77" i="15"/>
  <c r="F77" i="15"/>
  <c r="E77" i="15"/>
  <c r="C77" i="15"/>
  <c r="G76" i="15"/>
  <c r="F76" i="15"/>
  <c r="E76" i="15"/>
  <c r="C76" i="15"/>
  <c r="G75" i="15"/>
  <c r="F75" i="15"/>
  <c r="E75" i="15"/>
  <c r="C75" i="15"/>
  <c r="G74" i="15"/>
  <c r="F74" i="15"/>
  <c r="E74" i="15"/>
  <c r="C74" i="15"/>
  <c r="G73" i="15"/>
  <c r="F73" i="15"/>
  <c r="E73" i="15"/>
  <c r="C73" i="15"/>
  <c r="G72" i="15"/>
  <c r="F72" i="15"/>
  <c r="E72" i="15"/>
  <c r="C72" i="15"/>
  <c r="G71" i="15"/>
  <c r="F71" i="15"/>
  <c r="E71" i="15"/>
  <c r="C71" i="15"/>
  <c r="G69" i="15"/>
  <c r="F69" i="15"/>
  <c r="E69" i="15"/>
  <c r="C69" i="15"/>
  <c r="G68" i="15"/>
  <c r="F68" i="15"/>
  <c r="E68" i="15"/>
  <c r="C68" i="15"/>
  <c r="G67" i="15"/>
  <c r="F67" i="15"/>
  <c r="E67" i="15"/>
  <c r="C67" i="15"/>
  <c r="G66" i="15"/>
  <c r="F66" i="15"/>
  <c r="E66" i="15"/>
  <c r="C66" i="15"/>
  <c r="G64" i="15"/>
  <c r="F64" i="15"/>
  <c r="E64" i="15"/>
  <c r="C64" i="15"/>
  <c r="G63" i="15"/>
  <c r="F63" i="15"/>
  <c r="E63" i="15"/>
  <c r="C63" i="15"/>
  <c r="G62" i="15"/>
  <c r="F62" i="15"/>
  <c r="E62" i="15"/>
  <c r="C62" i="15"/>
  <c r="G60" i="15"/>
  <c r="F60" i="15"/>
  <c r="E60" i="15"/>
  <c r="C60" i="15"/>
  <c r="G59" i="15"/>
  <c r="F59" i="15"/>
  <c r="E59" i="15"/>
  <c r="C59" i="15"/>
  <c r="G58" i="15"/>
  <c r="F58" i="15"/>
  <c r="E58" i="15"/>
  <c r="C58" i="15"/>
  <c r="G57" i="15"/>
  <c r="F57" i="15"/>
  <c r="E57" i="15"/>
  <c r="C57" i="15"/>
  <c r="G55" i="15"/>
  <c r="F55" i="15"/>
  <c r="E55" i="15"/>
  <c r="C55" i="15"/>
  <c r="G54" i="15"/>
  <c r="F54" i="15"/>
  <c r="E54" i="15"/>
  <c r="C54" i="15"/>
  <c r="G53" i="15"/>
  <c r="F53" i="15"/>
  <c r="E53" i="15"/>
  <c r="C53" i="15"/>
  <c r="G52" i="15"/>
  <c r="F52" i="15"/>
  <c r="E52" i="15"/>
  <c r="C52" i="15"/>
  <c r="G50" i="15"/>
  <c r="F50" i="15"/>
  <c r="E50" i="15"/>
  <c r="C50" i="15"/>
  <c r="G49" i="15"/>
  <c r="F49" i="15"/>
  <c r="E49" i="15"/>
  <c r="C49" i="15"/>
  <c r="G48" i="15"/>
  <c r="F48" i="15"/>
  <c r="E48" i="15"/>
  <c r="C48" i="15"/>
  <c r="G47" i="15"/>
  <c r="F47" i="15"/>
  <c r="E47" i="15"/>
  <c r="C47" i="15"/>
  <c r="G46" i="15"/>
  <c r="F46" i="15"/>
  <c r="E46" i="15"/>
  <c r="C46" i="15"/>
  <c r="G44" i="15"/>
  <c r="F44" i="15"/>
  <c r="E44" i="15"/>
  <c r="C44" i="15"/>
  <c r="G43" i="15"/>
  <c r="F43" i="15"/>
  <c r="E43" i="15"/>
  <c r="C43" i="15"/>
  <c r="G39" i="15"/>
  <c r="F39" i="15"/>
  <c r="E39" i="15"/>
  <c r="C39" i="15"/>
  <c r="G38" i="15"/>
  <c r="F38" i="15"/>
  <c r="E38" i="15"/>
  <c r="C38" i="15"/>
  <c r="G37" i="15"/>
  <c r="F37" i="15"/>
  <c r="E37" i="15"/>
  <c r="C37" i="15"/>
  <c r="G36" i="15"/>
  <c r="F36" i="15"/>
  <c r="E36" i="15"/>
  <c r="C36" i="15"/>
  <c r="G35" i="15"/>
  <c r="F35" i="15"/>
  <c r="E35" i="15"/>
  <c r="C35" i="15"/>
  <c r="G34" i="15"/>
  <c r="F34" i="15"/>
  <c r="E34" i="15"/>
  <c r="C34" i="15"/>
  <c r="G33" i="15"/>
  <c r="F33" i="15"/>
  <c r="E33" i="15"/>
  <c r="C33" i="15"/>
  <c r="G32" i="15"/>
  <c r="F32" i="15"/>
  <c r="E32" i="15"/>
  <c r="C32" i="15"/>
  <c r="G31" i="15"/>
  <c r="F31" i="15"/>
  <c r="E31" i="15"/>
  <c r="C31" i="15"/>
  <c r="G30" i="15"/>
  <c r="F30" i="15"/>
  <c r="E30" i="15"/>
  <c r="C30" i="15"/>
  <c r="G27" i="15"/>
  <c r="F27" i="15"/>
  <c r="E27" i="15"/>
  <c r="C27" i="15"/>
  <c r="G26" i="15"/>
  <c r="F26" i="15"/>
  <c r="E26" i="15"/>
  <c r="C26" i="15"/>
  <c r="G25" i="15"/>
  <c r="F25" i="15"/>
  <c r="E25" i="15"/>
  <c r="C25" i="15"/>
  <c r="G24" i="15"/>
  <c r="F24" i="15"/>
  <c r="E24" i="15"/>
  <c r="C24" i="15"/>
  <c r="G23" i="15"/>
  <c r="F23" i="15"/>
  <c r="E23" i="15"/>
  <c r="C23" i="15"/>
  <c r="G22" i="15"/>
  <c r="F22" i="15"/>
  <c r="E22" i="15"/>
  <c r="C22" i="15"/>
  <c r="G21" i="15"/>
  <c r="F21" i="15"/>
  <c r="E21" i="15"/>
  <c r="C21" i="15"/>
  <c r="G20" i="15"/>
  <c r="F20" i="15"/>
  <c r="E20" i="15"/>
  <c r="C20" i="15"/>
  <c r="G19" i="15"/>
  <c r="F19" i="15"/>
  <c r="E19" i="15"/>
  <c r="C19" i="15"/>
  <c r="G18" i="15"/>
  <c r="F18" i="15"/>
  <c r="E18" i="15"/>
  <c r="C18" i="15"/>
  <c r="G17" i="15"/>
  <c r="F17" i="15"/>
  <c r="E17" i="15"/>
  <c r="C17" i="15"/>
  <c r="G16" i="15"/>
  <c r="F16" i="15"/>
  <c r="E16" i="15"/>
  <c r="C16" i="15"/>
  <c r="G15" i="15"/>
  <c r="F15" i="15"/>
  <c r="E15" i="15"/>
  <c r="C15" i="15"/>
  <c r="G14" i="15"/>
  <c r="F14" i="15"/>
  <c r="E14" i="15"/>
  <c r="C14" i="15"/>
  <c r="G13" i="15"/>
  <c r="F13" i="15"/>
  <c r="E13" i="15"/>
  <c r="C13" i="15"/>
  <c r="G12" i="15"/>
  <c r="F12" i="15"/>
  <c r="E12" i="15"/>
  <c r="C12" i="15"/>
  <c r="G11" i="15"/>
  <c r="F11" i="15"/>
  <c r="E11" i="15"/>
  <c r="C11" i="15"/>
  <c r="G10" i="15"/>
  <c r="F10" i="15"/>
  <c r="E10" i="15"/>
  <c r="C10" i="15"/>
  <c r="G9" i="15"/>
  <c r="F9" i="15"/>
  <c r="E9" i="15"/>
  <c r="C9" i="15"/>
  <c r="G8" i="15"/>
  <c r="F8" i="15"/>
  <c r="E8" i="15"/>
  <c r="C8" i="15"/>
  <c r="AU83" i="6" l="1"/>
  <c r="AU93" i="6" s="1"/>
  <c r="H8" i="15"/>
  <c r="H9" i="15"/>
  <c r="H10" i="15"/>
  <c r="H11" i="15"/>
  <c r="H12" i="15"/>
  <c r="H13" i="15"/>
  <c r="H14" i="15"/>
  <c r="H15" i="15"/>
  <c r="H16" i="15"/>
  <c r="H17" i="15"/>
  <c r="H18" i="15"/>
  <c r="H19" i="15"/>
  <c r="H20" i="15"/>
  <c r="H21" i="15"/>
  <c r="H22" i="15"/>
  <c r="H23" i="15"/>
  <c r="H24" i="15"/>
  <c r="H25" i="15"/>
  <c r="H26" i="15"/>
  <c r="H27" i="15"/>
  <c r="H30" i="15"/>
  <c r="H31" i="15"/>
  <c r="H32" i="15"/>
  <c r="H33" i="15"/>
  <c r="H34" i="15"/>
  <c r="H35" i="15"/>
  <c r="H36" i="15"/>
  <c r="H37" i="15"/>
  <c r="H38" i="15"/>
  <c r="H39" i="15"/>
  <c r="H43" i="15"/>
  <c r="H44" i="15"/>
  <c r="H46" i="15"/>
  <c r="H47" i="15"/>
  <c r="H48" i="15"/>
  <c r="H49" i="15"/>
  <c r="H50" i="15"/>
  <c r="H52" i="15"/>
  <c r="H53" i="15"/>
  <c r="H54" i="15"/>
  <c r="H55" i="15"/>
  <c r="H57" i="15"/>
  <c r="H58" i="15"/>
  <c r="H60" i="15"/>
  <c r="H62" i="15"/>
  <c r="H63" i="15"/>
  <c r="H64" i="15"/>
  <c r="H66" i="15"/>
  <c r="H67" i="15"/>
  <c r="H68" i="15"/>
  <c r="H69" i="15"/>
  <c r="H71" i="15"/>
  <c r="H72" i="15"/>
  <c r="H73" i="15"/>
  <c r="H74" i="15"/>
  <c r="H76" i="15"/>
  <c r="H77" i="15"/>
  <c r="H78" i="15"/>
  <c r="H79" i="15"/>
  <c r="H82" i="15"/>
  <c r="H83" i="15"/>
  <c r="H84" i="15"/>
  <c r="H85" i="15"/>
  <c r="H86" i="15"/>
  <c r="H87" i="15"/>
  <c r="H59" i="15"/>
  <c r="H75" i="15"/>
  <c r="I191" i="22" l="1"/>
  <c r="U191" i="22" s="1"/>
  <c r="I190" i="22"/>
  <c r="I124" i="22"/>
  <c r="T190" i="22"/>
  <c r="T194" i="22" s="1"/>
  <c r="T195" i="22" s="1"/>
  <c r="T204" i="22" s="1"/>
  <c r="T124" i="22"/>
  <c r="N190" i="22"/>
  <c r="N124" i="22"/>
  <c r="N128" i="22" s="1"/>
  <c r="N129" i="22" s="1"/>
  <c r="N138" i="22" s="1"/>
  <c r="U57" i="3"/>
  <c r="AK31" i="6"/>
  <c r="AK101" i="6" s="1"/>
  <c r="AQ31" i="6"/>
  <c r="AQ101" i="6" s="1"/>
  <c r="AF31" i="6"/>
  <c r="AA83" i="6"/>
  <c r="AA93" i="6" s="1"/>
  <c r="BC83" i="6"/>
  <c r="BC93" i="6" s="1"/>
  <c r="AH31" i="6"/>
  <c r="AH101" i="6" s="1"/>
  <c r="AJ31" i="6" l="1"/>
  <c r="AJ101" i="6" s="1"/>
  <c r="AG31" i="6"/>
  <c r="AG101" i="6" s="1"/>
  <c r="AM31" i="6"/>
  <c r="AM101" i="6" s="1"/>
  <c r="AL31" i="6"/>
  <c r="AL101" i="6" s="1"/>
  <c r="M124" i="22"/>
  <c r="M128" i="22" s="1"/>
  <c r="M129" i="22" s="1"/>
  <c r="M138" i="22" s="1"/>
  <c r="M190" i="22"/>
  <c r="M194" i="22" s="1"/>
  <c r="M195" i="22" s="1"/>
  <c r="M204" i="22" s="1"/>
  <c r="J190" i="22"/>
  <c r="J124" i="22"/>
  <c r="J128" i="22" s="1"/>
  <c r="J129" i="22" s="1"/>
  <c r="J138" i="22" s="1"/>
  <c r="N194" i="22"/>
  <c r="N195" i="22" s="1"/>
  <c r="N204" i="22" s="1"/>
  <c r="O124" i="22"/>
  <c r="O128" i="22" s="1"/>
  <c r="O129" i="22" s="1"/>
  <c r="O138" i="22" s="1"/>
  <c r="O190" i="22"/>
  <c r="K124" i="22"/>
  <c r="K128" i="22" s="1"/>
  <c r="K129" i="22" s="1"/>
  <c r="K138" i="22" s="1"/>
  <c r="K190" i="22"/>
  <c r="T128" i="22"/>
  <c r="T129" i="22" s="1"/>
  <c r="T138" i="22" s="1"/>
  <c r="I128" i="22"/>
  <c r="I129" i="22" s="1"/>
  <c r="I138" i="22" s="1"/>
  <c r="I194" i="22"/>
  <c r="AO31" i="6"/>
  <c r="AO101" i="6" s="1"/>
  <c r="AF101" i="6"/>
  <c r="AA96" i="6"/>
  <c r="AA108" i="6" s="1"/>
  <c r="AV83" i="6"/>
  <c r="AV93" i="6" s="1"/>
  <c r="T83" i="6"/>
  <c r="T93" i="6" s="1"/>
  <c r="T96" i="6" s="1"/>
  <c r="T108" i="6" s="1"/>
  <c r="AP31" i="6" l="1"/>
  <c r="AP101" i="6" s="1"/>
  <c r="S124" i="22"/>
  <c r="S128" i="22" s="1"/>
  <c r="S129" i="22" s="1"/>
  <c r="S138" i="22" s="1"/>
  <c r="S190" i="22"/>
  <c r="S194" i="22" s="1"/>
  <c r="S195" i="22" s="1"/>
  <c r="S204" i="22" s="1"/>
  <c r="AI31" i="6"/>
  <c r="AI101" i="6" s="1"/>
  <c r="Q124" i="22"/>
  <c r="Q128" i="22" s="1"/>
  <c r="Q129" i="22" s="1"/>
  <c r="Q138" i="22" s="1"/>
  <c r="AN31" i="6"/>
  <c r="AN101" i="6" s="1"/>
  <c r="P124" i="22"/>
  <c r="P128" i="22" s="1"/>
  <c r="P129" i="22" s="1"/>
  <c r="P138" i="22" s="1"/>
  <c r="P190" i="22"/>
  <c r="P194" i="22" s="1"/>
  <c r="P195" i="22" s="1"/>
  <c r="P204" i="22" s="1"/>
  <c r="Q190" i="22"/>
  <c r="Q194" i="22" s="1"/>
  <c r="Q195" i="22" s="1"/>
  <c r="Q204" i="22" s="1"/>
  <c r="R190" i="22"/>
  <c r="R124" i="22"/>
  <c r="R128" i="22" s="1"/>
  <c r="R129" i="22" s="1"/>
  <c r="R138" i="22" s="1"/>
  <c r="L190" i="22"/>
  <c r="L124" i="22"/>
  <c r="O194" i="22"/>
  <c r="O195" i="22" s="1"/>
  <c r="O204" i="22" s="1"/>
  <c r="I195" i="22"/>
  <c r="I204" i="22" s="1"/>
  <c r="K194" i="22"/>
  <c r="K195" i="22" s="1"/>
  <c r="K204" i="22" s="1"/>
  <c r="J194" i="22"/>
  <c r="J195" i="22" s="1"/>
  <c r="J204" i="22" s="1"/>
  <c r="Z83" i="6"/>
  <c r="Z93" i="6" s="1"/>
  <c r="BK31" i="6" l="1"/>
  <c r="BK101" i="6" s="1"/>
  <c r="U56" i="3"/>
  <c r="L128" i="22"/>
  <c r="U128" i="22" s="1"/>
  <c r="U124" i="22"/>
  <c r="U129" i="22" s="1"/>
  <c r="U138" i="22" s="1"/>
  <c r="R194" i="22"/>
  <c r="R195" i="22" s="1"/>
  <c r="R204" i="22" s="1"/>
  <c r="L194" i="22"/>
  <c r="L195" i="22" s="1"/>
  <c r="L204" i="22" s="1"/>
  <c r="U190" i="22"/>
  <c r="U195" i="22" s="1"/>
  <c r="U204" i="22" s="1"/>
  <c r="Z96" i="6"/>
  <c r="Z108" i="6" s="1"/>
  <c r="L129" i="22" l="1"/>
  <c r="L138" i="22" s="1"/>
  <c r="U194" i="22"/>
  <c r="AI75" i="6"/>
  <c r="AI74" i="6" s="1"/>
  <c r="AH75" i="6"/>
  <c r="AH74" i="6" s="1"/>
  <c r="AG75" i="6"/>
  <c r="AG74" i="6" s="1"/>
  <c r="C20" i="4"/>
  <c r="C21" i="4"/>
  <c r="C19" i="4"/>
  <c r="C16" i="4"/>
  <c r="C17" i="4"/>
  <c r="C15" i="4"/>
  <c r="J18" i="4"/>
  <c r="J22" i="4"/>
  <c r="I24" i="4"/>
  <c r="I25" i="4"/>
  <c r="I23" i="4"/>
  <c r="I20" i="4"/>
  <c r="I21" i="4"/>
  <c r="I19" i="4"/>
  <c r="F20" i="4"/>
  <c r="F21" i="4"/>
  <c r="F19" i="4"/>
  <c r="F24" i="4"/>
  <c r="F25" i="4"/>
  <c r="F23" i="4"/>
  <c r="G18" i="4"/>
  <c r="G22" i="4"/>
  <c r="F16" i="4"/>
  <c r="F17" i="4"/>
  <c r="F15" i="4"/>
  <c r="D18" i="4"/>
  <c r="D22" i="4"/>
  <c r="B25" i="4"/>
  <c r="J25" i="4" s="1"/>
  <c r="B24" i="4"/>
  <c r="B23" i="4"/>
  <c r="D23" i="4" s="1"/>
  <c r="B16" i="4"/>
  <c r="J16" i="4" s="1"/>
  <c r="B15" i="4"/>
  <c r="B20" i="4"/>
  <c r="B21" i="4"/>
  <c r="B19" i="4"/>
  <c r="D19" i="4" s="1"/>
  <c r="B17" i="4"/>
  <c r="J17" i="4" s="1"/>
  <c r="J20" i="4" l="1"/>
  <c r="G25" i="4"/>
  <c r="J21" i="4"/>
  <c r="G15" i="4"/>
  <c r="G16" i="4"/>
  <c r="G21" i="4"/>
  <c r="J23" i="4"/>
  <c r="J24" i="4"/>
  <c r="G24" i="4"/>
  <c r="G20" i="4"/>
  <c r="D21" i="4"/>
  <c r="G17" i="4"/>
  <c r="J19" i="4"/>
  <c r="D17" i="4"/>
  <c r="D25" i="4"/>
  <c r="D20" i="4"/>
  <c r="D24" i="4"/>
  <c r="D16" i="4"/>
  <c r="D15" i="4"/>
  <c r="I15" i="4"/>
  <c r="J15" i="4" s="1"/>
  <c r="G23" i="4"/>
  <c r="G19" i="4"/>
  <c r="D27" i="4" l="1"/>
  <c r="D31" i="4" s="1"/>
  <c r="J27" i="4"/>
  <c r="J31" i="4" s="1"/>
  <c r="G27" i="4"/>
  <c r="G31" i="4" s="1"/>
  <c r="BG9" i="6"/>
  <c r="BF8" i="6" s="1"/>
  <c r="AR9" i="6"/>
  <c r="AN8" i="6" s="1"/>
  <c r="AE9" i="6"/>
  <c r="O9" i="6"/>
  <c r="L9" i="6"/>
  <c r="I9" i="6"/>
  <c r="I51" i="6" s="1"/>
  <c r="H9" i="6"/>
  <c r="O100" i="6" l="1"/>
  <c r="O104" i="6"/>
  <c r="O108" i="6"/>
  <c r="O97" i="6"/>
  <c r="O103" i="6"/>
  <c r="O107" i="6"/>
  <c r="O95" i="6"/>
  <c r="O96" i="6"/>
  <c r="O102" i="6"/>
  <c r="O106" i="6"/>
  <c r="O101" i="6"/>
  <c r="O105" i="6"/>
  <c r="O91" i="6"/>
  <c r="O90" i="6"/>
  <c r="O89" i="6"/>
  <c r="O88" i="6"/>
  <c r="O87" i="6"/>
  <c r="O86" i="6"/>
  <c r="O85" i="6"/>
  <c r="O84" i="6"/>
  <c r="O93" i="6"/>
  <c r="H104" i="6"/>
  <c r="H100" i="6"/>
  <c r="H101" i="6"/>
  <c r="H105" i="6"/>
  <c r="H102" i="6"/>
  <c r="H106" i="6"/>
  <c r="H96" i="6"/>
  <c r="H103" i="6"/>
  <c r="H107" i="6"/>
  <c r="H80" i="6"/>
  <c r="H91" i="6"/>
  <c r="H90" i="6"/>
  <c r="H89" i="6"/>
  <c r="H88" i="6"/>
  <c r="H87" i="6"/>
  <c r="H86" i="6"/>
  <c r="P86" i="6" s="1"/>
  <c r="Q86" i="6" s="1"/>
  <c r="H85" i="6"/>
  <c r="H84" i="6"/>
  <c r="H93" i="6"/>
  <c r="I31" i="6"/>
  <c r="I95" i="6"/>
  <c r="I106" i="6"/>
  <c r="J106" i="6" s="1"/>
  <c r="K106" i="6" s="1"/>
  <c r="I101" i="6"/>
  <c r="I102" i="6"/>
  <c r="I107" i="6"/>
  <c r="L96" i="6"/>
  <c r="L102" i="6"/>
  <c r="L106" i="6"/>
  <c r="L101" i="6"/>
  <c r="L105" i="6"/>
  <c r="L100" i="6"/>
  <c r="L104" i="6"/>
  <c r="L108" i="6"/>
  <c r="L103" i="6"/>
  <c r="L107" i="6"/>
  <c r="L91" i="6"/>
  <c r="L90" i="6"/>
  <c r="L89" i="6"/>
  <c r="M89" i="6" s="1"/>
  <c r="N89" i="6" s="1"/>
  <c r="L88" i="6"/>
  <c r="M88" i="6" s="1"/>
  <c r="N88" i="6" s="1"/>
  <c r="L87" i="6"/>
  <c r="L86" i="6"/>
  <c r="L85" i="6"/>
  <c r="M85" i="6" s="1"/>
  <c r="N85" i="6" s="1"/>
  <c r="L84" i="6"/>
  <c r="M84" i="6" s="1"/>
  <c r="N84" i="6" s="1"/>
  <c r="L93" i="6"/>
  <c r="I91" i="6"/>
  <c r="I90" i="6"/>
  <c r="I89" i="6"/>
  <c r="I87" i="6"/>
  <c r="I86" i="6"/>
  <c r="I85" i="6"/>
  <c r="I84" i="6"/>
  <c r="J84" i="6" s="1"/>
  <c r="K84" i="6" s="1"/>
  <c r="H23" i="6"/>
  <c r="H25" i="6"/>
  <c r="H27" i="6"/>
  <c r="H29" i="6"/>
  <c r="H31" i="6"/>
  <c r="H33" i="6"/>
  <c r="H35" i="6"/>
  <c r="H37" i="6"/>
  <c r="H39" i="6"/>
  <c r="H41" i="6"/>
  <c r="H43" i="6"/>
  <c r="H45" i="6"/>
  <c r="H47" i="6"/>
  <c r="H49" i="6"/>
  <c r="H51" i="6"/>
  <c r="H53" i="6"/>
  <c r="H55" i="6"/>
  <c r="H57" i="6"/>
  <c r="H59" i="6"/>
  <c r="H61" i="6"/>
  <c r="H63" i="6"/>
  <c r="H65" i="6"/>
  <c r="H67" i="6"/>
  <c r="H69" i="6"/>
  <c r="H71" i="6"/>
  <c r="H73" i="6"/>
  <c r="H75" i="6"/>
  <c r="H77" i="6"/>
  <c r="H79" i="6"/>
  <c r="H81" i="6"/>
  <c r="H83" i="6"/>
  <c r="H15" i="6"/>
  <c r="H18" i="6"/>
  <c r="H24" i="6"/>
  <c r="H32" i="6"/>
  <c r="H40" i="6"/>
  <c r="H48" i="6"/>
  <c r="H56" i="6"/>
  <c r="H68" i="6"/>
  <c r="H17" i="6"/>
  <c r="H22" i="6"/>
  <c r="H26" i="6"/>
  <c r="H30" i="6"/>
  <c r="H34" i="6"/>
  <c r="H38" i="6"/>
  <c r="H42" i="6"/>
  <c r="H46" i="6"/>
  <c r="H50" i="6"/>
  <c r="H54" i="6"/>
  <c r="H58" i="6"/>
  <c r="H62" i="6"/>
  <c r="H66" i="6"/>
  <c r="H70" i="6"/>
  <c r="H74" i="6"/>
  <c r="H78" i="6"/>
  <c r="H82" i="6"/>
  <c r="H16" i="6"/>
  <c r="H21" i="6"/>
  <c r="H28" i="6"/>
  <c r="H36" i="6"/>
  <c r="H44" i="6"/>
  <c r="H52" i="6"/>
  <c r="H60" i="6"/>
  <c r="H64" i="6"/>
  <c r="H72" i="6"/>
  <c r="H76" i="6"/>
  <c r="H14" i="6"/>
  <c r="H20" i="6"/>
  <c r="I22" i="6"/>
  <c r="I28" i="6"/>
  <c r="I32" i="6"/>
  <c r="I36" i="6"/>
  <c r="I40" i="6"/>
  <c r="I42" i="6"/>
  <c r="I44" i="6"/>
  <c r="I46" i="6"/>
  <c r="I48" i="6"/>
  <c r="I50" i="6"/>
  <c r="I52" i="6"/>
  <c r="I54" i="6"/>
  <c r="I56" i="6"/>
  <c r="I58" i="6"/>
  <c r="I62" i="6"/>
  <c r="I64" i="6"/>
  <c r="I66" i="6"/>
  <c r="I68" i="6"/>
  <c r="I70" i="6"/>
  <c r="I72" i="6"/>
  <c r="I74" i="6"/>
  <c r="I76" i="6"/>
  <c r="I78" i="6"/>
  <c r="I80" i="6"/>
  <c r="I82" i="6"/>
  <c r="I15" i="6"/>
  <c r="I17" i="6"/>
  <c r="I25" i="6"/>
  <c r="I33" i="6"/>
  <c r="I37" i="6"/>
  <c r="I41" i="6"/>
  <c r="I45" i="6"/>
  <c r="I49" i="6"/>
  <c r="I53" i="6"/>
  <c r="I57" i="6"/>
  <c r="I61" i="6"/>
  <c r="I65" i="6"/>
  <c r="I69" i="6"/>
  <c r="I73" i="6"/>
  <c r="I77" i="6"/>
  <c r="I81" i="6"/>
  <c r="I14" i="6"/>
  <c r="I27" i="6"/>
  <c r="I43" i="6"/>
  <c r="I59" i="6"/>
  <c r="I63" i="6"/>
  <c r="I71" i="6"/>
  <c r="I79" i="6"/>
  <c r="I16" i="6"/>
  <c r="I18" i="6"/>
  <c r="I23" i="6"/>
  <c r="I47" i="6"/>
  <c r="I67" i="6"/>
  <c r="I75" i="6"/>
  <c r="O16" i="6"/>
  <c r="O25" i="6"/>
  <c r="O26" i="6"/>
  <c r="O27" i="6"/>
  <c r="O32" i="6"/>
  <c r="O41" i="6"/>
  <c r="O42" i="6"/>
  <c r="O43" i="6"/>
  <c r="O48" i="6"/>
  <c r="O57" i="6"/>
  <c r="O58" i="6"/>
  <c r="O59" i="6"/>
  <c r="O64" i="6"/>
  <c r="O73" i="6"/>
  <c r="O74" i="6"/>
  <c r="O75" i="6"/>
  <c r="O80" i="6"/>
  <c r="O14" i="6"/>
  <c r="O15" i="6"/>
  <c r="O29" i="6"/>
  <c r="O30" i="6"/>
  <c r="O31" i="6"/>
  <c r="O36" i="6"/>
  <c r="O45" i="6"/>
  <c r="O46" i="6"/>
  <c r="O47" i="6"/>
  <c r="O52" i="6"/>
  <c r="O61" i="6"/>
  <c r="O62" i="6"/>
  <c r="O63" i="6"/>
  <c r="O68" i="6"/>
  <c r="O77" i="6"/>
  <c r="O78" i="6"/>
  <c r="O79" i="6"/>
  <c r="O17" i="6"/>
  <c r="O18" i="6"/>
  <c r="O24" i="6"/>
  <c r="O33" i="6"/>
  <c r="O34" i="6"/>
  <c r="O35" i="6"/>
  <c r="O40" i="6"/>
  <c r="O49" i="6"/>
  <c r="O50" i="6"/>
  <c r="O51" i="6"/>
  <c r="O56" i="6"/>
  <c r="O65" i="6"/>
  <c r="O66" i="6"/>
  <c r="O67" i="6"/>
  <c r="O72" i="6"/>
  <c r="O81" i="6"/>
  <c r="O82" i="6"/>
  <c r="O83" i="6"/>
  <c r="O39" i="6"/>
  <c r="O44" i="6"/>
  <c r="O54" i="6"/>
  <c r="O69" i="6"/>
  <c r="O21" i="6"/>
  <c r="O55" i="6"/>
  <c r="O60" i="6"/>
  <c r="O70" i="6"/>
  <c r="O37" i="6"/>
  <c r="O76" i="6"/>
  <c r="O22" i="6"/>
  <c r="O23" i="6"/>
  <c r="O53" i="6"/>
  <c r="O28" i="6"/>
  <c r="O38" i="6"/>
  <c r="O71" i="6"/>
  <c r="P71" i="6" s="1"/>
  <c r="Q71" i="6" s="1"/>
  <c r="L17" i="6"/>
  <c r="L21" i="6"/>
  <c r="L25" i="6"/>
  <c r="L29" i="6"/>
  <c r="L33" i="6"/>
  <c r="L37" i="6"/>
  <c r="L41" i="6"/>
  <c r="L45" i="6"/>
  <c r="L49" i="6"/>
  <c r="L53" i="6"/>
  <c r="L57" i="6"/>
  <c r="L61" i="6"/>
  <c r="L65" i="6"/>
  <c r="L69" i="6"/>
  <c r="L73" i="6"/>
  <c r="L77" i="6"/>
  <c r="L81" i="6"/>
  <c r="L14" i="6"/>
  <c r="L18" i="6"/>
  <c r="L22" i="6"/>
  <c r="L26" i="6"/>
  <c r="L30" i="6"/>
  <c r="L34" i="6"/>
  <c r="L38" i="6"/>
  <c r="L42" i="6"/>
  <c r="L46" i="6"/>
  <c r="L50" i="6"/>
  <c r="L54" i="6"/>
  <c r="L58" i="6"/>
  <c r="L15" i="6"/>
  <c r="L23" i="6"/>
  <c r="L27" i="6"/>
  <c r="L31" i="6"/>
  <c r="L35" i="6"/>
  <c r="L39" i="6"/>
  <c r="L43" i="6"/>
  <c r="L47" i="6"/>
  <c r="L51" i="6"/>
  <c r="L55" i="6"/>
  <c r="L59" i="6"/>
  <c r="L63" i="6"/>
  <c r="L67" i="6"/>
  <c r="L71" i="6"/>
  <c r="L75" i="6"/>
  <c r="L79" i="6"/>
  <c r="L83" i="6"/>
  <c r="L20" i="6"/>
  <c r="L36" i="6"/>
  <c r="L52" i="6"/>
  <c r="L64" i="6"/>
  <c r="L72" i="6"/>
  <c r="L80" i="6"/>
  <c r="L24" i="6"/>
  <c r="L40" i="6"/>
  <c r="L56" i="6"/>
  <c r="L66" i="6"/>
  <c r="L74" i="6"/>
  <c r="L82" i="6"/>
  <c r="L28" i="6"/>
  <c r="L60" i="6"/>
  <c r="L76" i="6"/>
  <c r="L68" i="6"/>
  <c r="L16" i="6"/>
  <c r="L70" i="6"/>
  <c r="L32" i="6"/>
  <c r="L62" i="6"/>
  <c r="L78" i="6"/>
  <c r="L44" i="6"/>
  <c r="L48" i="6"/>
  <c r="AF8" i="6"/>
  <c r="AK8" i="6"/>
  <c r="U13" i="6"/>
  <c r="U95" i="6" s="1"/>
  <c r="U97" i="6" s="1"/>
  <c r="AA13" i="6"/>
  <c r="O20" i="6"/>
  <c r="AU8" i="6"/>
  <c r="AZ8" i="6"/>
  <c r="BE8" i="6"/>
  <c r="AY8" i="6"/>
  <c r="BD8" i="6"/>
  <c r="AV8" i="6"/>
  <c r="BA8" i="6"/>
  <c r="AW8" i="6"/>
  <c r="BC8" i="6"/>
  <c r="AQ8" i="6"/>
  <c r="AJ8" i="6"/>
  <c r="AO8" i="6"/>
  <c r="AG8" i="6"/>
  <c r="Y13" i="6"/>
  <c r="Y95" i="6" s="1"/>
  <c r="Y97" i="6" s="1"/>
  <c r="AC13" i="6"/>
  <c r="AC95" i="6" s="1"/>
  <c r="AC97" i="6" s="1"/>
  <c r="I55" i="6"/>
  <c r="AD8" i="6"/>
  <c r="W8" i="6"/>
  <c r="S8" i="6"/>
  <c r="W13" i="6"/>
  <c r="W95" i="6" s="1"/>
  <c r="W97" i="6" s="1"/>
  <c r="O13" i="6"/>
  <c r="X13" i="6"/>
  <c r="X95" i="6" s="1"/>
  <c r="X97" i="6" s="1"/>
  <c r="I13" i="6"/>
  <c r="AA8" i="6"/>
  <c r="I30" i="6"/>
  <c r="I35" i="6"/>
  <c r="T13" i="6"/>
  <c r="T95" i="6" s="1"/>
  <c r="T97" i="6" s="1"/>
  <c r="Z13" i="6"/>
  <c r="AD13" i="6"/>
  <c r="AD95" i="6" s="1"/>
  <c r="AD97" i="6" s="1"/>
  <c r="I60" i="6"/>
  <c r="T8" i="6"/>
  <c r="X8" i="6"/>
  <c r="AB8" i="6"/>
  <c r="U8" i="6"/>
  <c r="AC8" i="6"/>
  <c r="AL8" i="6"/>
  <c r="AP8" i="6"/>
  <c r="V13" i="6"/>
  <c r="V95" i="6" s="1"/>
  <c r="V97" i="6" s="1"/>
  <c r="Y8" i="6"/>
  <c r="AH8" i="6"/>
  <c r="V8" i="6"/>
  <c r="Z8" i="6"/>
  <c r="AI8" i="6"/>
  <c r="AM8" i="6"/>
  <c r="AX8" i="6"/>
  <c r="BB8" i="6"/>
  <c r="AB13" i="6"/>
  <c r="AB95" i="6" s="1"/>
  <c r="AB97" i="6" s="1"/>
  <c r="P32" i="6" l="1"/>
  <c r="Q32" i="6" s="1"/>
  <c r="P90" i="6"/>
  <c r="Q90" i="6" s="1"/>
  <c r="J101" i="6"/>
  <c r="K101" i="6" s="1"/>
  <c r="P85" i="6"/>
  <c r="Q85" i="6" s="1"/>
  <c r="P89" i="6"/>
  <c r="Q89" i="6" s="1"/>
  <c r="J86" i="6"/>
  <c r="K86" i="6" s="1"/>
  <c r="J90" i="6"/>
  <c r="K90" i="6" s="1"/>
  <c r="P93" i="6"/>
  <c r="Q93" i="6" s="1"/>
  <c r="P87" i="6"/>
  <c r="Q87" i="6" s="1"/>
  <c r="P91" i="6"/>
  <c r="Q91" i="6" s="1"/>
  <c r="P105" i="6"/>
  <c r="Q105" i="6" s="1"/>
  <c r="P96" i="6"/>
  <c r="Q96" i="6" s="1"/>
  <c r="J87" i="6"/>
  <c r="K87" i="6" s="1"/>
  <c r="J91" i="6"/>
  <c r="K91" i="6" s="1"/>
  <c r="M86" i="6"/>
  <c r="N86" i="6" s="1"/>
  <c r="M90" i="6"/>
  <c r="N90" i="6" s="1"/>
  <c r="P101" i="6"/>
  <c r="Q101" i="6" s="1"/>
  <c r="M93" i="6"/>
  <c r="N93" i="6" s="1"/>
  <c r="M87" i="6"/>
  <c r="N87" i="6" s="1"/>
  <c r="M91" i="6"/>
  <c r="N91" i="6" s="1"/>
  <c r="M107" i="6"/>
  <c r="N107" i="6" s="1"/>
  <c r="M102" i="6"/>
  <c r="N102" i="6" s="1"/>
  <c r="P106" i="6"/>
  <c r="Q106" i="6" s="1"/>
  <c r="J102" i="6"/>
  <c r="K102" i="6" s="1"/>
  <c r="P44" i="6"/>
  <c r="Q44" i="6" s="1"/>
  <c r="H108" i="6"/>
  <c r="M108" i="6" s="1"/>
  <c r="N108" i="6" s="1"/>
  <c r="M96" i="6"/>
  <c r="N96" i="6" s="1"/>
  <c r="M105" i="6"/>
  <c r="N105" i="6" s="1"/>
  <c r="M104" i="6"/>
  <c r="N104" i="6" s="1"/>
  <c r="P107" i="6"/>
  <c r="Q107" i="6" s="1"/>
  <c r="P104" i="6"/>
  <c r="Q104" i="6" s="1"/>
  <c r="AR91" i="6"/>
  <c r="AR90" i="6"/>
  <c r="AR89" i="6"/>
  <c r="AR87" i="6"/>
  <c r="AR86" i="6"/>
  <c r="AR85" i="6"/>
  <c r="AR84" i="6"/>
  <c r="M103" i="6"/>
  <c r="N103" i="6" s="1"/>
  <c r="M100" i="6"/>
  <c r="N100" i="6" s="1"/>
  <c r="P76" i="6"/>
  <c r="Q76" i="6" s="1"/>
  <c r="P55" i="6"/>
  <c r="Q55" i="6" s="1"/>
  <c r="P52" i="6"/>
  <c r="Q52" i="6" s="1"/>
  <c r="BG91" i="6"/>
  <c r="BG90" i="6"/>
  <c r="BG89" i="6"/>
  <c r="BG88" i="6"/>
  <c r="BG87" i="6"/>
  <c r="BG86" i="6"/>
  <c r="BG85" i="6"/>
  <c r="BG84" i="6"/>
  <c r="BG93" i="6"/>
  <c r="P39" i="6"/>
  <c r="Q39" i="6" s="1"/>
  <c r="P72" i="6"/>
  <c r="Q72" i="6" s="1"/>
  <c r="P79" i="6"/>
  <c r="Q79" i="6" s="1"/>
  <c r="P47" i="6"/>
  <c r="Q47" i="6" s="1"/>
  <c r="J85" i="6"/>
  <c r="K85" i="6" s="1"/>
  <c r="J89" i="6"/>
  <c r="K89" i="6" s="1"/>
  <c r="J107" i="6"/>
  <c r="K107" i="6" s="1"/>
  <c r="P84" i="6"/>
  <c r="Q84" i="6" s="1"/>
  <c r="P88" i="6"/>
  <c r="Q88" i="6" s="1"/>
  <c r="M106" i="6"/>
  <c r="N106" i="6" s="1"/>
  <c r="M101" i="6"/>
  <c r="N101" i="6" s="1"/>
  <c r="P102" i="6"/>
  <c r="Q102" i="6" s="1"/>
  <c r="P103" i="6"/>
  <c r="Q103" i="6" s="1"/>
  <c r="P100" i="6"/>
  <c r="Q100" i="6" s="1"/>
  <c r="P68" i="6"/>
  <c r="Q68" i="6" s="1"/>
  <c r="P56" i="6"/>
  <c r="Q56" i="6" s="1"/>
  <c r="P63" i="6"/>
  <c r="Q63" i="6" s="1"/>
  <c r="P31" i="6"/>
  <c r="Q31" i="6" s="1"/>
  <c r="H13" i="6"/>
  <c r="J13" i="6" s="1"/>
  <c r="AA95" i="6"/>
  <c r="L13" i="6"/>
  <c r="Z95" i="6"/>
  <c r="P23" i="6"/>
  <c r="Q23" i="6" s="1"/>
  <c r="BG15" i="6"/>
  <c r="BG23" i="6"/>
  <c r="BG27" i="6"/>
  <c r="BG31" i="6"/>
  <c r="BG35" i="6"/>
  <c r="BG39" i="6"/>
  <c r="BG43" i="6"/>
  <c r="BG47" i="6"/>
  <c r="BG51" i="6"/>
  <c r="BG55" i="6"/>
  <c r="BG59" i="6"/>
  <c r="BG63" i="6"/>
  <c r="BG67" i="6"/>
  <c r="BG71" i="6"/>
  <c r="BG75" i="6"/>
  <c r="BG79" i="6"/>
  <c r="BG83" i="6"/>
  <c r="BG16" i="6"/>
  <c r="BG20" i="6"/>
  <c r="BG24" i="6"/>
  <c r="BG28" i="6"/>
  <c r="BG32" i="6"/>
  <c r="BG36" i="6"/>
  <c r="BG40" i="6"/>
  <c r="BG44" i="6"/>
  <c r="BG48" i="6"/>
  <c r="BG52" i="6"/>
  <c r="BG56" i="6"/>
  <c r="BG60" i="6"/>
  <c r="BG64" i="6"/>
  <c r="BG68" i="6"/>
  <c r="BG72" i="6"/>
  <c r="BG76" i="6"/>
  <c r="BG80" i="6"/>
  <c r="BG14" i="6"/>
  <c r="BG22" i="6"/>
  <c r="BG30" i="6"/>
  <c r="BG38" i="6"/>
  <c r="BG46" i="6"/>
  <c r="BG54" i="6"/>
  <c r="BG62" i="6"/>
  <c r="BG70" i="6"/>
  <c r="BG78" i="6"/>
  <c r="BG17" i="6"/>
  <c r="BG25" i="6"/>
  <c r="BG33" i="6"/>
  <c r="BG41" i="6"/>
  <c r="BG49" i="6"/>
  <c r="BG57" i="6"/>
  <c r="BG65" i="6"/>
  <c r="BG73" i="6"/>
  <c r="BG81" i="6"/>
  <c r="BG18" i="6"/>
  <c r="BG26" i="6"/>
  <c r="BG34" i="6"/>
  <c r="BG42" i="6"/>
  <c r="BG50" i="6"/>
  <c r="BG58" i="6"/>
  <c r="BG66" i="6"/>
  <c r="BG74" i="6"/>
  <c r="BG82" i="6"/>
  <c r="BG21" i="6"/>
  <c r="BG29" i="6"/>
  <c r="BG37" i="6"/>
  <c r="BG45" i="6"/>
  <c r="BG53" i="6"/>
  <c r="BG61" i="6"/>
  <c r="BG69" i="6"/>
  <c r="BG77" i="6"/>
  <c r="P24" i="6"/>
  <c r="Q24" i="6" s="1"/>
  <c r="P20" i="6"/>
  <c r="Q20" i="6" s="1"/>
  <c r="AR14" i="6"/>
  <c r="AR18" i="6"/>
  <c r="AR22" i="6"/>
  <c r="AR30" i="6"/>
  <c r="AR42" i="6"/>
  <c r="AR46" i="6"/>
  <c r="AR50" i="6"/>
  <c r="AR54" i="6"/>
  <c r="AR58" i="6"/>
  <c r="AR62" i="6"/>
  <c r="AR66" i="6"/>
  <c r="AR70" i="6"/>
  <c r="AR78" i="6"/>
  <c r="AR82" i="6"/>
  <c r="AR25" i="6"/>
  <c r="AR33" i="6"/>
  <c r="AR45" i="6"/>
  <c r="AR57" i="6"/>
  <c r="AR73" i="6"/>
  <c r="AR15" i="6"/>
  <c r="AR23" i="6"/>
  <c r="AR27" i="6"/>
  <c r="AR31" i="6"/>
  <c r="AR35" i="6"/>
  <c r="AR43" i="6"/>
  <c r="AR47" i="6"/>
  <c r="AR51" i="6"/>
  <c r="AR55" i="6"/>
  <c r="AR59" i="6"/>
  <c r="AR63" i="6"/>
  <c r="AR67" i="6"/>
  <c r="AR71" i="6"/>
  <c r="AR79" i="6"/>
  <c r="AR41" i="6"/>
  <c r="AR53" i="6"/>
  <c r="AR65" i="6"/>
  <c r="AR77" i="6"/>
  <c r="AR16" i="6"/>
  <c r="AR28" i="6"/>
  <c r="AR32" i="6"/>
  <c r="AR36" i="6"/>
  <c r="AR40" i="6"/>
  <c r="AR44" i="6"/>
  <c r="AR48" i="6"/>
  <c r="AR52" i="6"/>
  <c r="AR56" i="6"/>
  <c r="AR60" i="6"/>
  <c r="AR64" i="6"/>
  <c r="AR68" i="6"/>
  <c r="AR72" i="6"/>
  <c r="AR76" i="6"/>
  <c r="AR80" i="6"/>
  <c r="AR17" i="6"/>
  <c r="AR37" i="6"/>
  <c r="AR49" i="6"/>
  <c r="AR61" i="6"/>
  <c r="AR69" i="6"/>
  <c r="AR81" i="6"/>
  <c r="P60" i="6"/>
  <c r="Q60" i="6" s="1"/>
  <c r="P83" i="6"/>
  <c r="Q83" i="6" s="1"/>
  <c r="P67" i="6"/>
  <c r="Q67" i="6" s="1"/>
  <c r="P51" i="6"/>
  <c r="Q51" i="6" s="1"/>
  <c r="P35" i="6"/>
  <c r="Q35" i="6" s="1"/>
  <c r="P15" i="6"/>
  <c r="Q15" i="6" s="1"/>
  <c r="P80" i="6"/>
  <c r="Q80" i="6" s="1"/>
  <c r="M64" i="6"/>
  <c r="N64" i="6" s="1"/>
  <c r="J64" i="6"/>
  <c r="K64" i="6" s="1"/>
  <c r="M78" i="6"/>
  <c r="N78" i="6" s="1"/>
  <c r="P78" i="6"/>
  <c r="Q78" i="6" s="1"/>
  <c r="J78" i="6"/>
  <c r="K78" i="6" s="1"/>
  <c r="M46" i="6"/>
  <c r="N46" i="6" s="1"/>
  <c r="P46" i="6"/>
  <c r="Q46" i="6" s="1"/>
  <c r="J46" i="6"/>
  <c r="K46" i="6" s="1"/>
  <c r="M18" i="6"/>
  <c r="N18" i="6" s="1"/>
  <c r="J18" i="6"/>
  <c r="K18" i="6" s="1"/>
  <c r="P18" i="6"/>
  <c r="Q18" i="6" s="1"/>
  <c r="M77" i="6"/>
  <c r="N77" i="6" s="1"/>
  <c r="P77" i="6"/>
  <c r="Q77" i="6" s="1"/>
  <c r="J77" i="6"/>
  <c r="K77" i="6" s="1"/>
  <c r="M61" i="6"/>
  <c r="N61" i="6" s="1"/>
  <c r="P61" i="6"/>
  <c r="Q61" i="6" s="1"/>
  <c r="J61" i="6"/>
  <c r="K61" i="6" s="1"/>
  <c r="M45" i="6"/>
  <c r="N45" i="6" s="1"/>
  <c r="P45" i="6"/>
  <c r="Q45" i="6" s="1"/>
  <c r="J45" i="6"/>
  <c r="K45" i="6" s="1"/>
  <c r="M29" i="6"/>
  <c r="N29" i="6" s="1"/>
  <c r="P29" i="6"/>
  <c r="Q29" i="6" s="1"/>
  <c r="P48" i="6"/>
  <c r="Q48" i="6" s="1"/>
  <c r="P16" i="6"/>
  <c r="Q16" i="6" s="1"/>
  <c r="M60" i="6"/>
  <c r="N60" i="6" s="1"/>
  <c r="J60" i="6"/>
  <c r="K60" i="6" s="1"/>
  <c r="P58" i="6"/>
  <c r="Q58" i="6" s="1"/>
  <c r="J58" i="6"/>
  <c r="K58" i="6" s="1"/>
  <c r="M58" i="6"/>
  <c r="N58" i="6" s="1"/>
  <c r="P26" i="6"/>
  <c r="Q26" i="6" s="1"/>
  <c r="M26" i="6"/>
  <c r="N26" i="6" s="1"/>
  <c r="M40" i="6"/>
  <c r="N40" i="6" s="1"/>
  <c r="J40" i="6"/>
  <c r="K40" i="6" s="1"/>
  <c r="M83" i="6"/>
  <c r="N83" i="6" s="1"/>
  <c r="M67" i="6"/>
  <c r="N67" i="6" s="1"/>
  <c r="J67" i="6"/>
  <c r="K67" i="6" s="1"/>
  <c r="M59" i="6"/>
  <c r="N59" i="6" s="1"/>
  <c r="J59" i="6"/>
  <c r="K59" i="6" s="1"/>
  <c r="M51" i="6"/>
  <c r="N51" i="6" s="1"/>
  <c r="J51" i="6"/>
  <c r="K51" i="6" s="1"/>
  <c r="M43" i="6"/>
  <c r="N43" i="6" s="1"/>
  <c r="J43" i="6"/>
  <c r="K43" i="6" s="1"/>
  <c r="M27" i="6"/>
  <c r="N27" i="6" s="1"/>
  <c r="J27" i="6"/>
  <c r="K27" i="6" s="1"/>
  <c r="AE37" i="6"/>
  <c r="AE95" i="6"/>
  <c r="AE55" i="6"/>
  <c r="AE28" i="6"/>
  <c r="AE46" i="6"/>
  <c r="P75" i="6"/>
  <c r="Q75" i="6" s="1"/>
  <c r="P59" i="6"/>
  <c r="Q59" i="6" s="1"/>
  <c r="P43" i="6"/>
  <c r="Q43" i="6" s="1"/>
  <c r="P27" i="6"/>
  <c r="Q27" i="6" s="1"/>
  <c r="M76" i="6"/>
  <c r="N76" i="6" s="1"/>
  <c r="J76" i="6"/>
  <c r="K76" i="6" s="1"/>
  <c r="M52" i="6"/>
  <c r="N52" i="6" s="1"/>
  <c r="J52" i="6"/>
  <c r="K52" i="6" s="1"/>
  <c r="P21" i="6"/>
  <c r="Q21" i="6" s="1"/>
  <c r="M21" i="6"/>
  <c r="N21" i="6" s="1"/>
  <c r="P70" i="6"/>
  <c r="Q70" i="6" s="1"/>
  <c r="M70" i="6"/>
  <c r="N70" i="6" s="1"/>
  <c r="J70" i="6"/>
  <c r="K70" i="6" s="1"/>
  <c r="P54" i="6"/>
  <c r="Q54" i="6" s="1"/>
  <c r="M54" i="6"/>
  <c r="N54" i="6" s="1"/>
  <c r="J54" i="6"/>
  <c r="K54" i="6" s="1"/>
  <c r="P38" i="6"/>
  <c r="Q38" i="6" s="1"/>
  <c r="M38" i="6"/>
  <c r="N38" i="6" s="1"/>
  <c r="P22" i="6"/>
  <c r="Q22" i="6" s="1"/>
  <c r="M22" i="6"/>
  <c r="N22" i="6" s="1"/>
  <c r="J22" i="6"/>
  <c r="K22" i="6" s="1"/>
  <c r="M68" i="6"/>
  <c r="N68" i="6" s="1"/>
  <c r="J68" i="6"/>
  <c r="K68" i="6" s="1"/>
  <c r="M32" i="6"/>
  <c r="N32" i="6" s="1"/>
  <c r="J32" i="6"/>
  <c r="K32" i="6" s="1"/>
  <c r="M81" i="6"/>
  <c r="N81" i="6" s="1"/>
  <c r="J81" i="6"/>
  <c r="K81" i="6" s="1"/>
  <c r="P81" i="6"/>
  <c r="Q81" i="6" s="1"/>
  <c r="P73" i="6"/>
  <c r="Q73" i="6" s="1"/>
  <c r="M73" i="6"/>
  <c r="N73" i="6" s="1"/>
  <c r="J73" i="6"/>
  <c r="K73" i="6" s="1"/>
  <c r="M65" i="6"/>
  <c r="N65" i="6" s="1"/>
  <c r="P65" i="6"/>
  <c r="Q65" i="6" s="1"/>
  <c r="J65" i="6"/>
  <c r="K65" i="6" s="1"/>
  <c r="P57" i="6"/>
  <c r="Q57" i="6" s="1"/>
  <c r="M57" i="6"/>
  <c r="N57" i="6" s="1"/>
  <c r="J57" i="6"/>
  <c r="K57" i="6" s="1"/>
  <c r="M49" i="6"/>
  <c r="N49" i="6" s="1"/>
  <c r="P49" i="6"/>
  <c r="Q49" i="6" s="1"/>
  <c r="J49" i="6"/>
  <c r="K49" i="6" s="1"/>
  <c r="P41" i="6"/>
  <c r="Q41" i="6" s="1"/>
  <c r="M41" i="6"/>
  <c r="N41" i="6" s="1"/>
  <c r="J41" i="6"/>
  <c r="K41" i="6" s="1"/>
  <c r="M33" i="6"/>
  <c r="N33" i="6" s="1"/>
  <c r="J33" i="6"/>
  <c r="K33" i="6" s="1"/>
  <c r="P33" i="6"/>
  <c r="Q33" i="6" s="1"/>
  <c r="P25" i="6"/>
  <c r="Q25" i="6" s="1"/>
  <c r="M25" i="6"/>
  <c r="N25" i="6" s="1"/>
  <c r="J25" i="6"/>
  <c r="K25" i="6" s="1"/>
  <c r="M14" i="6"/>
  <c r="N14" i="6" s="1"/>
  <c r="P14" i="6"/>
  <c r="Q14" i="6" s="1"/>
  <c r="J14" i="6"/>
  <c r="K14" i="6" s="1"/>
  <c r="M36" i="6"/>
  <c r="N36" i="6" s="1"/>
  <c r="J36" i="6"/>
  <c r="K36" i="6" s="1"/>
  <c r="M16" i="6"/>
  <c r="N16" i="6" s="1"/>
  <c r="J16" i="6"/>
  <c r="K16" i="6" s="1"/>
  <c r="M62" i="6"/>
  <c r="N62" i="6" s="1"/>
  <c r="P62" i="6"/>
  <c r="Q62" i="6" s="1"/>
  <c r="J62" i="6"/>
  <c r="K62" i="6" s="1"/>
  <c r="M30" i="6"/>
  <c r="N30" i="6" s="1"/>
  <c r="P30" i="6"/>
  <c r="Q30" i="6" s="1"/>
  <c r="J30" i="6"/>
  <c r="K30" i="6" s="1"/>
  <c r="M48" i="6"/>
  <c r="N48" i="6" s="1"/>
  <c r="J48" i="6"/>
  <c r="K48" i="6" s="1"/>
  <c r="P69" i="6"/>
  <c r="Q69" i="6" s="1"/>
  <c r="M69" i="6"/>
  <c r="N69" i="6" s="1"/>
  <c r="J69" i="6"/>
  <c r="K69" i="6" s="1"/>
  <c r="P53" i="6"/>
  <c r="Q53" i="6" s="1"/>
  <c r="M53" i="6"/>
  <c r="N53" i="6" s="1"/>
  <c r="J53" i="6"/>
  <c r="K53" i="6" s="1"/>
  <c r="P37" i="6"/>
  <c r="Q37" i="6" s="1"/>
  <c r="M37" i="6"/>
  <c r="N37" i="6" s="1"/>
  <c r="J37" i="6"/>
  <c r="K37" i="6" s="1"/>
  <c r="P64" i="6"/>
  <c r="Q64" i="6" s="1"/>
  <c r="M28" i="6"/>
  <c r="N28" i="6" s="1"/>
  <c r="J28" i="6"/>
  <c r="K28" i="6" s="1"/>
  <c r="P74" i="6"/>
  <c r="Q74" i="6" s="1"/>
  <c r="M74" i="6"/>
  <c r="N74" i="6" s="1"/>
  <c r="J74" i="6"/>
  <c r="K74" i="6" s="1"/>
  <c r="P42" i="6"/>
  <c r="Q42" i="6" s="1"/>
  <c r="J42" i="6"/>
  <c r="K42" i="6" s="1"/>
  <c r="M42" i="6"/>
  <c r="N42" i="6" s="1"/>
  <c r="M80" i="6"/>
  <c r="N80" i="6" s="1"/>
  <c r="J80" i="6"/>
  <c r="K80" i="6" s="1"/>
  <c r="J15" i="6"/>
  <c r="K15" i="6" s="1"/>
  <c r="M15" i="6"/>
  <c r="N15" i="6" s="1"/>
  <c r="M75" i="6"/>
  <c r="N75" i="6" s="1"/>
  <c r="J75" i="6"/>
  <c r="K75" i="6" s="1"/>
  <c r="M35" i="6"/>
  <c r="N35" i="6" s="1"/>
  <c r="J35" i="6"/>
  <c r="K35" i="6" s="1"/>
  <c r="P28" i="6"/>
  <c r="Q28" i="6" s="1"/>
  <c r="P40" i="6"/>
  <c r="Q40" i="6" s="1"/>
  <c r="P36" i="6"/>
  <c r="Q36" i="6" s="1"/>
  <c r="M20" i="6"/>
  <c r="N20" i="6" s="1"/>
  <c r="M72" i="6"/>
  <c r="N72" i="6" s="1"/>
  <c r="J72" i="6"/>
  <c r="K72" i="6" s="1"/>
  <c r="M44" i="6"/>
  <c r="N44" i="6" s="1"/>
  <c r="J44" i="6"/>
  <c r="K44" i="6" s="1"/>
  <c r="M82" i="6"/>
  <c r="N82" i="6" s="1"/>
  <c r="J82" i="6"/>
  <c r="K82" i="6" s="1"/>
  <c r="P82" i="6"/>
  <c r="Q82" i="6" s="1"/>
  <c r="M66" i="6"/>
  <c r="N66" i="6" s="1"/>
  <c r="J66" i="6"/>
  <c r="K66" i="6" s="1"/>
  <c r="P66" i="6"/>
  <c r="Q66" i="6" s="1"/>
  <c r="M50" i="6"/>
  <c r="N50" i="6" s="1"/>
  <c r="J50" i="6"/>
  <c r="K50" i="6" s="1"/>
  <c r="P50" i="6"/>
  <c r="Q50" i="6" s="1"/>
  <c r="M34" i="6"/>
  <c r="N34" i="6" s="1"/>
  <c r="P34" i="6"/>
  <c r="Q34" i="6" s="1"/>
  <c r="M17" i="6"/>
  <c r="N17" i="6" s="1"/>
  <c r="J17" i="6"/>
  <c r="K17" i="6" s="1"/>
  <c r="P17" i="6"/>
  <c r="Q17" i="6" s="1"/>
  <c r="M56" i="6"/>
  <c r="N56" i="6" s="1"/>
  <c r="J56" i="6"/>
  <c r="K56" i="6" s="1"/>
  <c r="M24" i="6"/>
  <c r="N24" i="6" s="1"/>
  <c r="M79" i="6"/>
  <c r="N79" i="6" s="1"/>
  <c r="J79" i="6"/>
  <c r="K79" i="6" s="1"/>
  <c r="M71" i="6"/>
  <c r="N71" i="6" s="1"/>
  <c r="J71" i="6"/>
  <c r="K71" i="6" s="1"/>
  <c r="J63" i="6"/>
  <c r="K63" i="6" s="1"/>
  <c r="M63" i="6"/>
  <c r="N63" i="6" s="1"/>
  <c r="M55" i="6"/>
  <c r="N55" i="6" s="1"/>
  <c r="J55" i="6"/>
  <c r="K55" i="6" s="1"/>
  <c r="M47" i="6"/>
  <c r="N47" i="6" s="1"/>
  <c r="J47" i="6"/>
  <c r="K47" i="6" s="1"/>
  <c r="M39" i="6"/>
  <c r="N39" i="6" s="1"/>
  <c r="M31" i="6"/>
  <c r="N31" i="6" s="1"/>
  <c r="J31" i="6"/>
  <c r="K31" i="6" s="1"/>
  <c r="M23" i="6"/>
  <c r="N23" i="6" s="1"/>
  <c r="J23" i="6"/>
  <c r="K23" i="6" s="1"/>
  <c r="BG13" i="6"/>
  <c r="AR13" i="6"/>
  <c r="AR95" i="6" s="1"/>
  <c r="P108" i="6" l="1"/>
  <c r="Q108" i="6" s="1"/>
  <c r="Z97" i="6"/>
  <c r="L97" i="6" s="1"/>
  <c r="L95" i="6"/>
  <c r="P13" i="6"/>
  <c r="Q13" i="6" s="1"/>
  <c r="M13" i="6"/>
  <c r="N13" i="6" s="1"/>
  <c r="AA97" i="6"/>
  <c r="H97" i="6" s="1"/>
  <c r="H95" i="6"/>
  <c r="AS95" i="6"/>
  <c r="AT95" i="6" s="1"/>
  <c r="BH26" i="6"/>
  <c r="BI26" i="6" s="1"/>
  <c r="AR107" i="6"/>
  <c r="AR106" i="6"/>
  <c r="AR101" i="6"/>
  <c r="AR102" i="6"/>
  <c r="AS80" i="6"/>
  <c r="AT80" i="6" s="1"/>
  <c r="BH80" i="6"/>
  <c r="BI80" i="6" s="1"/>
  <c r="AS48" i="6"/>
  <c r="AT48" i="6" s="1"/>
  <c r="BH48" i="6"/>
  <c r="BI48" i="6" s="1"/>
  <c r="BH16" i="6"/>
  <c r="BI16" i="6" s="1"/>
  <c r="AS16" i="6"/>
  <c r="AT16" i="6" s="1"/>
  <c r="AS67" i="6"/>
  <c r="AT67" i="6" s="1"/>
  <c r="BH67" i="6"/>
  <c r="BI67" i="6" s="1"/>
  <c r="AS35" i="6"/>
  <c r="AT35" i="6" s="1"/>
  <c r="BH35" i="6"/>
  <c r="BI35" i="6" s="1"/>
  <c r="BH82" i="6"/>
  <c r="BI82" i="6" s="1"/>
  <c r="AS82" i="6"/>
  <c r="AT82" i="6" s="1"/>
  <c r="BH66" i="6"/>
  <c r="BI66" i="6" s="1"/>
  <c r="AS66" i="6"/>
  <c r="AT66" i="6" s="1"/>
  <c r="BH50" i="6"/>
  <c r="BI50" i="6" s="1"/>
  <c r="AS50" i="6"/>
  <c r="AT50" i="6" s="1"/>
  <c r="BH34" i="6"/>
  <c r="BI34" i="6" s="1"/>
  <c r="AS18" i="6"/>
  <c r="AT18" i="6" s="1"/>
  <c r="BH18" i="6"/>
  <c r="BI18" i="6" s="1"/>
  <c r="BH68" i="6"/>
  <c r="BI68" i="6" s="1"/>
  <c r="AS68" i="6"/>
  <c r="AT68" i="6" s="1"/>
  <c r="BH36" i="6"/>
  <c r="BI36" i="6" s="1"/>
  <c r="AS36" i="6"/>
  <c r="AT36" i="6" s="1"/>
  <c r="AS79" i="6"/>
  <c r="AT79" i="6" s="1"/>
  <c r="BH79" i="6"/>
  <c r="BI79" i="6" s="1"/>
  <c r="AS51" i="6"/>
  <c r="AT51" i="6" s="1"/>
  <c r="BH51" i="6"/>
  <c r="BI51" i="6" s="1"/>
  <c r="BH14" i="6"/>
  <c r="BI14" i="6" s="1"/>
  <c r="AS14" i="6"/>
  <c r="AT14" i="6" s="1"/>
  <c r="BH69" i="6"/>
  <c r="BI69" i="6" s="1"/>
  <c r="AS69" i="6"/>
  <c r="AT69" i="6" s="1"/>
  <c r="BH53" i="6"/>
  <c r="BI53" i="6" s="1"/>
  <c r="AS53" i="6"/>
  <c r="AT53" i="6" s="1"/>
  <c r="BH37" i="6"/>
  <c r="BI37" i="6" s="1"/>
  <c r="AS37" i="6"/>
  <c r="AT37" i="6" s="1"/>
  <c r="BH21" i="6"/>
  <c r="BI21" i="6" s="1"/>
  <c r="AS72" i="6"/>
  <c r="AT72" i="6" s="1"/>
  <c r="BH72" i="6"/>
  <c r="BI72" i="6" s="1"/>
  <c r="AS40" i="6"/>
  <c r="AT40" i="6" s="1"/>
  <c r="BH40" i="6"/>
  <c r="BI40" i="6" s="1"/>
  <c r="AS59" i="6"/>
  <c r="AT59" i="6" s="1"/>
  <c r="BH59" i="6"/>
  <c r="BI59" i="6" s="1"/>
  <c r="AS27" i="6"/>
  <c r="AT27" i="6" s="1"/>
  <c r="BH27" i="6"/>
  <c r="BI27" i="6" s="1"/>
  <c r="BH78" i="6"/>
  <c r="BI78" i="6" s="1"/>
  <c r="AS78" i="6"/>
  <c r="AT78" i="6" s="1"/>
  <c r="BH62" i="6"/>
  <c r="BI62" i="6" s="1"/>
  <c r="AS62" i="6"/>
  <c r="AT62" i="6" s="1"/>
  <c r="BH46" i="6"/>
  <c r="BI46" i="6" s="1"/>
  <c r="AS46" i="6"/>
  <c r="AT46" i="6" s="1"/>
  <c r="BH30" i="6"/>
  <c r="BI30" i="6" s="1"/>
  <c r="AS30" i="6"/>
  <c r="AT30" i="6" s="1"/>
  <c r="BH60" i="6"/>
  <c r="BI60" i="6" s="1"/>
  <c r="AS60" i="6"/>
  <c r="AT60" i="6" s="1"/>
  <c r="AS28" i="6"/>
  <c r="AT28" i="6" s="1"/>
  <c r="BH28" i="6"/>
  <c r="BI28" i="6" s="1"/>
  <c r="BH71" i="6"/>
  <c r="BI71" i="6" s="1"/>
  <c r="AS71" i="6"/>
  <c r="AT71" i="6" s="1"/>
  <c r="AS43" i="6"/>
  <c r="AT43" i="6" s="1"/>
  <c r="BH43" i="6"/>
  <c r="BI43" i="6" s="1"/>
  <c r="AS81" i="6"/>
  <c r="AT81" i="6" s="1"/>
  <c r="BH81" i="6"/>
  <c r="BI81" i="6" s="1"/>
  <c r="AS65" i="6"/>
  <c r="AT65" i="6" s="1"/>
  <c r="BH65" i="6"/>
  <c r="BI65" i="6" s="1"/>
  <c r="AS49" i="6"/>
  <c r="AT49" i="6" s="1"/>
  <c r="BH49" i="6"/>
  <c r="BI49" i="6" s="1"/>
  <c r="AS33" i="6"/>
  <c r="AT33" i="6" s="1"/>
  <c r="BH33" i="6"/>
  <c r="BI33" i="6" s="1"/>
  <c r="BH17" i="6"/>
  <c r="BI17" i="6" s="1"/>
  <c r="AS17" i="6"/>
  <c r="AT17" i="6" s="1"/>
  <c r="AS64" i="6"/>
  <c r="AT64" i="6" s="1"/>
  <c r="BH64" i="6"/>
  <c r="BI64" i="6" s="1"/>
  <c r="AS32" i="6"/>
  <c r="AT32" i="6" s="1"/>
  <c r="BH32" i="6"/>
  <c r="BI32" i="6" s="1"/>
  <c r="AS47" i="6"/>
  <c r="AT47" i="6" s="1"/>
  <c r="BH47" i="6"/>
  <c r="BI47" i="6" s="1"/>
  <c r="BH74" i="6"/>
  <c r="BI74" i="6" s="1"/>
  <c r="BH58" i="6"/>
  <c r="BI58" i="6" s="1"/>
  <c r="AS58" i="6"/>
  <c r="AT58" i="6" s="1"/>
  <c r="BH42" i="6"/>
  <c r="BI42" i="6" s="1"/>
  <c r="AS42" i="6"/>
  <c r="AT42" i="6" s="1"/>
  <c r="BH52" i="6"/>
  <c r="BI52" i="6" s="1"/>
  <c r="AS52" i="6"/>
  <c r="AT52" i="6" s="1"/>
  <c r="BH20" i="6"/>
  <c r="BI20" i="6" s="1"/>
  <c r="AS63" i="6"/>
  <c r="AT63" i="6" s="1"/>
  <c r="BH63" i="6"/>
  <c r="BI63" i="6" s="1"/>
  <c r="AS31" i="6"/>
  <c r="AT31" i="6" s="1"/>
  <c r="BH31" i="6"/>
  <c r="BI31" i="6" s="1"/>
  <c r="BH77" i="6"/>
  <c r="BI77" i="6" s="1"/>
  <c r="AS77" i="6"/>
  <c r="AT77" i="6" s="1"/>
  <c r="BH61" i="6"/>
  <c r="BI61" i="6" s="1"/>
  <c r="AS61" i="6"/>
  <c r="AT61" i="6" s="1"/>
  <c r="BH45" i="6"/>
  <c r="BI45" i="6" s="1"/>
  <c r="AS45" i="6"/>
  <c r="AT45" i="6" s="1"/>
  <c r="BH29" i="6"/>
  <c r="BI29" i="6" s="1"/>
  <c r="AS15" i="6"/>
  <c r="AT15" i="6" s="1"/>
  <c r="BH15" i="6"/>
  <c r="BI15" i="6" s="1"/>
  <c r="AS56" i="6"/>
  <c r="AT56" i="6" s="1"/>
  <c r="BH56" i="6"/>
  <c r="BI56" i="6" s="1"/>
  <c r="BH24" i="6"/>
  <c r="BI24" i="6" s="1"/>
  <c r="BH75" i="6"/>
  <c r="BI75" i="6" s="1"/>
  <c r="BH39" i="6"/>
  <c r="BI39" i="6" s="1"/>
  <c r="BH70" i="6"/>
  <c r="BI70" i="6" s="1"/>
  <c r="AS70" i="6"/>
  <c r="AT70" i="6" s="1"/>
  <c r="BH54" i="6"/>
  <c r="BI54" i="6" s="1"/>
  <c r="AS54" i="6"/>
  <c r="AT54" i="6" s="1"/>
  <c r="BH38" i="6"/>
  <c r="BI38" i="6" s="1"/>
  <c r="AS22" i="6"/>
  <c r="AT22" i="6" s="1"/>
  <c r="BH22" i="6"/>
  <c r="BI22" i="6" s="1"/>
  <c r="BH76" i="6"/>
  <c r="BI76" i="6" s="1"/>
  <c r="AS76" i="6"/>
  <c r="AT76" i="6" s="1"/>
  <c r="BH44" i="6"/>
  <c r="BI44" i="6" s="1"/>
  <c r="AS44" i="6"/>
  <c r="AT44" i="6" s="1"/>
  <c r="BH55" i="6"/>
  <c r="BI55" i="6" s="1"/>
  <c r="AS55" i="6"/>
  <c r="AT55" i="6" s="1"/>
  <c r="AS23" i="6"/>
  <c r="AT23" i="6" s="1"/>
  <c r="BH23" i="6"/>
  <c r="BI23" i="6" s="1"/>
  <c r="AS73" i="6"/>
  <c r="AT73" i="6" s="1"/>
  <c r="BH73" i="6"/>
  <c r="BI73" i="6" s="1"/>
  <c r="AS57" i="6"/>
  <c r="AT57" i="6" s="1"/>
  <c r="BH57" i="6"/>
  <c r="BI57" i="6" s="1"/>
  <c r="AS41" i="6"/>
  <c r="AT41" i="6" s="1"/>
  <c r="BH41" i="6"/>
  <c r="BI41" i="6" s="1"/>
  <c r="AS25" i="6"/>
  <c r="AT25" i="6" s="1"/>
  <c r="BH25" i="6"/>
  <c r="BI25" i="6" s="1"/>
  <c r="K13" i="6"/>
  <c r="BH13" i="6"/>
  <c r="BI13" i="6" s="1"/>
  <c r="AS13" i="6"/>
  <c r="AT13" i="6" s="1"/>
  <c r="J95" i="6" l="1"/>
  <c r="K95" i="6" s="1"/>
  <c r="P95" i="6"/>
  <c r="Q95" i="6" s="1"/>
  <c r="M95" i="6"/>
  <c r="N95" i="6" s="1"/>
  <c r="M97" i="6"/>
  <c r="N97" i="6" s="1"/>
  <c r="P97" i="6"/>
  <c r="Q97" i="6" s="1"/>
  <c r="J66" i="3"/>
  <c r="K66" i="3"/>
  <c r="L66" i="3"/>
  <c r="M66" i="3"/>
  <c r="N66" i="3"/>
  <c r="O66" i="3"/>
  <c r="P66" i="3"/>
  <c r="Q66" i="3"/>
  <c r="R66" i="3"/>
  <c r="S66" i="3"/>
  <c r="T66" i="3"/>
  <c r="I66" i="3"/>
  <c r="J42" i="3"/>
  <c r="J43" i="3" s="1"/>
  <c r="K42" i="3"/>
  <c r="K43" i="3" s="1"/>
  <c r="L42" i="3"/>
  <c r="L43" i="3" s="1"/>
  <c r="M42" i="3"/>
  <c r="M43" i="3" s="1"/>
  <c r="N42" i="3"/>
  <c r="N43" i="3" s="1"/>
  <c r="O42" i="3"/>
  <c r="O43" i="3" s="1"/>
  <c r="P42" i="3"/>
  <c r="P43" i="3" s="1"/>
  <c r="Q42" i="3"/>
  <c r="Q43" i="3" s="1"/>
  <c r="R42" i="3"/>
  <c r="R43" i="3" s="1"/>
  <c r="S42" i="3"/>
  <c r="S43" i="3" s="1"/>
  <c r="T42" i="3"/>
  <c r="T43" i="3" s="1"/>
  <c r="I42" i="3"/>
  <c r="I43" i="3" s="1"/>
  <c r="J31" i="3"/>
  <c r="J32" i="3" s="1"/>
  <c r="K31" i="3"/>
  <c r="K32" i="3" s="1"/>
  <c r="L31" i="3"/>
  <c r="L32" i="3" s="1"/>
  <c r="M31" i="3"/>
  <c r="M32" i="3" s="1"/>
  <c r="N31" i="3"/>
  <c r="N32" i="3" s="1"/>
  <c r="O31" i="3"/>
  <c r="O32" i="3" s="1"/>
  <c r="P31" i="3"/>
  <c r="P32" i="3" s="1"/>
  <c r="Q31" i="3"/>
  <c r="Q32" i="3" s="1"/>
  <c r="R31" i="3"/>
  <c r="R32" i="3" s="1"/>
  <c r="S31" i="3"/>
  <c r="S32" i="3" s="1"/>
  <c r="T31" i="3"/>
  <c r="T32" i="3" s="1"/>
  <c r="I31" i="3"/>
  <c r="I32" i="3" s="1"/>
  <c r="I85" i="3" s="1"/>
  <c r="AL26" i="6" l="1"/>
  <c r="AL105" i="6" s="1"/>
  <c r="AH26" i="6"/>
  <c r="AH105" i="6" s="1"/>
  <c r="AL24" i="6"/>
  <c r="AL103" i="6" s="1"/>
  <c r="AH24" i="6"/>
  <c r="AH103" i="6" s="1"/>
  <c r="AL34" i="6"/>
  <c r="AH34" i="6"/>
  <c r="AP88" i="6"/>
  <c r="AP83" i="6" s="1"/>
  <c r="AL88" i="6"/>
  <c r="AL83" i="6" s="1"/>
  <c r="AH88" i="6"/>
  <c r="AH83" i="6" s="1"/>
  <c r="AO26" i="6"/>
  <c r="AO105" i="6" s="1"/>
  <c r="I105" i="6" s="1"/>
  <c r="J105" i="6" s="1"/>
  <c r="K105" i="6" s="1"/>
  <c r="AG26" i="6"/>
  <c r="AG105" i="6" s="1"/>
  <c r="AO24" i="6"/>
  <c r="I24" i="6" s="1"/>
  <c r="J24" i="6" s="1"/>
  <c r="K24" i="6" s="1"/>
  <c r="AG24" i="6"/>
  <c r="AG103" i="6" s="1"/>
  <c r="AO34" i="6"/>
  <c r="AK34" i="6"/>
  <c r="AG34" i="6"/>
  <c r="AO88" i="6"/>
  <c r="AK88" i="6"/>
  <c r="AK83" i="6" s="1"/>
  <c r="AG88" i="6"/>
  <c r="AG83" i="6" s="1"/>
  <c r="AF26" i="6"/>
  <c r="AF105" i="6" s="1"/>
  <c r="AN26" i="6"/>
  <c r="AN105" i="6" s="1"/>
  <c r="AJ26" i="6"/>
  <c r="AJ105" i="6" s="1"/>
  <c r="AF24" i="6"/>
  <c r="AF103" i="6" s="1"/>
  <c r="AN24" i="6"/>
  <c r="AN103" i="6" s="1"/>
  <c r="AJ24" i="6"/>
  <c r="AJ103" i="6" s="1"/>
  <c r="U65" i="3"/>
  <c r="U66" i="3" s="1"/>
  <c r="AF34" i="6"/>
  <c r="AN34" i="6"/>
  <c r="AJ34" i="6"/>
  <c r="AF88" i="6"/>
  <c r="AN88" i="6"/>
  <c r="AN83" i="6" s="1"/>
  <c r="AJ88" i="6"/>
  <c r="AJ83" i="6" s="1"/>
  <c r="AP26" i="6"/>
  <c r="AP105" i="6" s="1"/>
  <c r="AP24" i="6"/>
  <c r="AP103" i="6" s="1"/>
  <c r="AP34" i="6"/>
  <c r="AK26" i="6"/>
  <c r="AK105" i="6" s="1"/>
  <c r="AK24" i="6"/>
  <c r="AK103" i="6" s="1"/>
  <c r="AQ26" i="6"/>
  <c r="AQ105" i="6" s="1"/>
  <c r="AM26" i="6"/>
  <c r="AM105" i="6" s="1"/>
  <c r="AI26" i="6"/>
  <c r="AI105" i="6" s="1"/>
  <c r="AQ24" i="6"/>
  <c r="AQ103" i="6" s="1"/>
  <c r="AM24" i="6"/>
  <c r="AM103" i="6" s="1"/>
  <c r="AI24" i="6"/>
  <c r="AI103" i="6" s="1"/>
  <c r="AQ34" i="6"/>
  <c r="AM34" i="6"/>
  <c r="AI34" i="6"/>
  <c r="AQ88" i="6"/>
  <c r="AQ83" i="6" s="1"/>
  <c r="AM88" i="6"/>
  <c r="AM83" i="6" s="1"/>
  <c r="AI88" i="6"/>
  <c r="AI83" i="6" s="1"/>
  <c r="U25" i="3"/>
  <c r="U30" i="3"/>
  <c r="U29" i="3"/>
  <c r="U35" i="3"/>
  <c r="U41" i="3"/>
  <c r="U28" i="3"/>
  <c r="U31" i="3"/>
  <c r="AF75" i="6"/>
  <c r="BK75" i="6" s="1"/>
  <c r="BK74" i="6" s="1"/>
  <c r="J26" i="3"/>
  <c r="J85" i="3" s="1"/>
  <c r="K26" i="3"/>
  <c r="K85" i="3" s="1"/>
  <c r="L26" i="3"/>
  <c r="L85" i="3" s="1"/>
  <c r="M26" i="3"/>
  <c r="M85" i="3" s="1"/>
  <c r="N26" i="3"/>
  <c r="N85" i="3" s="1"/>
  <c r="O26" i="3"/>
  <c r="O85" i="3" s="1"/>
  <c r="P26" i="3"/>
  <c r="P85" i="3" s="1"/>
  <c r="Q26" i="3"/>
  <c r="Q85" i="3" s="1"/>
  <c r="R26" i="3"/>
  <c r="R85" i="3" s="1"/>
  <c r="S26" i="3"/>
  <c r="S85" i="3" s="1"/>
  <c r="T26" i="3"/>
  <c r="T85" i="3" s="1"/>
  <c r="AG39" i="6"/>
  <c r="AG38" i="6" s="1"/>
  <c r="AH39" i="6"/>
  <c r="AH38" i="6" s="1"/>
  <c r="AI39" i="6"/>
  <c r="AI38" i="6" s="1"/>
  <c r="AJ39" i="6"/>
  <c r="AJ38" i="6" s="1"/>
  <c r="AK39" i="6"/>
  <c r="AK38" i="6" s="1"/>
  <c r="AL39" i="6"/>
  <c r="AL38" i="6" s="1"/>
  <c r="AM39" i="6"/>
  <c r="AM38" i="6" s="1"/>
  <c r="AN39" i="6"/>
  <c r="AN38" i="6" s="1"/>
  <c r="AO39" i="6"/>
  <c r="AP39" i="6"/>
  <c r="AP38" i="6" s="1"/>
  <c r="AQ39" i="6"/>
  <c r="AQ38" i="6" s="1"/>
  <c r="AF39" i="6"/>
  <c r="M31" i="1"/>
  <c r="L31" i="1"/>
  <c r="K31" i="1"/>
  <c r="J31" i="1"/>
  <c r="I31" i="1"/>
  <c r="H31" i="1"/>
  <c r="G31" i="1"/>
  <c r="F31" i="1"/>
  <c r="E31" i="1"/>
  <c r="D31" i="1"/>
  <c r="C31" i="1"/>
  <c r="B31" i="1"/>
  <c r="N30" i="1"/>
  <c r="N29" i="1"/>
  <c r="M26" i="1"/>
  <c r="L26" i="1"/>
  <c r="K26" i="1"/>
  <c r="J26" i="1"/>
  <c r="I26" i="1"/>
  <c r="H26" i="1"/>
  <c r="G26" i="1"/>
  <c r="F26" i="1"/>
  <c r="E26" i="1"/>
  <c r="D26" i="1"/>
  <c r="C26" i="1"/>
  <c r="B26" i="1"/>
  <c r="N25" i="1"/>
  <c r="N24" i="1"/>
  <c r="M20" i="1"/>
  <c r="L20" i="1"/>
  <c r="K20" i="1"/>
  <c r="J20" i="1"/>
  <c r="I20" i="1"/>
  <c r="H20" i="1"/>
  <c r="G20" i="1"/>
  <c r="F20" i="1"/>
  <c r="E20" i="1"/>
  <c r="D20" i="1"/>
  <c r="C20" i="1"/>
  <c r="B20" i="1"/>
  <c r="N19" i="1"/>
  <c r="N18" i="1"/>
  <c r="N17" i="1"/>
  <c r="N16" i="1"/>
  <c r="N15" i="1"/>
  <c r="N14" i="1"/>
  <c r="N13" i="1"/>
  <c r="M11" i="1"/>
  <c r="L11" i="1"/>
  <c r="K11" i="1"/>
  <c r="J11" i="1"/>
  <c r="I11" i="1"/>
  <c r="H11" i="1"/>
  <c r="G11" i="1"/>
  <c r="F11" i="1"/>
  <c r="E11" i="1"/>
  <c r="D11" i="1"/>
  <c r="C11" i="1"/>
  <c r="B11" i="1"/>
  <c r="N10" i="1"/>
  <c r="N9" i="1"/>
  <c r="N8" i="1"/>
  <c r="N7" i="1"/>
  <c r="I87" i="3" l="1"/>
  <c r="J21" i="1"/>
  <c r="E21" i="1"/>
  <c r="M21" i="1"/>
  <c r="C21" i="1"/>
  <c r="C33" i="1" s="1"/>
  <c r="K21" i="1"/>
  <c r="K33" i="1" s="1"/>
  <c r="J33" i="1"/>
  <c r="B21" i="1"/>
  <c r="B33" i="1" s="1"/>
  <c r="AO103" i="6"/>
  <c r="I103" i="6" s="1"/>
  <c r="J103" i="6" s="1"/>
  <c r="K103" i="6" s="1"/>
  <c r="I26" i="6"/>
  <c r="J26" i="6" s="1"/>
  <c r="K26" i="6" s="1"/>
  <c r="U32" i="3"/>
  <c r="AO21" i="6"/>
  <c r="AO20" i="6" s="1"/>
  <c r="AK21" i="6"/>
  <c r="AK100" i="6" s="1"/>
  <c r="AG21" i="6"/>
  <c r="AG100" i="6" s="1"/>
  <c r="AR24" i="6"/>
  <c r="AS24" i="6" s="1"/>
  <c r="AT24" i="6" s="1"/>
  <c r="BK24" i="6"/>
  <c r="BK103" i="6" s="1"/>
  <c r="AI104" i="6"/>
  <c r="AI29" i="6"/>
  <c r="AQ104" i="6"/>
  <c r="AQ29" i="6"/>
  <c r="BK88" i="6"/>
  <c r="BK83" i="6" s="1"/>
  <c r="AF83" i="6"/>
  <c r="AR88" i="6"/>
  <c r="AH104" i="6"/>
  <c r="AH29" i="6"/>
  <c r="AM104" i="6"/>
  <c r="AM29" i="6"/>
  <c r="AJ104" i="6"/>
  <c r="AJ29" i="6"/>
  <c r="AO104" i="6"/>
  <c r="I104" i="6" s="1"/>
  <c r="J104" i="6" s="1"/>
  <c r="K104" i="6" s="1"/>
  <c r="AO29" i="6"/>
  <c r="I34" i="6"/>
  <c r="J34" i="6" s="1"/>
  <c r="K34" i="6" s="1"/>
  <c r="AF21" i="6"/>
  <c r="AF100" i="6" s="1"/>
  <c r="AN21" i="6"/>
  <c r="AN100" i="6" s="1"/>
  <c r="AJ21" i="6"/>
  <c r="AJ20" i="6" s="1"/>
  <c r="U85" i="3"/>
  <c r="BK26" i="6"/>
  <c r="BK105" i="6" s="1"/>
  <c r="AN104" i="6"/>
  <c r="AN29" i="6"/>
  <c r="AO83" i="6"/>
  <c r="I83" i="6" s="1"/>
  <c r="J83" i="6" s="1"/>
  <c r="K83" i="6" s="1"/>
  <c r="I88" i="6"/>
  <c r="J88" i="6" s="1"/>
  <c r="K88" i="6" s="1"/>
  <c r="AL104" i="6"/>
  <c r="AL29" i="6"/>
  <c r="AP21" i="6"/>
  <c r="AP100" i="6" s="1"/>
  <c r="AL21" i="6"/>
  <c r="AL100" i="6" s="1"/>
  <c r="AH21" i="6"/>
  <c r="AH20" i="6" s="1"/>
  <c r="AG29" i="6"/>
  <c r="AG104" i="6"/>
  <c r="AQ21" i="6"/>
  <c r="AQ100" i="6" s="1"/>
  <c r="AM21" i="6"/>
  <c r="AM20" i="6" s="1"/>
  <c r="AI21" i="6"/>
  <c r="AI20" i="6" s="1"/>
  <c r="AR26" i="6"/>
  <c r="AR105" i="6" s="1"/>
  <c r="AP104" i="6"/>
  <c r="AP29" i="6"/>
  <c r="AF104" i="6"/>
  <c r="BK34" i="6"/>
  <c r="AF29" i="6"/>
  <c r="AR34" i="6"/>
  <c r="AK104" i="6"/>
  <c r="AK29" i="6"/>
  <c r="BK39" i="6"/>
  <c r="BK38" i="6" s="1"/>
  <c r="AO38" i="6"/>
  <c r="I38" i="6" s="1"/>
  <c r="J38" i="6" s="1"/>
  <c r="K38" i="6" s="1"/>
  <c r="I39" i="6"/>
  <c r="J39" i="6" s="1"/>
  <c r="K39" i="6" s="1"/>
  <c r="AF74" i="6"/>
  <c r="AR74" i="6" s="1"/>
  <c r="AS74" i="6" s="1"/>
  <c r="AT74" i="6" s="1"/>
  <c r="AR75" i="6"/>
  <c r="AS75" i="6" s="1"/>
  <c r="AT75" i="6" s="1"/>
  <c r="AF38" i="6"/>
  <c r="AR38" i="6" s="1"/>
  <c r="AS38" i="6" s="1"/>
  <c r="AT38" i="6" s="1"/>
  <c r="AR39" i="6"/>
  <c r="AS39" i="6" s="1"/>
  <c r="AT39" i="6" s="1"/>
  <c r="F21" i="1"/>
  <c r="F33" i="1" s="1"/>
  <c r="G21" i="1"/>
  <c r="G33" i="1" s="1"/>
  <c r="I21" i="1"/>
  <c r="I33" i="1" s="1"/>
  <c r="U20" i="3"/>
  <c r="U19" i="3"/>
  <c r="U18" i="3"/>
  <c r="U42" i="3"/>
  <c r="U43" i="3" s="1"/>
  <c r="D21" i="1"/>
  <c r="D33" i="1" s="1"/>
  <c r="H21" i="1"/>
  <c r="H33" i="1" s="1"/>
  <c r="L21" i="1"/>
  <c r="L33" i="1" s="1"/>
  <c r="N26" i="1"/>
  <c r="M33" i="1"/>
  <c r="E33" i="1"/>
  <c r="N11" i="1"/>
  <c r="N20" i="1"/>
  <c r="N31" i="1"/>
  <c r="AM93" i="6" l="1"/>
  <c r="AM96" i="6" s="1"/>
  <c r="AM97" i="6" s="1"/>
  <c r="AH93" i="6"/>
  <c r="AH96" i="6" s="1"/>
  <c r="AH97" i="6" s="1"/>
  <c r="M87" i="3"/>
  <c r="P87" i="3"/>
  <c r="O87" i="3"/>
  <c r="N87" i="3"/>
  <c r="Q87" i="3"/>
  <c r="L87" i="3"/>
  <c r="T87" i="3"/>
  <c r="K87" i="3"/>
  <c r="S87" i="3"/>
  <c r="J87" i="3"/>
  <c r="R87" i="3"/>
  <c r="AI93" i="6"/>
  <c r="AI96" i="6" s="1"/>
  <c r="AI97" i="6" s="1"/>
  <c r="AO93" i="6"/>
  <c r="AJ93" i="6"/>
  <c r="AJ96" i="6" s="1"/>
  <c r="AJ97" i="6" s="1"/>
  <c r="AP20" i="6"/>
  <c r="I21" i="6"/>
  <c r="J21" i="6" s="1"/>
  <c r="K21" i="6" s="1"/>
  <c r="AO100" i="6"/>
  <c r="I100" i="6" s="1"/>
  <c r="U26" i="3"/>
  <c r="AF20" i="6"/>
  <c r="AR83" i="6"/>
  <c r="AK20" i="6"/>
  <c r="AG20" i="6"/>
  <c r="AJ100" i="6"/>
  <c r="AH100" i="6"/>
  <c r="AL20" i="6"/>
  <c r="AI100" i="6"/>
  <c r="AM100" i="6"/>
  <c r="AQ20" i="6"/>
  <c r="AN20" i="6"/>
  <c r="AR103" i="6"/>
  <c r="AS26" i="6"/>
  <c r="AT26" i="6" s="1"/>
  <c r="AR21" i="6"/>
  <c r="AS21" i="6" s="1"/>
  <c r="AT21" i="6" s="1"/>
  <c r="BK21" i="6"/>
  <c r="BK100" i="6" s="1"/>
  <c r="AR29" i="6"/>
  <c r="AS29" i="6" s="1"/>
  <c r="AT29" i="6" s="1"/>
  <c r="BK104" i="6"/>
  <c r="BK29" i="6"/>
  <c r="AS34" i="6"/>
  <c r="AT34" i="6" s="1"/>
  <c r="AR104" i="6"/>
  <c r="I20" i="6"/>
  <c r="J20" i="6" s="1"/>
  <c r="K20" i="6" s="1"/>
  <c r="I29" i="6"/>
  <c r="J29" i="6" s="1"/>
  <c r="K29" i="6" s="1"/>
  <c r="N21" i="1"/>
  <c r="N33" i="1" s="1"/>
  <c r="BH84" i="6"/>
  <c r="BI84" i="6" s="1"/>
  <c r="BH87" i="6"/>
  <c r="BI87" i="6" s="1"/>
  <c r="AE104" i="6"/>
  <c r="S83" i="6"/>
  <c r="AM108" i="6" l="1"/>
  <c r="AN93" i="6"/>
  <c r="AN96" i="6" s="1"/>
  <c r="AL93" i="6"/>
  <c r="AL96" i="6" s="1"/>
  <c r="AG93" i="6"/>
  <c r="AG96" i="6" s="1"/>
  <c r="AF93" i="6"/>
  <c r="AF96" i="6" s="1"/>
  <c r="AQ93" i="6"/>
  <c r="AQ96" i="6" s="1"/>
  <c r="AK93" i="6"/>
  <c r="AK96" i="6" s="1"/>
  <c r="AP93" i="6"/>
  <c r="AP96" i="6" s="1"/>
  <c r="AI108" i="6"/>
  <c r="AJ108" i="6"/>
  <c r="AH108" i="6"/>
  <c r="AR20" i="6"/>
  <c r="AS20" i="6" s="1"/>
  <c r="AT20" i="6" s="1"/>
  <c r="U87" i="3"/>
  <c r="BK20" i="6"/>
  <c r="BK93" i="6" s="1"/>
  <c r="BK96" i="6" s="1"/>
  <c r="BK97" i="6" s="1"/>
  <c r="AS104" i="6"/>
  <c r="AT104" i="6" s="1"/>
  <c r="AR100" i="6"/>
  <c r="BH88" i="6"/>
  <c r="BI88" i="6" s="1"/>
  <c r="J100" i="6"/>
  <c r="K100" i="6" s="1"/>
  <c r="AO96" i="6"/>
  <c r="I93" i="6"/>
  <c r="J93" i="6" s="1"/>
  <c r="K93" i="6" s="1"/>
  <c r="AS90" i="6"/>
  <c r="AT90" i="6" s="1"/>
  <c r="AE106" i="6"/>
  <c r="AS106" i="6" s="1"/>
  <c r="AT106" i="6" s="1"/>
  <c r="BH85" i="6"/>
  <c r="BI85" i="6" s="1"/>
  <c r="AE101" i="6"/>
  <c r="AS101" i="6" s="1"/>
  <c r="AT101" i="6" s="1"/>
  <c r="BH83" i="6"/>
  <c r="BI83" i="6" s="1"/>
  <c r="S93" i="6"/>
  <c r="AS89" i="6"/>
  <c r="AT89" i="6" s="1"/>
  <c r="AE105" i="6"/>
  <c r="AS105" i="6" s="1"/>
  <c r="AT105" i="6" s="1"/>
  <c r="AS87" i="6"/>
  <c r="AT87" i="6" s="1"/>
  <c r="AE103" i="6"/>
  <c r="AS103" i="6" s="1"/>
  <c r="AT103" i="6" s="1"/>
  <c r="AS84" i="6"/>
  <c r="AT84" i="6" s="1"/>
  <c r="AE100" i="6"/>
  <c r="BH91" i="6"/>
  <c r="BI91" i="6" s="1"/>
  <c r="AE107" i="6"/>
  <c r="AS107" i="6" s="1"/>
  <c r="AT107" i="6" s="1"/>
  <c r="AS86" i="6"/>
  <c r="AT86" i="6" s="1"/>
  <c r="AE102" i="6"/>
  <c r="AS102" i="6" s="1"/>
  <c r="AT102" i="6" s="1"/>
  <c r="BH90" i="6"/>
  <c r="BI90" i="6" s="1"/>
  <c r="BH89" i="6"/>
  <c r="BI89" i="6" s="1"/>
  <c r="AS88" i="6"/>
  <c r="AT88" i="6" s="1"/>
  <c r="AS85" i="6"/>
  <c r="AT85" i="6" s="1"/>
  <c r="AS91" i="6"/>
  <c r="AT91" i="6" s="1"/>
  <c r="BH86" i="6"/>
  <c r="BI86" i="6" s="1"/>
  <c r="AP97" i="6" l="1"/>
  <c r="AP108" i="6"/>
  <c r="AG97" i="6"/>
  <c r="AG108" i="6"/>
  <c r="AQ97" i="6"/>
  <c r="AQ108" i="6"/>
  <c r="AL97" i="6"/>
  <c r="AL108" i="6"/>
  <c r="AK97" i="6"/>
  <c r="AK108" i="6"/>
  <c r="AF97" i="6"/>
  <c r="AF108" i="6"/>
  <c r="AN97" i="6"/>
  <c r="AN108" i="6"/>
  <c r="AR93" i="6"/>
  <c r="AR96" i="6" s="1"/>
  <c r="AR108" i="6" s="1"/>
  <c r="AS100" i="6"/>
  <c r="AT100" i="6" s="1"/>
  <c r="BK108" i="6"/>
  <c r="AS83" i="6"/>
  <c r="AT83" i="6" s="1"/>
  <c r="AO97" i="6"/>
  <c r="I97" i="6" s="1"/>
  <c r="J97" i="6" s="1"/>
  <c r="K97" i="6" s="1"/>
  <c r="I96" i="6"/>
  <c r="AO108" i="6"/>
  <c r="S96" i="6"/>
  <c r="AR97" i="6" l="1"/>
  <c r="J96" i="6"/>
  <c r="K96" i="6" s="1"/>
  <c r="I108" i="6"/>
  <c r="J108" i="6" s="1"/>
  <c r="K108" i="6" s="1"/>
  <c r="BH93" i="6"/>
  <c r="BI93" i="6" s="1"/>
  <c r="AE96" i="6"/>
  <c r="AS93" i="6"/>
  <c r="AT93" i="6" s="1"/>
  <c r="S97" i="6"/>
  <c r="S108" i="6"/>
  <c r="AE97" i="6" l="1"/>
  <c r="AS97" i="6" s="1"/>
  <c r="AT97" i="6" s="1"/>
  <c r="AS96" i="6"/>
  <c r="AT9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alison</author>
  </authors>
  <commentList>
    <comment ref="T53" authorId="0" shapeId="0" xr:uid="{E56B8501-68DD-459B-AD30-E4E2D186105E}">
      <text>
        <r>
          <rPr>
            <b/>
            <sz val="9"/>
            <color indexed="81"/>
            <rFont val="Tahoma"/>
            <family val="2"/>
          </rPr>
          <t>alison:</t>
        </r>
        <r>
          <rPr>
            <sz val="9"/>
            <color indexed="81"/>
            <rFont val="Tahoma"/>
            <family val="2"/>
          </rPr>
          <t xml:space="preserve">
Travel costs in case DevCon occurs late in 2021</t>
        </r>
      </text>
    </comment>
  </commentList>
</comments>
</file>

<file path=xl/sharedStrings.xml><?xml version="1.0" encoding="utf-8"?>
<sst xmlns="http://schemas.openxmlformats.org/spreadsheetml/2006/main" count="2029" uniqueCount="631">
  <si>
    <t>Budget</t>
  </si>
  <si>
    <t>Total</t>
  </si>
  <si>
    <t>ACCOUNT NAME</t>
  </si>
  <si>
    <t>Jan</t>
  </si>
  <si>
    <t>Feb</t>
  </si>
  <si>
    <t>Mar</t>
  </si>
  <si>
    <t>Apr</t>
  </si>
  <si>
    <t>May</t>
  </si>
  <si>
    <t>Jun</t>
  </si>
  <si>
    <t>July</t>
  </si>
  <si>
    <t>Aug</t>
  </si>
  <si>
    <t>Sep</t>
  </si>
  <si>
    <t>Oct</t>
  </si>
  <si>
    <t>Nov</t>
  </si>
  <si>
    <t>Dec</t>
  </si>
  <si>
    <t>Jan - Dec</t>
  </si>
  <si>
    <t>[Product 2]</t>
  </si>
  <si>
    <t>[Product 3]</t>
  </si>
  <si>
    <t>[Other 1]</t>
  </si>
  <si>
    <t/>
  </si>
  <si>
    <t>Cash Used in Investing</t>
  </si>
  <si>
    <t>[Capital Cost 1]</t>
  </si>
  <si>
    <t>[Capital Cost 2]</t>
  </si>
  <si>
    <t>Total Cash Used in Investing</t>
  </si>
  <si>
    <t>Cash Used/From Financing</t>
  </si>
  <si>
    <t>[Cash In/Out Financing 1]</t>
  </si>
  <si>
    <t>[Cash In/Out Financing 2]</t>
  </si>
  <si>
    <t>Total Cash Used/From Financing</t>
  </si>
  <si>
    <t>Total Increase/Decrease in Cash</t>
  </si>
  <si>
    <t>Compensation</t>
  </si>
  <si>
    <t>Travel</t>
  </si>
  <si>
    <t>Professional Services</t>
  </si>
  <si>
    <t>March</t>
  </si>
  <si>
    <t>April</t>
  </si>
  <si>
    <t>June</t>
  </si>
  <si>
    <t>August</t>
  </si>
  <si>
    <t>Staff Compensation</t>
  </si>
  <si>
    <t>Bob Summerwill, Executive Director</t>
  </si>
  <si>
    <t>Alison Alexis, Financial Controller and Business Services</t>
  </si>
  <si>
    <t xml:space="preserve">Yaz Khoury, Developer </t>
  </si>
  <si>
    <t>Tax Filing</t>
  </si>
  <si>
    <t>Phones</t>
  </si>
  <si>
    <t>Cloud &amp; Subscription Services</t>
  </si>
  <si>
    <t>Accounting Software</t>
  </si>
  <si>
    <t>Expensify Software</t>
  </si>
  <si>
    <t>Bank Service Charges</t>
  </si>
  <si>
    <t>Other</t>
  </si>
  <si>
    <t>Conference Attendance</t>
  </si>
  <si>
    <t>Legal</t>
  </si>
  <si>
    <t xml:space="preserve">Other </t>
  </si>
  <si>
    <t>CATEGORY</t>
  </si>
  <si>
    <t>F2020</t>
  </si>
  <si>
    <t>Protocol</t>
  </si>
  <si>
    <t>Sponsorship</t>
  </si>
  <si>
    <t>Website, presentations, logos, etc</t>
  </si>
  <si>
    <t>ETC Summit</t>
  </si>
  <si>
    <t>Ecosystem &amp; Technical</t>
  </si>
  <si>
    <t>General &amp; Admin</t>
  </si>
  <si>
    <t>Marketing, Travel &amp; Other</t>
  </si>
  <si>
    <t>New Hires</t>
  </si>
  <si>
    <t>Conference Center</t>
  </si>
  <si>
    <t>Conference Materials/Swag</t>
  </si>
  <si>
    <t>Travel, Food &amp; Entertainment</t>
  </si>
  <si>
    <t>Grand Total</t>
  </si>
  <si>
    <t>Income Scenarios</t>
  </si>
  <si>
    <t>Base</t>
  </si>
  <si>
    <t>Grayscale ETC</t>
  </si>
  <si>
    <t>Base 1</t>
  </si>
  <si>
    <t>Base 2</t>
  </si>
  <si>
    <t>Base 3</t>
  </si>
  <si>
    <t>Worst</t>
  </si>
  <si>
    <t>Worst 1</t>
  </si>
  <si>
    <t>Worst 2</t>
  </si>
  <si>
    <t>Worst 3</t>
  </si>
  <si>
    <t>Best 1</t>
  </si>
  <si>
    <t>Best 2</t>
  </si>
  <si>
    <t>Best 3</t>
  </si>
  <si>
    <t xml:space="preserve">Worst </t>
  </si>
  <si>
    <t>Best</t>
  </si>
  <si>
    <t>Starting Point</t>
  </si>
  <si>
    <t>As of -----------</t>
  </si>
  <si>
    <t>ETC Price</t>
  </si>
  <si>
    <t>Sept</t>
  </si>
  <si>
    <t>Month</t>
  </si>
  <si>
    <t>Variance</t>
  </si>
  <si>
    <t>Prior Period</t>
  </si>
  <si>
    <t>YTD</t>
  </si>
  <si>
    <t>Financial consolidated:</t>
  </si>
  <si>
    <t>Revenue</t>
  </si>
  <si>
    <t>Net Income</t>
  </si>
  <si>
    <t>Color Code</t>
  </si>
  <si>
    <t>Within +/- 5%</t>
  </si>
  <si>
    <t>Over 5% variance (positive)</t>
  </si>
  <si>
    <t>Over 5% variance (negative)</t>
  </si>
  <si>
    <t>Variance not calculated</t>
  </si>
  <si>
    <t>Executive Summary - $USD</t>
  </si>
  <si>
    <t>2020 Actual</t>
  </si>
  <si>
    <t>Actual to Budget ($)</t>
  </si>
  <si>
    <t>Actual to Budget (%)</t>
  </si>
  <si>
    <t>Note Ref #</t>
  </si>
  <si>
    <t>Variance Analysis (Actual Month vs Budget Month)</t>
  </si>
  <si>
    <t>Grayscale Fees</t>
  </si>
  <si>
    <t>Other Contributions</t>
  </si>
  <si>
    <t>Expenditures</t>
  </si>
  <si>
    <t>Price</t>
  </si>
  <si>
    <t>Probability</t>
  </si>
  <si>
    <t xml:space="preserve">Base Prices for each </t>
  </si>
  <si>
    <t>These prices can be flexed for different scenarios, but should be used as the base level</t>
  </si>
  <si>
    <t>Per Month</t>
  </si>
  <si>
    <t>Monthly Income (before flexing)</t>
  </si>
  <si>
    <t>Prob Weighted</t>
  </si>
  <si>
    <t>Percentage</t>
  </si>
  <si>
    <t>Total Revenue</t>
  </si>
  <si>
    <t>Total Expenses</t>
  </si>
  <si>
    <t>Revenues</t>
  </si>
  <si>
    <t>Donations</t>
  </si>
  <si>
    <t xml:space="preserve">Other   </t>
  </si>
  <si>
    <t>Dues</t>
  </si>
  <si>
    <t>Sponsorships</t>
  </si>
  <si>
    <t>2017 Actuals</t>
  </si>
  <si>
    <t>2018 Actuals</t>
  </si>
  <si>
    <t>2019 Actuals</t>
  </si>
  <si>
    <t>2020 Bare Bones</t>
  </si>
  <si>
    <t>2020 Bronze</t>
  </si>
  <si>
    <t>2020 Silver</t>
  </si>
  <si>
    <t>2020 Gold</t>
  </si>
  <si>
    <r>
      <t>Director -</t>
    </r>
    <r>
      <rPr>
        <b/>
        <sz val="12"/>
        <color theme="1"/>
        <rFont val="Open Sans"/>
        <family val="2"/>
        <scheme val="minor"/>
      </rPr>
      <t xml:space="preserve"> $110K</t>
    </r>
  </si>
  <si>
    <r>
      <t xml:space="preserve">Executive Director - </t>
    </r>
    <r>
      <rPr>
        <b/>
        <sz val="12"/>
        <color theme="1"/>
        <rFont val="Open Sans"/>
        <family val="2"/>
        <scheme val="minor"/>
      </rPr>
      <t xml:space="preserve">$175K
</t>
    </r>
    <r>
      <rPr>
        <sz val="11"/>
        <color theme="1"/>
        <rFont val="Open Sans"/>
        <family val="2"/>
        <scheme val="minor"/>
      </rPr>
      <t xml:space="preserve">Director - </t>
    </r>
    <r>
      <rPr>
        <b/>
        <sz val="12"/>
        <color theme="1"/>
        <rFont val="Open Sans"/>
        <family val="2"/>
        <scheme val="minor"/>
      </rPr>
      <t>$28K</t>
    </r>
  </si>
  <si>
    <r>
      <t xml:space="preserve">Executive Director - </t>
    </r>
    <r>
      <rPr>
        <b/>
        <sz val="12"/>
        <color theme="1"/>
        <rFont val="Open Sans"/>
        <family val="2"/>
        <scheme val="minor"/>
      </rPr>
      <t>$200K</t>
    </r>
  </si>
  <si>
    <r>
      <t xml:space="preserve">ETC Summit - </t>
    </r>
    <r>
      <rPr>
        <b/>
        <sz val="12"/>
        <color theme="1"/>
        <rFont val="Open Sans"/>
        <family val="2"/>
        <scheme val="minor"/>
      </rPr>
      <t xml:space="preserve">$130K
</t>
    </r>
  </si>
  <si>
    <r>
      <t xml:space="preserve">ETC Summit - </t>
    </r>
    <r>
      <rPr>
        <b/>
        <sz val="12"/>
        <color theme="1"/>
        <rFont val="Open Sans"/>
        <family val="2"/>
        <scheme val="minor"/>
      </rPr>
      <t xml:space="preserve">$180K
</t>
    </r>
    <r>
      <rPr>
        <sz val="11"/>
        <color theme="1"/>
        <rFont val="Open Sans"/>
        <family val="2"/>
        <scheme val="minor"/>
      </rPr>
      <t xml:space="preserve">Marketing - </t>
    </r>
    <r>
      <rPr>
        <b/>
        <sz val="12"/>
        <color theme="1"/>
        <rFont val="Open Sans"/>
        <family val="2"/>
        <scheme val="minor"/>
      </rPr>
      <t>$170K</t>
    </r>
    <r>
      <rPr>
        <sz val="11"/>
        <color theme="1"/>
        <rFont val="Open Sans"/>
        <family val="2"/>
        <scheme val="minor"/>
      </rPr>
      <t xml:space="preserve">
WordPress sites - </t>
    </r>
    <r>
      <rPr>
        <b/>
        <sz val="12"/>
        <color theme="1"/>
        <rFont val="Open Sans"/>
        <family val="2"/>
        <scheme val="minor"/>
      </rPr>
      <t>$28K</t>
    </r>
    <r>
      <rPr>
        <sz val="11"/>
        <color theme="1"/>
        <rFont val="Open Sans"/>
        <family val="2"/>
        <scheme val="minor"/>
      </rPr>
      <t xml:space="preserve">
Technical guides -</t>
    </r>
    <r>
      <rPr>
        <b/>
        <sz val="12"/>
        <color theme="1"/>
        <rFont val="Open Sans"/>
        <family val="2"/>
        <scheme val="minor"/>
      </rPr>
      <t xml:space="preserve"> $7K</t>
    </r>
    <r>
      <rPr>
        <sz val="11"/>
        <color theme="1"/>
        <rFont val="Open Sans"/>
        <family val="2"/>
        <scheme val="minor"/>
      </rPr>
      <t xml:space="preserve">
Social Media - </t>
    </r>
    <r>
      <rPr>
        <b/>
        <sz val="12"/>
        <color theme="1"/>
        <rFont val="Open Sans"/>
        <family val="2"/>
        <scheme val="minor"/>
      </rPr>
      <t>$0</t>
    </r>
    <r>
      <rPr>
        <sz val="11"/>
        <color theme="1"/>
        <rFont val="Open Sans"/>
        <family val="2"/>
        <scheme val="minor"/>
      </rPr>
      <t xml:space="preserve">
Blog posts - </t>
    </r>
    <r>
      <rPr>
        <b/>
        <sz val="12"/>
        <color theme="1"/>
        <rFont val="Open Sans"/>
        <family val="2"/>
        <scheme val="minor"/>
      </rPr>
      <t>$0</t>
    </r>
  </si>
  <si>
    <r>
      <t xml:space="preserve">ETC Summit - </t>
    </r>
    <r>
      <rPr>
        <b/>
        <sz val="12"/>
        <color theme="1"/>
        <rFont val="Open Sans"/>
        <family val="2"/>
        <scheme val="minor"/>
      </rPr>
      <t xml:space="preserve">$160K
</t>
    </r>
    <r>
      <rPr>
        <sz val="11"/>
        <color theme="1"/>
        <rFont val="Open Sans"/>
        <family val="2"/>
        <scheme val="minor"/>
      </rPr>
      <t>Other conferences -</t>
    </r>
    <r>
      <rPr>
        <b/>
        <sz val="12"/>
        <color theme="1"/>
        <rFont val="Open Sans"/>
        <family val="2"/>
        <scheme val="minor"/>
      </rPr>
      <t xml:space="preserve"> $30K?</t>
    </r>
    <r>
      <rPr>
        <sz val="11"/>
        <color theme="1"/>
        <rFont val="Open Sans"/>
        <family val="2"/>
        <scheme val="minor"/>
      </rPr>
      <t xml:space="preserve">
Ad campaigns</t>
    </r>
    <r>
      <rPr>
        <b/>
        <sz val="12"/>
        <color theme="1"/>
        <rFont val="Open Sans"/>
        <family val="2"/>
        <scheme val="minor"/>
      </rPr>
      <t xml:space="preserve"> - $13K</t>
    </r>
    <r>
      <rPr>
        <sz val="11"/>
        <color theme="1"/>
        <rFont val="Open Sans"/>
        <family val="2"/>
        <scheme val="minor"/>
      </rPr>
      <t xml:space="preserve">
WordPress sites </t>
    </r>
    <r>
      <rPr>
        <b/>
        <sz val="12"/>
        <color theme="1"/>
        <rFont val="Open Sans"/>
        <family val="2"/>
        <scheme val="minor"/>
      </rPr>
      <t>- $14K</t>
    </r>
  </si>
  <si>
    <r>
      <t xml:space="preserve">Websites - </t>
    </r>
    <r>
      <rPr>
        <b/>
        <sz val="12"/>
        <color theme="1"/>
        <rFont val="Open Sans"/>
        <family val="2"/>
        <scheme val="minor"/>
      </rPr>
      <t>$0</t>
    </r>
    <r>
      <rPr>
        <sz val="11"/>
        <color theme="1"/>
        <rFont val="Open Sans"/>
        <family val="2"/>
        <scheme val="minor"/>
      </rPr>
      <t xml:space="preserve">
No conferences - </t>
    </r>
    <r>
      <rPr>
        <b/>
        <sz val="12"/>
        <color theme="1"/>
        <rFont val="Open Sans"/>
        <family val="2"/>
        <scheme val="minor"/>
      </rPr>
      <t>$0</t>
    </r>
  </si>
  <si>
    <r>
      <t>ETHDenver -</t>
    </r>
    <r>
      <rPr>
        <b/>
        <sz val="12"/>
        <color theme="1"/>
        <rFont val="Open Sans"/>
        <family val="2"/>
        <scheme val="minor"/>
      </rPr>
      <t xml:space="preserve"> $10K
</t>
    </r>
    <r>
      <rPr>
        <sz val="11"/>
        <color theme="1"/>
        <rFont val="Open Sans"/>
        <family val="2"/>
        <scheme val="minor"/>
      </rPr>
      <t xml:space="preserve">EthCC[3] </t>
    </r>
    <r>
      <rPr>
        <b/>
        <sz val="12"/>
        <color theme="1"/>
        <rFont val="Open Sans"/>
        <family val="2"/>
        <scheme val="minor"/>
      </rPr>
      <t>- $10K</t>
    </r>
    <r>
      <rPr>
        <sz val="11"/>
        <color theme="1"/>
        <rFont val="Open Sans"/>
        <family val="2"/>
        <scheme val="minor"/>
      </rPr>
      <t xml:space="preserve">
EDCON - </t>
    </r>
    <r>
      <rPr>
        <b/>
        <sz val="12"/>
        <color theme="1"/>
        <rFont val="Open Sans"/>
        <family val="2"/>
        <scheme val="minor"/>
      </rPr>
      <t xml:space="preserve">$5K
</t>
    </r>
    <r>
      <rPr>
        <sz val="11"/>
        <color theme="1"/>
        <rFont val="Open Sans"/>
        <family val="2"/>
        <scheme val="minor"/>
      </rPr>
      <t>Consensus -</t>
    </r>
    <r>
      <rPr>
        <b/>
        <sz val="12"/>
        <color theme="1"/>
        <rFont val="Open Sans"/>
        <family val="2"/>
        <scheme val="minor"/>
      </rPr>
      <t xml:space="preserve"> $5K</t>
    </r>
  </si>
  <si>
    <r>
      <t>ETHDenver -</t>
    </r>
    <r>
      <rPr>
        <b/>
        <sz val="12"/>
        <color theme="1"/>
        <rFont val="Open Sans"/>
        <family val="2"/>
        <scheme val="minor"/>
      </rPr>
      <t xml:space="preserve"> $10K</t>
    </r>
    <r>
      <rPr>
        <sz val="11"/>
        <color theme="1"/>
        <rFont val="Open Sans"/>
        <family val="2"/>
        <scheme val="minor"/>
      </rPr>
      <t xml:space="preserve">
EthCC[3] - </t>
    </r>
    <r>
      <rPr>
        <b/>
        <sz val="12"/>
        <color theme="1"/>
        <rFont val="Open Sans"/>
        <family val="2"/>
        <scheme val="minor"/>
      </rPr>
      <t>$10K</t>
    </r>
    <r>
      <rPr>
        <sz val="11"/>
        <color theme="1"/>
        <rFont val="Open Sans"/>
        <family val="2"/>
        <scheme val="minor"/>
      </rPr>
      <t xml:space="preserve">
EDCON - </t>
    </r>
    <r>
      <rPr>
        <b/>
        <sz val="12"/>
        <color theme="1"/>
        <rFont val="Open Sans"/>
        <family val="2"/>
        <scheme val="minor"/>
      </rPr>
      <t>$5K</t>
    </r>
    <r>
      <rPr>
        <sz val="11"/>
        <color theme="1"/>
        <rFont val="Open Sans"/>
        <family val="2"/>
        <scheme val="minor"/>
      </rPr>
      <t xml:space="preserve">
Consensus - </t>
    </r>
    <r>
      <rPr>
        <b/>
        <sz val="12"/>
        <color theme="1"/>
        <rFont val="Open Sans"/>
        <family val="2"/>
        <scheme val="minor"/>
      </rPr>
      <t>$5K</t>
    </r>
    <r>
      <rPr>
        <sz val="11"/>
        <color theme="1"/>
        <rFont val="Open Sans"/>
        <family val="2"/>
        <scheme val="minor"/>
      </rPr>
      <t xml:space="preserve">
Bitcoin 2020 - </t>
    </r>
    <r>
      <rPr>
        <b/>
        <sz val="12"/>
        <color theme="1"/>
        <rFont val="Open Sans"/>
        <family val="2"/>
        <scheme val="minor"/>
      </rPr>
      <t>$5K</t>
    </r>
    <r>
      <rPr>
        <sz val="11"/>
        <color theme="1"/>
        <rFont val="Open Sans"/>
        <family val="2"/>
        <scheme val="minor"/>
      </rPr>
      <t xml:space="preserve">
BRI Toronto - </t>
    </r>
    <r>
      <rPr>
        <b/>
        <sz val="12"/>
        <color theme="1"/>
        <rFont val="Open Sans"/>
        <family val="2"/>
        <scheme val="minor"/>
      </rPr>
      <t>$5K</t>
    </r>
    <r>
      <rPr>
        <sz val="11"/>
        <color theme="1"/>
        <rFont val="Open Sans"/>
        <family val="2"/>
        <scheme val="minor"/>
      </rPr>
      <t xml:space="preserve">
OSCON - </t>
    </r>
    <r>
      <rPr>
        <b/>
        <sz val="12"/>
        <color theme="1"/>
        <rFont val="Open Sans"/>
        <family val="2"/>
        <scheme val="minor"/>
      </rPr>
      <t>$5K</t>
    </r>
    <r>
      <rPr>
        <sz val="11"/>
        <color theme="1"/>
        <rFont val="Open Sans"/>
        <family val="2"/>
        <scheme val="minor"/>
      </rPr>
      <t xml:space="preserve">
DEVCON - </t>
    </r>
    <r>
      <rPr>
        <b/>
        <sz val="12"/>
        <color theme="1"/>
        <rFont val="Open Sans"/>
        <family val="2"/>
        <scheme val="minor"/>
      </rPr>
      <t>$10K</t>
    </r>
    <r>
      <rPr>
        <sz val="11"/>
        <color theme="1"/>
        <rFont val="Open Sans"/>
        <family val="2"/>
        <scheme val="minor"/>
      </rPr>
      <t xml:space="preserve">
ETHWaterloo -</t>
    </r>
    <r>
      <rPr>
        <b/>
        <sz val="12"/>
        <color theme="1"/>
        <rFont val="Open Sans"/>
        <family val="2"/>
        <scheme val="minor"/>
      </rPr>
      <t xml:space="preserve"> $5K</t>
    </r>
    <r>
      <rPr>
        <sz val="11"/>
        <color theme="1"/>
        <rFont val="Open Sans"/>
        <family val="2"/>
        <scheme val="minor"/>
      </rPr>
      <t xml:space="preserve">
</t>
    </r>
  </si>
  <si>
    <t>Development</t>
  </si>
  <si>
    <r>
      <t xml:space="preserve">Director of DevRel - </t>
    </r>
    <r>
      <rPr>
        <b/>
        <sz val="12"/>
        <color theme="1"/>
        <rFont val="Open Sans"/>
        <family val="2"/>
        <scheme val="minor"/>
      </rPr>
      <t>$23K</t>
    </r>
  </si>
  <si>
    <r>
      <t xml:space="preserve">Director of DevRel - </t>
    </r>
    <r>
      <rPr>
        <b/>
        <sz val="12"/>
        <color theme="1"/>
        <rFont val="Open Sans"/>
        <family val="2"/>
        <scheme val="minor"/>
      </rPr>
      <t>$110K</t>
    </r>
  </si>
  <si>
    <r>
      <t xml:space="preserve">Director of DevRel - </t>
    </r>
    <r>
      <rPr>
        <b/>
        <sz val="12"/>
        <color theme="1"/>
        <rFont val="Open Sans"/>
        <family val="2"/>
        <scheme val="minor"/>
      </rPr>
      <t>$120K</t>
    </r>
  </si>
  <si>
    <r>
      <t xml:space="preserve">Director of DevRel - </t>
    </r>
    <r>
      <rPr>
        <b/>
        <sz val="12"/>
        <color theme="1"/>
        <rFont val="Open Sans"/>
        <family val="2"/>
        <scheme val="minor"/>
      </rPr>
      <t>$120K</t>
    </r>
    <r>
      <rPr>
        <sz val="11"/>
        <color theme="1"/>
        <rFont val="Open Sans"/>
        <family val="2"/>
        <scheme val="minor"/>
      </rPr>
      <t xml:space="preserve">
Principal Engineer - </t>
    </r>
    <r>
      <rPr>
        <b/>
        <sz val="12"/>
        <color theme="1"/>
        <rFont val="Open Sans"/>
        <family val="2"/>
        <scheme val="minor"/>
      </rPr>
      <t>$200K</t>
    </r>
  </si>
  <si>
    <t>Infrastructure</t>
  </si>
  <si>
    <r>
      <t xml:space="preserve">Gorli/Kotti </t>
    </r>
    <r>
      <rPr>
        <b/>
        <sz val="12"/>
        <color theme="1"/>
        <rFont val="Open Sans"/>
        <family val="2"/>
        <scheme val="minor"/>
      </rPr>
      <t>- $63K</t>
    </r>
    <r>
      <rPr>
        <sz val="11"/>
        <color theme="1"/>
        <rFont val="Open Sans"/>
        <family val="2"/>
        <scheme val="minor"/>
      </rPr>
      <t xml:space="preserve">
Peacebridge</t>
    </r>
    <r>
      <rPr>
        <b/>
        <sz val="12"/>
        <color theme="1"/>
        <rFont val="Open Sans"/>
        <family val="2"/>
        <scheme val="minor"/>
      </rPr>
      <t xml:space="preserve"> - $43K</t>
    </r>
  </si>
  <si>
    <r>
      <t xml:space="preserve">Gorli/Kotti </t>
    </r>
    <r>
      <rPr>
        <b/>
        <sz val="12"/>
        <color theme="1"/>
        <rFont val="Open Sans"/>
        <family val="2"/>
        <scheme val="minor"/>
      </rPr>
      <t xml:space="preserve">- $63K
</t>
    </r>
    <r>
      <rPr>
        <sz val="11"/>
        <color theme="1"/>
        <rFont val="Open Sans"/>
        <family val="2"/>
        <scheme val="minor"/>
      </rPr>
      <t xml:space="preserve">Besu Agharta - </t>
    </r>
    <r>
      <rPr>
        <b/>
        <sz val="12"/>
        <color theme="1"/>
        <rFont val="Open Sans"/>
        <family val="2"/>
        <scheme val="minor"/>
      </rPr>
      <t xml:space="preserve">$25K
</t>
    </r>
    <r>
      <rPr>
        <sz val="11"/>
        <color theme="1"/>
        <rFont val="Open Sans"/>
        <family val="2"/>
        <scheme val="minor"/>
      </rPr>
      <t xml:space="preserve">Hosted services - </t>
    </r>
    <r>
      <rPr>
        <b/>
        <sz val="12"/>
        <color theme="1"/>
        <rFont val="Open Sans"/>
        <family val="2"/>
        <scheme val="minor"/>
      </rPr>
      <t xml:space="preserve">$10K
</t>
    </r>
    <r>
      <rPr>
        <sz val="11"/>
        <color theme="1"/>
        <rFont val="Open Sans"/>
        <family val="2"/>
        <scheme val="minor"/>
      </rPr>
      <t xml:space="preserve">ETCNodes - </t>
    </r>
    <r>
      <rPr>
        <b/>
        <sz val="12"/>
        <color theme="1"/>
        <rFont val="Open Sans"/>
        <family val="2"/>
        <scheme val="minor"/>
      </rPr>
      <t>$5K</t>
    </r>
  </si>
  <si>
    <r>
      <t xml:space="preserve">Besu Aztlan + Next </t>
    </r>
    <r>
      <rPr>
        <b/>
        <sz val="12"/>
        <color theme="1"/>
        <rFont val="Open Sans"/>
        <family val="2"/>
        <scheme val="minor"/>
      </rPr>
      <t>- $15K</t>
    </r>
    <r>
      <rPr>
        <sz val="11"/>
        <color theme="1"/>
        <rFont val="Open Sans"/>
        <family val="2"/>
        <scheme val="minor"/>
      </rPr>
      <t xml:space="preserve">
Hosted services - </t>
    </r>
    <r>
      <rPr>
        <b/>
        <sz val="12"/>
        <color theme="1"/>
        <rFont val="Open Sans"/>
        <family val="2"/>
        <scheme val="minor"/>
      </rPr>
      <t>$15K</t>
    </r>
    <r>
      <rPr>
        <sz val="11"/>
        <color theme="1"/>
        <rFont val="Open Sans"/>
        <family val="2"/>
        <scheme val="minor"/>
      </rPr>
      <t xml:space="preserve">
ETCNodes </t>
    </r>
    <r>
      <rPr>
        <b/>
        <sz val="12"/>
        <color theme="1"/>
        <rFont val="Open Sans"/>
        <family val="2"/>
        <scheme val="minor"/>
      </rPr>
      <t>- $7K</t>
    </r>
    <r>
      <rPr>
        <sz val="11"/>
        <color theme="1"/>
        <rFont val="Open Sans"/>
        <family val="2"/>
        <scheme val="minor"/>
      </rPr>
      <t xml:space="preserve">
SOLL and LLVM/EVM</t>
    </r>
    <r>
      <rPr>
        <b/>
        <sz val="12"/>
        <color theme="1"/>
        <rFont val="Open Sans"/>
        <family val="2"/>
        <scheme val="minor"/>
      </rPr>
      <t xml:space="preserve"> - $0K
</t>
    </r>
    <r>
      <rPr>
        <sz val="11"/>
        <color theme="1"/>
        <rFont val="Open Sans"/>
        <family val="2"/>
        <scheme val="minor"/>
      </rPr>
      <t>Connext state channels -</t>
    </r>
    <r>
      <rPr>
        <b/>
        <sz val="12"/>
        <color theme="1"/>
        <rFont val="Open Sans"/>
        <family val="2"/>
        <scheme val="minor"/>
      </rPr>
      <t xml:space="preserve"> $0</t>
    </r>
    <r>
      <rPr>
        <sz val="11"/>
        <color theme="1"/>
        <rFont val="Open Sans"/>
        <family val="2"/>
        <scheme val="minor"/>
      </rPr>
      <t xml:space="preserve">
Funfair state channels - </t>
    </r>
    <r>
      <rPr>
        <b/>
        <sz val="12"/>
        <color theme="1"/>
        <rFont val="Open Sans"/>
        <family val="2"/>
        <scheme val="minor"/>
      </rPr>
      <t>$0</t>
    </r>
  </si>
  <si>
    <r>
      <t xml:space="preserve">Besu Aztlan + Next </t>
    </r>
    <r>
      <rPr>
        <b/>
        <sz val="12"/>
        <color theme="1"/>
        <rFont val="Open Sans"/>
        <family val="2"/>
        <scheme val="minor"/>
      </rPr>
      <t>- $15K</t>
    </r>
    <r>
      <rPr>
        <sz val="11"/>
        <color theme="1"/>
        <rFont val="Open Sans"/>
        <family val="2"/>
        <scheme val="minor"/>
      </rPr>
      <t xml:space="preserve">
Hosted services - </t>
    </r>
    <r>
      <rPr>
        <b/>
        <sz val="12"/>
        <color theme="1"/>
        <rFont val="Open Sans"/>
        <family val="2"/>
        <scheme val="minor"/>
      </rPr>
      <t>$15K</t>
    </r>
    <r>
      <rPr>
        <sz val="11"/>
        <color theme="1"/>
        <rFont val="Open Sans"/>
        <family val="2"/>
        <scheme val="minor"/>
      </rPr>
      <t xml:space="preserve">
ETCNodes </t>
    </r>
    <r>
      <rPr>
        <b/>
        <sz val="12"/>
        <color theme="1"/>
        <rFont val="Open Sans"/>
        <family val="2"/>
        <scheme val="minor"/>
      </rPr>
      <t>- $7K</t>
    </r>
    <r>
      <rPr>
        <sz val="11"/>
        <color theme="1"/>
        <rFont val="Open Sans"/>
        <family val="2"/>
        <scheme val="minor"/>
      </rPr>
      <t xml:space="preserve">
SOLL and LLVM/EVM</t>
    </r>
    <r>
      <rPr>
        <b/>
        <sz val="12"/>
        <color theme="1"/>
        <rFont val="Open Sans"/>
        <family val="2"/>
        <scheme val="minor"/>
      </rPr>
      <t xml:space="preserve"> - $0K
</t>
    </r>
    <r>
      <rPr>
        <sz val="11"/>
        <color theme="1"/>
        <rFont val="Open Sans"/>
        <family val="2"/>
        <scheme val="minor"/>
      </rPr>
      <t xml:space="preserve">Connext state channels </t>
    </r>
    <r>
      <rPr>
        <b/>
        <sz val="12"/>
        <color theme="1"/>
        <rFont val="Open Sans"/>
        <family val="2"/>
        <scheme val="minor"/>
      </rPr>
      <t>- $0</t>
    </r>
    <r>
      <rPr>
        <sz val="11"/>
        <color theme="1"/>
        <rFont val="Open Sans"/>
        <family val="2"/>
        <scheme val="minor"/>
      </rPr>
      <t xml:space="preserve">
Funfair state channels </t>
    </r>
    <r>
      <rPr>
        <b/>
        <sz val="12"/>
        <color theme="1"/>
        <rFont val="Open Sans"/>
        <family val="2"/>
        <scheme val="minor"/>
      </rPr>
      <t xml:space="preserve">- $0
</t>
    </r>
    <r>
      <rPr>
        <sz val="11"/>
        <color theme="1"/>
        <rFont val="Open Sans"/>
        <family val="2"/>
        <scheme val="minor"/>
      </rPr>
      <t xml:space="preserve">BTC -&gt; ETC bridge </t>
    </r>
    <r>
      <rPr>
        <b/>
        <sz val="12"/>
        <color theme="1"/>
        <rFont val="Open Sans"/>
        <family val="2"/>
        <scheme val="minor"/>
      </rPr>
      <t xml:space="preserve">- $10K?
</t>
    </r>
    <r>
      <rPr>
        <sz val="11"/>
        <color theme="1"/>
        <rFont val="Open Sans"/>
        <family val="2"/>
        <scheme val="minor"/>
      </rPr>
      <t xml:space="preserve">RSK &lt;-&gt; ETC bridge </t>
    </r>
    <r>
      <rPr>
        <b/>
        <sz val="12"/>
        <color theme="1"/>
        <rFont val="Open Sans"/>
        <family val="2"/>
        <scheme val="minor"/>
      </rPr>
      <t xml:space="preserve">- $5K?
</t>
    </r>
    <r>
      <rPr>
        <sz val="11"/>
        <color theme="1"/>
        <rFont val="Open Sans"/>
        <family val="2"/>
        <scheme val="minor"/>
      </rPr>
      <t>ETH &lt;-&gt; ETC bridge</t>
    </r>
    <r>
      <rPr>
        <b/>
        <sz val="12"/>
        <color theme="1"/>
        <rFont val="Open Sans"/>
        <family val="2"/>
        <scheme val="minor"/>
      </rPr>
      <t xml:space="preserve"> - $10K?</t>
    </r>
  </si>
  <si>
    <r>
      <t xml:space="preserve">Besu Aztlan + Next </t>
    </r>
    <r>
      <rPr>
        <b/>
        <sz val="12"/>
        <color theme="1"/>
        <rFont val="Open Sans"/>
        <family val="2"/>
        <scheme val="minor"/>
      </rPr>
      <t>- $15K</t>
    </r>
    <r>
      <rPr>
        <sz val="11"/>
        <color theme="1"/>
        <rFont val="Open Sans"/>
        <family val="2"/>
        <scheme val="minor"/>
      </rPr>
      <t xml:space="preserve">
Hosted services -</t>
    </r>
    <r>
      <rPr>
        <b/>
        <sz val="12"/>
        <color theme="1"/>
        <rFont val="Open Sans"/>
        <family val="2"/>
        <scheme val="minor"/>
      </rPr>
      <t xml:space="preserve"> $15K</t>
    </r>
    <r>
      <rPr>
        <sz val="11"/>
        <color theme="1"/>
        <rFont val="Open Sans"/>
        <family val="2"/>
        <scheme val="minor"/>
      </rPr>
      <t xml:space="preserve">
ETCNodes - </t>
    </r>
    <r>
      <rPr>
        <b/>
        <sz val="12"/>
        <color theme="1"/>
        <rFont val="Open Sans"/>
        <family val="2"/>
        <scheme val="minor"/>
      </rPr>
      <t>$7K</t>
    </r>
    <r>
      <rPr>
        <sz val="11"/>
        <color theme="1"/>
        <rFont val="Open Sans"/>
        <family val="2"/>
        <scheme val="minor"/>
      </rPr>
      <t xml:space="preserve">
SOLL and LLVM/EVM</t>
    </r>
    <r>
      <rPr>
        <b/>
        <sz val="12"/>
        <color theme="1"/>
        <rFont val="Open Sans"/>
        <family val="2"/>
        <scheme val="minor"/>
      </rPr>
      <t xml:space="preserve"> - $0K
</t>
    </r>
    <r>
      <rPr>
        <sz val="11"/>
        <color theme="1"/>
        <rFont val="Open Sans"/>
        <family val="2"/>
        <scheme val="minor"/>
      </rPr>
      <t>Connext state channels -</t>
    </r>
    <r>
      <rPr>
        <b/>
        <sz val="12"/>
        <color theme="1"/>
        <rFont val="Open Sans"/>
        <family val="2"/>
        <scheme val="minor"/>
      </rPr>
      <t xml:space="preserve"> $0
</t>
    </r>
    <r>
      <rPr>
        <sz val="11"/>
        <color theme="1"/>
        <rFont val="Open Sans"/>
        <family val="2"/>
        <scheme val="minor"/>
      </rPr>
      <t>Funfair state channels -</t>
    </r>
    <r>
      <rPr>
        <b/>
        <sz val="12"/>
        <color theme="1"/>
        <rFont val="Open Sans"/>
        <family val="2"/>
        <scheme val="minor"/>
      </rPr>
      <t xml:space="preserve"> $0</t>
    </r>
    <r>
      <rPr>
        <sz val="11"/>
        <color theme="1"/>
        <rFont val="Open Sans"/>
        <family val="2"/>
        <scheme val="minor"/>
      </rPr>
      <t xml:space="preserve">
BTC -&gt; ETC bridge - </t>
    </r>
    <r>
      <rPr>
        <b/>
        <sz val="12"/>
        <color theme="1"/>
        <rFont val="Open Sans"/>
        <family val="2"/>
        <scheme val="minor"/>
      </rPr>
      <t>$10K?</t>
    </r>
    <r>
      <rPr>
        <sz val="11"/>
        <color theme="1"/>
        <rFont val="Open Sans"/>
        <family val="2"/>
        <scheme val="minor"/>
      </rPr>
      <t xml:space="preserve">
RSK &lt;-&gt; ETC bridge -</t>
    </r>
    <r>
      <rPr>
        <b/>
        <sz val="12"/>
        <color theme="1"/>
        <rFont val="Open Sans"/>
        <family val="2"/>
        <scheme val="minor"/>
      </rPr>
      <t xml:space="preserve"> $5K?</t>
    </r>
    <r>
      <rPr>
        <sz val="11"/>
        <color theme="1"/>
        <rFont val="Open Sans"/>
        <family val="2"/>
        <scheme val="minor"/>
      </rPr>
      <t xml:space="preserve">
ETH &lt;-&gt; ETC bridge - </t>
    </r>
    <r>
      <rPr>
        <b/>
        <sz val="12"/>
        <color theme="1"/>
        <rFont val="Open Sans"/>
        <family val="2"/>
        <scheme val="minor"/>
      </rPr>
      <t xml:space="preserve">$10K?
</t>
    </r>
    <r>
      <rPr>
        <sz val="11"/>
        <color theme="1"/>
        <rFont val="Open Sans"/>
        <family val="2"/>
        <scheme val="minor"/>
      </rPr>
      <t>Mantis -</t>
    </r>
    <r>
      <rPr>
        <b/>
        <sz val="12"/>
        <color theme="1"/>
        <rFont val="Open Sans"/>
        <family val="2"/>
        <scheme val="minor"/>
      </rPr>
      <t xml:space="preserve"> $50K</t>
    </r>
    <r>
      <rPr>
        <sz val="11"/>
        <color theme="1"/>
        <rFont val="Open Sans"/>
        <family val="2"/>
        <scheme val="minor"/>
      </rPr>
      <t xml:space="preserve">
</t>
    </r>
  </si>
  <si>
    <r>
      <t xml:space="preserve">Besu Aztlan + Next - </t>
    </r>
    <r>
      <rPr>
        <b/>
        <sz val="12"/>
        <color theme="1"/>
        <rFont val="Open Sans"/>
        <family val="2"/>
        <scheme val="minor"/>
      </rPr>
      <t>$15K</t>
    </r>
    <r>
      <rPr>
        <sz val="11"/>
        <color theme="1"/>
        <rFont val="Open Sans"/>
        <family val="2"/>
        <scheme val="minor"/>
      </rPr>
      <t xml:space="preserve">
Hosted services </t>
    </r>
    <r>
      <rPr>
        <b/>
        <sz val="12"/>
        <color theme="1"/>
        <rFont val="Open Sans"/>
        <family val="2"/>
        <scheme val="minor"/>
      </rPr>
      <t>- $15K</t>
    </r>
    <r>
      <rPr>
        <sz val="11"/>
        <color theme="1"/>
        <rFont val="Open Sans"/>
        <family val="2"/>
        <scheme val="minor"/>
      </rPr>
      <t xml:space="preserve">
ETCNodes - </t>
    </r>
    <r>
      <rPr>
        <b/>
        <sz val="12"/>
        <color theme="1"/>
        <rFont val="Open Sans"/>
        <family val="2"/>
        <scheme val="minor"/>
      </rPr>
      <t>$7K</t>
    </r>
    <r>
      <rPr>
        <sz val="11"/>
        <color theme="1"/>
        <rFont val="Open Sans"/>
        <family val="2"/>
        <scheme val="minor"/>
      </rPr>
      <t xml:space="preserve">
SOLL and LLVM/EVM - </t>
    </r>
    <r>
      <rPr>
        <b/>
        <sz val="12"/>
        <color theme="1"/>
        <rFont val="Open Sans"/>
        <family val="2"/>
        <scheme val="minor"/>
      </rPr>
      <t>$0K</t>
    </r>
    <r>
      <rPr>
        <sz val="11"/>
        <color theme="1"/>
        <rFont val="Open Sans"/>
        <family val="2"/>
        <scheme val="minor"/>
      </rPr>
      <t xml:space="preserve">
Connext state channels - </t>
    </r>
    <r>
      <rPr>
        <b/>
        <sz val="12"/>
        <color theme="1"/>
        <rFont val="Open Sans"/>
        <family val="2"/>
        <scheme val="minor"/>
      </rPr>
      <t>$0</t>
    </r>
    <r>
      <rPr>
        <sz val="11"/>
        <color theme="1"/>
        <rFont val="Open Sans"/>
        <family val="2"/>
        <scheme val="minor"/>
      </rPr>
      <t xml:space="preserve">
Funfair state channels - </t>
    </r>
    <r>
      <rPr>
        <b/>
        <sz val="12"/>
        <color theme="1"/>
        <rFont val="Open Sans"/>
        <family val="2"/>
        <scheme val="minor"/>
      </rPr>
      <t>$0</t>
    </r>
    <r>
      <rPr>
        <sz val="11"/>
        <color theme="1"/>
        <rFont val="Open Sans"/>
        <family val="2"/>
        <scheme val="minor"/>
      </rPr>
      <t xml:space="preserve">
BTC -&gt; ETC bridge - </t>
    </r>
    <r>
      <rPr>
        <b/>
        <sz val="12"/>
        <color theme="1"/>
        <rFont val="Open Sans"/>
        <family val="2"/>
        <scheme val="minor"/>
      </rPr>
      <t>$10K?</t>
    </r>
    <r>
      <rPr>
        <sz val="11"/>
        <color theme="1"/>
        <rFont val="Open Sans"/>
        <family val="2"/>
        <scheme val="minor"/>
      </rPr>
      <t xml:space="preserve">
RSK &lt;-&gt; ETC bridge - </t>
    </r>
    <r>
      <rPr>
        <b/>
        <sz val="12"/>
        <color theme="1"/>
        <rFont val="Open Sans"/>
        <family val="2"/>
        <scheme val="minor"/>
      </rPr>
      <t>$5K?</t>
    </r>
    <r>
      <rPr>
        <sz val="11"/>
        <color theme="1"/>
        <rFont val="Open Sans"/>
        <family val="2"/>
        <scheme val="minor"/>
      </rPr>
      <t xml:space="preserve">
ETH &lt;-&gt; ETC bridge - </t>
    </r>
    <r>
      <rPr>
        <b/>
        <sz val="12"/>
        <color theme="1"/>
        <rFont val="Open Sans"/>
        <family val="2"/>
        <scheme val="minor"/>
      </rPr>
      <t>$10K?</t>
    </r>
    <r>
      <rPr>
        <sz val="11"/>
        <color theme="1"/>
        <rFont val="Open Sans"/>
        <family val="2"/>
        <scheme val="minor"/>
      </rPr>
      <t xml:space="preserve">
Mantis -</t>
    </r>
    <r>
      <rPr>
        <b/>
        <sz val="12"/>
        <color theme="1"/>
        <rFont val="Open Sans"/>
        <family val="2"/>
        <scheme val="minor"/>
      </rPr>
      <t xml:space="preserve"> $50K</t>
    </r>
    <r>
      <rPr>
        <sz val="11"/>
        <color theme="1"/>
        <rFont val="Open Sans"/>
        <family val="2"/>
        <scheme val="minor"/>
      </rPr>
      <t xml:space="preserve">
Parity-Ethereum - </t>
    </r>
    <r>
      <rPr>
        <b/>
        <sz val="12"/>
        <color theme="1"/>
        <rFont val="Open Sans"/>
        <family val="2"/>
        <scheme val="minor"/>
      </rPr>
      <t>$50K</t>
    </r>
    <r>
      <rPr>
        <sz val="11"/>
        <color theme="1"/>
        <rFont val="Open Sans"/>
        <family val="2"/>
        <scheme val="minor"/>
      </rPr>
      <t xml:space="preserve">
Privacy L2 </t>
    </r>
    <r>
      <rPr>
        <b/>
        <sz val="12"/>
        <color theme="1"/>
        <rFont val="Open Sans"/>
        <family val="2"/>
        <scheme val="minor"/>
      </rPr>
      <t>- $20K?</t>
    </r>
    <r>
      <rPr>
        <sz val="11"/>
        <color theme="1"/>
        <rFont val="Open Sans"/>
        <family val="2"/>
        <scheme val="minor"/>
      </rPr>
      <t xml:space="preserve">
Rollups L2 </t>
    </r>
    <r>
      <rPr>
        <b/>
        <sz val="12"/>
        <color theme="1"/>
        <rFont val="Open Sans"/>
        <family val="2"/>
        <scheme val="minor"/>
      </rPr>
      <t>- $20K?</t>
    </r>
    <r>
      <rPr>
        <sz val="11"/>
        <color theme="1"/>
        <rFont val="Open Sans"/>
        <family val="2"/>
        <scheme val="minor"/>
      </rPr>
      <t xml:space="preserve">
Scaling L2 -</t>
    </r>
    <r>
      <rPr>
        <b/>
        <sz val="12"/>
        <color theme="1"/>
        <rFont val="Open Sans"/>
        <family val="2"/>
        <scheme val="minor"/>
      </rPr>
      <t xml:space="preserve"> $20K?</t>
    </r>
  </si>
  <si>
    <t>Protocol Stewardship</t>
  </si>
  <si>
    <r>
      <t>ECIP process -</t>
    </r>
    <r>
      <rPr>
        <b/>
        <sz val="12"/>
        <color theme="1"/>
        <rFont val="Open Sans"/>
        <family val="2"/>
        <scheme val="minor"/>
      </rPr>
      <t xml:space="preserve"> $0</t>
    </r>
  </si>
  <si>
    <r>
      <t xml:space="preserve">IP protection - </t>
    </r>
    <r>
      <rPr>
        <b/>
        <sz val="12"/>
        <color theme="1"/>
        <rFont val="Open Sans"/>
        <family val="2"/>
        <scheme val="minor"/>
      </rPr>
      <t xml:space="preserve">$0
</t>
    </r>
    <r>
      <rPr>
        <sz val="11"/>
        <color theme="1"/>
        <rFont val="Open Sans"/>
        <family val="2"/>
        <scheme val="minor"/>
      </rPr>
      <t>Gaslimit HF</t>
    </r>
    <r>
      <rPr>
        <b/>
        <sz val="12"/>
        <color theme="1"/>
        <rFont val="Open Sans"/>
        <family val="2"/>
        <scheme val="minor"/>
      </rPr>
      <t xml:space="preserve"> - $0</t>
    </r>
  </si>
  <si>
    <r>
      <t xml:space="preserve">Ethereum Magicians - </t>
    </r>
    <r>
      <rPr>
        <b/>
        <sz val="12"/>
        <color theme="1"/>
        <rFont val="Open Sans"/>
        <family val="2"/>
        <scheme val="minor"/>
      </rPr>
      <t xml:space="preserve">$0
</t>
    </r>
    <r>
      <rPr>
        <sz val="11"/>
        <color theme="1"/>
        <rFont val="Open Sans"/>
        <family val="2"/>
        <scheme val="minor"/>
      </rPr>
      <t>Keccak256 support -</t>
    </r>
    <r>
      <rPr>
        <b/>
        <sz val="12"/>
        <color theme="1"/>
        <rFont val="Open Sans"/>
        <family val="2"/>
        <scheme val="minor"/>
      </rPr>
      <t xml:space="preserve"> $0
</t>
    </r>
    <r>
      <rPr>
        <sz val="11"/>
        <color theme="1"/>
        <rFont val="Open Sans"/>
        <family val="2"/>
        <scheme val="minor"/>
      </rPr>
      <t>TurboGeth ETC -</t>
    </r>
    <r>
      <rPr>
        <b/>
        <sz val="12"/>
        <color theme="1"/>
        <rFont val="Open Sans"/>
        <family val="2"/>
        <scheme val="minor"/>
      </rPr>
      <t xml:space="preserve"> $0</t>
    </r>
  </si>
  <si>
    <r>
      <t xml:space="preserve">Ethereum Magicians </t>
    </r>
    <r>
      <rPr>
        <b/>
        <sz val="12"/>
        <color theme="1"/>
        <rFont val="Open Sans"/>
        <family val="2"/>
        <scheme val="minor"/>
      </rPr>
      <t xml:space="preserve">- $0
</t>
    </r>
    <r>
      <rPr>
        <sz val="11"/>
        <color theme="1"/>
        <rFont val="Open Sans"/>
        <family val="2"/>
        <scheme val="minor"/>
      </rPr>
      <t xml:space="preserve">Keccak256 support - </t>
    </r>
    <r>
      <rPr>
        <b/>
        <sz val="12"/>
        <color theme="1"/>
        <rFont val="Open Sans"/>
        <family val="2"/>
        <scheme val="minor"/>
      </rPr>
      <t>$0</t>
    </r>
    <r>
      <rPr>
        <sz val="11"/>
        <color theme="1"/>
        <rFont val="Open Sans"/>
        <family val="2"/>
        <scheme val="minor"/>
      </rPr>
      <t xml:space="preserve">
TurboGeth ETC</t>
    </r>
    <r>
      <rPr>
        <b/>
        <sz val="12"/>
        <color theme="1"/>
        <rFont val="Open Sans"/>
        <family val="2"/>
        <scheme val="minor"/>
      </rPr>
      <t xml:space="preserve"> - $0</t>
    </r>
    <r>
      <rPr>
        <sz val="11"/>
        <color theme="1"/>
        <rFont val="Open Sans"/>
        <family val="2"/>
        <scheme val="minor"/>
      </rPr>
      <t xml:space="preserve">
Keccak256 MultiGeth</t>
    </r>
    <r>
      <rPr>
        <b/>
        <sz val="12"/>
        <color theme="1"/>
        <rFont val="Open Sans"/>
        <family val="2"/>
        <scheme val="minor"/>
      </rPr>
      <t xml:space="preserve"> - $14K</t>
    </r>
    <r>
      <rPr>
        <sz val="11"/>
        <color theme="1"/>
        <rFont val="Open Sans"/>
        <family val="2"/>
        <scheme val="minor"/>
      </rPr>
      <t xml:space="preserve">
Keccak256 Parity/Besu</t>
    </r>
    <r>
      <rPr>
        <b/>
        <sz val="12"/>
        <color theme="1"/>
        <rFont val="Open Sans"/>
        <family val="2"/>
        <scheme val="minor"/>
      </rPr>
      <t xml:space="preserve"> - $20K?
</t>
    </r>
    <r>
      <rPr>
        <sz val="11"/>
        <color theme="1"/>
        <rFont val="Open Sans"/>
        <family val="2"/>
        <scheme val="minor"/>
      </rPr>
      <t>Account versioning -</t>
    </r>
    <r>
      <rPr>
        <b/>
        <sz val="12"/>
        <color theme="1"/>
        <rFont val="Open Sans"/>
        <family val="2"/>
        <scheme val="minor"/>
      </rPr>
      <t xml:space="preserve"> $10K?
</t>
    </r>
    <r>
      <rPr>
        <sz val="11"/>
        <color theme="1"/>
        <rFont val="Open Sans"/>
        <family val="2"/>
        <scheme val="minor"/>
      </rPr>
      <t>Kunming -</t>
    </r>
    <r>
      <rPr>
        <b/>
        <sz val="12"/>
        <color theme="1"/>
        <rFont val="Open Sans"/>
        <family val="2"/>
        <scheme val="minor"/>
      </rPr>
      <t xml:space="preserve"> $20K?
</t>
    </r>
  </si>
  <si>
    <r>
      <t xml:space="preserve">Ethereum Magicians </t>
    </r>
    <r>
      <rPr>
        <b/>
        <sz val="12"/>
        <color theme="1"/>
        <rFont val="Open Sans"/>
        <family val="2"/>
        <scheme val="minor"/>
      </rPr>
      <t xml:space="preserve">- $0
</t>
    </r>
    <r>
      <rPr>
        <sz val="11"/>
        <color theme="1"/>
        <rFont val="Open Sans"/>
        <family val="2"/>
        <scheme val="minor"/>
      </rPr>
      <t xml:space="preserve">Keccak256 support - </t>
    </r>
    <r>
      <rPr>
        <b/>
        <sz val="12"/>
        <color theme="1"/>
        <rFont val="Open Sans"/>
        <family val="2"/>
        <scheme val="minor"/>
      </rPr>
      <t>$0</t>
    </r>
    <r>
      <rPr>
        <sz val="11"/>
        <color theme="1"/>
        <rFont val="Open Sans"/>
        <family val="2"/>
        <scheme val="minor"/>
      </rPr>
      <t xml:space="preserve">
TurboGeth ETC</t>
    </r>
    <r>
      <rPr>
        <b/>
        <sz val="12"/>
        <color theme="1"/>
        <rFont val="Open Sans"/>
        <family val="2"/>
        <scheme val="minor"/>
      </rPr>
      <t xml:space="preserve"> - $0</t>
    </r>
    <r>
      <rPr>
        <sz val="11"/>
        <color theme="1"/>
        <rFont val="Open Sans"/>
        <family val="2"/>
        <scheme val="minor"/>
      </rPr>
      <t xml:space="preserve">
Keccak256 MultiGeth</t>
    </r>
    <r>
      <rPr>
        <b/>
        <sz val="12"/>
        <color theme="1"/>
        <rFont val="Open Sans"/>
        <family val="2"/>
        <scheme val="minor"/>
      </rPr>
      <t xml:space="preserve"> - $14K</t>
    </r>
    <r>
      <rPr>
        <sz val="11"/>
        <color theme="1"/>
        <rFont val="Open Sans"/>
        <family val="2"/>
        <scheme val="minor"/>
      </rPr>
      <t xml:space="preserve">
Keccak256 Parity/Besu</t>
    </r>
    <r>
      <rPr>
        <b/>
        <sz val="12"/>
        <color theme="1"/>
        <rFont val="Open Sans"/>
        <family val="2"/>
        <scheme val="minor"/>
      </rPr>
      <t xml:space="preserve"> - $20K?
</t>
    </r>
    <r>
      <rPr>
        <sz val="11"/>
        <color theme="1"/>
        <rFont val="Open Sans"/>
        <family val="2"/>
        <scheme val="minor"/>
      </rPr>
      <t xml:space="preserve">Account versioning - </t>
    </r>
    <r>
      <rPr>
        <b/>
        <sz val="12"/>
        <color theme="1"/>
        <rFont val="Open Sans"/>
        <family val="2"/>
        <scheme val="minor"/>
      </rPr>
      <t>$10K?</t>
    </r>
    <r>
      <rPr>
        <sz val="11"/>
        <color theme="1"/>
        <rFont val="Open Sans"/>
        <family val="2"/>
        <scheme val="minor"/>
      </rPr>
      <t xml:space="preserve">
Kunming - </t>
    </r>
    <r>
      <rPr>
        <b/>
        <sz val="12"/>
        <color theme="1"/>
        <rFont val="Open Sans"/>
        <family val="2"/>
        <scheme val="minor"/>
      </rPr>
      <t>$20K?</t>
    </r>
    <r>
      <rPr>
        <sz val="11"/>
        <color theme="1"/>
        <rFont val="Open Sans"/>
        <family val="2"/>
        <scheme val="minor"/>
      </rPr>
      <t xml:space="preserve">
Besu BESU-27 -</t>
    </r>
    <r>
      <rPr>
        <b/>
        <sz val="12"/>
        <color theme="1"/>
        <rFont val="Open Sans"/>
        <family val="2"/>
        <scheme val="minor"/>
      </rPr>
      <t xml:space="preserve"> $21K</t>
    </r>
    <r>
      <rPr>
        <sz val="11"/>
        <color theme="1"/>
        <rFont val="Open Sans"/>
        <family val="2"/>
        <scheme val="minor"/>
      </rPr>
      <t xml:space="preserve">
Besu BESU-31 - </t>
    </r>
    <r>
      <rPr>
        <b/>
        <sz val="12"/>
        <color theme="1"/>
        <rFont val="Open Sans"/>
        <family val="2"/>
        <scheme val="minor"/>
      </rPr>
      <t>$11K</t>
    </r>
    <r>
      <rPr>
        <sz val="11"/>
        <color theme="1"/>
        <rFont val="Open Sans"/>
        <family val="2"/>
        <scheme val="minor"/>
      </rPr>
      <t xml:space="preserve">
Besu BESU-63 - </t>
    </r>
    <r>
      <rPr>
        <b/>
        <sz val="12"/>
        <color theme="1"/>
        <rFont val="Open Sans"/>
        <family val="2"/>
        <scheme val="minor"/>
      </rPr>
      <t>$15K</t>
    </r>
  </si>
  <si>
    <r>
      <t xml:space="preserve">Ethereum Magicians </t>
    </r>
    <r>
      <rPr>
        <b/>
        <sz val="12"/>
        <color theme="1"/>
        <rFont val="Open Sans"/>
        <family val="2"/>
        <scheme val="minor"/>
      </rPr>
      <t xml:space="preserve">- $0
</t>
    </r>
    <r>
      <rPr>
        <sz val="11"/>
        <color theme="1"/>
        <rFont val="Open Sans"/>
        <family val="2"/>
        <scheme val="minor"/>
      </rPr>
      <t xml:space="preserve">Keccak256 support - </t>
    </r>
    <r>
      <rPr>
        <b/>
        <sz val="12"/>
        <color theme="1"/>
        <rFont val="Open Sans"/>
        <family val="2"/>
        <scheme val="minor"/>
      </rPr>
      <t>$0</t>
    </r>
    <r>
      <rPr>
        <sz val="11"/>
        <color theme="1"/>
        <rFont val="Open Sans"/>
        <family val="2"/>
        <scheme val="minor"/>
      </rPr>
      <t xml:space="preserve">
TurboGeth ETC</t>
    </r>
    <r>
      <rPr>
        <b/>
        <sz val="12"/>
        <color theme="1"/>
        <rFont val="Open Sans"/>
        <family val="2"/>
        <scheme val="minor"/>
      </rPr>
      <t xml:space="preserve"> - $0</t>
    </r>
    <r>
      <rPr>
        <sz val="11"/>
        <color theme="1"/>
        <rFont val="Open Sans"/>
        <family val="2"/>
        <scheme val="minor"/>
      </rPr>
      <t xml:space="preserve">
Keccak256 MultiGeth</t>
    </r>
    <r>
      <rPr>
        <b/>
        <sz val="12"/>
        <color theme="1"/>
        <rFont val="Open Sans"/>
        <family val="2"/>
        <scheme val="minor"/>
      </rPr>
      <t xml:space="preserve"> - $14K</t>
    </r>
    <r>
      <rPr>
        <sz val="11"/>
        <color theme="1"/>
        <rFont val="Open Sans"/>
        <family val="2"/>
        <scheme val="minor"/>
      </rPr>
      <t xml:space="preserve">
Keccak256 Parity/Besu</t>
    </r>
    <r>
      <rPr>
        <b/>
        <sz val="12"/>
        <color theme="1"/>
        <rFont val="Open Sans"/>
        <family val="2"/>
        <scheme val="minor"/>
      </rPr>
      <t xml:space="preserve"> - $20K?</t>
    </r>
    <r>
      <rPr>
        <sz val="11"/>
        <color theme="1"/>
        <rFont val="Open Sans"/>
        <family val="2"/>
        <scheme val="minor"/>
      </rPr>
      <t xml:space="preserve">
Account versioning - </t>
    </r>
    <r>
      <rPr>
        <b/>
        <sz val="12"/>
        <color theme="1"/>
        <rFont val="Open Sans"/>
        <family val="2"/>
        <scheme val="minor"/>
      </rPr>
      <t xml:space="preserve">$10K?
</t>
    </r>
    <r>
      <rPr>
        <sz val="11"/>
        <color theme="1"/>
        <rFont val="Open Sans"/>
        <family val="2"/>
        <scheme val="minor"/>
      </rPr>
      <t>Kunming -</t>
    </r>
    <r>
      <rPr>
        <b/>
        <sz val="12"/>
        <color theme="1"/>
        <rFont val="Open Sans"/>
        <family val="2"/>
        <scheme val="minor"/>
      </rPr>
      <t xml:space="preserve"> $20K?
</t>
    </r>
    <r>
      <rPr>
        <sz val="11"/>
        <color theme="1"/>
        <rFont val="Open Sans"/>
        <family val="2"/>
        <scheme val="minor"/>
      </rPr>
      <t xml:space="preserve">Besu BESU-27 - </t>
    </r>
    <r>
      <rPr>
        <b/>
        <sz val="12"/>
        <color theme="1"/>
        <rFont val="Open Sans"/>
        <family val="2"/>
        <scheme val="minor"/>
      </rPr>
      <t xml:space="preserve">$21K
</t>
    </r>
    <r>
      <rPr>
        <sz val="11"/>
        <color theme="1"/>
        <rFont val="Open Sans"/>
        <family val="2"/>
        <scheme val="minor"/>
      </rPr>
      <t>Besu BESU-31 -</t>
    </r>
    <r>
      <rPr>
        <b/>
        <sz val="12"/>
        <color theme="1"/>
        <rFont val="Open Sans"/>
        <family val="2"/>
        <scheme val="minor"/>
      </rPr>
      <t xml:space="preserve"> $11K
</t>
    </r>
    <r>
      <rPr>
        <sz val="11"/>
        <color theme="1"/>
        <rFont val="Open Sans"/>
        <family val="2"/>
        <scheme val="minor"/>
      </rPr>
      <t>Besu BESU-63 -</t>
    </r>
    <r>
      <rPr>
        <b/>
        <sz val="12"/>
        <color theme="1"/>
        <rFont val="Open Sans"/>
        <family val="2"/>
        <scheme val="minor"/>
      </rPr>
      <t xml:space="preserve"> $15K
</t>
    </r>
    <r>
      <rPr>
        <sz val="11"/>
        <color theme="1"/>
        <rFont val="Open Sans"/>
        <family val="2"/>
        <scheme val="minor"/>
      </rPr>
      <t>Gas pricing survey -</t>
    </r>
    <r>
      <rPr>
        <b/>
        <sz val="12"/>
        <color theme="1"/>
        <rFont val="Open Sans"/>
        <family val="2"/>
        <scheme val="minor"/>
      </rPr>
      <t xml:space="preserve"> $30K?</t>
    </r>
  </si>
  <si>
    <t>Partnerships</t>
  </si>
  <si>
    <r>
      <t>DCG/Grayscale</t>
    </r>
    <r>
      <rPr>
        <b/>
        <sz val="12"/>
        <color theme="1"/>
        <rFont val="Open Sans"/>
        <family val="2"/>
        <scheme val="minor"/>
      </rPr>
      <t xml:space="preserve"> - $0</t>
    </r>
  </si>
  <si>
    <r>
      <t>EF -</t>
    </r>
    <r>
      <rPr>
        <b/>
        <sz val="12"/>
        <color theme="1"/>
        <rFont val="Open Sans"/>
        <family val="2"/>
        <scheme val="minor"/>
      </rPr>
      <t xml:space="preserve"> $0</t>
    </r>
  </si>
  <si>
    <r>
      <t xml:space="preserve">EEA </t>
    </r>
    <r>
      <rPr>
        <b/>
        <sz val="12"/>
        <color theme="1"/>
        <rFont val="Open Sans"/>
        <family val="2"/>
        <scheme val="minor"/>
      </rPr>
      <t>- $0</t>
    </r>
    <r>
      <rPr>
        <sz val="11"/>
        <color theme="1"/>
        <rFont val="Open Sans"/>
        <family val="2"/>
        <scheme val="minor"/>
      </rPr>
      <t xml:space="preserve">
Hyperledger </t>
    </r>
    <r>
      <rPr>
        <b/>
        <sz val="12"/>
        <color theme="1"/>
        <rFont val="Open Sans"/>
        <family val="2"/>
        <scheme val="minor"/>
      </rPr>
      <t>- $0</t>
    </r>
    <r>
      <rPr>
        <sz val="11"/>
        <color theme="1"/>
        <rFont val="Open Sans"/>
        <family val="2"/>
        <scheme val="minor"/>
      </rPr>
      <t xml:space="preserve">
GDF</t>
    </r>
    <r>
      <rPr>
        <b/>
        <sz val="12"/>
        <color theme="1"/>
        <rFont val="Open Sans"/>
        <family val="2"/>
        <scheme val="minor"/>
      </rPr>
      <t xml:space="preserve"> - $0</t>
    </r>
  </si>
  <si>
    <r>
      <t xml:space="preserve">Truffle Teams </t>
    </r>
    <r>
      <rPr>
        <b/>
        <sz val="12"/>
        <color theme="1"/>
        <rFont val="Open Sans"/>
        <family val="2"/>
        <scheme val="minor"/>
      </rPr>
      <t>- $10K</t>
    </r>
  </si>
  <si>
    <r>
      <t>Truffle Teams</t>
    </r>
    <r>
      <rPr>
        <b/>
        <sz val="12"/>
        <color theme="1"/>
        <rFont val="Open Sans"/>
        <family val="2"/>
        <scheme val="minor"/>
      </rPr>
      <t xml:space="preserve"> - $10K</t>
    </r>
  </si>
  <si>
    <r>
      <t xml:space="preserve">Financial Controller </t>
    </r>
    <r>
      <rPr>
        <b/>
        <sz val="12"/>
        <color theme="1"/>
        <rFont val="Open Sans"/>
        <family val="2"/>
        <scheme val="minor"/>
      </rPr>
      <t>- $10K</t>
    </r>
  </si>
  <si>
    <t>Transparency</t>
  </si>
  <si>
    <r>
      <t xml:space="preserve">Transparency reports </t>
    </r>
    <r>
      <rPr>
        <b/>
        <sz val="12"/>
        <color theme="1"/>
        <rFont val="Open Sans"/>
        <family val="2"/>
        <scheme val="minor"/>
      </rPr>
      <t>- $0</t>
    </r>
  </si>
  <si>
    <r>
      <t xml:space="preserve">Messari - </t>
    </r>
    <r>
      <rPr>
        <b/>
        <sz val="12"/>
        <color theme="1"/>
        <rFont val="Open Sans"/>
        <family val="2"/>
        <scheme val="minor"/>
      </rPr>
      <t>$10K</t>
    </r>
  </si>
  <si>
    <t>Total spend</t>
  </si>
  <si>
    <t>$634K</t>
  </si>
  <si>
    <t>$646K</t>
  </si>
  <si>
    <t>$1.4M</t>
  </si>
  <si>
    <r>
      <t>ETHDenver -</t>
    </r>
    <r>
      <rPr>
        <b/>
        <sz val="12"/>
        <color theme="1"/>
        <rFont val="Open Sans"/>
        <family val="2"/>
        <scheme val="minor"/>
      </rPr>
      <t xml:space="preserve"> $10K</t>
    </r>
    <r>
      <rPr>
        <sz val="11"/>
        <color theme="1"/>
        <rFont val="Open Sans"/>
        <family val="2"/>
        <scheme val="minor"/>
      </rPr>
      <t xml:space="preserve">
EthCC[3] -</t>
    </r>
    <r>
      <rPr>
        <b/>
        <sz val="12"/>
        <color theme="1"/>
        <rFont val="Open Sans"/>
        <family val="2"/>
        <scheme val="minor"/>
      </rPr>
      <t xml:space="preserve"> $10K</t>
    </r>
    <r>
      <rPr>
        <sz val="11"/>
        <color theme="1"/>
        <rFont val="Open Sans"/>
        <family val="2"/>
        <scheme val="minor"/>
      </rPr>
      <t xml:space="preserve">
EDCON - </t>
    </r>
    <r>
      <rPr>
        <b/>
        <sz val="12"/>
        <color theme="1"/>
        <rFont val="Open Sans"/>
        <family val="2"/>
        <scheme val="minor"/>
      </rPr>
      <t>$5K</t>
    </r>
    <r>
      <rPr>
        <sz val="11"/>
        <color theme="1"/>
        <rFont val="Open Sans"/>
        <family val="2"/>
        <scheme val="minor"/>
      </rPr>
      <t xml:space="preserve">
Consensus - </t>
    </r>
    <r>
      <rPr>
        <b/>
        <sz val="12"/>
        <color theme="1"/>
        <rFont val="Open Sans"/>
        <family val="2"/>
        <scheme val="minor"/>
      </rPr>
      <t>$5K</t>
    </r>
    <r>
      <rPr>
        <sz val="11"/>
        <color theme="1"/>
        <rFont val="Open Sans"/>
        <family val="2"/>
        <scheme val="minor"/>
      </rPr>
      <t xml:space="preserve">
Bitcoin 2020 - </t>
    </r>
    <r>
      <rPr>
        <b/>
        <sz val="12"/>
        <color theme="1"/>
        <rFont val="Open Sans"/>
        <family val="2"/>
        <scheme val="minor"/>
      </rPr>
      <t>$5K</t>
    </r>
    <r>
      <rPr>
        <sz val="11"/>
        <color theme="1"/>
        <rFont val="Open Sans"/>
        <family val="2"/>
        <scheme val="minor"/>
      </rPr>
      <t xml:space="preserve">
BRI Toronto - </t>
    </r>
    <r>
      <rPr>
        <b/>
        <sz val="12"/>
        <color theme="1"/>
        <rFont val="Open Sans"/>
        <family val="2"/>
        <scheme val="minor"/>
      </rPr>
      <t>$5K</t>
    </r>
    <r>
      <rPr>
        <sz val="11"/>
        <color theme="1"/>
        <rFont val="Open Sans"/>
        <family val="2"/>
        <scheme val="minor"/>
      </rPr>
      <t xml:space="preserve">
OSCON - </t>
    </r>
    <r>
      <rPr>
        <b/>
        <sz val="12"/>
        <color theme="1"/>
        <rFont val="Open Sans"/>
        <family val="2"/>
        <scheme val="minor"/>
      </rPr>
      <t>$5K</t>
    </r>
    <r>
      <rPr>
        <sz val="11"/>
        <color theme="1"/>
        <rFont val="Open Sans"/>
        <family val="2"/>
        <scheme val="minor"/>
      </rPr>
      <t xml:space="preserve">
DEVCON - </t>
    </r>
    <r>
      <rPr>
        <b/>
        <sz val="12"/>
        <color theme="1"/>
        <rFont val="Open Sans"/>
        <family val="2"/>
        <scheme val="minor"/>
      </rPr>
      <t>$10K</t>
    </r>
    <r>
      <rPr>
        <sz val="11"/>
        <color theme="1"/>
        <rFont val="Open Sans"/>
        <family val="2"/>
        <scheme val="minor"/>
      </rPr>
      <t xml:space="preserve">
ETHWaterloo -</t>
    </r>
    <r>
      <rPr>
        <b/>
        <sz val="12"/>
        <color theme="1"/>
        <rFont val="Open Sans"/>
        <family val="2"/>
        <scheme val="minor"/>
      </rPr>
      <t xml:space="preserve"> $5K
</t>
    </r>
    <r>
      <rPr>
        <sz val="11"/>
        <color theme="1"/>
        <rFont val="Open Sans"/>
        <family val="2"/>
        <scheme val="minor"/>
      </rPr>
      <t>Hosting ETC Summit -</t>
    </r>
    <r>
      <rPr>
        <b/>
        <sz val="12"/>
        <color theme="1"/>
        <rFont val="Open Sans"/>
        <family val="2"/>
        <scheme val="minor"/>
      </rPr>
      <t xml:space="preserve"> $160K
</t>
    </r>
    <r>
      <rPr>
        <sz val="11"/>
        <color theme="1"/>
        <rFont val="Open Sans"/>
        <family val="2"/>
        <scheme val="minor"/>
      </rPr>
      <t>"Phoenix Day" ads -</t>
    </r>
    <r>
      <rPr>
        <b/>
        <sz val="12"/>
        <color theme="1"/>
        <rFont val="Open Sans"/>
        <family val="2"/>
        <scheme val="minor"/>
      </rPr>
      <t xml:space="preserve"> $50K </t>
    </r>
    <r>
      <rPr>
        <sz val="12"/>
        <color theme="1"/>
        <rFont val="Open Sans"/>
        <family val="2"/>
        <scheme val="minor"/>
      </rPr>
      <t>Comms Manager</t>
    </r>
    <r>
      <rPr>
        <b/>
        <sz val="12"/>
        <color theme="1"/>
        <rFont val="Open Sans"/>
        <family val="2"/>
        <scheme val="minor"/>
      </rPr>
      <t xml:space="preserve"> - $100K
</t>
    </r>
    <r>
      <rPr>
        <sz val="11"/>
        <color theme="1"/>
        <rFont val="Open Sans"/>
        <family val="2"/>
        <scheme val="minor"/>
      </rPr>
      <t xml:space="preserve">
</t>
    </r>
  </si>
  <si>
    <r>
      <t xml:space="preserve">Executive Director - </t>
    </r>
    <r>
      <rPr>
        <b/>
        <sz val="12"/>
        <color theme="1"/>
        <rFont val="Open Sans"/>
        <family val="2"/>
        <scheme val="minor"/>
      </rPr>
      <t xml:space="preserve">$200K
</t>
    </r>
    <r>
      <rPr>
        <sz val="11"/>
        <color theme="1"/>
        <rFont val="Open Sans"/>
        <family val="2"/>
        <scheme val="minor"/>
      </rPr>
      <t/>
    </r>
  </si>
  <si>
    <t>Executive</t>
  </si>
  <si>
    <t>Finance</t>
  </si>
  <si>
    <t>Comms and Marketing</t>
  </si>
  <si>
    <t>Internal Processes</t>
  </si>
  <si>
    <t>$440K</t>
  </si>
  <si>
    <r>
      <t xml:space="preserve">Monthly book-keeping, annual planning, monthly &amp; quarterly reporting, other projects, tax planning ($10K), software, Controller contract fees - </t>
    </r>
    <r>
      <rPr>
        <b/>
        <sz val="12"/>
        <color theme="1"/>
        <rFont val="Open Sans"/>
        <family val="2"/>
        <scheme val="minor"/>
      </rPr>
      <t>$65K</t>
    </r>
  </si>
  <si>
    <r>
      <t>Monthly book-keeping, annual planning, monthly &amp; quarterly reporting, other projects, tax planning ($10K), software, Controller contract fees -</t>
    </r>
    <r>
      <rPr>
        <b/>
        <sz val="12"/>
        <color theme="1"/>
        <rFont val="Open Sans"/>
        <family val="2"/>
        <scheme val="minor"/>
      </rPr>
      <t xml:space="preserve"> $65K</t>
    </r>
  </si>
  <si>
    <r>
      <t xml:space="preserve">Monthly book-keeping, monthly reporting, tax planning ($10K), software, Controller contract fees - </t>
    </r>
    <r>
      <rPr>
        <b/>
        <sz val="12"/>
        <color theme="1"/>
        <rFont val="Open Sans"/>
        <family val="2"/>
        <scheme val="minor"/>
      </rPr>
      <t>$50K</t>
    </r>
  </si>
  <si>
    <r>
      <t xml:space="preserve">Overhead - </t>
    </r>
    <r>
      <rPr>
        <b/>
        <sz val="12"/>
        <color theme="1"/>
        <rFont val="Open Sans"/>
        <family val="2"/>
        <scheme val="minor"/>
      </rPr>
      <t>$33K</t>
    </r>
  </si>
  <si>
    <t>$576K</t>
  </si>
  <si>
    <t>$928K</t>
  </si>
  <si>
    <r>
      <t xml:space="preserve">Overhead - </t>
    </r>
    <r>
      <rPr>
        <b/>
        <sz val="12"/>
        <color theme="1"/>
        <rFont val="Open Sans"/>
        <family val="2"/>
        <scheme val="minor"/>
      </rPr>
      <t>$35K</t>
    </r>
  </si>
  <si>
    <r>
      <t>Overhead</t>
    </r>
    <r>
      <rPr>
        <b/>
        <sz val="12"/>
        <color theme="1"/>
        <rFont val="Open Sans"/>
        <family val="2"/>
        <scheme val="minor"/>
      </rPr>
      <t xml:space="preserve"> - $50K</t>
    </r>
  </si>
  <si>
    <r>
      <t xml:space="preserve">Overhead - </t>
    </r>
    <r>
      <rPr>
        <b/>
        <sz val="12"/>
        <color theme="1"/>
        <rFont val="Open Sans"/>
        <family val="2"/>
        <scheme val="minor"/>
      </rPr>
      <t>$40K</t>
    </r>
  </si>
  <si>
    <r>
      <t>Overhead-</t>
    </r>
    <r>
      <rPr>
        <b/>
        <sz val="12"/>
        <color theme="1"/>
        <rFont val="Open Sans"/>
        <family val="2"/>
        <scheme val="minor"/>
      </rPr>
      <t>$3K</t>
    </r>
  </si>
  <si>
    <r>
      <t xml:space="preserve">Legal, Tax filings, other - </t>
    </r>
    <r>
      <rPr>
        <b/>
        <sz val="12"/>
        <color theme="1"/>
        <rFont val="Open Sans"/>
        <family val="2"/>
        <scheme val="minor"/>
      </rPr>
      <t>$21K</t>
    </r>
  </si>
  <si>
    <t>Transportation</t>
  </si>
  <si>
    <t>January</t>
  </si>
  <si>
    <t>February</t>
  </si>
  <si>
    <t>September</t>
  </si>
  <si>
    <t>October</t>
  </si>
  <si>
    <t>November</t>
  </si>
  <si>
    <t>December</t>
  </si>
  <si>
    <t>Accounting Software (Xero &amp; Expensify)</t>
  </si>
  <si>
    <t>Host Services (nodes etc)</t>
  </si>
  <si>
    <t>Software subscriptions</t>
  </si>
  <si>
    <t>Tech/IT &amp; G&amp;A</t>
  </si>
  <si>
    <t>Overhead &amp; Management</t>
  </si>
  <si>
    <t>Comms &amp; Marketing</t>
  </si>
  <si>
    <t>Legal Units</t>
  </si>
  <si>
    <t>Company Name</t>
  </si>
  <si>
    <t>Unit Number</t>
  </si>
  <si>
    <t>Acroynm</t>
  </si>
  <si>
    <t>Ethereum Classic Cooperative Inc.</t>
  </si>
  <si>
    <t>01</t>
  </si>
  <si>
    <t>ETC</t>
  </si>
  <si>
    <t>Departments</t>
  </si>
  <si>
    <t>Name</t>
  </si>
  <si>
    <t>00</t>
  </si>
  <si>
    <t>02</t>
  </si>
  <si>
    <t>03</t>
  </si>
  <si>
    <t>04</t>
  </si>
  <si>
    <t>05</t>
  </si>
  <si>
    <t>06</t>
  </si>
  <si>
    <t>07</t>
  </si>
  <si>
    <t>08</t>
  </si>
  <si>
    <t>Account</t>
  </si>
  <si>
    <t>Expense Element Name</t>
  </si>
  <si>
    <t>Account Number</t>
  </si>
  <si>
    <t>Category</t>
  </si>
  <si>
    <t>Travel-Flights</t>
  </si>
  <si>
    <t>Travel-Hotels</t>
  </si>
  <si>
    <t>Meal &amp; Entertainment</t>
  </si>
  <si>
    <t>Travel-Other</t>
  </si>
  <si>
    <t>Contract Wages (Staff)</t>
  </si>
  <si>
    <t>Wages</t>
  </si>
  <si>
    <t>Salaries Expense</t>
  </si>
  <si>
    <t>Employee Benefits</t>
  </si>
  <si>
    <t>Other-Wage related</t>
  </si>
  <si>
    <t>Software</t>
  </si>
  <si>
    <t>Tech</t>
  </si>
  <si>
    <t>Paying for a license for something, subscriptions</t>
  </si>
  <si>
    <t>Hardware</t>
  </si>
  <si>
    <t>Hosted Services</t>
  </si>
  <si>
    <t>Ex. ETC Nodes, AWS, Digitial Ocean</t>
  </si>
  <si>
    <t>Office Expenses</t>
  </si>
  <si>
    <t>G&amp;A</t>
  </si>
  <si>
    <t>Membership &amp; Dues</t>
  </si>
  <si>
    <t>Shipping &amp; Postage</t>
  </si>
  <si>
    <t>Bank Charges</t>
  </si>
  <si>
    <t>Cell Phones</t>
  </si>
  <si>
    <t>G&amp;A - Other</t>
  </si>
  <si>
    <t>Conferences</t>
  </si>
  <si>
    <t>Marketing</t>
  </si>
  <si>
    <t>Advertising</t>
  </si>
  <si>
    <t>Swag</t>
  </si>
  <si>
    <t>Professional Service Providers</t>
  </si>
  <si>
    <t>Contractors</t>
  </si>
  <si>
    <t>Grants</t>
  </si>
  <si>
    <t>Depreciation</t>
  </si>
  <si>
    <t>Interest Expense</t>
  </si>
  <si>
    <t>Bank Revaluations</t>
  </si>
  <si>
    <t>Unrealized Currency Gains</t>
  </si>
  <si>
    <t>Realized Currency Gains</t>
  </si>
  <si>
    <t>Membership Fees</t>
  </si>
  <si>
    <t>Interest Income</t>
  </si>
  <si>
    <t>Department #</t>
  </si>
  <si>
    <t>Department Name</t>
  </si>
  <si>
    <t>Account #</t>
  </si>
  <si>
    <t>Account Name</t>
  </si>
  <si>
    <t>GL Account</t>
  </si>
  <si>
    <t>01-01-1000</t>
  </si>
  <si>
    <t>Overhead &amp; Management-Travel-Flights</t>
  </si>
  <si>
    <t>01-01-1001</t>
  </si>
  <si>
    <t>Overhead &amp; Management-Travel-Hotels</t>
  </si>
  <si>
    <t>01-01-1002</t>
  </si>
  <si>
    <t>Overhead &amp; Management-Meal &amp; Entertainment</t>
  </si>
  <si>
    <t>01-01-1003</t>
  </si>
  <si>
    <t>Overhead &amp; Management-Transportation</t>
  </si>
  <si>
    <t>01-01-1004</t>
  </si>
  <si>
    <t>Overhead &amp; Management-Travel-Other</t>
  </si>
  <si>
    <t>01-01-1100</t>
  </si>
  <si>
    <t>Overhead &amp; Management-Contract Wages (Staff)</t>
  </si>
  <si>
    <t>01-01-1200</t>
  </si>
  <si>
    <t>Overhead &amp; Management-Software</t>
  </si>
  <si>
    <t>01-01-1201</t>
  </si>
  <si>
    <t>Overhead &amp; Management-Hardware</t>
  </si>
  <si>
    <t>01-01-1202</t>
  </si>
  <si>
    <t>Overhead &amp; Management-Hosted Services</t>
  </si>
  <si>
    <t>01-01-1300</t>
  </si>
  <si>
    <t>Overhead &amp; Management-Office Expenses</t>
  </si>
  <si>
    <t>01-01-1301</t>
  </si>
  <si>
    <t>Overhead &amp; Management-Membership &amp; Dues</t>
  </si>
  <si>
    <t>01-01-1302</t>
  </si>
  <si>
    <t>Overhead &amp; Management-Shipping &amp; Postage</t>
  </si>
  <si>
    <t>01-01-1303</t>
  </si>
  <si>
    <t>Overhead &amp; Management-Bank Charges</t>
  </si>
  <si>
    <t>01-01-1304</t>
  </si>
  <si>
    <t>Overhead &amp; Management-Cell Phones</t>
  </si>
  <si>
    <t>01-01-1305</t>
  </si>
  <si>
    <t>Overhead &amp; Management-G&amp;A - Other</t>
  </si>
  <si>
    <t>01-01-1500</t>
  </si>
  <si>
    <t>Overhead &amp; Management-Professional Service Providers</t>
  </si>
  <si>
    <t>01-01-1601</t>
  </si>
  <si>
    <t>Overhead &amp; Management-Interest Expense</t>
  </si>
  <si>
    <t>01-01-1602</t>
  </si>
  <si>
    <t>Overhead &amp; Management-Bank Revaluations</t>
  </si>
  <si>
    <t>01-01-1603</t>
  </si>
  <si>
    <t>Overhead &amp; Management-Unrealized Currency Gains</t>
  </si>
  <si>
    <t>01-01-1604</t>
  </si>
  <si>
    <t>Overhead &amp; Management-Realized Currency Gains</t>
  </si>
  <si>
    <t>01-02-1000</t>
  </si>
  <si>
    <t>Comms &amp; Marketing-Travel-Flights</t>
  </si>
  <si>
    <t>01-02-1001</t>
  </si>
  <si>
    <t>Comms &amp; Marketing-Travel-Hotels</t>
  </si>
  <si>
    <t>01-02-1002</t>
  </si>
  <si>
    <t>Comms &amp; Marketing-Meal &amp; Entertainment</t>
  </si>
  <si>
    <t>01-02-1003</t>
  </si>
  <si>
    <t>Comms &amp; Marketing-Transportation</t>
  </si>
  <si>
    <t>01-02-1004</t>
  </si>
  <si>
    <t>Comms &amp; Marketing-Travel-Other</t>
  </si>
  <si>
    <t>01-02-1200</t>
  </si>
  <si>
    <t>Comms &amp; Marketing-Software</t>
  </si>
  <si>
    <t>01-02-1400</t>
  </si>
  <si>
    <t>Comms &amp; Marketing-Conferences</t>
  </si>
  <si>
    <t>01-02-1401</t>
  </si>
  <si>
    <t>Comms &amp; Marketing-Sponsorship</t>
  </si>
  <si>
    <t>01-02-1402</t>
  </si>
  <si>
    <t>Comms &amp; Marketing-Advertising</t>
  </si>
  <si>
    <t>01-02-1403</t>
  </si>
  <si>
    <t>Comms &amp; Marketing-Swag</t>
  </si>
  <si>
    <t>01-02-1500</t>
  </si>
  <si>
    <t>Comms &amp; Marketing-Professional Service Providers</t>
  </si>
  <si>
    <t>01-02-1501</t>
  </si>
  <si>
    <t>Comms &amp; Marketing-Contractors</t>
  </si>
  <si>
    <t>01-03-1100</t>
  </si>
  <si>
    <t>Development-Contract Wages (Staff)</t>
  </si>
  <si>
    <t>01-03-1202</t>
  </si>
  <si>
    <t>Development-Hosted Services</t>
  </si>
  <si>
    <t>01-03-1500</t>
  </si>
  <si>
    <t>Development-Professional Service Providers</t>
  </si>
  <si>
    <t>01-03-1501</t>
  </si>
  <si>
    <t>Development-Contractors</t>
  </si>
  <si>
    <t>01-03-1502</t>
  </si>
  <si>
    <t>Development-Grants</t>
  </si>
  <si>
    <t>01-04-1202</t>
  </si>
  <si>
    <t>Infrastructure-Hosted Services</t>
  </si>
  <si>
    <t>01-04-1500</t>
  </si>
  <si>
    <t>Infrastructure-Professional Service Providers</t>
  </si>
  <si>
    <t>01-04-1501</t>
  </si>
  <si>
    <t>Infrastructure-Contractors</t>
  </si>
  <si>
    <t>01-04-1502</t>
  </si>
  <si>
    <t>Infrastructure-Grants</t>
  </si>
  <si>
    <t>01-05-1202</t>
  </si>
  <si>
    <t>Protocol-Hosted Services</t>
  </si>
  <si>
    <t>01-05-1500</t>
  </si>
  <si>
    <t>Protocol-Professional Service Providers</t>
  </si>
  <si>
    <t>01-05-1501</t>
  </si>
  <si>
    <t>Protocol-Contractors</t>
  </si>
  <si>
    <t>01-05-1502</t>
  </si>
  <si>
    <t>Protocol-Grants</t>
  </si>
  <si>
    <t>01-06-1500</t>
  </si>
  <si>
    <t>Partnerships-Professional Service Providers</t>
  </si>
  <si>
    <t>01-06-1501</t>
  </si>
  <si>
    <t>Partnerships-Contractors</t>
  </si>
  <si>
    <t>01-06-1502</t>
  </si>
  <si>
    <t>Partnerships-Grants</t>
  </si>
  <si>
    <t>01-07-1100</t>
  </si>
  <si>
    <t>Finance-Contract Wages (Staff)</t>
  </si>
  <si>
    <t>01-07-1200</t>
  </si>
  <si>
    <t>Finance-Software</t>
  </si>
  <si>
    <t>01-07-1500</t>
  </si>
  <si>
    <t>Finance-Professional Service Providers</t>
  </si>
  <si>
    <t>01-07-1501</t>
  </si>
  <si>
    <t>Finance-Contractors</t>
  </si>
  <si>
    <t>01-08-1000</t>
  </si>
  <si>
    <t>ETC Summit-Travel-Flights</t>
  </si>
  <si>
    <t>01-08-1001</t>
  </si>
  <si>
    <t>ETC Summit-Travel-Hotels</t>
  </si>
  <si>
    <t>01-08-1002</t>
  </si>
  <si>
    <t>ETC Summit-Meal &amp; Entertainment</t>
  </si>
  <si>
    <t>01-08-1003</t>
  </si>
  <si>
    <t>ETC Summit-Transportation</t>
  </si>
  <si>
    <t>01-08-1004</t>
  </si>
  <si>
    <t>ETC Summit-Travel-Other</t>
  </si>
  <si>
    <t>01-08-1400</t>
  </si>
  <si>
    <t>ETC Summit-Conferences</t>
  </si>
  <si>
    <t>01-08-1401</t>
  </si>
  <si>
    <t>ETC Summit-Sponsorship</t>
  </si>
  <si>
    <t>01-08-1402</t>
  </si>
  <si>
    <t>ETC Summit-Advertising</t>
  </si>
  <si>
    <t>01-08-1403</t>
  </si>
  <si>
    <t>ETC Summit-Swag</t>
  </si>
  <si>
    <t>01-00-5000</t>
  </si>
  <si>
    <t>Revenue-Grayscale Fees</t>
  </si>
  <si>
    <t>01-00-5001</t>
  </si>
  <si>
    <t>Revenue-Donations</t>
  </si>
  <si>
    <t>01-00-5002</t>
  </si>
  <si>
    <t>Revenue-Sponsorships</t>
  </si>
  <si>
    <t>01-00-5003</t>
  </si>
  <si>
    <t>Revenue-Membership Fees</t>
  </si>
  <si>
    <t>01-00-5004</t>
  </si>
  <si>
    <t>Revenue-Interest Income</t>
  </si>
  <si>
    <t>01-00-5005</t>
  </si>
  <si>
    <t>Revenue-Other</t>
  </si>
  <si>
    <t>Membership Dues</t>
  </si>
  <si>
    <t>Travel-Transportation</t>
  </si>
  <si>
    <t>Travel-Meals &amp; Entertainment</t>
  </si>
  <si>
    <t>Website</t>
  </si>
  <si>
    <t>Presentations, logos, other</t>
  </si>
  <si>
    <t>01-02-1404</t>
  </si>
  <si>
    <t>01-02-1405</t>
  </si>
  <si>
    <t>01-02-1406</t>
  </si>
  <si>
    <t>Comms &amp; Marketing-Transparency</t>
  </si>
  <si>
    <t>Comms &amp; Marketing-Website</t>
  </si>
  <si>
    <t>Comms &amp; Marketing-Presentations, logos, other</t>
  </si>
  <si>
    <t>Presentations, logos, etc</t>
  </si>
  <si>
    <t>Financial Positions in $US</t>
  </si>
  <si>
    <t>Assets</t>
  </si>
  <si>
    <t>Cash &amp; Cash Equivalents</t>
  </si>
  <si>
    <r>
      <t>ETC (at book value)</t>
    </r>
    <r>
      <rPr>
        <vertAlign val="superscript"/>
        <sz val="10"/>
        <rFont val="Arial"/>
        <family val="2"/>
      </rPr>
      <t>1</t>
    </r>
  </si>
  <si>
    <t>Accounts Receivable</t>
  </si>
  <si>
    <t>Due from Grayscale</t>
  </si>
  <si>
    <r>
      <t>Prepaid Expenses &amp; Deposits</t>
    </r>
    <r>
      <rPr>
        <vertAlign val="superscript"/>
        <sz val="10"/>
        <rFont val="Arial"/>
        <family val="2"/>
      </rPr>
      <t>2</t>
    </r>
  </si>
  <si>
    <t>Total Assets</t>
  </si>
  <si>
    <t>Liabilities</t>
  </si>
  <si>
    <t>Accounts Payable &amp; Accrued Liabilities</t>
  </si>
  <si>
    <t>Due to Grayscale</t>
  </si>
  <si>
    <t>Total Liabilities</t>
  </si>
  <si>
    <t>Equity</t>
  </si>
  <si>
    <t>Retained Earnings</t>
  </si>
  <si>
    <t>Net (Loss/Income)</t>
  </si>
  <si>
    <t>Total Equity</t>
  </si>
  <si>
    <t>Total Liabilities &amp; Equity</t>
  </si>
  <si>
    <r>
      <t>ETC at Market Value</t>
    </r>
    <r>
      <rPr>
        <i/>
        <vertAlign val="superscript"/>
        <sz val="10"/>
        <rFont val="Arial"/>
        <family val="2"/>
      </rPr>
      <t>1</t>
    </r>
  </si>
  <si>
    <r>
      <t>Liquid assets</t>
    </r>
    <r>
      <rPr>
        <b/>
        <vertAlign val="superscript"/>
        <sz val="10"/>
        <rFont val="Arial"/>
        <family val="2"/>
      </rPr>
      <t>3</t>
    </r>
  </si>
  <si>
    <t xml:space="preserve">Book value is the value when the ETC was originally purchased. Market value is the value </t>
  </si>
  <si>
    <t>Includes deposit of $120,000 that was made for ETC Summit 2019 expenses.</t>
  </si>
  <si>
    <t>Liquid assets consist of cash and cash equivalents and ETC at market value</t>
  </si>
  <si>
    <t>01-08-1407</t>
  </si>
  <si>
    <t>ETC Summit-Other</t>
  </si>
  <si>
    <t>Development, Protocol, &amp; Partnerships</t>
  </si>
  <si>
    <t xml:space="preserve">Travel </t>
  </si>
  <si>
    <t xml:space="preserve">Finance </t>
  </si>
  <si>
    <t>Category Code</t>
  </si>
  <si>
    <t>Department</t>
  </si>
  <si>
    <t>Total Expenses by Category</t>
  </si>
  <si>
    <t>04/30/2018</t>
  </si>
  <si>
    <t>05/31/2018</t>
  </si>
  <si>
    <t>06/30/2018</t>
  </si>
  <si>
    <t>07/31/2018</t>
  </si>
  <si>
    <t>08/31/2018</t>
  </si>
  <si>
    <t>09/30/2018</t>
  </si>
  <si>
    <t>10/31/2018</t>
  </si>
  <si>
    <t>11/30/2018</t>
  </si>
  <si>
    <t>12/31/2018</t>
  </si>
  <si>
    <t>01/31/2019</t>
  </si>
  <si>
    <t>02/28/2019</t>
  </si>
  <si>
    <t>03/31/2019</t>
  </si>
  <si>
    <t>04/30/2019</t>
  </si>
  <si>
    <t>05/31/2019</t>
  </si>
  <si>
    <t>06/30/2019</t>
  </si>
  <si>
    <t>07/31/2019</t>
  </si>
  <si>
    <t>08/31/2019</t>
  </si>
  <si>
    <t>09/30/2019</t>
  </si>
  <si>
    <t>10/31/2019</t>
  </si>
  <si>
    <t>11/30/2019</t>
  </si>
  <si>
    <t>12/31/2019</t>
  </si>
  <si>
    <t>Operating Activities</t>
  </si>
  <si>
    <t>Net income/loss for the period</t>
  </si>
  <si>
    <t>Add (deduct) items not involving cash</t>
  </si>
  <si>
    <t>Intercompany</t>
  </si>
  <si>
    <t>Change in non-cash operating items</t>
  </si>
  <si>
    <t>Accounts receivable</t>
  </si>
  <si>
    <t>Accounts payable</t>
  </si>
  <si>
    <t>Cash provided by operating activities</t>
  </si>
  <si>
    <t>Total cash provided by operating activities</t>
  </si>
  <si>
    <t>Financing activities</t>
  </si>
  <si>
    <t>Payment of ETC 1% fees/Settlment of receivable</t>
  </si>
  <si>
    <t>Total cash provided by Financing activities</t>
  </si>
  <si>
    <t>Investing activities</t>
  </si>
  <si>
    <t>ETC Holding account</t>
  </si>
  <si>
    <t>ETC Trading account</t>
  </si>
  <si>
    <t>Total cash provided by Investing activities</t>
  </si>
  <si>
    <t>Net increase (decrease) in cash during the period</t>
  </si>
  <si>
    <t>Cash Beginning of the period</t>
  </si>
  <si>
    <t>Net Crypto movement</t>
  </si>
  <si>
    <t>Cash, end of period</t>
  </si>
  <si>
    <t>Cash per BS</t>
  </si>
  <si>
    <t>Cash in USD</t>
  </si>
  <si>
    <t>ETC Balances at Market</t>
  </si>
  <si>
    <t>Forecast Assumptions</t>
  </si>
  <si>
    <t>ETC Fee</t>
  </si>
  <si>
    <t>Baseline</t>
  </si>
  <si>
    <t>P&amp;L 12 Month - W Account Details (in USD)</t>
  </si>
  <si>
    <t xml:space="preserve"> </t>
  </si>
  <si>
    <t>Actual</t>
  </si>
  <si>
    <t>Forecast</t>
  </si>
  <si>
    <t>Fiscal 2019</t>
  </si>
  <si>
    <t>Month Ending</t>
  </si>
  <si>
    <t>Since inception</t>
  </si>
  <si>
    <t xml:space="preserve">  Operating Income</t>
  </si>
  <si>
    <t xml:space="preserve">  </t>
  </si>
  <si>
    <t xml:space="preserve">    Operating Expenses</t>
  </si>
  <si>
    <t xml:space="preserve">    </t>
  </si>
  <si>
    <t xml:space="preserve">      Professional &amp; Regulatory fees</t>
  </si>
  <si>
    <t xml:space="preserve">      </t>
  </si>
  <si>
    <t xml:space="preserve">        Regulatory fees</t>
  </si>
  <si>
    <t xml:space="preserve">        </t>
  </si>
  <si>
    <t xml:space="preserve">          Filing Fees</t>
  </si>
  <si>
    <t xml:space="preserve">        Total Regulatory fees</t>
  </si>
  <si>
    <t xml:space="preserve">        Professional fees</t>
  </si>
  <si>
    <t xml:space="preserve">          Legal Fees</t>
  </si>
  <si>
    <t xml:space="preserve">          IT Consulting Fees</t>
  </si>
  <si>
    <t xml:space="preserve">          Other Professional Fees</t>
  </si>
  <si>
    <t xml:space="preserve">        Total Professional fees</t>
  </si>
  <si>
    <t xml:space="preserve">      Total Professional &amp; Regulatory fees</t>
  </si>
  <si>
    <t xml:space="preserve">      Office &amp; other business exp</t>
  </si>
  <si>
    <t xml:space="preserve">        Other Operating Expense</t>
  </si>
  <si>
    <t xml:space="preserve">          Bank Service Charges</t>
  </si>
  <si>
    <t xml:space="preserve">          Franchise Tax</t>
  </si>
  <si>
    <t xml:space="preserve">        Total Other Operating Expense</t>
  </si>
  <si>
    <t xml:space="preserve">      Total Office &amp; other business exp</t>
  </si>
  <si>
    <t xml:space="preserve">      Travel &amp; entertainment</t>
  </si>
  <si>
    <t xml:space="preserve">        Travel Expenses</t>
  </si>
  <si>
    <t xml:space="preserve">          Travel</t>
  </si>
  <si>
    <t xml:space="preserve">        Total Travel Expenses</t>
  </si>
  <si>
    <t xml:space="preserve">      Total Travel &amp; entertainment</t>
  </si>
  <si>
    <t xml:space="preserve">      Marketing &amp; Events</t>
  </si>
  <si>
    <t xml:space="preserve">        Marketing Expense</t>
  </si>
  <si>
    <t xml:space="preserve">          Marketing Expense</t>
  </si>
  <si>
    <t xml:space="preserve">          Conference Sponsorships</t>
  </si>
  <si>
    <t xml:space="preserve">          Conference Materials</t>
  </si>
  <si>
    <t xml:space="preserve">          Marketing Events</t>
  </si>
  <si>
    <t xml:space="preserve">        Total Marketing Expense</t>
  </si>
  <si>
    <t xml:space="preserve">      Total Marketing</t>
  </si>
  <si>
    <t xml:space="preserve">    Total Operating Expenses</t>
  </si>
  <si>
    <t xml:space="preserve">  Total Operating Income</t>
  </si>
  <si>
    <t xml:space="preserve">  Unrealized Gains/Losses</t>
  </si>
  <si>
    <t xml:space="preserve">    Other Income</t>
  </si>
  <si>
    <t xml:space="preserve">      Other Income</t>
  </si>
  <si>
    <t xml:space="preserve">        ETCC Fees from ETC</t>
  </si>
  <si>
    <t xml:space="preserve">        Donation Income</t>
  </si>
  <si>
    <t xml:space="preserve">      Total Other Income</t>
  </si>
  <si>
    <t xml:space="preserve">    Total Other Income</t>
  </si>
  <si>
    <t xml:space="preserve">  Total Unrealized Gains/Losses</t>
  </si>
  <si>
    <t xml:space="preserve">  Net Income (Loss)</t>
  </si>
  <si>
    <t>Cumulative</t>
  </si>
  <si>
    <t>Balance Sheet (in USD)</t>
  </si>
  <si>
    <t>Reporting Book:</t>
  </si>
  <si>
    <t>As of Date:</t>
  </si>
  <si>
    <t>Company:</t>
  </si>
  <si>
    <t xml:space="preserve">  Assets</t>
  </si>
  <si>
    <t xml:space="preserve">    Current Assets</t>
  </si>
  <si>
    <t xml:space="preserve">      Cash and Cash Equivalents</t>
  </si>
  <si>
    <t xml:space="preserve">        10231 - ETC Coop Silvergate Checking - 2899</t>
  </si>
  <si>
    <t xml:space="preserve">      Total Cash and Cash Equivalents</t>
  </si>
  <si>
    <t xml:space="preserve">      Short Term Investments</t>
  </si>
  <si>
    <t xml:space="preserve">        12614 - Proprietary ETC - (Investment)</t>
  </si>
  <si>
    <t xml:space="preserve">        12615 - Proprietary ETC - (Trading)</t>
  </si>
  <si>
    <t xml:space="preserve">      Total ST Investments</t>
  </si>
  <si>
    <t xml:space="preserve">      Accounts Receivable, Net</t>
  </si>
  <si>
    <t xml:space="preserve">        Accounts Receivable</t>
  </si>
  <si>
    <t xml:space="preserve">          11400 - Accounts Receivable</t>
  </si>
  <si>
    <t xml:space="preserve">        Total Accounts Receivable</t>
  </si>
  <si>
    <t xml:space="preserve">      Total Accounts Receivable, Net</t>
  </si>
  <si>
    <t xml:space="preserve">      Intercompany Receivable</t>
  </si>
  <si>
    <t xml:space="preserve">        11886 - Due from ACAM</t>
  </si>
  <si>
    <t xml:space="preserve">      Total Intercompany Receivable</t>
  </si>
  <si>
    <t xml:space="preserve">    Total Current Assets</t>
  </si>
  <si>
    <t xml:space="preserve">  Total Assets</t>
  </si>
  <si>
    <t xml:space="preserve">  Liabilities and Equity</t>
  </si>
  <si>
    <t xml:space="preserve">    Liabilities</t>
  </si>
  <si>
    <t xml:space="preserve">      Current Liabilities</t>
  </si>
  <si>
    <t xml:space="preserve">        Accounts Payable</t>
  </si>
  <si>
    <t xml:space="preserve">          98765 - Accounts Payable</t>
  </si>
  <si>
    <t xml:space="preserve">        Total Accounts Payable</t>
  </si>
  <si>
    <t xml:space="preserve">        Intercompany Payable</t>
  </si>
  <si>
    <t xml:space="preserve">          21820 - Due to DCG</t>
  </si>
  <si>
    <t xml:space="preserve">          98766 - Elim #1</t>
  </si>
  <si>
    <t xml:space="preserve">        Total Intercompany Payable</t>
  </si>
  <si>
    <t xml:space="preserve">      Total Current Liabilities</t>
  </si>
  <si>
    <t xml:space="preserve">    Total Liabilities</t>
  </si>
  <si>
    <t xml:space="preserve">    Stockholders Equity</t>
  </si>
  <si>
    <t xml:space="preserve">      Retained Earnings</t>
  </si>
  <si>
    <t xml:space="preserve">        35100 - Retained Earnings</t>
  </si>
  <si>
    <t xml:space="preserve">      Total Retained Earnings</t>
  </si>
  <si>
    <t xml:space="preserve">      Net Income (Loss)</t>
  </si>
  <si>
    <t xml:space="preserve">    Total Stockholders Equity</t>
  </si>
  <si>
    <t xml:space="preserve">  Total Liabilities and Equity</t>
  </si>
  <si>
    <t>Created on: 04/15/2019 06:33 PM</t>
  </si>
  <si>
    <t>Net movement of Intercompany</t>
  </si>
  <si>
    <t>Net income</t>
  </si>
  <si>
    <t>in USD</t>
  </si>
  <si>
    <t>Manager, Developer Relations</t>
  </si>
  <si>
    <t>Financial Controller &amp; Business Services</t>
  </si>
  <si>
    <t>Comms &amp; Marketing Manager</t>
  </si>
  <si>
    <t>Executive Director</t>
  </si>
  <si>
    <t>Part time Dev Work</t>
  </si>
  <si>
    <t>Keccak 256 impl</t>
  </si>
  <si>
    <t>Improved Besu mining</t>
  </si>
  <si>
    <t>Checkpointing</t>
  </si>
  <si>
    <t>Treasury</t>
  </si>
  <si>
    <t>Outreach</t>
  </si>
  <si>
    <t>Q2</t>
  </si>
  <si>
    <t>Q1</t>
  </si>
  <si>
    <t>General Besu Maintenance</t>
  </si>
  <si>
    <t>Q3</t>
  </si>
  <si>
    <t>Q4</t>
  </si>
  <si>
    <t>Training &amp; Development</t>
  </si>
  <si>
    <t>2021 Budget</t>
  </si>
  <si>
    <t>01-01-1310</t>
  </si>
  <si>
    <t>01-02-1100</t>
  </si>
  <si>
    <t>2021Actual</t>
  </si>
  <si>
    <t>2021 Actual</t>
  </si>
  <si>
    <t>Actual 2020 to Actual 2021 ($)</t>
  </si>
  <si>
    <t>Actual 2020 to Actual 2021 (%)</t>
  </si>
  <si>
    <t>FY 2021</t>
  </si>
  <si>
    <t>Besu Developer</t>
  </si>
  <si>
    <t xml:space="preserve">ETC Coooperative 2021 Budget </t>
  </si>
  <si>
    <t>Other Development Work</t>
  </si>
  <si>
    <t>Computer hardware</t>
  </si>
  <si>
    <t xml:space="preserve">Note that this negative balance can be funded with the beginning bank balance. </t>
  </si>
  <si>
    <t>Net income/(loss)</t>
  </si>
  <si>
    <t>Development team</t>
  </si>
  <si>
    <t>Other Development work</t>
  </si>
  <si>
    <t>POW Summit</t>
  </si>
  <si>
    <t>GrantMaking</t>
  </si>
  <si>
    <t>Overhead &amp; G&amp;A</t>
  </si>
  <si>
    <t>Overhead-Office type expenses</t>
  </si>
  <si>
    <t>Professional dues &amp; memberships</t>
  </si>
  <si>
    <t>Development Costs</t>
  </si>
  <si>
    <t>Web related to grant</t>
  </si>
  <si>
    <t>Other-grant related</t>
  </si>
  <si>
    <t>Venue</t>
  </si>
  <si>
    <t>Speakers</t>
  </si>
  <si>
    <t>Travel-Non Coop staff</t>
  </si>
  <si>
    <t xml:space="preserve">                                        </t>
  </si>
  <si>
    <t>Event Management fee</t>
  </si>
  <si>
    <t xml:space="preserve">ETC Coooperative 2023 Budget </t>
  </si>
  <si>
    <t>Phones &amp;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</si>
</sst>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4" formatCode="_-&quot;$&quot;* #,##0.00_-;\-&quot;$&quot;* #,##0.00_-;_-&quot;$&quot;* &quot;-&quot;??_-;_-@_-"/>
    <numFmt numFmtId="43" formatCode="_-* #,##0.00_-;\-* #,##0.00_-;_-* &quot;-&quot;??_-;_-@_-"/>
    <numFmt numFmtId="164" formatCode="_(* #,##0.00_);_(* \(#,##0.00\);_(* &quot;-&quot;??_);_(@_)"/>
    <numFmt numFmtId="165" formatCode="_-* #,##0_-;\(#,##0\)_-;_-* &quot;-&quot;_-;_-@_-"/>
    <numFmt numFmtId="166" formatCode="#,##0;\(#,##0\)"/>
    <numFmt numFmtId="167" formatCode="_-&quot;$&quot;* #,##0_-;\-&quot;$&quot;* #,##0_-;_-&quot;$&quot;* &quot;-&quot;??_-;_-@_-"/>
    <numFmt numFmtId="168" formatCode="_(* #,##0_);_(* \(#,##0\);_(* &quot;-&quot;??_);_(@_)"/>
    <numFmt numFmtId="169" formatCode="_(* #,##0_);_(* \(#,##0\);_(* &quot;-&quot;?_);_(@_)"/>
    <numFmt numFmtId="170" formatCode="_(* #,##0.0_);_(* \(#,##0.0\);_(* &quot;-&quot;?_);_(@_)"/>
    <numFmt numFmtId="171" formatCode="&quot;$&quot;#,##0;&quot;$&quot;\(#,##0\)"/>
    <numFmt numFmtId="172" formatCode="#,##0.00;\(#,##0.00\)"/>
    <numFmt numFmtId="173" formatCode="&quot;$&quot;\ #,##0.00;&quot;$&quot;\ \(#,##0.00\)"/>
  </numFmts>
  <fonts count="57" x14ac:knownFonts="1">
    <font>
      <sz val="11"/>
      <color theme="1"/>
      <name val="Open Sans"/>
      <family val="2"/>
      <scheme val="minor"/>
    </font>
    <font>
      <sz val="12"/>
      <color theme="1"/>
      <name val="Open Sans"/>
      <family val="2"/>
      <scheme val="minor"/>
    </font>
    <font>
      <sz val="11"/>
      <color theme="1"/>
      <name val="Open Sans"/>
      <family val="2"/>
      <scheme val="minor"/>
    </font>
    <font>
      <sz val="10"/>
      <name val="Arial"/>
      <family val="2"/>
    </font>
    <font>
      <sz val="8"/>
      <name val="Open Sans"/>
      <family val="2"/>
      <scheme val="minor"/>
    </font>
    <font>
      <b/>
      <sz val="11"/>
      <color theme="1"/>
      <name val="Open Sans"/>
      <family val="2"/>
      <scheme val="minor"/>
    </font>
    <font>
      <sz val="9"/>
      <color theme="1"/>
      <name val="Open Sans"/>
      <family val="2"/>
      <scheme val="minor"/>
    </font>
    <font>
      <b/>
      <sz val="9"/>
      <color rgb="FF000000"/>
      <name val="Open Sans"/>
      <family val="2"/>
      <scheme val="minor"/>
    </font>
    <font>
      <b/>
      <sz val="9"/>
      <color theme="1"/>
      <name val="Open Sans"/>
      <family val="2"/>
      <scheme val="minor"/>
    </font>
    <font>
      <b/>
      <sz val="10"/>
      <color theme="0"/>
      <name val="Open Sans"/>
      <family val="2"/>
      <scheme val="minor"/>
    </font>
    <font>
      <sz val="9"/>
      <color rgb="FF000000"/>
      <name val="Open Sans"/>
      <family val="2"/>
      <scheme val="minor"/>
    </font>
    <font>
      <b/>
      <sz val="9"/>
      <name val="Open Sans"/>
      <family val="2"/>
      <scheme val="minor"/>
    </font>
    <font>
      <b/>
      <sz val="9"/>
      <color rgb="FFFF0000"/>
      <name val="Open Sans"/>
      <family val="2"/>
      <scheme val="minor"/>
    </font>
    <font>
      <sz val="9"/>
      <name val="Open Sans"/>
      <family val="2"/>
      <scheme val="minor"/>
    </font>
    <font>
      <sz val="9"/>
      <color rgb="FFFF0000"/>
      <name val="Open Sans"/>
      <family val="2"/>
      <scheme val="minor"/>
    </font>
    <font>
      <sz val="8"/>
      <color rgb="FF000000"/>
      <name val="Open Sans"/>
      <family val="2"/>
      <scheme val="minor"/>
    </font>
    <font>
      <b/>
      <sz val="10"/>
      <color rgb="FF000000"/>
      <name val="Open Sans"/>
      <family val="2"/>
      <scheme val="minor"/>
    </font>
    <font>
      <b/>
      <sz val="10"/>
      <color theme="1"/>
      <name val="Open Sans"/>
      <family val="2"/>
      <scheme val="minor"/>
    </font>
    <font>
      <sz val="10"/>
      <color theme="1"/>
      <name val="Open Sans"/>
      <family val="2"/>
      <scheme val="minor"/>
    </font>
    <font>
      <i/>
      <sz val="10"/>
      <color theme="1"/>
      <name val="Open Sans"/>
      <family val="2"/>
      <scheme val="minor"/>
    </font>
    <font>
      <b/>
      <i/>
      <sz val="10"/>
      <color theme="1"/>
      <name val="Open Sans"/>
      <family val="2"/>
      <scheme val="minor"/>
    </font>
    <font>
      <i/>
      <sz val="11"/>
      <color theme="1"/>
      <name val="Open Sans"/>
      <family val="2"/>
      <scheme val="minor"/>
    </font>
    <font>
      <b/>
      <sz val="10"/>
      <color indexed="9"/>
      <name val="Open Sans"/>
      <family val="2"/>
      <scheme val="minor"/>
    </font>
    <font>
      <sz val="10"/>
      <name val="Open Sans"/>
      <family val="2"/>
      <scheme val="minor"/>
    </font>
    <font>
      <b/>
      <sz val="10"/>
      <name val="Open Sans"/>
      <family val="2"/>
      <scheme val="minor"/>
    </font>
    <font>
      <sz val="10"/>
      <color rgb="FF0000FF"/>
      <name val="Open Sans"/>
      <family val="2"/>
      <scheme val="minor"/>
    </font>
    <font>
      <b/>
      <sz val="9"/>
      <color rgb="FF000000"/>
      <name val="Merriweather BOLD"/>
      <scheme val="major"/>
    </font>
    <font>
      <sz val="9"/>
      <color theme="1"/>
      <name val="Merriweather BOLD"/>
      <scheme val="major"/>
    </font>
    <font>
      <b/>
      <sz val="11"/>
      <color theme="1"/>
      <name val="Merriweather BOLD"/>
      <scheme val="major"/>
    </font>
    <font>
      <b/>
      <sz val="9"/>
      <color theme="0"/>
      <name val="Open Sans"/>
      <family val="2"/>
      <scheme val="minor"/>
    </font>
    <font>
      <sz val="10"/>
      <color theme="0"/>
      <name val="Open Sans"/>
      <family val="2"/>
      <scheme val="minor"/>
    </font>
    <font>
      <sz val="9"/>
      <color theme="0"/>
      <name val="Open Sans"/>
      <family val="2"/>
      <scheme val="minor"/>
    </font>
    <font>
      <b/>
      <sz val="12"/>
      <name val="Open Sans"/>
      <family val="2"/>
      <scheme val="minor"/>
    </font>
    <font>
      <sz val="10"/>
      <color rgb="FFF3F3F4"/>
      <name val="Open Sans"/>
      <family val="2"/>
      <scheme val="minor"/>
    </font>
    <font>
      <b/>
      <sz val="10"/>
      <color rgb="FFF3F3F4"/>
      <name val="Merriweather BOLD"/>
      <scheme val="major"/>
    </font>
    <font>
      <sz val="10"/>
      <color rgb="FFF3F3F4"/>
      <name val="Merriweather BOLD"/>
      <scheme val="major"/>
    </font>
    <font>
      <b/>
      <sz val="10"/>
      <name val="Merriweather BOLD"/>
      <scheme val="major"/>
    </font>
    <font>
      <sz val="10"/>
      <name val="Merriweather BOLD"/>
      <scheme val="major"/>
    </font>
    <font>
      <i/>
      <sz val="10"/>
      <name val="Open Sans"/>
      <family val="2"/>
      <scheme val="minor"/>
    </font>
    <font>
      <b/>
      <sz val="10"/>
      <color theme="0"/>
      <name val="Merriweather BOLD"/>
      <scheme val="major"/>
    </font>
    <font>
      <sz val="10"/>
      <color theme="0"/>
      <name val="Merriweather BOLD"/>
      <scheme val="major"/>
    </font>
    <font>
      <sz val="12"/>
      <color theme="1"/>
      <name val="Open Sans"/>
      <family val="2"/>
      <scheme val="minor"/>
    </font>
    <font>
      <b/>
      <sz val="12"/>
      <color theme="1"/>
      <name val="Open Sans"/>
      <family val="2"/>
      <scheme val="minor"/>
    </font>
    <font>
      <b/>
      <sz val="10"/>
      <color theme="0"/>
      <name val="Arial"/>
      <family val="2"/>
    </font>
    <font>
      <b/>
      <sz val="10"/>
      <name val="Arial"/>
      <family val="2"/>
    </font>
    <font>
      <vertAlign val="superscript"/>
      <sz val="10"/>
      <name val="Arial"/>
      <family val="2"/>
    </font>
    <font>
      <i/>
      <sz val="10"/>
      <name val="Arial"/>
      <family val="2"/>
    </font>
    <font>
      <i/>
      <vertAlign val="superscript"/>
      <sz val="10"/>
      <name val="Arial"/>
      <family val="2"/>
    </font>
    <font>
      <b/>
      <vertAlign val="superscript"/>
      <sz val="10"/>
      <name val="Arial"/>
      <family val="2"/>
    </font>
    <font>
      <sz val="8"/>
      <name val="Helvetica"/>
      <family val="2"/>
    </font>
    <font>
      <sz val="8"/>
      <color rgb="FF00B0F0"/>
      <name val="Helvetica"/>
      <family val="2"/>
    </font>
    <font>
      <b/>
      <sz val="12"/>
      <name val="Helvetica"/>
      <family val="2"/>
    </font>
    <font>
      <sz val="6"/>
      <name val="Helvetica"/>
      <family val="2"/>
    </font>
    <font>
      <b/>
      <sz val="8"/>
      <name val="Helvetica"/>
      <family val="2"/>
    </font>
    <font>
      <sz val="9"/>
      <color theme="2"/>
      <name val="Open Sans"/>
      <family val="2"/>
      <scheme val="minor"/>
    </font>
    <font>
      <sz val="9"/>
      <color indexed="81"/>
      <name val="Tahoma"/>
      <family val="2"/>
    </font>
    <font>
      <b/>
      <sz val="9"/>
      <color indexed="81"/>
      <name val="Tahoma"/>
      <family val="2"/>
    </font>
  </fonts>
  <fills count="25">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66FFFF"/>
        <bgColor indexed="64"/>
      </patternFill>
    </fill>
    <fill>
      <patternFill patternType="solid">
        <fgColor rgb="FFE2D8AF"/>
        <bgColor indexed="64"/>
      </patternFill>
    </fill>
    <fill>
      <patternFill patternType="solid">
        <fgColor rgb="FFF0EAE9"/>
        <bgColor indexed="64"/>
      </patternFill>
    </fill>
    <fill>
      <patternFill patternType="solid">
        <fgColor rgb="FFF3F3F4"/>
        <bgColor indexed="64"/>
      </patternFill>
    </fill>
    <fill>
      <patternFill patternType="solid">
        <fgColor theme="2"/>
        <bgColor indexed="64"/>
      </patternFill>
    </fill>
    <fill>
      <patternFill patternType="solid">
        <fgColor theme="8"/>
        <bgColor indexed="64"/>
      </patternFill>
    </fill>
    <fill>
      <patternFill patternType="solid">
        <fgColor theme="4" tint="-0.499984740745262"/>
        <bgColor indexed="64"/>
      </patternFill>
    </fill>
    <fill>
      <patternFill patternType="solid">
        <fgColor theme="1" tint="0.34998626667073579"/>
        <bgColor indexed="64"/>
      </patternFill>
    </fill>
    <fill>
      <patternFill patternType="solid">
        <fgColor theme="5" tint="0.749992370372631"/>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rgb="FF00590B"/>
        <bgColor indexed="64"/>
      </patternFill>
    </fill>
    <fill>
      <patternFill patternType="solid">
        <fgColor rgb="FF33FF99"/>
        <bgColor indexed="64"/>
      </patternFill>
    </fill>
    <fill>
      <patternFill patternType="solid">
        <fgColor rgb="FFFFFFFF"/>
        <bgColor indexed="64"/>
      </patternFill>
    </fill>
    <fill>
      <patternFill patternType="solid">
        <fgColor rgb="FF00B0F0"/>
        <bgColor indexed="64"/>
      </patternFill>
    </fill>
  </fills>
  <borders count="42">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bottom style="medium">
        <color rgb="FFFFFFFF"/>
      </bottom>
      <diagonal/>
    </border>
    <border>
      <left style="medium">
        <color rgb="FFFFFFFF"/>
      </left>
      <right style="medium">
        <color rgb="FFFFFFFF"/>
      </right>
      <top style="thin">
        <color theme="0"/>
      </top>
      <bottom/>
      <diagonal/>
    </border>
    <border>
      <left style="medium">
        <color rgb="FFFFFFFF"/>
      </left>
      <right style="medium">
        <color rgb="FFFFFFFF"/>
      </right>
      <top style="medium">
        <color rgb="FFFFFFFF"/>
      </top>
      <bottom style="medium">
        <color rgb="FFFFFFFF"/>
      </bottom>
      <diagonal/>
    </border>
    <border>
      <left style="thin">
        <color theme="0"/>
      </left>
      <right style="medium">
        <color rgb="FFFFFFFF"/>
      </right>
      <top style="thin">
        <color theme="0"/>
      </top>
      <bottom/>
      <diagonal/>
    </border>
    <border>
      <left style="thin">
        <color theme="0"/>
      </left>
      <right style="medium">
        <color rgb="FFFFFFFF"/>
      </right>
      <top/>
      <bottom style="thin">
        <color theme="0"/>
      </bottom>
      <diagonal/>
    </border>
    <border>
      <left/>
      <right style="medium">
        <color rgb="FFFFFFFF"/>
      </right>
      <top/>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thin">
        <color theme="0"/>
      </left>
      <right style="medium">
        <color rgb="FFFFFFFF"/>
      </right>
      <top style="medium">
        <color rgb="FFFFFFFF"/>
      </top>
      <bottom style="medium">
        <color rgb="FFFFFFFF"/>
      </bottom>
      <diagonal/>
    </border>
    <border>
      <left style="medium">
        <color rgb="FFFFFFFF"/>
      </left>
      <right/>
      <top style="thin">
        <color theme="0"/>
      </top>
      <bottom style="medium">
        <color rgb="FFFFFFFF"/>
      </bottom>
      <diagonal/>
    </border>
    <border>
      <left/>
      <right/>
      <top style="thin">
        <color theme="0"/>
      </top>
      <bottom style="medium">
        <color rgb="FFFFFFFF"/>
      </bottom>
      <diagonal/>
    </border>
    <border>
      <left/>
      <right style="medium">
        <color rgb="FFFFFFFF"/>
      </right>
      <top style="thin">
        <color theme="0"/>
      </top>
      <bottom style="medium">
        <color rgb="FFFFFFFF"/>
      </bottom>
      <diagonal/>
    </border>
    <border>
      <left/>
      <right style="medium">
        <color rgb="FFFFFFFF"/>
      </right>
      <top style="medium">
        <color rgb="FFFFFFFF"/>
      </top>
      <bottom style="medium">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right/>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3" fillId="0" borderId="0"/>
    <xf numFmtId="0" fontId="2" fillId="0" borderId="0"/>
    <xf numFmtId="0" fontId="2" fillId="0" borderId="0"/>
    <xf numFmtId="0" fontId="41" fillId="0" borderId="0"/>
    <xf numFmtId="44" fontId="3" fillId="0" borderId="0" applyFont="0" applyFill="0" applyBorder="0" applyAlignment="0" applyProtection="0"/>
  </cellStyleXfs>
  <cellXfs count="266">
    <xf numFmtId="0" fontId="0" fillId="0" borderId="0" xfId="0"/>
    <xf numFmtId="0" fontId="6" fillId="4" borderId="0" xfId="0" applyFont="1" applyFill="1" applyProtection="1">
      <protection locked="0"/>
    </xf>
    <xf numFmtId="0" fontId="8" fillId="4" borderId="0" xfId="0" applyFont="1" applyFill="1" applyProtection="1">
      <protection locked="0"/>
    </xf>
    <xf numFmtId="15" fontId="8" fillId="4" borderId="0" xfId="0" quotePrefix="1" applyNumberFormat="1" applyFont="1" applyFill="1" applyProtection="1">
      <protection locked="0"/>
    </xf>
    <xf numFmtId="0" fontId="7" fillId="4" borderId="0" xfId="0" applyFont="1" applyFill="1" applyAlignment="1" applyProtection="1">
      <alignment horizontal="center" vertical="center" wrapText="1" readingOrder="1"/>
      <protection locked="0"/>
    </xf>
    <xf numFmtId="0" fontId="10" fillId="4" borderId="16" xfId="0" applyFont="1" applyFill="1" applyBorder="1" applyAlignment="1">
      <alignment horizontal="left" wrapText="1" readingOrder="1"/>
    </xf>
    <xf numFmtId="0" fontId="6" fillId="0" borderId="0" xfId="0" applyFont="1" applyProtection="1">
      <protection locked="0"/>
    </xf>
    <xf numFmtId="0" fontId="10" fillId="4" borderId="20" xfId="0" applyFont="1" applyFill="1" applyBorder="1" applyAlignment="1">
      <alignment horizontal="left" wrapText="1" readingOrder="1"/>
    </xf>
    <xf numFmtId="0" fontId="11" fillId="10" borderId="24" xfId="0" applyFont="1" applyFill="1" applyBorder="1" applyAlignment="1">
      <alignment horizontal="left" wrapText="1" readingOrder="1"/>
    </xf>
    <xf numFmtId="0" fontId="11" fillId="4" borderId="17" xfId="0" applyFont="1" applyFill="1" applyBorder="1" applyAlignment="1">
      <alignment horizontal="left" wrapText="1" readingOrder="1"/>
    </xf>
    <xf numFmtId="0" fontId="13" fillId="10" borderId="24" xfId="0" applyFont="1" applyFill="1" applyBorder="1" applyAlignment="1">
      <alignment horizontal="left" wrapText="1" indent="1" readingOrder="1"/>
    </xf>
    <xf numFmtId="0" fontId="13" fillId="4" borderId="17" xfId="0" applyFont="1" applyFill="1" applyBorder="1" applyAlignment="1">
      <alignment horizontal="left" wrapText="1" readingOrder="1"/>
    </xf>
    <xf numFmtId="0" fontId="15" fillId="4" borderId="0" xfId="0" applyFont="1" applyFill="1" applyAlignment="1" applyProtection="1">
      <alignment horizontal="left" vertical="center" wrapText="1" readingOrder="1"/>
      <protection locked="0"/>
    </xf>
    <xf numFmtId="0" fontId="10" fillId="4" borderId="0" xfId="0" applyFont="1" applyFill="1" applyAlignment="1" applyProtection="1">
      <alignment horizontal="left" wrapText="1" readingOrder="1"/>
      <protection locked="0"/>
    </xf>
    <xf numFmtId="2" fontId="15" fillId="4" borderId="0" xfId="0" applyNumberFormat="1" applyFont="1" applyFill="1" applyAlignment="1" applyProtection="1">
      <alignment horizontal="center" vertical="center" wrapText="1" readingOrder="1"/>
      <protection locked="0"/>
    </xf>
    <xf numFmtId="0" fontId="7" fillId="4" borderId="0" xfId="0" applyFont="1" applyFill="1" applyAlignment="1" applyProtection="1">
      <alignment horizontal="right" vertical="center" wrapText="1" readingOrder="1"/>
      <protection locked="0"/>
    </xf>
    <xf numFmtId="0" fontId="7" fillId="4" borderId="0" xfId="0" applyFont="1" applyFill="1" applyAlignment="1" applyProtection="1">
      <alignment horizontal="left" vertical="center" wrapText="1" readingOrder="1"/>
      <protection locked="0"/>
    </xf>
    <xf numFmtId="0" fontId="10" fillId="4" borderId="16" xfId="0" applyFont="1" applyFill="1" applyBorder="1" applyAlignment="1" applyProtection="1">
      <alignment horizontal="left" wrapText="1" readingOrder="1"/>
      <protection locked="0"/>
    </xf>
    <xf numFmtId="0" fontId="7" fillId="8" borderId="16" xfId="0" applyFont="1" applyFill="1" applyBorder="1" applyAlignment="1" applyProtection="1">
      <alignment horizontal="left" vertical="center" wrapText="1" readingOrder="1"/>
      <protection locked="0"/>
    </xf>
    <xf numFmtId="0" fontId="11" fillId="9" borderId="28" xfId="0" applyFont="1" applyFill="1" applyBorder="1" applyAlignment="1" applyProtection="1">
      <alignment horizontal="center" wrapText="1" readingOrder="1"/>
      <protection locked="0"/>
    </xf>
    <xf numFmtId="0" fontId="18" fillId="0" borderId="0" xfId="0" applyFont="1"/>
    <xf numFmtId="0" fontId="17" fillId="7" borderId="6" xfId="0" applyFont="1" applyFill="1" applyBorder="1"/>
    <xf numFmtId="0" fontId="17" fillId="0" borderId="11" xfId="0" applyFont="1" applyBorder="1"/>
    <xf numFmtId="0" fontId="19" fillId="0" borderId="11" xfId="0" applyFont="1" applyBorder="1"/>
    <xf numFmtId="167" fontId="18" fillId="0" borderId="0" xfId="2" applyNumberFormat="1" applyFont="1" applyBorder="1"/>
    <xf numFmtId="167" fontId="17" fillId="7" borderId="6" xfId="2" applyNumberFormat="1" applyFont="1" applyFill="1" applyBorder="1"/>
    <xf numFmtId="0" fontId="20" fillId="5" borderId="12" xfId="0" applyFont="1" applyFill="1" applyBorder="1"/>
    <xf numFmtId="0" fontId="18" fillId="5" borderId="4" xfId="0" applyFont="1" applyFill="1" applyBorder="1"/>
    <xf numFmtId="167" fontId="17" fillId="5" borderId="4" xfId="2" applyNumberFormat="1" applyFont="1" applyFill="1" applyBorder="1"/>
    <xf numFmtId="167" fontId="17" fillId="7" borderId="7" xfId="2" applyNumberFormat="1" applyFont="1" applyFill="1" applyBorder="1"/>
    <xf numFmtId="0" fontId="18" fillId="7" borderId="6" xfId="0" applyFont="1" applyFill="1" applyBorder="1"/>
    <xf numFmtId="9" fontId="18" fillId="0" borderId="5" xfId="0" applyNumberFormat="1" applyFont="1" applyBorder="1"/>
    <xf numFmtId="0" fontId="19" fillId="0" borderId="13" xfId="0" applyFont="1" applyBorder="1"/>
    <xf numFmtId="0" fontId="18" fillId="0" borderId="3" xfId="0" applyFont="1" applyBorder="1"/>
    <xf numFmtId="167" fontId="18" fillId="0" borderId="3" xfId="2" applyNumberFormat="1" applyFont="1" applyBorder="1"/>
    <xf numFmtId="167" fontId="17" fillId="7" borderId="8" xfId="2" applyNumberFormat="1" applyFont="1" applyFill="1" applyBorder="1"/>
    <xf numFmtId="0" fontId="19" fillId="6" borderId="11" xfId="0" applyFont="1" applyFill="1" applyBorder="1"/>
    <xf numFmtId="167" fontId="17" fillId="7" borderId="6" xfId="0" applyNumberFormat="1" applyFont="1" applyFill="1" applyBorder="1"/>
    <xf numFmtId="0" fontId="18" fillId="0" borderId="13" xfId="0" applyFont="1" applyBorder="1"/>
    <xf numFmtId="0" fontId="18" fillId="7" borderId="8" xfId="0" applyFont="1" applyFill="1" applyBorder="1"/>
    <xf numFmtId="167" fontId="17" fillId="7" borderId="7" xfId="0" applyNumberFormat="1" applyFont="1" applyFill="1" applyBorder="1"/>
    <xf numFmtId="0" fontId="5" fillId="0" borderId="0" xfId="0" applyFont="1"/>
    <xf numFmtId="0" fontId="21" fillId="0" borderId="0" xfId="0" applyFont="1"/>
    <xf numFmtId="9" fontId="5" fillId="0" borderId="14" xfId="3" applyFont="1" applyBorder="1" applyAlignment="1">
      <alignment horizontal="center"/>
    </xf>
    <xf numFmtId="43" fontId="5" fillId="0" borderId="0" xfId="1" applyFont="1"/>
    <xf numFmtId="0" fontId="0" fillId="6" borderId="0" xfId="0" applyFill="1"/>
    <xf numFmtId="43" fontId="0" fillId="0" borderId="0" xfId="0" applyNumberFormat="1"/>
    <xf numFmtId="44" fontId="0" fillId="0" borderId="5" xfId="2" applyFont="1" applyBorder="1" applyAlignment="1">
      <alignment horizontal="center"/>
    </xf>
    <xf numFmtId="0" fontId="6" fillId="0" borderId="0" xfId="0" applyFont="1"/>
    <xf numFmtId="0" fontId="0" fillId="0" borderId="0" xfId="0" applyAlignment="1">
      <alignment horizontal="center"/>
    </xf>
    <xf numFmtId="44" fontId="0" fillId="0" borderId="0" xfId="2" applyFont="1" applyAlignment="1">
      <alignment horizontal="center"/>
    </xf>
    <xf numFmtId="44" fontId="0" fillId="0" borderId="0" xfId="0" applyNumberFormat="1"/>
    <xf numFmtId="44" fontId="0" fillId="0" borderId="0" xfId="2" applyFont="1"/>
    <xf numFmtId="0" fontId="5" fillId="0" borderId="4" xfId="0" applyFont="1" applyBorder="1"/>
    <xf numFmtId="44" fontId="5" fillId="0" borderId="4" xfId="0" applyNumberFormat="1" applyFont="1" applyBorder="1"/>
    <xf numFmtId="0" fontId="21" fillId="0" borderId="4" xfId="0" applyFont="1" applyBorder="1"/>
    <xf numFmtId="0" fontId="0" fillId="0" borderId="4" xfId="0" applyBorder="1"/>
    <xf numFmtId="44" fontId="5" fillId="0" borderId="4" xfId="2" applyFont="1" applyBorder="1"/>
    <xf numFmtId="0" fontId="2" fillId="0" borderId="0" xfId="0" applyFont="1"/>
    <xf numFmtId="0" fontId="22" fillId="0" borderId="0" xfId="4" applyFont="1"/>
    <xf numFmtId="0" fontId="22" fillId="0" borderId="0" xfId="4" applyFont="1" applyAlignment="1">
      <alignment horizontal="center"/>
    </xf>
    <xf numFmtId="166" fontId="23" fillId="0" borderId="0" xfId="4" applyNumberFormat="1" applyFont="1" applyAlignment="1">
      <alignment horizontal="right" indent="1"/>
    </xf>
    <xf numFmtId="0" fontId="24" fillId="0" borderId="0" xfId="4" applyFont="1" applyAlignment="1">
      <alignment horizontal="left"/>
    </xf>
    <xf numFmtId="0" fontId="23" fillId="0" borderId="0" xfId="4" applyFont="1" applyAlignment="1">
      <alignment horizontal="left" indent="1"/>
    </xf>
    <xf numFmtId="166" fontId="25" fillId="0" borderId="0" xfId="4" applyNumberFormat="1" applyFont="1" applyAlignment="1">
      <alignment horizontal="right" indent="1"/>
    </xf>
    <xf numFmtId="0" fontId="23" fillId="0" borderId="1" xfId="4" applyFont="1" applyBorder="1" applyAlignment="1">
      <alignment horizontal="left" indent="1"/>
    </xf>
    <xf numFmtId="166" fontId="23" fillId="0" borderId="1" xfId="4" applyNumberFormat="1" applyFont="1" applyBorder="1" applyAlignment="1">
      <alignment horizontal="right" indent="1"/>
    </xf>
    <xf numFmtId="0" fontId="24" fillId="0" borderId="0" xfId="4" applyFont="1"/>
    <xf numFmtId="166" fontId="23" fillId="0" borderId="2" xfId="4" applyNumberFormat="1" applyFont="1" applyBorder="1" applyAlignment="1">
      <alignment horizontal="right" indent="1"/>
    </xf>
    <xf numFmtId="0" fontId="23" fillId="3" borderId="0" xfId="4" applyFont="1" applyFill="1" applyAlignment="1">
      <alignment horizontal="left" indent="1"/>
    </xf>
    <xf numFmtId="0" fontId="27" fillId="4" borderId="0" xfId="0" applyFont="1" applyFill="1" applyProtection="1">
      <protection locked="0"/>
    </xf>
    <xf numFmtId="0" fontId="27" fillId="4" borderId="0" xfId="0" applyFont="1" applyFill="1" applyAlignment="1" applyProtection="1">
      <alignment horizontal="right"/>
      <protection locked="0"/>
    </xf>
    <xf numFmtId="0" fontId="26" fillId="4" borderId="0" xfId="0" applyFont="1" applyFill="1" applyAlignment="1" applyProtection="1">
      <alignment horizontal="center" vertical="center" wrapText="1" readingOrder="1"/>
      <protection locked="0"/>
    </xf>
    <xf numFmtId="0" fontId="7" fillId="11" borderId="16" xfId="0" applyFont="1" applyFill="1" applyBorder="1" applyAlignment="1">
      <alignment horizontal="left" vertical="center" wrapText="1" readingOrder="1"/>
    </xf>
    <xf numFmtId="0" fontId="7" fillId="11" borderId="23" xfId="0" applyFont="1" applyFill="1" applyBorder="1" applyAlignment="1" applyProtection="1">
      <alignment vertical="center" wrapText="1" readingOrder="1"/>
      <protection locked="0"/>
    </xf>
    <xf numFmtId="0" fontId="6" fillId="11" borderId="0" xfId="0" applyFont="1" applyFill="1" applyProtection="1">
      <protection locked="0"/>
    </xf>
    <xf numFmtId="168" fontId="11" fillId="10" borderId="17" xfId="1" applyNumberFormat="1" applyFont="1" applyFill="1" applyBorder="1" applyAlignment="1">
      <alignment horizontal="left" wrapText="1" readingOrder="1"/>
    </xf>
    <xf numFmtId="9" fontId="11" fillId="10" borderId="17" xfId="3" applyFont="1" applyFill="1" applyBorder="1" applyAlignment="1">
      <alignment horizontal="right" wrapText="1" readingOrder="1"/>
    </xf>
    <xf numFmtId="170" fontId="11" fillId="10" borderId="17" xfId="0" applyNumberFormat="1" applyFont="1" applyFill="1" applyBorder="1" applyAlignment="1">
      <alignment horizontal="left" wrapText="1" readingOrder="1"/>
    </xf>
    <xf numFmtId="170" fontId="11" fillId="10" borderId="17" xfId="0" applyNumberFormat="1" applyFont="1" applyFill="1" applyBorder="1" applyAlignment="1" applyProtection="1">
      <alignment horizontal="left" wrapText="1" readingOrder="1"/>
      <protection locked="0"/>
    </xf>
    <xf numFmtId="169" fontId="11" fillId="10" borderId="17" xfId="0" applyNumberFormat="1" applyFont="1" applyFill="1" applyBorder="1" applyAlignment="1" applyProtection="1">
      <alignment horizontal="left" wrapText="1" readingOrder="1"/>
      <protection locked="0"/>
    </xf>
    <xf numFmtId="0" fontId="8" fillId="10" borderId="0" xfId="0" applyFont="1" applyFill="1" applyProtection="1">
      <protection locked="0"/>
    </xf>
    <xf numFmtId="168" fontId="13" fillId="10" borderId="17" xfId="1" applyNumberFormat="1" applyFont="1" applyFill="1" applyBorder="1" applyAlignment="1">
      <alignment horizontal="left" wrapText="1" readingOrder="1"/>
    </xf>
    <xf numFmtId="169" fontId="13" fillId="10" borderId="17" xfId="0" applyNumberFormat="1" applyFont="1" applyFill="1" applyBorder="1" applyAlignment="1">
      <alignment horizontal="left" wrapText="1" readingOrder="1"/>
    </xf>
    <xf numFmtId="9" fontId="13" fillId="10" borderId="17" xfId="3" applyFont="1" applyFill="1" applyBorder="1" applyAlignment="1">
      <alignment horizontal="right" wrapText="1" readingOrder="1"/>
    </xf>
    <xf numFmtId="170" fontId="13" fillId="10" borderId="17" xfId="0" applyNumberFormat="1" applyFont="1" applyFill="1" applyBorder="1" applyAlignment="1">
      <alignment horizontal="left" wrapText="1" readingOrder="1"/>
    </xf>
    <xf numFmtId="170" fontId="13" fillId="10" borderId="17" xfId="0" applyNumberFormat="1" applyFont="1" applyFill="1" applyBorder="1" applyAlignment="1" applyProtection="1">
      <alignment horizontal="left" wrapText="1" readingOrder="1"/>
      <protection locked="0"/>
    </xf>
    <xf numFmtId="169" fontId="13" fillId="10" borderId="17" xfId="0" applyNumberFormat="1" applyFont="1" applyFill="1" applyBorder="1" applyAlignment="1" applyProtection="1">
      <alignment horizontal="left" wrapText="1" readingOrder="1"/>
      <protection locked="0"/>
    </xf>
    <xf numFmtId="0" fontId="6" fillId="10" borderId="0" xfId="0" applyFont="1" applyFill="1" applyProtection="1">
      <protection locked="0"/>
    </xf>
    <xf numFmtId="164" fontId="11" fillId="10" borderId="17" xfId="1" applyNumberFormat="1" applyFont="1" applyFill="1" applyBorder="1" applyAlignment="1">
      <alignment horizontal="left" wrapText="1" readingOrder="1"/>
    </xf>
    <xf numFmtId="164" fontId="11" fillId="10" borderId="17" xfId="0" applyNumberFormat="1" applyFont="1" applyFill="1" applyBorder="1" applyAlignment="1">
      <alignment horizontal="left" wrapText="1" readingOrder="1"/>
    </xf>
    <xf numFmtId="164" fontId="11" fillId="10" borderId="17" xfId="0" applyNumberFormat="1" applyFont="1" applyFill="1" applyBorder="1" applyAlignment="1" applyProtection="1">
      <alignment horizontal="left" wrapText="1" readingOrder="1"/>
      <protection locked="0"/>
    </xf>
    <xf numFmtId="1" fontId="11" fillId="10" borderId="17" xfId="0" applyNumberFormat="1" applyFont="1" applyFill="1" applyBorder="1" applyAlignment="1">
      <alignment horizontal="right" wrapText="1" readingOrder="1"/>
    </xf>
    <xf numFmtId="1" fontId="12" fillId="10" borderId="17" xfId="0" applyNumberFormat="1" applyFont="1" applyFill="1" applyBorder="1" applyAlignment="1">
      <alignment horizontal="right" wrapText="1" readingOrder="1"/>
    </xf>
    <xf numFmtId="1" fontId="12" fillId="10" borderId="17" xfId="0" applyNumberFormat="1" applyFont="1" applyFill="1" applyBorder="1" applyAlignment="1" applyProtection="1">
      <alignment horizontal="right" wrapText="1" readingOrder="1"/>
      <protection locked="0"/>
    </xf>
    <xf numFmtId="168" fontId="11" fillId="10" borderId="17" xfId="1" applyNumberFormat="1" applyFont="1" applyFill="1" applyBorder="1" applyAlignment="1" applyProtection="1">
      <alignment horizontal="right" wrapText="1" readingOrder="1"/>
      <protection locked="0"/>
    </xf>
    <xf numFmtId="1" fontId="13" fillId="10" borderId="17" xfId="0" applyNumberFormat="1" applyFont="1" applyFill="1" applyBorder="1" applyAlignment="1">
      <alignment horizontal="right" wrapText="1" readingOrder="1"/>
    </xf>
    <xf numFmtId="1" fontId="14" fillId="10" borderId="17" xfId="0" applyNumberFormat="1" applyFont="1" applyFill="1" applyBorder="1" applyAlignment="1">
      <alignment horizontal="right" wrapText="1" readingOrder="1"/>
    </xf>
    <xf numFmtId="1" fontId="14" fillId="10" borderId="17" xfId="0" applyNumberFormat="1" applyFont="1" applyFill="1" applyBorder="1" applyAlignment="1" applyProtection="1">
      <alignment horizontal="right" wrapText="1" readingOrder="1"/>
      <protection locked="0"/>
    </xf>
    <xf numFmtId="0" fontId="10" fillId="4" borderId="0" xfId="0" applyFont="1" applyFill="1" applyAlignment="1">
      <alignment horizontal="left" wrapText="1" readingOrder="1"/>
    </xf>
    <xf numFmtId="0" fontId="2" fillId="12" borderId="0" xfId="0" applyFont="1" applyFill="1"/>
    <xf numFmtId="0" fontId="7" fillId="15" borderId="16" xfId="0" applyFont="1" applyFill="1" applyBorder="1" applyAlignment="1">
      <alignment horizontal="left" vertical="center" wrapText="1" readingOrder="1"/>
    </xf>
    <xf numFmtId="0" fontId="7" fillId="15" borderId="23" xfId="0" applyFont="1" applyFill="1" applyBorder="1" applyAlignment="1" applyProtection="1">
      <alignment vertical="center" wrapText="1" readingOrder="1"/>
      <protection locked="0"/>
    </xf>
    <xf numFmtId="0" fontId="29" fillId="14" borderId="16" xfId="0" applyFont="1" applyFill="1" applyBorder="1" applyAlignment="1">
      <alignment horizontal="center" vertical="center" wrapText="1" readingOrder="1"/>
    </xf>
    <xf numFmtId="0" fontId="29" fillId="14" borderId="21" xfId="0" applyFont="1" applyFill="1" applyBorder="1" applyAlignment="1">
      <alignment horizontal="center" vertical="center" wrapText="1" readingOrder="1"/>
    </xf>
    <xf numFmtId="0" fontId="29" fillId="14" borderId="15" xfId="0" applyFont="1" applyFill="1" applyBorder="1" applyAlignment="1">
      <alignment horizontal="center" vertical="center" wrapText="1" readingOrder="1"/>
    </xf>
    <xf numFmtId="0" fontId="29" fillId="14" borderId="16" xfId="0" applyFont="1" applyFill="1" applyBorder="1" applyAlignment="1" applyProtection="1">
      <alignment horizontal="center" vertical="center" wrapText="1" readingOrder="1"/>
      <protection locked="0"/>
    </xf>
    <xf numFmtId="0" fontId="29" fillId="14" borderId="21" xfId="0" applyFont="1" applyFill="1" applyBorder="1" applyAlignment="1" applyProtection="1">
      <alignment horizontal="center" vertical="center" wrapText="1" readingOrder="1"/>
      <protection locked="0"/>
    </xf>
    <xf numFmtId="0" fontId="6" fillId="4" borderId="0" xfId="0" applyFont="1" applyFill="1" applyAlignment="1" applyProtection="1">
      <alignment horizontal="right"/>
      <protection locked="0"/>
    </xf>
    <xf numFmtId="0" fontId="22" fillId="13" borderId="0" xfId="4" applyFont="1" applyFill="1"/>
    <xf numFmtId="0" fontId="22" fillId="13" borderId="0" xfId="4" applyFont="1" applyFill="1" applyAlignment="1">
      <alignment horizontal="center"/>
    </xf>
    <xf numFmtId="166" fontId="24" fillId="2" borderId="1" xfId="4" applyNumberFormat="1" applyFont="1" applyFill="1" applyBorder="1"/>
    <xf numFmtId="0" fontId="24" fillId="12" borderId="2" xfId="4" applyFont="1" applyFill="1" applyBorder="1"/>
    <xf numFmtId="166" fontId="24" fillId="2" borderId="1" xfId="4" applyNumberFormat="1" applyFont="1" applyFill="1" applyBorder="1" applyAlignment="1">
      <alignment horizontal="right" indent="1"/>
    </xf>
    <xf numFmtId="166" fontId="24" fillId="12" borderId="2" xfId="4" applyNumberFormat="1" applyFont="1" applyFill="1" applyBorder="1" applyAlignment="1">
      <alignment horizontal="right" indent="1"/>
    </xf>
    <xf numFmtId="0" fontId="32" fillId="10" borderId="24" xfId="0" applyFont="1" applyFill="1" applyBorder="1" applyAlignment="1">
      <alignment horizontal="left" wrapText="1" readingOrder="1"/>
    </xf>
    <xf numFmtId="0" fontId="33" fillId="4" borderId="0" xfId="0" applyFont="1" applyFill="1"/>
    <xf numFmtId="0" fontId="34" fillId="4" borderId="11" xfId="0" applyFont="1" applyFill="1" applyBorder="1"/>
    <xf numFmtId="0" fontId="35" fillId="4" borderId="0" xfId="0" applyFont="1" applyFill="1"/>
    <xf numFmtId="17" fontId="34" fillId="4" borderId="0" xfId="0" applyNumberFormat="1" applyFont="1" applyFill="1"/>
    <xf numFmtId="0" fontId="23" fillId="4" borderId="0" xfId="0" applyFont="1" applyFill="1"/>
    <xf numFmtId="0" fontId="37" fillId="4" borderId="0" xfId="0" applyFont="1" applyFill="1"/>
    <xf numFmtId="17" fontId="36" fillId="4" borderId="0" xfId="0" applyNumberFormat="1" applyFont="1" applyFill="1"/>
    <xf numFmtId="0" fontId="23" fillId="0" borderId="0" xfId="0" applyFont="1"/>
    <xf numFmtId="0" fontId="23" fillId="0" borderId="11" xfId="0" applyFont="1" applyBorder="1"/>
    <xf numFmtId="0" fontId="24" fillId="7" borderId="6" xfId="0" applyFont="1" applyFill="1" applyBorder="1"/>
    <xf numFmtId="0" fontId="38" fillId="4" borderId="11" xfId="0" applyFont="1" applyFill="1" applyBorder="1"/>
    <xf numFmtId="0" fontId="9" fillId="14" borderId="12" xfId="0" applyFont="1" applyFill="1" applyBorder="1"/>
    <xf numFmtId="0" fontId="9" fillId="14" borderId="4" xfId="0" applyFont="1" applyFill="1" applyBorder="1"/>
    <xf numFmtId="167" fontId="9" fillId="14" borderId="4" xfId="0" applyNumberFormat="1" applyFont="1" applyFill="1" applyBorder="1"/>
    <xf numFmtId="0" fontId="7" fillId="4" borderId="16" xfId="0" applyFont="1" applyFill="1" applyBorder="1" applyAlignment="1" applyProtection="1">
      <alignment horizontal="center" vertical="center" wrapText="1" readingOrder="1"/>
      <protection locked="0"/>
    </xf>
    <xf numFmtId="0" fontId="16" fillId="13" borderId="18" xfId="0" applyFont="1" applyFill="1" applyBorder="1" applyAlignment="1" applyProtection="1">
      <alignment horizontal="left" vertical="center" wrapText="1" readingOrder="1"/>
      <protection locked="0"/>
    </xf>
    <xf numFmtId="0" fontId="39" fillId="13" borderId="9" xfId="0" applyFont="1" applyFill="1" applyBorder="1"/>
    <xf numFmtId="0" fontId="40" fillId="13" borderId="2" xfId="0" applyFont="1" applyFill="1" applyBorder="1"/>
    <xf numFmtId="17" fontId="39" fillId="13" borderId="2" xfId="0" applyNumberFormat="1" applyFont="1" applyFill="1" applyBorder="1"/>
    <xf numFmtId="17" fontId="39" fillId="13" borderId="10" xfId="0" applyNumberFormat="1" applyFont="1" applyFill="1" applyBorder="1"/>
    <xf numFmtId="0" fontId="30" fillId="0" borderId="0" xfId="0" applyFont="1"/>
    <xf numFmtId="0" fontId="36" fillId="7" borderId="10" xfId="0" applyFont="1" applyFill="1" applyBorder="1" applyAlignment="1">
      <alignment horizontal="center"/>
    </xf>
    <xf numFmtId="0" fontId="17" fillId="0" borderId="0" xfId="0" applyFont="1"/>
    <xf numFmtId="0" fontId="29" fillId="17" borderId="16" xfId="0" applyFont="1" applyFill="1" applyBorder="1" applyAlignment="1">
      <alignment horizontal="center" vertical="center" wrapText="1" readingOrder="1"/>
    </xf>
    <xf numFmtId="0" fontId="29" fillId="17" borderId="21" xfId="0" applyFont="1" applyFill="1" applyBorder="1" applyAlignment="1">
      <alignment horizontal="center" vertical="center" wrapText="1" readingOrder="1"/>
    </xf>
    <xf numFmtId="0" fontId="29" fillId="17" borderId="16" xfId="0" applyFont="1" applyFill="1" applyBorder="1" applyAlignment="1" applyProtection="1">
      <alignment horizontal="center" vertical="center" wrapText="1" readingOrder="1"/>
      <protection locked="0"/>
    </xf>
    <xf numFmtId="9" fontId="13" fillId="16" borderId="17" xfId="3" applyFont="1" applyFill="1" applyBorder="1" applyAlignment="1">
      <alignment horizontal="right" wrapText="1" readingOrder="1"/>
    </xf>
    <xf numFmtId="0" fontId="10" fillId="18" borderId="0" xfId="0" applyFont="1" applyFill="1" applyAlignment="1" applyProtection="1">
      <alignment horizontal="left" wrapText="1" readingOrder="1"/>
      <protection locked="0"/>
    </xf>
    <xf numFmtId="9" fontId="0" fillId="0" borderId="0" xfId="3" applyFont="1"/>
    <xf numFmtId="0" fontId="41" fillId="0" borderId="0" xfId="7"/>
    <xf numFmtId="0" fontId="41" fillId="0" borderId="0" xfId="7" applyAlignment="1">
      <alignment vertical="top" wrapText="1"/>
    </xf>
    <xf numFmtId="0" fontId="41" fillId="0" borderId="5" xfId="7" applyBorder="1"/>
    <xf numFmtId="0" fontId="41" fillId="0" borderId="5" xfId="7" applyBorder="1" applyAlignment="1">
      <alignment wrapText="1"/>
    </xf>
    <xf numFmtId="0" fontId="41" fillId="0" borderId="5" xfId="7" applyBorder="1" applyAlignment="1">
      <alignment vertical="top"/>
    </xf>
    <xf numFmtId="0" fontId="41" fillId="0" borderId="5" xfId="7" applyBorder="1" applyAlignment="1">
      <alignment vertical="top" wrapText="1"/>
    </xf>
    <xf numFmtId="0" fontId="41" fillId="0" borderId="5" xfId="7" applyBorder="1" applyAlignment="1">
      <alignment horizontal="left" vertical="top" wrapText="1"/>
    </xf>
    <xf numFmtId="0" fontId="42" fillId="0" borderId="5" xfId="7" applyFont="1" applyBorder="1" applyAlignment="1">
      <alignment horizontal="left"/>
    </xf>
    <xf numFmtId="0" fontId="39" fillId="19" borderId="9" xfId="0" applyFont="1" applyFill="1" applyBorder="1"/>
    <xf numFmtId="0" fontId="40" fillId="19" borderId="2" xfId="0" applyFont="1" applyFill="1" applyBorder="1"/>
    <xf numFmtId="17" fontId="39" fillId="19" borderId="2" xfId="0" applyNumberFormat="1" applyFont="1" applyFill="1" applyBorder="1"/>
    <xf numFmtId="17" fontId="39" fillId="19" borderId="10" xfId="0" applyNumberFormat="1" applyFont="1" applyFill="1" applyBorder="1"/>
    <xf numFmtId="0" fontId="18" fillId="0" borderId="11" xfId="0" applyFont="1" applyBorder="1"/>
    <xf numFmtId="0" fontId="0" fillId="0" borderId="0" xfId="0" quotePrefix="1"/>
    <xf numFmtId="0" fontId="42" fillId="20" borderId="0" xfId="0" applyFont="1" applyFill="1" applyAlignment="1">
      <alignment wrapText="1"/>
    </xf>
    <xf numFmtId="0" fontId="42" fillId="20" borderId="0" xfId="0" applyFont="1" applyFill="1" applyAlignment="1">
      <alignment horizontal="center" wrapText="1"/>
    </xf>
    <xf numFmtId="0" fontId="5" fillId="0" borderId="5" xfId="0" applyFont="1" applyBorder="1"/>
    <xf numFmtId="0" fontId="3" fillId="0" borderId="0" xfId="4"/>
    <xf numFmtId="0" fontId="43" fillId="21" borderId="0" xfId="4" applyFont="1" applyFill="1" applyAlignment="1">
      <alignment vertical="center"/>
    </xf>
    <xf numFmtId="0" fontId="44" fillId="0" borderId="32" xfId="4" applyFont="1" applyBorder="1"/>
    <xf numFmtId="15" fontId="44" fillId="22" borderId="32" xfId="4" applyNumberFormat="1" applyFont="1" applyFill="1" applyBorder="1" applyAlignment="1">
      <alignment horizontal="center"/>
    </xf>
    <xf numFmtId="15" fontId="44" fillId="0" borderId="32" xfId="4" applyNumberFormat="1" applyFont="1" applyBorder="1" applyAlignment="1">
      <alignment horizontal="center"/>
    </xf>
    <xf numFmtId="0" fontId="3" fillId="0" borderId="0" xfId="4" applyAlignment="1">
      <alignment horizontal="center"/>
    </xf>
    <xf numFmtId="0" fontId="3" fillId="0" borderId="32" xfId="4" applyBorder="1" applyAlignment="1">
      <alignment horizontal="left" indent="1"/>
    </xf>
    <xf numFmtId="171" fontId="3" fillId="22" borderId="32" xfId="8" applyNumberFormat="1" applyFont="1" applyFill="1" applyBorder="1" applyAlignment="1">
      <alignment horizontal="center"/>
    </xf>
    <xf numFmtId="171" fontId="3" fillId="4" borderId="32" xfId="8" applyNumberFormat="1" applyFont="1" applyFill="1" applyBorder="1" applyAlignment="1">
      <alignment horizontal="center"/>
    </xf>
    <xf numFmtId="171" fontId="44" fillId="22" borderId="32" xfId="8" applyNumberFormat="1" applyFont="1" applyFill="1" applyBorder="1" applyAlignment="1">
      <alignment horizontal="center"/>
    </xf>
    <xf numFmtId="171" fontId="44" fillId="4" borderId="32" xfId="8" applyNumberFormat="1" applyFont="1" applyFill="1" applyBorder="1" applyAlignment="1">
      <alignment horizontal="center"/>
    </xf>
    <xf numFmtId="0" fontId="3" fillId="0" borderId="32" xfId="4" applyBorder="1"/>
    <xf numFmtId="0" fontId="44" fillId="0" borderId="32" xfId="4" applyFont="1" applyBorder="1" applyAlignment="1">
      <alignment horizontal="left"/>
    </xf>
    <xf numFmtId="37" fontId="0" fillId="22" borderId="32" xfId="8" applyNumberFormat="1" applyFont="1" applyFill="1" applyBorder="1" applyAlignment="1">
      <alignment horizontal="center"/>
    </xf>
    <xf numFmtId="37" fontId="0" fillId="0" borderId="32" xfId="8" applyNumberFormat="1" applyFont="1" applyBorder="1" applyAlignment="1">
      <alignment horizontal="center"/>
    </xf>
    <xf numFmtId="37" fontId="3" fillId="0" borderId="0" xfId="4" applyNumberFormat="1" applyAlignment="1">
      <alignment horizontal="center"/>
    </xf>
    <xf numFmtId="0" fontId="3" fillId="0" borderId="32" xfId="4" applyBorder="1" applyAlignment="1">
      <alignment horizontal="left"/>
    </xf>
    <xf numFmtId="0" fontId="46" fillId="0" borderId="32" xfId="4" applyFont="1" applyBorder="1"/>
    <xf numFmtId="37" fontId="46" fillId="22" borderId="32" xfId="8" applyNumberFormat="1" applyFont="1" applyFill="1" applyBorder="1" applyAlignment="1">
      <alignment horizontal="center"/>
    </xf>
    <xf numFmtId="37" fontId="46" fillId="0" borderId="32" xfId="8" applyNumberFormat="1" applyFont="1" applyBorder="1" applyAlignment="1">
      <alignment horizontal="center"/>
    </xf>
    <xf numFmtId="37" fontId="44" fillId="22" borderId="32" xfId="8" applyNumberFormat="1" applyFont="1" applyFill="1" applyBorder="1" applyAlignment="1">
      <alignment horizontal="center"/>
    </xf>
    <xf numFmtId="37" fontId="44" fillId="0" borderId="32" xfId="8" applyNumberFormat="1" applyFont="1" applyBorder="1" applyAlignment="1">
      <alignment horizontal="center"/>
    </xf>
    <xf numFmtId="0" fontId="45" fillId="0" borderId="0" xfId="4" applyFont="1"/>
    <xf numFmtId="0" fontId="46" fillId="0" borderId="0" xfId="4" applyFont="1"/>
    <xf numFmtId="0" fontId="8" fillId="10" borderId="0" xfId="0" quotePrefix="1" applyFont="1" applyFill="1" applyProtection="1">
      <protection locked="0"/>
    </xf>
    <xf numFmtId="0" fontId="6" fillId="10" borderId="0" xfId="0" quotePrefix="1" applyFont="1" applyFill="1" applyProtection="1">
      <protection locked="0"/>
    </xf>
    <xf numFmtId="0" fontId="23" fillId="4" borderId="0" xfId="0" quotePrefix="1" applyFont="1" applyFill="1"/>
    <xf numFmtId="164" fontId="13" fillId="10" borderId="17" xfId="1" applyNumberFormat="1" applyFont="1" applyFill="1" applyBorder="1" applyAlignment="1">
      <alignment horizontal="left" wrapText="1" readingOrder="1"/>
    </xf>
    <xf numFmtId="0" fontId="49" fillId="23" borderId="3" xfId="4" applyFont="1" applyFill="1" applyBorder="1" applyAlignment="1">
      <alignment horizontal="right"/>
    </xf>
    <xf numFmtId="0" fontId="50" fillId="23" borderId="3" xfId="4" applyFont="1" applyFill="1" applyBorder="1" applyAlignment="1">
      <alignment horizontal="right"/>
    </xf>
    <xf numFmtId="0" fontId="50" fillId="23" borderId="0" xfId="4" applyFont="1" applyFill="1" applyAlignment="1">
      <alignment horizontal="right"/>
    </xf>
    <xf numFmtId="0" fontId="44" fillId="0" borderId="0" xfId="4" applyFont="1"/>
    <xf numFmtId="41" fontId="3" fillId="0" borderId="0" xfId="4" applyNumberFormat="1"/>
    <xf numFmtId="0" fontId="3" fillId="0" borderId="0" xfId="4" applyAlignment="1">
      <alignment horizontal="left" indent="1"/>
    </xf>
    <xf numFmtId="41" fontId="3" fillId="0" borderId="4" xfId="4" applyNumberFormat="1" applyBorder="1"/>
    <xf numFmtId="41" fontId="3" fillId="24" borderId="0" xfId="4" applyNumberFormat="1" applyFill="1"/>
    <xf numFmtId="41" fontId="3" fillId="6" borderId="0" xfId="4" applyNumberFormat="1" applyFill="1"/>
    <xf numFmtId="0" fontId="3" fillId="23" borderId="0" xfId="4" applyFill="1"/>
    <xf numFmtId="0" fontId="51" fillId="23" borderId="0" xfId="4" applyFont="1" applyFill="1" applyAlignment="1">
      <alignment horizontal="left"/>
    </xf>
    <xf numFmtId="0" fontId="44" fillId="23" borderId="14" xfId="4" applyFont="1" applyFill="1" applyBorder="1"/>
    <xf numFmtId="0" fontId="49" fillId="23" borderId="0" xfId="4" applyFont="1" applyFill="1" applyAlignment="1">
      <alignment horizontal="left"/>
    </xf>
    <xf numFmtId="0" fontId="3" fillId="23" borderId="0" xfId="4" applyFill="1" applyAlignment="1">
      <alignment horizontal="left"/>
    </xf>
    <xf numFmtId="0" fontId="49" fillId="23" borderId="0" xfId="4" applyFont="1" applyFill="1" applyAlignment="1">
      <alignment horizontal="right"/>
    </xf>
    <xf numFmtId="0" fontId="52" fillId="23" borderId="0" xfId="4" applyFont="1" applyFill="1" applyAlignment="1">
      <alignment horizontal="left"/>
    </xf>
    <xf numFmtId="0" fontId="52" fillId="23" borderId="1" xfId="4" applyFont="1" applyFill="1" applyBorder="1" applyAlignment="1">
      <alignment horizontal="right"/>
    </xf>
    <xf numFmtId="0" fontId="53" fillId="23" borderId="0" xfId="4" applyFont="1" applyFill="1" applyAlignment="1">
      <alignment horizontal="left"/>
    </xf>
    <xf numFmtId="172" fontId="49" fillId="23" borderId="0" xfId="4" applyNumberFormat="1" applyFont="1" applyFill="1" applyAlignment="1">
      <alignment horizontal="right"/>
    </xf>
    <xf numFmtId="172" fontId="53" fillId="23" borderId="0" xfId="4" applyNumberFormat="1" applyFont="1" applyFill="1" applyAlignment="1">
      <alignment horizontal="right"/>
    </xf>
    <xf numFmtId="172" fontId="49" fillId="23" borderId="1" xfId="4" applyNumberFormat="1" applyFont="1" applyFill="1" applyBorder="1" applyAlignment="1">
      <alignment horizontal="right"/>
    </xf>
    <xf numFmtId="172" fontId="53" fillId="23" borderId="1" xfId="4" applyNumberFormat="1" applyFont="1" applyFill="1" applyBorder="1" applyAlignment="1">
      <alignment horizontal="right"/>
    </xf>
    <xf numFmtId="172" fontId="49" fillId="23" borderId="2" xfId="4" applyNumberFormat="1" applyFont="1" applyFill="1" applyBorder="1" applyAlignment="1">
      <alignment horizontal="right"/>
    </xf>
    <xf numFmtId="172" fontId="53" fillId="23" borderId="2" xfId="4" applyNumberFormat="1" applyFont="1" applyFill="1" applyBorder="1" applyAlignment="1">
      <alignment horizontal="right"/>
    </xf>
    <xf numFmtId="0" fontId="53" fillId="23" borderId="1" xfId="4" applyFont="1" applyFill="1" applyBorder="1" applyAlignment="1">
      <alignment horizontal="left"/>
    </xf>
    <xf numFmtId="0" fontId="49" fillId="23" borderId="0" xfId="4" applyFont="1" applyFill="1"/>
    <xf numFmtId="0" fontId="53" fillId="23" borderId="0" xfId="4" applyFont="1" applyFill="1"/>
    <xf numFmtId="173" fontId="53" fillId="23" borderId="33" xfId="4" applyNumberFormat="1" applyFont="1" applyFill="1" applyBorder="1" applyAlignment="1">
      <alignment horizontal="right"/>
    </xf>
    <xf numFmtId="0" fontId="44" fillId="23" borderId="0" xfId="4" applyFont="1" applyFill="1"/>
    <xf numFmtId="0" fontId="49" fillId="23" borderId="1" xfId="4" applyFont="1" applyFill="1" applyBorder="1" applyAlignment="1">
      <alignment horizontal="left"/>
    </xf>
    <xf numFmtId="172" fontId="49" fillId="23" borderId="3" xfId="4" applyNumberFormat="1" applyFont="1" applyFill="1" applyBorder="1" applyAlignment="1">
      <alignment horizontal="right"/>
    </xf>
    <xf numFmtId="4" fontId="49" fillId="23" borderId="0" xfId="4" applyNumberFormat="1" applyFont="1" applyFill="1" applyAlignment="1">
      <alignment horizontal="left"/>
    </xf>
    <xf numFmtId="43" fontId="49" fillId="23" borderId="0" xfId="4" applyNumberFormat="1" applyFont="1" applyFill="1"/>
    <xf numFmtId="41" fontId="3" fillId="23" borderId="0" xfId="4" applyNumberFormat="1" applyFill="1"/>
    <xf numFmtId="167" fontId="24" fillId="7" borderId="6" xfId="0" applyNumberFormat="1" applyFont="1" applyFill="1" applyBorder="1"/>
    <xf numFmtId="167" fontId="18" fillId="0" borderId="0" xfId="0" applyNumberFormat="1" applyFont="1"/>
    <xf numFmtId="43" fontId="0" fillId="0" borderId="0" xfId="1" applyFont="1"/>
    <xf numFmtId="43" fontId="0" fillId="0" borderId="3" xfId="1" applyFont="1" applyBorder="1"/>
    <xf numFmtId="0" fontId="18" fillId="13" borderId="0" xfId="0" applyFont="1" applyFill="1"/>
    <xf numFmtId="167" fontId="18" fillId="0" borderId="0" xfId="2" applyNumberFormat="1" applyFont="1" applyBorder="1" applyAlignment="1">
      <alignment horizontal="right"/>
    </xf>
    <xf numFmtId="0" fontId="18" fillId="0" borderId="0" xfId="0" applyFont="1" applyAlignment="1">
      <alignment horizontal="center"/>
    </xf>
    <xf numFmtId="17" fontId="39" fillId="13" borderId="2" xfId="0" applyNumberFormat="1" applyFont="1" applyFill="1" applyBorder="1" applyAlignment="1">
      <alignment horizontal="center"/>
    </xf>
    <xf numFmtId="0" fontId="54" fillId="10" borderId="0" xfId="0" applyFont="1" applyFill="1" applyProtection="1">
      <protection locked="0"/>
    </xf>
    <xf numFmtId="167" fontId="18" fillId="0" borderId="0" xfId="2" applyNumberFormat="1" applyFont="1" applyFill="1" applyBorder="1"/>
    <xf numFmtId="0" fontId="17" fillId="0" borderId="0" xfId="0" applyFont="1" applyAlignment="1">
      <alignment wrapText="1"/>
    </xf>
    <xf numFmtId="167" fontId="18" fillId="0" borderId="0" xfId="2" applyNumberFormat="1" applyFont="1" applyFill="1" applyBorder="1" applyAlignment="1">
      <alignment horizontal="right"/>
    </xf>
    <xf numFmtId="0" fontId="18" fillId="0" borderId="34" xfId="0" applyFont="1" applyBorder="1" applyAlignment="1">
      <alignment horizontal="center" wrapText="1"/>
    </xf>
    <xf numFmtId="0" fontId="18" fillId="0" borderId="35" xfId="0" applyFont="1" applyBorder="1" applyAlignment="1">
      <alignment horizontal="center" wrapText="1"/>
    </xf>
    <xf numFmtId="0" fontId="18" fillId="0" borderId="36" xfId="0" applyFont="1" applyBorder="1" applyAlignment="1">
      <alignment horizontal="center" wrapText="1"/>
    </xf>
    <xf numFmtId="0" fontId="18" fillId="0" borderId="37" xfId="0" applyFont="1" applyBorder="1" applyAlignment="1">
      <alignment horizontal="center" wrapText="1"/>
    </xf>
    <xf numFmtId="0" fontId="18" fillId="0" borderId="0" xfId="0" applyFont="1" applyAlignment="1">
      <alignment horizontal="center" wrapText="1"/>
    </xf>
    <xf numFmtId="0" fontId="18" fillId="0" borderId="38" xfId="0" applyFont="1" applyBorder="1" applyAlignment="1">
      <alignment horizontal="center" wrapText="1"/>
    </xf>
    <xf numFmtId="0" fontId="18" fillId="0" borderId="39" xfId="0" applyFont="1" applyBorder="1" applyAlignment="1">
      <alignment horizontal="center" wrapText="1"/>
    </xf>
    <xf numFmtId="0" fontId="18" fillId="0" borderId="40" xfId="0" applyFont="1" applyBorder="1" applyAlignment="1">
      <alignment horizontal="center" wrapText="1"/>
    </xf>
    <xf numFmtId="0" fontId="18" fillId="0" borderId="41" xfId="0" applyFont="1" applyBorder="1" applyAlignment="1">
      <alignment horizontal="center" wrapText="1"/>
    </xf>
    <xf numFmtId="165" fontId="30" fillId="13" borderId="0" xfId="1" applyNumberFormat="1" applyFont="1" applyFill="1" applyAlignment="1">
      <alignment horizontal="center"/>
    </xf>
    <xf numFmtId="0" fontId="31" fillId="4" borderId="0" xfId="0" applyFont="1" applyFill="1" applyAlignment="1">
      <alignment horizontal="center"/>
    </xf>
    <xf numFmtId="0" fontId="13" fillId="9" borderId="22" xfId="0" applyFont="1" applyFill="1" applyBorder="1" applyAlignment="1" applyProtection="1">
      <alignment horizontal="left" wrapText="1" readingOrder="1"/>
      <protection locked="0"/>
    </xf>
    <xf numFmtId="0" fontId="13" fillId="9" borderId="23" xfId="0" applyFont="1" applyFill="1" applyBorder="1" applyAlignment="1" applyProtection="1">
      <alignment horizontal="left" wrapText="1" readingOrder="1"/>
      <protection locked="0"/>
    </xf>
    <xf numFmtId="0" fontId="13" fillId="9" borderId="28" xfId="0" applyFont="1" applyFill="1" applyBorder="1" applyAlignment="1" applyProtection="1">
      <alignment horizontal="left" wrapText="1" readingOrder="1"/>
      <protection locked="0"/>
    </xf>
    <xf numFmtId="0" fontId="10" fillId="4" borderId="0" xfId="0" applyFont="1" applyFill="1" applyAlignment="1" applyProtection="1">
      <alignment horizontal="left" vertical="center" wrapText="1" readingOrder="1"/>
      <protection locked="0"/>
    </xf>
    <xf numFmtId="0" fontId="29" fillId="13" borderId="25" xfId="0" applyFont="1" applyFill="1" applyBorder="1" applyAlignment="1" applyProtection="1">
      <alignment horizontal="left" vertical="center" wrapText="1" readingOrder="1"/>
      <protection locked="0"/>
    </xf>
    <xf numFmtId="0" fontId="29" fillId="13" borderId="26" xfId="0" applyFont="1" applyFill="1" applyBorder="1" applyAlignment="1" applyProtection="1">
      <alignment horizontal="left" vertical="center" wrapText="1" readingOrder="1"/>
      <protection locked="0"/>
    </xf>
    <xf numFmtId="0" fontId="29" fillId="13" borderId="27" xfId="0" applyFont="1" applyFill="1" applyBorder="1" applyAlignment="1" applyProtection="1">
      <alignment horizontal="left" vertical="center" wrapText="1" readingOrder="1"/>
      <protection locked="0"/>
    </xf>
    <xf numFmtId="0" fontId="7" fillId="8" borderId="22" xfId="0" applyFont="1" applyFill="1" applyBorder="1" applyAlignment="1" applyProtection="1">
      <alignment horizontal="center" vertical="center" wrapText="1" readingOrder="1"/>
      <protection locked="0"/>
    </xf>
    <xf numFmtId="0" fontId="7" fillId="8" borderId="23" xfId="0" applyFont="1" applyFill="1" applyBorder="1" applyAlignment="1" applyProtection="1">
      <alignment horizontal="center" vertical="center" wrapText="1" readingOrder="1"/>
      <protection locked="0"/>
    </xf>
    <xf numFmtId="0" fontId="9" fillId="13" borderId="18" xfId="0" applyFont="1" applyFill="1" applyBorder="1" applyAlignment="1">
      <alignment horizontal="left" vertical="center" wrapText="1" readingOrder="1"/>
    </xf>
    <xf numFmtId="0" fontId="9" fillId="13" borderId="19" xfId="0" applyFont="1" applyFill="1" applyBorder="1" applyAlignment="1">
      <alignment horizontal="left" vertical="center" wrapText="1" readingOrder="1"/>
    </xf>
    <xf numFmtId="0" fontId="7" fillId="15" borderId="22" xfId="0" applyFont="1" applyFill="1" applyBorder="1" applyAlignment="1">
      <alignment horizontal="center" vertical="center" wrapText="1" readingOrder="1"/>
    </xf>
    <xf numFmtId="0" fontId="7" fillId="15" borderId="23" xfId="0" applyFont="1" applyFill="1" applyBorder="1" applyAlignment="1">
      <alignment horizontal="center" vertical="center" wrapText="1" readingOrder="1"/>
    </xf>
    <xf numFmtId="0" fontId="7" fillId="11" borderId="22" xfId="0" applyFont="1" applyFill="1" applyBorder="1" applyAlignment="1">
      <alignment horizontal="center" vertical="center" wrapText="1" readingOrder="1"/>
    </xf>
    <xf numFmtId="0" fontId="7" fillId="11" borderId="23" xfId="0" applyFont="1" applyFill="1" applyBorder="1" applyAlignment="1">
      <alignment horizontal="center" vertical="center" wrapText="1" readingOrder="1"/>
    </xf>
    <xf numFmtId="0" fontId="0" fillId="0" borderId="0" xfId="0" applyAlignment="1">
      <alignment horizontal="center"/>
    </xf>
    <xf numFmtId="0" fontId="28" fillId="0" borderId="29" xfId="0" applyFont="1" applyBorder="1" applyAlignment="1">
      <alignment horizontal="center"/>
    </xf>
    <xf numFmtId="0" fontId="28" fillId="0" borderId="30" xfId="0" applyFont="1" applyBorder="1" applyAlignment="1">
      <alignment horizontal="center"/>
    </xf>
    <xf numFmtId="0" fontId="28" fillId="0" borderId="31" xfId="0" applyFont="1" applyBorder="1" applyAlignment="1">
      <alignment horizontal="center"/>
    </xf>
  </cellXfs>
  <cellStyles count="9">
    <cellStyle name="Comma" xfId="1" builtinId="3"/>
    <cellStyle name="Currency" xfId="2" builtinId="4"/>
    <cellStyle name="Currency 2" xfId="8" xr:uid="{1DFFC6F0-9EB9-471F-9DFA-72EFE79D270E}"/>
    <cellStyle name="Normal" xfId="0" builtinId="0"/>
    <cellStyle name="Normal 140 19" xfId="6" xr:uid="{F0F165FC-B672-498B-85DC-A941AA5E4E7E}"/>
    <cellStyle name="Normal 159" xfId="5" xr:uid="{37AD7E81-6454-4392-A09C-292FC55979E3}"/>
    <cellStyle name="Normal 2" xfId="7" xr:uid="{5ACAD5F8-0E95-4118-B382-0D038117174B}"/>
    <cellStyle name="Normal 27" xfId="4" xr:uid="{A96E3208-E925-4CDC-BA93-6128AE763D51}"/>
    <cellStyle name="Percent" xfId="3" builtinId="5"/>
  </cellStyles>
  <dxfs count="52">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92D050"/>
        </patternFill>
      </fill>
    </dxf>
    <dxf>
      <fill>
        <patternFill>
          <bgColor rgb="FFFF0000"/>
        </patternFill>
      </fill>
    </dxf>
    <dxf>
      <fill>
        <patternFill>
          <bgColor rgb="FFFFFF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s>
  <tableStyles count="0" defaultTableStyle="TableStyleMedium2" defaultPivotStyle="PivotStyleLight16"/>
  <colors>
    <mruColors>
      <color rgb="FFF3F3F4"/>
      <color rgb="FF00590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7.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167472</xdr:colOff>
      <xdr:row>0</xdr:row>
      <xdr:rowOff>52335</xdr:rowOff>
    </xdr:from>
    <xdr:to>
      <xdr:col>5</xdr:col>
      <xdr:colOff>1413049</xdr:colOff>
      <xdr:row>10</xdr:row>
      <xdr:rowOff>10467</xdr:rowOff>
    </xdr:to>
    <xdr:pic>
      <xdr:nvPicPr>
        <xdr:cNvPr id="3" name="Picture 2">
          <a:extLst>
            <a:ext uri="{FF2B5EF4-FFF2-40B4-BE49-F238E27FC236}">
              <a16:creationId xmlns:a16="http://schemas.microsoft.com/office/drawing/2014/main" id="{CED8DEAD-3530-4EA3-9856-DD65559AF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472" y="52335"/>
          <a:ext cx="1245577" cy="1245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85725</xdr:colOff>
      <xdr:row>0</xdr:row>
      <xdr:rowOff>85726</xdr:rowOff>
    </xdr:from>
    <xdr:to>
      <xdr:col>6</xdr:col>
      <xdr:colOff>1828800</xdr:colOff>
      <xdr:row>5</xdr:row>
      <xdr:rowOff>113706</xdr:rowOff>
    </xdr:to>
    <xdr:pic>
      <xdr:nvPicPr>
        <xdr:cNvPr id="2" name="Graphic 1">
          <a:extLst>
            <a:ext uri="{FF2B5EF4-FFF2-40B4-BE49-F238E27FC236}">
              <a16:creationId xmlns:a16="http://schemas.microsoft.com/office/drawing/2014/main" id="{350F2913-C6D0-4C8E-A113-8C758721A6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85825" y="85726"/>
          <a:ext cx="1743075" cy="980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ilcove.US-IG/Desktop/Deals/Cadillac%20Jack/CJ%20Diligence/(I)%20Financial%20&amp;%20Accounting/July%202009%20Master%202009%20Model%20v.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ccounting/Accounting%20and%20Reports/Monthend/2015/09%20September/Monthend/KSA%20Reporting/2015%20Budget%20Model-%20Sept%20v4-Revised%20Budget%20v53-clea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Monthly%20planning%20and%20campaign%20management%20budget%20-%20April%20-%20March%2020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Documents%20and%20Settings/michaelm.LONDON/Local%20Settings/Temporary%20Internet%20Files/Content.Outlook/AEVYCW7A/Bingo%20Q2fc%200809"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locmotive\Analysis\Models\FF.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CJ%20Equity%20Valuation_v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ASHBOARD\NBC%20PR%20Dashboard%20V6%207Ju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obsummerwill/Library/Containers/com.microsoft.Excel/Data/Documents/C:/Users/aliso/ETC%20Cooperative%20Dropbox/ETC%20Cooperative/Business/Financial/Forecast/2019%20Forecast%20as%20at%20March%2031,%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Crisis%20Care%20Network%20Exhibits%20v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UIX%20Defense%20Profil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areRightsPlan_Chartsv1%20(08.26.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ProxyProposal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heoretical%20EBITDA%20Bridge.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ontract%20Provis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Jackpotjoy%20Link%20Building%20Project%20Plan%202011-20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pjohnson/Desktop/Capcoal/Cap%20OC%20Weekly%20Review%20File%20RF%20Updated%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2009"/>
      <sheetName val="Cabinet Worksheet"/>
      <sheetName val="Product Cost"/>
      <sheetName val="Property &amp; Use Tax"/>
      <sheetName val="COGS Analysis"/>
      <sheetName val="Dept Expense Summ"/>
      <sheetName val="SG&amp;A Allocations"/>
      <sheetName val="Summary P&amp;L-Consolidated"/>
      <sheetName val="Monthly P&amp;L"/>
      <sheetName val="Revenue-US"/>
      <sheetName val="Summary P&amp;L-US"/>
      <sheetName val="P&amp;L-US"/>
      <sheetName val="COGS&amp;CAPEX-US"/>
      <sheetName val="US WAP"/>
      <sheetName val="Summary P&amp;L-Mex"/>
      <sheetName val="P&amp;L-Mex"/>
      <sheetName val="Revenue-Mex"/>
      <sheetName val="COGS&amp;CAPEX-MEX"/>
      <sheetName val="MX WAP"/>
      <sheetName val="Redemption Summary P&amp;L"/>
      <sheetName val="Redemption P&amp;L"/>
      <sheetName val="AWP Sales-Cogs Forecast"/>
    </sheetNames>
    <sheetDataSet>
      <sheetData sheetId="0" refreshError="1">
        <row r="2">
          <cell r="C2" t="str">
            <v>2009 Forecast</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v>54396798.612202868</v>
          </cell>
        </row>
        <row r="4">
          <cell r="C4" t="str">
            <v>US</v>
          </cell>
          <cell r="O4">
            <v>29149645.447783247</v>
          </cell>
        </row>
        <row r="8">
          <cell r="C8">
            <v>1801</v>
          </cell>
          <cell r="D8">
            <v>1789</v>
          </cell>
          <cell r="E8">
            <v>1777</v>
          </cell>
          <cell r="F8">
            <v>1729</v>
          </cell>
          <cell r="G8">
            <v>1540</v>
          </cell>
          <cell r="H8">
            <v>1613</v>
          </cell>
          <cell r="I8">
            <v>1773</v>
          </cell>
          <cell r="J8">
            <v>1808</v>
          </cell>
          <cell r="K8">
            <v>1758</v>
          </cell>
          <cell r="L8">
            <v>2136</v>
          </cell>
          <cell r="M8">
            <v>2125</v>
          </cell>
          <cell r="N8">
            <v>2106</v>
          </cell>
        </row>
        <row r="9">
          <cell r="C9">
            <v>-12</v>
          </cell>
          <cell r="D9">
            <v>-12</v>
          </cell>
          <cell r="E9">
            <v>-48</v>
          </cell>
          <cell r="F9">
            <v>-189</v>
          </cell>
          <cell r="G9">
            <v>73</v>
          </cell>
          <cell r="H9">
            <v>160</v>
          </cell>
          <cell r="I9">
            <v>35</v>
          </cell>
          <cell r="J9">
            <v>-50</v>
          </cell>
          <cell r="K9">
            <v>378</v>
          </cell>
          <cell r="L9">
            <v>28</v>
          </cell>
          <cell r="M9">
            <v>80</v>
          </cell>
          <cell r="N9">
            <v>0</v>
          </cell>
          <cell r="O9">
            <v>443</v>
          </cell>
        </row>
        <row r="10">
          <cell r="C10">
            <v>0</v>
          </cell>
          <cell r="D10">
            <v>0</v>
          </cell>
          <cell r="E10">
            <v>0</v>
          </cell>
          <cell r="F10">
            <v>0</v>
          </cell>
          <cell r="G10">
            <v>0</v>
          </cell>
          <cell r="H10">
            <v>0</v>
          </cell>
          <cell r="I10">
            <v>0</v>
          </cell>
          <cell r="J10">
            <v>0</v>
          </cell>
          <cell r="K10">
            <v>0</v>
          </cell>
          <cell r="L10">
            <v>-39</v>
          </cell>
          <cell r="M10">
            <v>-99</v>
          </cell>
          <cell r="N10">
            <v>-42.12</v>
          </cell>
          <cell r="O10">
            <v>-180.12</v>
          </cell>
        </row>
        <row r="11">
          <cell r="C11">
            <v>1789</v>
          </cell>
          <cell r="D11">
            <v>1777</v>
          </cell>
          <cell r="E11">
            <v>1729</v>
          </cell>
          <cell r="F11">
            <v>1540</v>
          </cell>
          <cell r="G11">
            <v>1613</v>
          </cell>
          <cell r="H11">
            <v>1773</v>
          </cell>
          <cell r="I11">
            <v>1808</v>
          </cell>
          <cell r="J11">
            <v>1758</v>
          </cell>
          <cell r="K11">
            <v>2136</v>
          </cell>
          <cell r="L11">
            <v>2125</v>
          </cell>
          <cell r="M11">
            <v>2106</v>
          </cell>
          <cell r="N11">
            <v>2063.88</v>
          </cell>
          <cell r="O11">
            <v>262.88000000000011</v>
          </cell>
        </row>
        <row r="12">
          <cell r="C12">
            <v>1795</v>
          </cell>
          <cell r="D12">
            <v>1783</v>
          </cell>
          <cell r="E12">
            <v>1753</v>
          </cell>
          <cell r="F12">
            <v>1634.5</v>
          </cell>
          <cell r="G12">
            <v>1576.5</v>
          </cell>
          <cell r="H12">
            <v>1693</v>
          </cell>
          <cell r="I12">
            <v>1790.5</v>
          </cell>
          <cell r="J12">
            <v>1783</v>
          </cell>
          <cell r="K12">
            <v>1947</v>
          </cell>
          <cell r="L12">
            <v>2130.5</v>
          </cell>
          <cell r="M12">
            <v>2115.5</v>
          </cell>
          <cell r="N12">
            <v>2084.94</v>
          </cell>
        </row>
        <row r="14">
          <cell r="C14">
            <v>21.663385209812205</v>
          </cell>
          <cell r="D14">
            <v>27.677086771893279</v>
          </cell>
          <cell r="E14">
            <v>27.164376644646048</v>
          </cell>
          <cell r="F14">
            <v>23.356388498011626</v>
          </cell>
          <cell r="G14">
            <v>25.77230451285514</v>
          </cell>
          <cell r="H14">
            <v>22.786813545973619</v>
          </cell>
          <cell r="I14">
            <v>22.789362675770867</v>
          </cell>
          <cell r="J14">
            <v>23.627955783112913</v>
          </cell>
          <cell r="K14">
            <v>24.906539976031503</v>
          </cell>
          <cell r="L14">
            <v>24.26724787957221</v>
          </cell>
          <cell r="M14">
            <v>24.26724787957221</v>
          </cell>
          <cell r="N14">
            <v>24.26724787957221</v>
          </cell>
        </row>
        <row r="15">
          <cell r="C15">
            <v>31</v>
          </cell>
          <cell r="D15">
            <v>28</v>
          </cell>
          <cell r="E15">
            <v>31</v>
          </cell>
          <cell r="F15">
            <v>30</v>
          </cell>
          <cell r="G15">
            <v>31</v>
          </cell>
          <cell r="H15">
            <v>30</v>
          </cell>
          <cell r="I15">
            <v>31</v>
          </cell>
          <cell r="J15">
            <v>31</v>
          </cell>
          <cell r="K15">
            <v>30</v>
          </cell>
          <cell r="L15">
            <v>31</v>
          </cell>
          <cell r="M15">
            <v>30</v>
          </cell>
          <cell r="N15">
            <v>31</v>
          </cell>
        </row>
        <row r="17">
          <cell r="C17">
            <v>1216308.6200000001</v>
          </cell>
          <cell r="D17">
            <v>1288963.1100000001</v>
          </cell>
          <cell r="E17">
            <v>1585268.8</v>
          </cell>
          <cell r="F17">
            <v>1145280.51</v>
          </cell>
          <cell r="G17">
            <v>1259531.18</v>
          </cell>
          <cell r="H17">
            <v>1157342.26</v>
          </cell>
          <cell r="I17">
            <v>1264934.97</v>
          </cell>
          <cell r="J17">
            <v>1305988</v>
          </cell>
          <cell r="K17">
            <v>1454791</v>
          </cell>
          <cell r="L17">
            <v>1602742.5198302863</v>
          </cell>
          <cell r="M17">
            <v>1540120.8866770503</v>
          </cell>
          <cell r="N17">
            <v>1568468.4296150939</v>
          </cell>
          <cell r="O17">
            <v>16389740.28612243</v>
          </cell>
        </row>
        <row r="18">
          <cell r="C18" t="b">
            <v>1</v>
          </cell>
          <cell r="D18" t="b">
            <v>1</v>
          </cell>
          <cell r="E18" t="b">
            <v>1</v>
          </cell>
          <cell r="F18" t="b">
            <v>1</v>
          </cell>
          <cell r="G18" t="b">
            <v>1</v>
          </cell>
          <cell r="H18" t="b">
            <v>1</v>
          </cell>
          <cell r="I18" t="b">
            <v>1</v>
          </cell>
          <cell r="J18" t="b">
            <v>1</v>
          </cell>
          <cell r="K18" t="b">
            <v>1</v>
          </cell>
          <cell r="L18" t="b">
            <v>1</v>
          </cell>
          <cell r="M18" t="b">
            <v>1</v>
          </cell>
          <cell r="N18" t="b">
            <v>1</v>
          </cell>
        </row>
        <row r="21">
          <cell r="C21">
            <v>178</v>
          </cell>
          <cell r="D21">
            <v>178</v>
          </cell>
          <cell r="E21">
            <v>163</v>
          </cell>
          <cell r="F21">
            <v>153</v>
          </cell>
          <cell r="G21">
            <v>163</v>
          </cell>
          <cell r="H21">
            <v>183</v>
          </cell>
          <cell r="I21">
            <v>176</v>
          </cell>
          <cell r="J21">
            <v>176</v>
          </cell>
          <cell r="K21">
            <v>176</v>
          </cell>
          <cell r="L21">
            <v>166</v>
          </cell>
          <cell r="M21">
            <v>166</v>
          </cell>
          <cell r="N21">
            <v>166</v>
          </cell>
        </row>
        <row r="22">
          <cell r="C22">
            <v>0</v>
          </cell>
          <cell r="D22">
            <v>-15</v>
          </cell>
          <cell r="E22">
            <v>-10</v>
          </cell>
          <cell r="F22">
            <v>10</v>
          </cell>
          <cell r="G22">
            <v>20</v>
          </cell>
          <cell r="H22">
            <v>-7</v>
          </cell>
          <cell r="I22">
            <v>0</v>
          </cell>
          <cell r="J22">
            <v>0</v>
          </cell>
          <cell r="K22">
            <v>-10</v>
          </cell>
          <cell r="L22">
            <v>0</v>
          </cell>
          <cell r="M22">
            <v>0</v>
          </cell>
          <cell r="N22">
            <v>0</v>
          </cell>
          <cell r="O22">
            <v>-12</v>
          </cell>
        </row>
        <row r="23">
          <cell r="C23">
            <v>178</v>
          </cell>
          <cell r="D23">
            <v>163</v>
          </cell>
          <cell r="E23">
            <v>153</v>
          </cell>
          <cell r="F23">
            <v>163</v>
          </cell>
          <cell r="G23">
            <v>183</v>
          </cell>
          <cell r="H23">
            <v>176</v>
          </cell>
          <cell r="I23">
            <v>176</v>
          </cell>
          <cell r="J23">
            <v>176</v>
          </cell>
          <cell r="K23">
            <v>166</v>
          </cell>
          <cell r="L23">
            <v>166</v>
          </cell>
          <cell r="M23">
            <v>166</v>
          </cell>
          <cell r="N23">
            <v>166</v>
          </cell>
        </row>
        <row r="24">
          <cell r="C24">
            <v>178</v>
          </cell>
          <cell r="D24">
            <v>170.5</v>
          </cell>
          <cell r="E24">
            <v>158</v>
          </cell>
          <cell r="F24">
            <v>158</v>
          </cell>
          <cell r="G24">
            <v>173</v>
          </cell>
          <cell r="H24">
            <v>179.5</v>
          </cell>
          <cell r="I24">
            <v>176</v>
          </cell>
          <cell r="J24">
            <v>176</v>
          </cell>
          <cell r="K24">
            <v>171</v>
          </cell>
          <cell r="L24">
            <v>166</v>
          </cell>
          <cell r="M24">
            <v>166</v>
          </cell>
          <cell r="N24">
            <v>166</v>
          </cell>
        </row>
        <row r="25">
          <cell r="C25">
            <v>357521.66</v>
          </cell>
          <cell r="D25">
            <v>365129.48</v>
          </cell>
          <cell r="E25">
            <v>428958.45</v>
          </cell>
          <cell r="F25">
            <v>323711.44</v>
          </cell>
          <cell r="G25">
            <v>441627.09999999992</v>
          </cell>
          <cell r="H25">
            <v>306463.42</v>
          </cell>
          <cell r="I25">
            <v>370399.24999999994</v>
          </cell>
          <cell r="J25">
            <v>366800.50000000006</v>
          </cell>
          <cell r="K25">
            <v>339927.06000000006</v>
          </cell>
          <cell r="L25">
            <v>340987.26135672518</v>
          </cell>
          <cell r="M25">
            <v>329987.67228070175</v>
          </cell>
          <cell r="N25">
            <v>340987.26135672518</v>
          </cell>
          <cell r="O25">
            <v>4312500.5549941519</v>
          </cell>
        </row>
        <row r="26">
          <cell r="C26" t="b">
            <v>1</v>
          </cell>
          <cell r="D26" t="b">
            <v>1</v>
          </cell>
          <cell r="E26" t="b">
            <v>1</v>
          </cell>
          <cell r="F26" t="b">
            <v>1</v>
          </cell>
          <cell r="G26" t="b">
            <v>1</v>
          </cell>
          <cell r="H26" t="b">
            <v>1</v>
          </cell>
          <cell r="I26" t="b">
            <v>1</v>
          </cell>
          <cell r="J26" t="b">
            <v>1</v>
          </cell>
          <cell r="K26" t="b">
            <v>1</v>
          </cell>
          <cell r="L26" t="b">
            <v>1</v>
          </cell>
          <cell r="M26" t="b">
            <v>1</v>
          </cell>
          <cell r="N26" t="b">
            <v>1</v>
          </cell>
        </row>
        <row r="27">
          <cell r="C27">
            <v>74.711454512504545</v>
          </cell>
          <cell r="D27">
            <v>76.54403917050692</v>
          </cell>
          <cell r="E27">
            <v>78.263865659452833</v>
          </cell>
          <cell r="F27">
            <v>68.293552742616029</v>
          </cell>
          <cell r="G27">
            <v>82.34702591832928</v>
          </cell>
          <cell r="H27">
            <v>56.910570102135559</v>
          </cell>
          <cell r="I27">
            <v>67.888425586510252</v>
          </cell>
          <cell r="J27">
            <v>67.228830645161295</v>
          </cell>
          <cell r="K27">
            <v>66.262584795321644</v>
          </cell>
          <cell r="L27">
            <v>66.262584795321644</v>
          </cell>
          <cell r="M27">
            <v>66.262584795321644</v>
          </cell>
          <cell r="N27">
            <v>66.262584795321644</v>
          </cell>
        </row>
        <row r="30">
          <cell r="C30">
            <v>831</v>
          </cell>
          <cell r="D30">
            <v>831</v>
          </cell>
          <cell r="E30">
            <v>841</v>
          </cell>
          <cell r="F30">
            <v>951</v>
          </cell>
          <cell r="G30">
            <v>1205</v>
          </cell>
          <cell r="H30">
            <v>1225</v>
          </cell>
          <cell r="I30">
            <v>1225</v>
          </cell>
          <cell r="J30">
            <v>1257</v>
          </cell>
          <cell r="K30">
            <v>1269</v>
          </cell>
          <cell r="L30">
            <v>1269</v>
          </cell>
          <cell r="M30">
            <v>1269</v>
          </cell>
          <cell r="N30">
            <v>1269</v>
          </cell>
        </row>
        <row r="31">
          <cell r="C31">
            <v>0</v>
          </cell>
          <cell r="D31">
            <v>10</v>
          </cell>
          <cell r="E31">
            <v>110</v>
          </cell>
          <cell r="F31">
            <v>254</v>
          </cell>
          <cell r="G31">
            <v>20</v>
          </cell>
          <cell r="H31">
            <v>0</v>
          </cell>
          <cell r="I31">
            <v>32</v>
          </cell>
          <cell r="J31">
            <v>12</v>
          </cell>
          <cell r="K31">
            <v>0</v>
          </cell>
          <cell r="L31">
            <v>0</v>
          </cell>
          <cell r="M31">
            <v>0</v>
          </cell>
          <cell r="N31">
            <v>0</v>
          </cell>
          <cell r="O31">
            <v>438</v>
          </cell>
        </row>
        <row r="32">
          <cell r="C32">
            <v>831</v>
          </cell>
          <cell r="D32">
            <v>841</v>
          </cell>
          <cell r="E32">
            <v>951</v>
          </cell>
          <cell r="F32">
            <v>1205</v>
          </cell>
          <cell r="G32">
            <v>1225</v>
          </cell>
          <cell r="H32">
            <v>1225</v>
          </cell>
          <cell r="I32">
            <v>1257</v>
          </cell>
          <cell r="J32">
            <v>1269</v>
          </cell>
          <cell r="K32">
            <v>1269</v>
          </cell>
          <cell r="L32">
            <v>1269</v>
          </cell>
          <cell r="M32">
            <v>1269</v>
          </cell>
          <cell r="N32">
            <v>1269</v>
          </cell>
        </row>
        <row r="33">
          <cell r="C33">
            <v>1</v>
          </cell>
          <cell r="D33">
            <v>1</v>
          </cell>
          <cell r="E33">
            <v>1</v>
          </cell>
          <cell r="F33">
            <v>1</v>
          </cell>
          <cell r="G33">
            <v>1</v>
          </cell>
          <cell r="H33">
            <v>1</v>
          </cell>
          <cell r="I33">
            <v>1</v>
          </cell>
          <cell r="J33">
            <v>1</v>
          </cell>
          <cell r="K33">
            <v>1</v>
          </cell>
          <cell r="L33">
            <v>1</v>
          </cell>
          <cell r="M33">
            <v>1</v>
          </cell>
          <cell r="N33">
            <v>1</v>
          </cell>
        </row>
        <row r="34">
          <cell r="C34">
            <v>0</v>
          </cell>
          <cell r="D34">
            <v>10</v>
          </cell>
          <cell r="E34">
            <v>110</v>
          </cell>
          <cell r="F34">
            <v>254</v>
          </cell>
          <cell r="G34">
            <v>20</v>
          </cell>
          <cell r="H34">
            <v>0</v>
          </cell>
          <cell r="I34">
            <v>32</v>
          </cell>
          <cell r="J34">
            <v>12</v>
          </cell>
          <cell r="K34">
            <v>0</v>
          </cell>
          <cell r="L34">
            <v>0</v>
          </cell>
          <cell r="M34">
            <v>0</v>
          </cell>
          <cell r="N34">
            <v>0</v>
          </cell>
        </row>
        <row r="35">
          <cell r="C35">
            <v>831</v>
          </cell>
          <cell r="D35">
            <v>831</v>
          </cell>
          <cell r="E35">
            <v>841</v>
          </cell>
          <cell r="F35">
            <v>951</v>
          </cell>
          <cell r="G35">
            <v>1205</v>
          </cell>
          <cell r="H35">
            <v>1225</v>
          </cell>
          <cell r="I35">
            <v>1225</v>
          </cell>
          <cell r="J35">
            <v>1257</v>
          </cell>
          <cell r="K35">
            <v>1269</v>
          </cell>
          <cell r="L35">
            <v>1269</v>
          </cell>
          <cell r="M35">
            <v>1269</v>
          </cell>
          <cell r="N35">
            <v>1269</v>
          </cell>
        </row>
        <row r="36">
          <cell r="C36">
            <v>831</v>
          </cell>
          <cell r="D36">
            <v>841</v>
          </cell>
          <cell r="E36">
            <v>951</v>
          </cell>
          <cell r="F36">
            <v>1205</v>
          </cell>
          <cell r="G36">
            <v>1225</v>
          </cell>
          <cell r="H36">
            <v>1225</v>
          </cell>
          <cell r="I36">
            <v>1257</v>
          </cell>
          <cell r="J36">
            <v>1269</v>
          </cell>
          <cell r="K36">
            <v>1269</v>
          </cell>
          <cell r="L36">
            <v>1269</v>
          </cell>
          <cell r="M36">
            <v>1269</v>
          </cell>
          <cell r="N36">
            <v>1269</v>
          </cell>
        </row>
        <row r="37">
          <cell r="C37">
            <v>5.6922976592523575</v>
          </cell>
          <cell r="D37">
            <v>5.0765430622009564</v>
          </cell>
          <cell r="E37">
            <v>4.498821644585254</v>
          </cell>
          <cell r="F37">
            <v>3.9603698206555347</v>
          </cell>
          <cell r="G37">
            <v>2.9231878401699189</v>
          </cell>
          <cell r="H37">
            <v>5.7872565986394555</v>
          </cell>
          <cell r="I37">
            <v>4.4551922227132126</v>
          </cell>
          <cell r="J37">
            <v>3.8505943350445686</v>
          </cell>
          <cell r="K37">
            <v>4.9391909640136591</v>
          </cell>
          <cell r="L37">
            <v>4.9391909640136591</v>
          </cell>
          <cell r="M37">
            <v>4.9391909640136591</v>
          </cell>
          <cell r="N37">
            <v>4.9391909640136591</v>
          </cell>
        </row>
        <row r="38">
          <cell r="C38">
            <v>146639.28</v>
          </cell>
          <cell r="D38">
            <v>118831.72</v>
          </cell>
          <cell r="E38">
            <v>124959.27</v>
          </cell>
          <cell r="F38">
            <v>128078.35999999999</v>
          </cell>
          <cell r="G38">
            <v>110101.87</v>
          </cell>
          <cell r="H38">
            <v>212681.68</v>
          </cell>
          <cell r="I38">
            <v>171395.69999999998</v>
          </cell>
          <cell r="J38">
            <v>150762.31999999998</v>
          </cell>
          <cell r="K38">
            <v>188035</v>
          </cell>
          <cell r="L38">
            <v>194302.83333333331</v>
          </cell>
          <cell r="M38">
            <v>188035</v>
          </cell>
          <cell r="N38">
            <v>194302.83333333331</v>
          </cell>
          <cell r="O38">
            <v>1928125.8666666665</v>
          </cell>
        </row>
        <row r="39">
          <cell r="C39" t="b">
            <v>1</v>
          </cell>
          <cell r="D39" t="b">
            <v>1</v>
          </cell>
          <cell r="E39" t="b">
            <v>1</v>
          </cell>
          <cell r="F39" t="b">
            <v>1</v>
          </cell>
          <cell r="G39" t="b">
            <v>1</v>
          </cell>
          <cell r="H39" t="b">
            <v>1</v>
          </cell>
          <cell r="I39" t="b">
            <v>1</v>
          </cell>
          <cell r="J39" t="b">
            <v>1</v>
          </cell>
          <cell r="K39" t="b">
            <v>1</v>
          </cell>
          <cell r="L39" t="b">
            <v>1</v>
          </cell>
          <cell r="M39" t="b">
            <v>1</v>
          </cell>
          <cell r="N39" t="b">
            <v>1</v>
          </cell>
        </row>
        <row r="42">
          <cell r="C42">
            <v>998</v>
          </cell>
          <cell r="D42">
            <v>1103</v>
          </cell>
          <cell r="E42">
            <v>1138</v>
          </cell>
          <cell r="F42">
            <v>1138</v>
          </cell>
          <cell r="G42">
            <v>1138</v>
          </cell>
          <cell r="H42">
            <v>1138</v>
          </cell>
          <cell r="I42">
            <v>1138</v>
          </cell>
          <cell r="J42">
            <v>1138</v>
          </cell>
          <cell r="K42">
            <v>1138</v>
          </cell>
          <cell r="L42">
            <v>1138</v>
          </cell>
          <cell r="M42">
            <v>1138</v>
          </cell>
          <cell r="N42">
            <v>1138</v>
          </cell>
        </row>
        <row r="43">
          <cell r="C43">
            <v>105</v>
          </cell>
          <cell r="D43">
            <v>35</v>
          </cell>
          <cell r="E43">
            <v>0</v>
          </cell>
          <cell r="F43">
            <v>0</v>
          </cell>
          <cell r="G43">
            <v>0</v>
          </cell>
          <cell r="H43">
            <v>0</v>
          </cell>
          <cell r="I43">
            <v>0</v>
          </cell>
          <cell r="J43">
            <v>0</v>
          </cell>
          <cell r="K43">
            <v>0</v>
          </cell>
          <cell r="L43">
            <v>0</v>
          </cell>
          <cell r="M43">
            <v>0</v>
          </cell>
          <cell r="N43">
            <v>0</v>
          </cell>
          <cell r="O43">
            <v>140</v>
          </cell>
        </row>
        <row r="44">
          <cell r="C44">
            <v>1103</v>
          </cell>
          <cell r="D44">
            <v>1138</v>
          </cell>
          <cell r="E44">
            <v>1138</v>
          </cell>
          <cell r="F44">
            <v>1138</v>
          </cell>
          <cell r="G44">
            <v>1138</v>
          </cell>
          <cell r="H44">
            <v>1138</v>
          </cell>
          <cell r="I44">
            <v>1138</v>
          </cell>
          <cell r="J44">
            <v>1138</v>
          </cell>
          <cell r="K44">
            <v>1138</v>
          </cell>
          <cell r="L44">
            <v>1138</v>
          </cell>
          <cell r="M44">
            <v>1138</v>
          </cell>
          <cell r="N44">
            <v>1138</v>
          </cell>
        </row>
        <row r="45">
          <cell r="C45">
            <v>4</v>
          </cell>
          <cell r="D45">
            <v>4</v>
          </cell>
          <cell r="E45">
            <v>4</v>
          </cell>
          <cell r="F45">
            <v>4</v>
          </cell>
          <cell r="G45">
            <v>4</v>
          </cell>
          <cell r="H45">
            <v>4</v>
          </cell>
          <cell r="I45">
            <v>4</v>
          </cell>
          <cell r="J45">
            <v>4</v>
          </cell>
          <cell r="K45">
            <v>4</v>
          </cell>
          <cell r="L45">
            <v>4</v>
          </cell>
          <cell r="M45">
            <v>4</v>
          </cell>
          <cell r="N45">
            <v>4</v>
          </cell>
        </row>
        <row r="46">
          <cell r="C46">
            <v>123060</v>
          </cell>
          <cell r="D46">
            <v>111440</v>
          </cell>
          <cell r="E46">
            <v>120020</v>
          </cell>
          <cell r="F46">
            <v>116320</v>
          </cell>
          <cell r="G46">
            <v>132760</v>
          </cell>
          <cell r="H46">
            <v>137640</v>
          </cell>
          <cell r="I46">
            <v>145828</v>
          </cell>
          <cell r="J46">
            <v>150168</v>
          </cell>
          <cell r="K46">
            <v>132545</v>
          </cell>
          <cell r="L46">
            <v>141112</v>
          </cell>
          <cell r="M46">
            <v>136560</v>
          </cell>
          <cell r="N46">
            <v>141112</v>
          </cell>
          <cell r="O46">
            <v>1588565</v>
          </cell>
        </row>
        <row r="47">
          <cell r="C47" t="b">
            <v>1</v>
          </cell>
          <cell r="D47" t="b">
            <v>1</v>
          </cell>
          <cell r="E47" t="b">
            <v>1</v>
          </cell>
          <cell r="F47" t="b">
            <v>1</v>
          </cell>
          <cell r="G47" t="b">
            <v>1</v>
          </cell>
          <cell r="H47" t="b">
            <v>1</v>
          </cell>
          <cell r="I47" t="b">
            <v>1</v>
          </cell>
          <cell r="J47" t="b">
            <v>1</v>
          </cell>
          <cell r="K47" t="b">
            <v>1</v>
          </cell>
          <cell r="L47" t="b">
            <v>1</v>
          </cell>
          <cell r="M47" t="b">
            <v>1</v>
          </cell>
          <cell r="N47" t="b">
            <v>1</v>
          </cell>
        </row>
        <row r="50">
          <cell r="C50">
            <v>373</v>
          </cell>
          <cell r="D50">
            <v>373</v>
          </cell>
          <cell r="E50">
            <v>388</v>
          </cell>
          <cell r="F50">
            <v>358</v>
          </cell>
          <cell r="G50">
            <v>368</v>
          </cell>
          <cell r="H50">
            <v>368</v>
          </cell>
          <cell r="I50">
            <v>368</v>
          </cell>
          <cell r="J50">
            <v>368</v>
          </cell>
          <cell r="K50">
            <v>275</v>
          </cell>
          <cell r="L50">
            <v>275</v>
          </cell>
          <cell r="M50">
            <v>275</v>
          </cell>
          <cell r="N50">
            <v>275</v>
          </cell>
        </row>
        <row r="51">
          <cell r="C51">
            <v>1.4833183429905734</v>
          </cell>
          <cell r="D51">
            <v>1.6789649559555726</v>
          </cell>
          <cell r="E51">
            <v>1.9535941137346193</v>
          </cell>
          <cell r="F51">
            <v>2.0195577281191803</v>
          </cell>
          <cell r="G51">
            <v>3.0789016479663394</v>
          </cell>
          <cell r="H51">
            <v>2.6039347826086958</v>
          </cell>
          <cell r="I51">
            <v>3.253787692847125</v>
          </cell>
          <cell r="J51">
            <v>3.9059563464235625</v>
          </cell>
          <cell r="K51">
            <v>4.4214545454545462</v>
          </cell>
          <cell r="L51">
            <v>4.4214545454545462</v>
          </cell>
          <cell r="M51">
            <v>4.4214545454545462</v>
          </cell>
          <cell r="N51">
            <v>4.4214545454545462</v>
          </cell>
        </row>
        <row r="52">
          <cell r="C52">
            <v>17151.61</v>
          </cell>
          <cell r="D52">
            <v>17535.11</v>
          </cell>
          <cell r="E52">
            <v>23497.83</v>
          </cell>
          <cell r="F52">
            <v>21690.05</v>
          </cell>
          <cell r="G52">
            <v>35124.11</v>
          </cell>
          <cell r="H52">
            <v>28747.439999999999</v>
          </cell>
          <cell r="I52">
            <v>37119.21</v>
          </cell>
          <cell r="J52">
            <v>44559.15</v>
          </cell>
          <cell r="K52">
            <v>36477</v>
          </cell>
          <cell r="L52">
            <v>37692.9</v>
          </cell>
          <cell r="M52">
            <v>36477</v>
          </cell>
          <cell r="N52">
            <v>37692.9</v>
          </cell>
          <cell r="O52">
            <v>373764.31</v>
          </cell>
        </row>
        <row r="53">
          <cell r="C53" t="b">
            <v>1</v>
          </cell>
          <cell r="D53" t="b">
            <v>1</v>
          </cell>
          <cell r="E53" t="b">
            <v>1</v>
          </cell>
          <cell r="F53" t="b">
            <v>1</v>
          </cell>
          <cell r="G53" t="b">
            <v>1</v>
          </cell>
          <cell r="H53" t="b">
            <v>1</v>
          </cell>
          <cell r="I53" t="b">
            <v>1</v>
          </cell>
          <cell r="J53" t="b">
            <v>1</v>
          </cell>
          <cell r="K53" t="b">
            <v>1</v>
          </cell>
          <cell r="L53" t="b">
            <v>1</v>
          </cell>
          <cell r="M53" t="b">
            <v>1</v>
          </cell>
          <cell r="N53" t="b">
            <v>1</v>
          </cell>
        </row>
        <row r="56">
          <cell r="C56">
            <v>1860681.1700000002</v>
          </cell>
          <cell r="D56">
            <v>1901899.4199999997</v>
          </cell>
          <cell r="E56">
            <v>2282704.35</v>
          </cell>
          <cell r="F56">
            <v>1735080.3599999999</v>
          </cell>
          <cell r="G56">
            <v>1979144.2599999998</v>
          </cell>
          <cell r="H56">
            <v>1842874.8</v>
          </cell>
          <cell r="I56">
            <v>1989677.13</v>
          </cell>
          <cell r="J56">
            <v>2018277.97</v>
          </cell>
          <cell r="K56">
            <v>2151775.06</v>
          </cell>
          <cell r="L56">
            <v>2316837.5145203448</v>
          </cell>
          <cell r="M56">
            <v>2231180.5589577518</v>
          </cell>
          <cell r="N56">
            <v>2282563.4243051526</v>
          </cell>
          <cell r="O56">
            <v>24592696.017783247</v>
          </cell>
        </row>
        <row r="59">
          <cell r="C59">
            <v>0</v>
          </cell>
          <cell r="D59">
            <v>10</v>
          </cell>
          <cell r="E59">
            <v>0</v>
          </cell>
          <cell r="F59">
            <v>54</v>
          </cell>
          <cell r="G59">
            <v>20</v>
          </cell>
          <cell r="H59">
            <v>0</v>
          </cell>
          <cell r="I59">
            <v>32</v>
          </cell>
          <cell r="J59">
            <v>12</v>
          </cell>
          <cell r="K59">
            <v>0</v>
          </cell>
          <cell r="L59">
            <v>0</v>
          </cell>
          <cell r="M59">
            <v>0</v>
          </cell>
          <cell r="N59">
            <v>0</v>
          </cell>
        </row>
        <row r="60">
          <cell r="C60">
            <v>1495</v>
          </cell>
          <cell r="D60">
            <v>1495</v>
          </cell>
          <cell r="E60">
            <v>1495</v>
          </cell>
          <cell r="F60">
            <v>1495</v>
          </cell>
          <cell r="G60">
            <v>1495</v>
          </cell>
          <cell r="H60">
            <v>1495</v>
          </cell>
          <cell r="I60">
            <v>1495</v>
          </cell>
          <cell r="J60">
            <v>1495</v>
          </cell>
          <cell r="K60">
            <v>1495</v>
          </cell>
          <cell r="L60">
            <v>1495</v>
          </cell>
          <cell r="M60">
            <v>1495</v>
          </cell>
          <cell r="N60">
            <v>1495</v>
          </cell>
        </row>
        <row r="61">
          <cell r="C61">
            <v>0</v>
          </cell>
          <cell r="D61">
            <v>14950</v>
          </cell>
          <cell r="E61">
            <v>0</v>
          </cell>
          <cell r="F61">
            <v>80730</v>
          </cell>
          <cell r="G61">
            <v>29900</v>
          </cell>
          <cell r="H61">
            <v>0</v>
          </cell>
          <cell r="I61">
            <v>47840</v>
          </cell>
          <cell r="J61">
            <v>17940</v>
          </cell>
          <cell r="K61">
            <v>0</v>
          </cell>
          <cell r="L61">
            <v>0</v>
          </cell>
          <cell r="M61">
            <v>0</v>
          </cell>
          <cell r="N61">
            <v>0</v>
          </cell>
          <cell r="O61">
            <v>191360</v>
          </cell>
        </row>
        <row r="64">
          <cell r="C64">
            <v>0</v>
          </cell>
          <cell r="D64">
            <v>10</v>
          </cell>
          <cell r="E64">
            <v>0</v>
          </cell>
          <cell r="F64">
            <v>54</v>
          </cell>
          <cell r="G64">
            <v>20</v>
          </cell>
          <cell r="H64">
            <v>0</v>
          </cell>
          <cell r="I64">
            <v>32</v>
          </cell>
          <cell r="J64">
            <v>12</v>
          </cell>
          <cell r="K64">
            <v>0</v>
          </cell>
          <cell r="L64">
            <v>0</v>
          </cell>
          <cell r="M64">
            <v>0</v>
          </cell>
          <cell r="N64">
            <v>0</v>
          </cell>
          <cell r="O64">
            <v>128</v>
          </cell>
        </row>
        <row r="65">
          <cell r="C65">
            <v>105</v>
          </cell>
          <cell r="D65">
            <v>35</v>
          </cell>
          <cell r="E65">
            <v>0</v>
          </cell>
          <cell r="F65">
            <v>0</v>
          </cell>
          <cell r="G65">
            <v>0</v>
          </cell>
          <cell r="H65">
            <v>0</v>
          </cell>
          <cell r="I65">
            <v>0</v>
          </cell>
          <cell r="J65">
            <v>0</v>
          </cell>
          <cell r="K65">
            <v>0</v>
          </cell>
          <cell r="L65">
            <v>0</v>
          </cell>
          <cell r="M65">
            <v>0</v>
          </cell>
          <cell r="N65">
            <v>0</v>
          </cell>
          <cell r="O65">
            <v>140</v>
          </cell>
        </row>
        <row r="66">
          <cell r="C66">
            <v>0</v>
          </cell>
          <cell r="D66">
            <v>0</v>
          </cell>
          <cell r="E66">
            <v>110</v>
          </cell>
          <cell r="F66">
            <v>163</v>
          </cell>
          <cell r="G66">
            <v>0</v>
          </cell>
          <cell r="H66">
            <v>0</v>
          </cell>
          <cell r="I66">
            <v>0</v>
          </cell>
          <cell r="J66">
            <v>0</v>
          </cell>
          <cell r="K66">
            <v>0</v>
          </cell>
          <cell r="L66">
            <v>0</v>
          </cell>
          <cell r="M66">
            <v>0</v>
          </cell>
          <cell r="N66">
            <v>0</v>
          </cell>
          <cell r="O66">
            <v>273</v>
          </cell>
        </row>
        <row r="69">
          <cell r="C69">
            <v>9900</v>
          </cell>
          <cell r="D69">
            <v>9900</v>
          </cell>
          <cell r="E69">
            <v>9900</v>
          </cell>
          <cell r="F69">
            <v>9900</v>
          </cell>
          <cell r="G69">
            <v>9900</v>
          </cell>
          <cell r="H69">
            <v>9900</v>
          </cell>
          <cell r="I69">
            <v>9900</v>
          </cell>
          <cell r="J69">
            <v>9900</v>
          </cell>
          <cell r="K69">
            <v>9900</v>
          </cell>
          <cell r="L69">
            <v>9900</v>
          </cell>
          <cell r="M69">
            <v>9900</v>
          </cell>
          <cell r="N69">
            <v>9900</v>
          </cell>
        </row>
        <row r="70">
          <cell r="C70">
            <v>8262</v>
          </cell>
          <cell r="D70">
            <v>8262</v>
          </cell>
          <cell r="E70">
            <v>8262</v>
          </cell>
          <cell r="F70">
            <v>7850</v>
          </cell>
          <cell r="G70">
            <v>8262</v>
          </cell>
          <cell r="H70">
            <v>8262</v>
          </cell>
          <cell r="I70">
            <v>8262</v>
          </cell>
          <cell r="J70">
            <v>8262</v>
          </cell>
          <cell r="K70">
            <v>8262</v>
          </cell>
          <cell r="L70">
            <v>8262</v>
          </cell>
          <cell r="M70">
            <v>8262</v>
          </cell>
          <cell r="N70">
            <v>8262</v>
          </cell>
        </row>
        <row r="73">
          <cell r="C73">
            <v>871583.35</v>
          </cell>
          <cell r="D73">
            <v>453915.32</v>
          </cell>
          <cell r="E73">
            <v>759.29</v>
          </cell>
          <cell r="F73">
            <v>741439.42</v>
          </cell>
          <cell r="G73">
            <v>109619.65</v>
          </cell>
          <cell r="H73">
            <v>13859</v>
          </cell>
          <cell r="I73">
            <v>155382</v>
          </cell>
          <cell r="J73">
            <v>178524</v>
          </cell>
          <cell r="K73">
            <v>108437</v>
          </cell>
          <cell r="L73">
            <v>0</v>
          </cell>
          <cell r="M73">
            <v>0</v>
          </cell>
          <cell r="N73">
            <v>0</v>
          </cell>
          <cell r="O73">
            <v>2633519.0299999998</v>
          </cell>
        </row>
        <row r="74">
          <cell r="C74" t="b">
            <v>1</v>
          </cell>
          <cell r="D74" t="b">
            <v>1</v>
          </cell>
          <cell r="E74" t="b">
            <v>1</v>
          </cell>
          <cell r="F74" t="b">
            <v>1</v>
          </cell>
          <cell r="G74" t="b">
            <v>1</v>
          </cell>
          <cell r="H74" t="b">
            <v>1</v>
          </cell>
          <cell r="I74" t="b">
            <v>1</v>
          </cell>
          <cell r="J74" t="b">
            <v>1</v>
          </cell>
          <cell r="K74" t="b">
            <v>1</v>
          </cell>
          <cell r="L74" t="b">
            <v>1</v>
          </cell>
          <cell r="M74" t="b">
            <v>1</v>
          </cell>
          <cell r="N74" t="b">
            <v>1</v>
          </cell>
        </row>
        <row r="77">
          <cell r="C77">
            <v>35</v>
          </cell>
          <cell r="D77">
            <v>30</v>
          </cell>
          <cell r="E77">
            <v>37</v>
          </cell>
          <cell r="F77">
            <v>36</v>
          </cell>
          <cell r="G77">
            <v>12</v>
          </cell>
          <cell r="H77">
            <v>17</v>
          </cell>
          <cell r="I77">
            <v>5</v>
          </cell>
          <cell r="J77">
            <v>5</v>
          </cell>
          <cell r="K77">
            <v>50</v>
          </cell>
          <cell r="L77">
            <v>10</v>
          </cell>
          <cell r="M77">
            <v>10</v>
          </cell>
          <cell r="N77">
            <v>10</v>
          </cell>
        </row>
        <row r="78">
          <cell r="C78">
            <v>205</v>
          </cell>
          <cell r="D78">
            <v>271</v>
          </cell>
          <cell r="E78">
            <v>375</v>
          </cell>
          <cell r="F78">
            <v>597</v>
          </cell>
          <cell r="G78">
            <v>320</v>
          </cell>
          <cell r="H78">
            <v>219</v>
          </cell>
          <cell r="I78">
            <v>75</v>
          </cell>
          <cell r="J78">
            <v>60</v>
          </cell>
          <cell r="K78">
            <v>149</v>
          </cell>
          <cell r="L78">
            <v>100</v>
          </cell>
          <cell r="M78">
            <v>100</v>
          </cell>
          <cell r="N78">
            <v>100</v>
          </cell>
        </row>
        <row r="80">
          <cell r="C80">
            <v>3595</v>
          </cell>
          <cell r="D80">
            <v>3595</v>
          </cell>
          <cell r="E80">
            <v>3595</v>
          </cell>
          <cell r="F80">
            <v>3595</v>
          </cell>
          <cell r="G80">
            <v>3595</v>
          </cell>
          <cell r="H80">
            <v>3595</v>
          </cell>
          <cell r="I80">
            <v>3595</v>
          </cell>
          <cell r="J80">
            <v>3595</v>
          </cell>
          <cell r="K80">
            <v>3595</v>
          </cell>
          <cell r="L80">
            <v>3595</v>
          </cell>
          <cell r="M80">
            <v>3595</v>
          </cell>
          <cell r="N80">
            <v>3595</v>
          </cell>
        </row>
        <row r="81">
          <cell r="C81">
            <v>1755</v>
          </cell>
          <cell r="D81">
            <v>1755</v>
          </cell>
          <cell r="E81">
            <v>1755</v>
          </cell>
          <cell r="F81">
            <v>1755</v>
          </cell>
          <cell r="G81">
            <v>1755</v>
          </cell>
          <cell r="H81">
            <v>1755</v>
          </cell>
          <cell r="I81">
            <v>1755</v>
          </cell>
          <cell r="J81">
            <v>1755</v>
          </cell>
          <cell r="K81">
            <v>1755</v>
          </cell>
          <cell r="L81">
            <v>1755</v>
          </cell>
          <cell r="M81">
            <v>1755</v>
          </cell>
          <cell r="N81">
            <v>1755</v>
          </cell>
        </row>
        <row r="83">
          <cell r="C83">
            <v>444695.39</v>
          </cell>
          <cell r="D83">
            <v>800818.58</v>
          </cell>
          <cell r="E83">
            <v>655949.76</v>
          </cell>
          <cell r="F83">
            <v>618865.43999999994</v>
          </cell>
          <cell r="G83">
            <v>391572.17</v>
          </cell>
          <cell r="H83">
            <v>519250.59</v>
          </cell>
          <cell r="I83">
            <v>226856.46</v>
          </cell>
          <cell r="J83">
            <v>177808.55</v>
          </cell>
          <cell r="K83">
            <v>386874.81</v>
          </cell>
          <cell r="L83">
            <v>199200</v>
          </cell>
          <cell r="M83">
            <v>199200</v>
          </cell>
          <cell r="N83">
            <v>199200</v>
          </cell>
          <cell r="O83">
            <v>4820291.7499999991</v>
          </cell>
        </row>
        <row r="84">
          <cell r="C84" t="b">
            <v>1</v>
          </cell>
          <cell r="D84" t="b">
            <v>1</v>
          </cell>
          <cell r="E84" t="b">
            <v>1</v>
          </cell>
          <cell r="F84" t="b">
            <v>1</v>
          </cell>
          <cell r="G84" t="b">
            <v>1</v>
          </cell>
          <cell r="H84" t="b">
            <v>1</v>
          </cell>
          <cell r="I84" t="b">
            <v>1</v>
          </cell>
          <cell r="J84" t="b">
            <v>1</v>
          </cell>
          <cell r="K84" t="b">
            <v>1</v>
          </cell>
          <cell r="L84" t="b">
            <v>1</v>
          </cell>
          <cell r="M84" t="b">
            <v>1</v>
          </cell>
          <cell r="N84" t="b">
            <v>1</v>
          </cell>
        </row>
        <row r="87">
          <cell r="C87" t="str">
            <v>2009 Forecast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amp;Reconciliation"/>
      <sheetName val="Pricing Drivers"/>
      <sheetName val="KSA Summary"/>
      <sheetName val="Liquidity A"/>
      <sheetName val="Liquidity A (2)"/>
      <sheetName val="Production"/>
      <sheetName val="CBC"/>
      <sheetName val="CBN"/>
      <sheetName val="C1"/>
      <sheetName val="KSA TEMPLATE $"/>
      <sheetName val="P&amp;L"/>
      <sheetName val="Liquidity B"/>
      <sheetName val="BS"/>
      <sheetName val="KSA TEMPLATE $000s"/>
      <sheetName val="SITE INPUTS BREAK"/>
      <sheetName val="KI Corporate"/>
      <sheetName val="Robinson"/>
      <sheetName val="Carlota"/>
      <sheetName val="Franke"/>
      <sheetName val="Morrison"/>
      <sheetName val="McCreedy"/>
      <sheetName val="Podolsky"/>
      <sheetName val="Victoria"/>
      <sheetName val="DMC"/>
      <sheetName val="SierraGorda"/>
      <sheetName val="Cash By Operation"/>
      <sheetName val="JDE Cash"/>
      <sheetName val="Sum"/>
      <sheetName val="Sum (2)"/>
      <sheetName val="Debt Covenants"/>
      <sheetName val="ES"/>
      <sheetName val="HFM"/>
      <sheetName val="Aug"/>
      <sheetName val="Aug Delta"/>
      <sheetName val="Official Budget Static"/>
      <sheetName val="Official Budget Delta"/>
      <sheetName val="WC"/>
      <sheetName val="EXCO Dashboard"/>
      <sheetName val="Flat_Price_EBITDA"/>
      <sheetName val="Old EXCO DASHBOARD"/>
      <sheetName val="Operating Asset Capital"/>
      <sheetName val="SG Oxides"/>
      <sheetName val="Victoria SNC Model"/>
      <sheetName val="KI Corporate Hyperion"/>
      <sheetName val="Change Log"/>
      <sheetName val="Mapping"/>
      <sheetName val="NewUploadFile"/>
      <sheetName val="Forecast-Fo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76">
          <cell r="BC76">
            <v>201.18165888640939</v>
          </cell>
        </row>
        <row r="210">
          <cell r="B210">
            <v>9</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udget Summary"/>
      <sheetName val="Programme Development"/>
      <sheetName val="Campaign Management"/>
      <sheetName val="Core Activities"/>
      <sheetName val="Project Activities"/>
      <sheetName val="Time Summary"/>
      <sheetName val="LOOKUP"/>
    </sheetNames>
    <sheetDataSet>
      <sheetData sheetId="0">
        <row r="8">
          <cell r="B8" t="str">
            <v>yes</v>
          </cell>
        </row>
      </sheetData>
      <sheetData sheetId="1" refreshError="1"/>
      <sheetData sheetId="2">
        <row r="1">
          <cell r="B1" t="str">
            <v>Programme Development</v>
          </cell>
        </row>
      </sheetData>
      <sheetData sheetId="3">
        <row r="1">
          <cell r="B1" t="str">
            <v>Campaign Management</v>
          </cell>
        </row>
      </sheetData>
      <sheetData sheetId="4">
        <row r="1">
          <cell r="B1" t="str">
            <v>Core Activities</v>
          </cell>
        </row>
      </sheetData>
      <sheetData sheetId="5">
        <row r="1">
          <cell r="B1" t="str">
            <v>Project Activities</v>
          </cell>
        </row>
      </sheetData>
      <sheetData sheetId="6" refreshError="1"/>
      <sheetData sheetId="7">
        <row r="5">
          <cell r="B5" t="str">
            <v>MD/C</v>
          </cell>
          <cell r="F5" t="str">
            <v>yes</v>
          </cell>
          <cell r="H5" t="str">
            <v>one-off fee</v>
          </cell>
        </row>
        <row r="6">
          <cell r="B6" t="str">
            <v>BD</v>
          </cell>
          <cell r="F6" t="str">
            <v>no</v>
          </cell>
          <cell r="H6">
            <v>1</v>
          </cell>
        </row>
        <row r="7">
          <cell r="B7" t="str">
            <v>DD</v>
          </cell>
          <cell r="H7">
            <v>2</v>
          </cell>
        </row>
        <row r="8">
          <cell r="B8" t="str">
            <v>ASD</v>
          </cell>
          <cell r="H8">
            <v>3</v>
          </cell>
        </row>
        <row r="9">
          <cell r="B9" t="str">
            <v>SAD</v>
          </cell>
          <cell r="H9">
            <v>4</v>
          </cell>
        </row>
        <row r="10">
          <cell r="B10" t="str">
            <v>AD</v>
          </cell>
          <cell r="H10">
            <v>5</v>
          </cell>
        </row>
        <row r="11">
          <cell r="B11" t="str">
            <v>SAM</v>
          </cell>
          <cell r="H11">
            <v>6</v>
          </cell>
        </row>
        <row r="12">
          <cell r="B12" t="str">
            <v>AM</v>
          </cell>
          <cell r="H12">
            <v>7</v>
          </cell>
        </row>
        <row r="13">
          <cell r="B13" t="str">
            <v>SAE</v>
          </cell>
          <cell r="H13">
            <v>8</v>
          </cell>
        </row>
        <row r="14">
          <cell r="B14" t="str">
            <v>AE</v>
          </cell>
          <cell r="H14">
            <v>9</v>
          </cell>
        </row>
        <row r="15">
          <cell r="B15" t="str">
            <v>AA</v>
          </cell>
          <cell r="H15">
            <v>10</v>
          </cell>
        </row>
        <row r="16">
          <cell r="H16">
            <v>11</v>
          </cell>
        </row>
        <row r="17">
          <cell r="H17">
            <v>12</v>
          </cell>
        </row>
        <row r="18">
          <cell r="H18">
            <v>13</v>
          </cell>
        </row>
        <row r="19">
          <cell r="H19">
            <v>14</v>
          </cell>
        </row>
        <row r="20">
          <cell r="H20">
            <v>15</v>
          </cell>
        </row>
        <row r="21">
          <cell r="H21">
            <v>16</v>
          </cell>
        </row>
        <row r="22">
          <cell r="H22">
            <v>17</v>
          </cell>
        </row>
        <row r="23">
          <cell r="H23">
            <v>18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 val="monthly"/>
      <sheetName val="weekly"/>
      <sheetName val="tombola"/>
      <sheetName val="Board"/>
    </sheetNames>
    <sheetDataSet>
      <sheetData sheetId="0">
        <row r="49">
          <cell r="D49">
            <v>1</v>
          </cell>
          <cell r="E49">
            <v>2</v>
          </cell>
          <cell r="F49">
            <v>3</v>
          </cell>
          <cell r="G49">
            <v>4</v>
          </cell>
          <cell r="H49">
            <v>5</v>
          </cell>
          <cell r="I49">
            <v>6</v>
          </cell>
          <cell r="J49">
            <v>7</v>
          </cell>
          <cell r="K49">
            <v>8</v>
          </cell>
          <cell r="L49">
            <v>9</v>
          </cell>
          <cell r="M49">
            <v>10</v>
          </cell>
          <cell r="N49">
            <v>11</v>
          </cell>
          <cell r="O49">
            <v>12</v>
          </cell>
          <cell r="P49">
            <v>13</v>
          </cell>
          <cell r="Q49">
            <v>14</v>
          </cell>
          <cell r="R49">
            <v>15</v>
          </cell>
          <cell r="S49">
            <v>16</v>
          </cell>
          <cell r="T49">
            <v>17</v>
          </cell>
          <cell r="U49">
            <v>18</v>
          </cell>
          <cell r="V49">
            <v>19</v>
          </cell>
          <cell r="W49">
            <v>20</v>
          </cell>
          <cell r="X49">
            <v>21</v>
          </cell>
          <cell r="Y49">
            <v>22</v>
          </cell>
          <cell r="Z49">
            <v>23</v>
          </cell>
          <cell r="AA49">
            <v>24</v>
          </cell>
          <cell r="AB49">
            <v>25</v>
          </cell>
          <cell r="AC49">
            <v>26</v>
          </cell>
          <cell r="AD49">
            <v>27</v>
          </cell>
          <cell r="AE49">
            <v>28</v>
          </cell>
          <cell r="AF49">
            <v>29</v>
          </cell>
          <cell r="AG49">
            <v>30</v>
          </cell>
          <cell r="AH49">
            <v>31</v>
          </cell>
          <cell r="AI49">
            <v>32</v>
          </cell>
          <cell r="AJ49">
            <v>33</v>
          </cell>
          <cell r="AK49">
            <v>34</v>
          </cell>
          <cell r="AL49">
            <v>35</v>
          </cell>
          <cell r="AM49">
            <v>36</v>
          </cell>
          <cell r="AN49">
            <v>37</v>
          </cell>
          <cell r="AO49">
            <v>38</v>
          </cell>
          <cell r="AP49">
            <v>39</v>
          </cell>
          <cell r="AQ49">
            <v>40</v>
          </cell>
          <cell r="AR49">
            <v>41</v>
          </cell>
          <cell r="AS49">
            <v>42</v>
          </cell>
          <cell r="AT49">
            <v>43</v>
          </cell>
          <cell r="AU49">
            <v>44</v>
          </cell>
          <cell r="AV49">
            <v>45</v>
          </cell>
          <cell r="AW49">
            <v>46</v>
          </cell>
          <cell r="AX49">
            <v>47</v>
          </cell>
          <cell r="AY49">
            <v>48</v>
          </cell>
          <cell r="AZ49">
            <v>49</v>
          </cell>
          <cell r="BA49">
            <v>50</v>
          </cell>
          <cell r="BB49">
            <v>51</v>
          </cell>
          <cell r="BC49">
            <v>52</v>
          </cell>
        </row>
        <row r="51">
          <cell r="B51" t="str">
            <v>Avg daily P2P</v>
          </cell>
        </row>
        <row r="52">
          <cell r="B52" t="str">
            <v>Prior yr</v>
          </cell>
          <cell r="D52">
            <v>566.14285714285722</v>
          </cell>
          <cell r="E52">
            <v>481.85714285714289</v>
          </cell>
          <cell r="F52">
            <v>442.14285714285717</v>
          </cell>
          <cell r="G52">
            <v>471.42857142857139</v>
          </cell>
          <cell r="H52">
            <v>320.28571428571428</v>
          </cell>
          <cell r="I52">
            <v>308.28571428571433</v>
          </cell>
          <cell r="J52">
            <v>322.14285714285711</v>
          </cell>
          <cell r="K52">
            <v>265.42857142857144</v>
          </cell>
          <cell r="L52">
            <v>288.71428571428567</v>
          </cell>
          <cell r="M52">
            <v>203.85714285714286</v>
          </cell>
          <cell r="N52">
            <v>158.28571428571428</v>
          </cell>
          <cell r="O52">
            <v>167.28571428571428</v>
          </cell>
          <cell r="P52">
            <v>213.71428571428572</v>
          </cell>
          <cell r="Q52">
            <v>259</v>
          </cell>
          <cell r="R52">
            <v>344.57142857142856</v>
          </cell>
          <cell r="S52">
            <v>300.85714285714289</v>
          </cell>
          <cell r="T52">
            <v>329.71428571428572</v>
          </cell>
          <cell r="U52">
            <v>299</v>
          </cell>
          <cell r="V52">
            <v>296.57142857142861</v>
          </cell>
          <cell r="W52">
            <v>212</v>
          </cell>
          <cell r="X52">
            <v>215.57142857142858</v>
          </cell>
          <cell r="Y52">
            <v>266.85714285714289</v>
          </cell>
          <cell r="Z52">
            <v>255.85714285714286</v>
          </cell>
          <cell r="AA52">
            <v>217.28571428571428</v>
          </cell>
          <cell r="AB52">
            <v>253.14285714285714</v>
          </cell>
          <cell r="AC52">
            <v>318.42857142857144</v>
          </cell>
          <cell r="AD52">
            <v>293</v>
          </cell>
          <cell r="AE52">
            <v>255.85714285714286</v>
          </cell>
          <cell r="AF52">
            <v>304.14285714285717</v>
          </cell>
          <cell r="AG52">
            <v>271.71428571428572</v>
          </cell>
          <cell r="AH52">
            <v>318.28571428571428</v>
          </cell>
          <cell r="AI52">
            <v>326.14285714285711</v>
          </cell>
          <cell r="AJ52">
            <v>284.57142857142856</v>
          </cell>
          <cell r="AK52">
            <v>317.57142857142856</v>
          </cell>
          <cell r="AL52">
            <v>375.28571428571428</v>
          </cell>
          <cell r="AM52">
            <v>348.71428571428572</v>
          </cell>
          <cell r="AN52">
            <v>321.57142857142856</v>
          </cell>
          <cell r="AO52">
            <v>340.42857142857144</v>
          </cell>
          <cell r="AP52">
            <v>420.85714285714283</v>
          </cell>
          <cell r="AQ52">
            <v>1242.1428571428571</v>
          </cell>
          <cell r="AR52">
            <v>1898.7142857142858</v>
          </cell>
          <cell r="AS52">
            <v>213.71428571428572</v>
          </cell>
          <cell r="AT52">
            <v>199.57142857142858</v>
          </cell>
          <cell r="AU52">
            <v>192.85714285714283</v>
          </cell>
          <cell r="AV52">
            <v>177.57142857142856</v>
          </cell>
          <cell r="AW52">
            <v>192.85714285714286</v>
          </cell>
          <cell r="AX52">
            <v>197.71428571428569</v>
          </cell>
          <cell r="AY52">
            <v>258.42857142857144</v>
          </cell>
          <cell r="AZ52">
            <v>175.85714285714286</v>
          </cell>
          <cell r="BA52">
            <v>169</v>
          </cell>
          <cell r="BB52">
            <v>164.28571428571428</v>
          </cell>
          <cell r="BC52">
            <v>154.42857142857144</v>
          </cell>
        </row>
        <row r="53">
          <cell r="B53" t="str">
            <v>Actual</v>
          </cell>
          <cell r="D53">
            <v>137.71428571428572</v>
          </cell>
          <cell r="E53">
            <v>138</v>
          </cell>
          <cell r="F53">
            <v>137.42857142857142</v>
          </cell>
          <cell r="G53">
            <v>111.14285714285715</v>
          </cell>
          <cell r="H53">
            <v>105.28571428571429</v>
          </cell>
          <cell r="I53">
            <v>109.71428571428571</v>
          </cell>
          <cell r="J53">
            <v>106.42857142857143</v>
          </cell>
          <cell r="K53">
            <v>105.42857142857143</v>
          </cell>
          <cell r="L53">
            <v>2829.5714285714284</v>
          </cell>
          <cell r="M53">
            <v>1220</v>
          </cell>
          <cell r="N53">
            <v>754.14285714285711</v>
          </cell>
          <cell r="O53">
            <v>570.28571428571433</v>
          </cell>
          <cell r="P53">
            <v>539.14285714285711</v>
          </cell>
          <cell r="Q53">
            <v>588.42857142857144</v>
          </cell>
          <cell r="R53">
            <v>415.42857142857144</v>
          </cell>
          <cell r="S53">
            <v>362.71428571428572</v>
          </cell>
          <cell r="T53">
            <v>341.42857142857144</v>
          </cell>
        </row>
        <row r="54">
          <cell r="B54" t="str">
            <v>Target</v>
          </cell>
          <cell r="D54">
            <v>137.71428571428572</v>
          </cell>
          <cell r="E54">
            <v>138</v>
          </cell>
          <cell r="F54">
            <v>137.42857142857142</v>
          </cell>
          <cell r="G54">
            <v>111.14285714285715</v>
          </cell>
          <cell r="H54">
            <v>105.28571428571429</v>
          </cell>
          <cell r="I54">
            <v>109.71428571428571</v>
          </cell>
          <cell r="J54">
            <v>106.42857142857143</v>
          </cell>
          <cell r="K54">
            <v>105.42857142857143</v>
          </cell>
          <cell r="L54">
            <v>2829.5714285714284</v>
          </cell>
          <cell r="M54">
            <v>1220</v>
          </cell>
          <cell r="N54">
            <v>754.14285714285711</v>
          </cell>
          <cell r="O54">
            <v>570.28571428571433</v>
          </cell>
          <cell r="P54">
            <v>539.14285714285711</v>
          </cell>
          <cell r="Q54">
            <v>588.42857142857144</v>
          </cell>
          <cell r="R54">
            <v>550</v>
          </cell>
          <cell r="S54">
            <v>550</v>
          </cell>
          <cell r="T54">
            <v>550</v>
          </cell>
          <cell r="U54">
            <v>550</v>
          </cell>
          <cell r="V54">
            <v>550</v>
          </cell>
          <cell r="W54">
            <v>550</v>
          </cell>
          <cell r="X54">
            <v>550</v>
          </cell>
          <cell r="Y54">
            <v>550</v>
          </cell>
          <cell r="Z54">
            <v>550</v>
          </cell>
          <cell r="AA54">
            <v>550</v>
          </cell>
          <cell r="AB54">
            <v>550</v>
          </cell>
          <cell r="AC54">
            <v>550</v>
          </cell>
          <cell r="AD54">
            <v>550</v>
          </cell>
          <cell r="AE54">
            <v>550</v>
          </cell>
          <cell r="AF54">
            <v>550</v>
          </cell>
          <cell r="AG54">
            <v>550</v>
          </cell>
          <cell r="AH54">
            <v>550</v>
          </cell>
          <cell r="AI54">
            <v>550</v>
          </cell>
          <cell r="AJ54">
            <v>550</v>
          </cell>
          <cell r="AK54">
            <v>550</v>
          </cell>
          <cell r="AL54">
            <v>550</v>
          </cell>
          <cell r="AM54">
            <v>550</v>
          </cell>
          <cell r="AN54">
            <v>550</v>
          </cell>
          <cell r="AO54">
            <v>550</v>
          </cell>
          <cell r="AP54">
            <v>550</v>
          </cell>
          <cell r="AQ54">
            <v>550</v>
          </cell>
          <cell r="AR54">
            <v>550</v>
          </cell>
          <cell r="AS54">
            <v>550</v>
          </cell>
          <cell r="AT54">
            <v>550</v>
          </cell>
          <cell r="AU54">
            <v>550</v>
          </cell>
          <cell r="AV54">
            <v>550</v>
          </cell>
          <cell r="AW54">
            <v>550</v>
          </cell>
          <cell r="AX54">
            <v>550</v>
          </cell>
          <cell r="AY54">
            <v>550</v>
          </cell>
          <cell r="AZ54">
            <v>550</v>
          </cell>
          <cell r="BA54">
            <v>550</v>
          </cell>
          <cell r="BB54">
            <v>550</v>
          </cell>
          <cell r="BC54">
            <v>550</v>
          </cell>
        </row>
        <row r="56">
          <cell r="B56" t="str">
            <v>Avg daily uniques</v>
          </cell>
        </row>
        <row r="57">
          <cell r="B57" t="str">
            <v>Prior yr</v>
          </cell>
          <cell r="D57">
            <v>8975.7142857142844</v>
          </cell>
          <cell r="E57">
            <v>8665</v>
          </cell>
          <cell r="F57">
            <v>9053</v>
          </cell>
          <cell r="G57">
            <v>10308.857142857143</v>
          </cell>
          <cell r="H57">
            <v>9711.8571428571431</v>
          </cell>
          <cell r="I57">
            <v>9598</v>
          </cell>
          <cell r="J57">
            <v>9802.7142857142862</v>
          </cell>
          <cell r="K57">
            <v>9633.2857142857138</v>
          </cell>
          <cell r="L57">
            <v>9793</v>
          </cell>
          <cell r="M57">
            <v>9553.1428571428569</v>
          </cell>
          <cell r="N57">
            <v>9240.4285714285706</v>
          </cell>
          <cell r="O57">
            <v>9216.1428571428569</v>
          </cell>
          <cell r="P57">
            <v>9551.4285714285706</v>
          </cell>
          <cell r="Q57">
            <v>9777.4285714285706</v>
          </cell>
          <cell r="R57">
            <v>10102.571428571428</v>
          </cell>
          <cell r="S57">
            <v>9995.1428571428569</v>
          </cell>
          <cell r="T57">
            <v>10410</v>
          </cell>
          <cell r="U57">
            <v>11006.571428571429</v>
          </cell>
          <cell r="V57">
            <v>11010.428571428571</v>
          </cell>
          <cell r="W57">
            <v>10375.571428571428</v>
          </cell>
          <cell r="X57">
            <v>10392.857142857143</v>
          </cell>
          <cell r="Y57">
            <v>11042.571428571428</v>
          </cell>
          <cell r="Z57">
            <v>12422.142857142857</v>
          </cell>
          <cell r="AA57">
            <v>12584.714285714284</v>
          </cell>
          <cell r="AB57">
            <v>13703.571428571428</v>
          </cell>
          <cell r="AC57">
            <v>12320.428571428572</v>
          </cell>
          <cell r="AD57">
            <v>12185.428571428572</v>
          </cell>
          <cell r="AE57">
            <v>11964.714285714286</v>
          </cell>
          <cell r="AF57">
            <v>12203.714285714286</v>
          </cell>
          <cell r="AG57">
            <v>12275.142857142857</v>
          </cell>
          <cell r="AH57">
            <v>12835.142857142857</v>
          </cell>
          <cell r="AI57">
            <v>12564.714285714286</v>
          </cell>
          <cell r="AJ57">
            <v>12170.428571428572</v>
          </cell>
          <cell r="AK57">
            <v>12376.285714285714</v>
          </cell>
          <cell r="AL57">
            <v>13126.142857142857</v>
          </cell>
          <cell r="AM57">
            <v>13183.571428571429</v>
          </cell>
          <cell r="AN57">
            <v>12954.428571428572</v>
          </cell>
          <cell r="AO57">
            <v>13167.857142857143</v>
          </cell>
          <cell r="AP57">
            <v>13666</v>
          </cell>
          <cell r="AQ57">
            <v>16518.714285714286</v>
          </cell>
          <cell r="AR57">
            <v>18576.857142857145</v>
          </cell>
          <cell r="AS57">
            <v>13763.714285714286</v>
          </cell>
          <cell r="AT57">
            <v>13405.428571428571</v>
          </cell>
          <cell r="AU57">
            <v>13574.857142857143</v>
          </cell>
          <cell r="AV57">
            <v>12164.428571428571</v>
          </cell>
          <cell r="AW57">
            <v>12392.857142857143</v>
          </cell>
          <cell r="AX57">
            <v>12424.857142857143</v>
          </cell>
          <cell r="AY57">
            <v>12889.571428571429</v>
          </cell>
          <cell r="AZ57">
            <v>12551</v>
          </cell>
          <cell r="BA57">
            <v>12061.142857142857</v>
          </cell>
          <cell r="BB57">
            <v>12133.857142857143</v>
          </cell>
          <cell r="BC57">
            <v>12311.714285714286</v>
          </cell>
        </row>
        <row r="58">
          <cell r="B58" t="str">
            <v>Actual</v>
          </cell>
          <cell r="D58">
            <v>12331.428571428571</v>
          </cell>
          <cell r="E58">
            <v>12175.428571428571</v>
          </cell>
          <cell r="F58">
            <v>11966</v>
          </cell>
          <cell r="G58">
            <v>11716.571428571428</v>
          </cell>
          <cell r="H58">
            <v>12079.142857142857</v>
          </cell>
          <cell r="I58">
            <v>11747</v>
          </cell>
          <cell r="J58">
            <v>11341.285714285714</v>
          </cell>
          <cell r="K58">
            <v>11451.857142857143</v>
          </cell>
          <cell r="L58">
            <v>8288.5</v>
          </cell>
          <cell r="M58">
            <v>8051</v>
          </cell>
          <cell r="N58">
            <v>7119.2857142857147</v>
          </cell>
          <cell r="O58">
            <v>7021.2857142857147</v>
          </cell>
          <cell r="P58">
            <v>6746.1428571428569</v>
          </cell>
          <cell r="Q58">
            <v>7027.5714285714284</v>
          </cell>
          <cell r="R58">
            <v>6132.8571428571431</v>
          </cell>
          <cell r="S58">
            <v>5861</v>
          </cell>
          <cell r="T58">
            <v>5809.5714285714284</v>
          </cell>
        </row>
        <row r="59">
          <cell r="B59" t="str">
            <v>Target</v>
          </cell>
          <cell r="D59">
            <v>12331.428571428571</v>
          </cell>
          <cell r="E59">
            <v>12175.428571428571</v>
          </cell>
          <cell r="F59">
            <v>11966</v>
          </cell>
          <cell r="G59">
            <v>11716.571428571428</v>
          </cell>
          <cell r="H59">
            <v>12079.142857142857</v>
          </cell>
          <cell r="I59">
            <v>11747</v>
          </cell>
          <cell r="J59">
            <v>11341.285714285714</v>
          </cell>
          <cell r="K59">
            <v>11451.857142857143</v>
          </cell>
          <cell r="L59">
            <v>8288.5</v>
          </cell>
          <cell r="M59">
            <v>8051</v>
          </cell>
          <cell r="N59">
            <v>7119.2857142857147</v>
          </cell>
          <cell r="O59">
            <v>7021.2857142857147</v>
          </cell>
          <cell r="P59">
            <v>6746.1428571428569</v>
          </cell>
          <cell r="Q59">
            <v>7027.5714285714284</v>
          </cell>
          <cell r="R59">
            <v>6500</v>
          </cell>
          <cell r="S59">
            <v>6760</v>
          </cell>
          <cell r="T59">
            <v>7030.4000000000005</v>
          </cell>
          <cell r="U59">
            <v>6041.954285714286</v>
          </cell>
          <cell r="V59">
            <v>6162.7933714285718</v>
          </cell>
          <cell r="W59">
            <v>6316.8632057142859</v>
          </cell>
          <cell r="X59">
            <v>6380.0318377714284</v>
          </cell>
          <cell r="Y59">
            <v>6443.832156149143</v>
          </cell>
          <cell r="Z59">
            <v>6604.9279600528707</v>
          </cell>
          <cell r="AA59">
            <v>6737.0265192539282</v>
          </cell>
          <cell r="AB59">
            <v>6804.3967844464678</v>
          </cell>
          <cell r="AC59">
            <v>6872.4407522909323</v>
          </cell>
          <cell r="AD59">
            <v>7216.0627899054789</v>
          </cell>
          <cell r="AE59">
            <v>7576.865929400753</v>
          </cell>
          <cell r="AF59">
            <v>7955.7092258707908</v>
          </cell>
          <cell r="AG59">
            <v>8353.4946871643315</v>
          </cell>
          <cell r="AH59">
            <v>8562.3320543434384</v>
          </cell>
          <cell r="AI59">
            <v>8776.390355702024</v>
          </cell>
          <cell r="AJ59">
            <v>8995.8001145945746</v>
          </cell>
          <cell r="AK59">
            <v>9220.6951174594378</v>
          </cell>
          <cell r="AL59">
            <v>9451.2124953959228</v>
          </cell>
          <cell r="AM59">
            <v>9687.4928077808199</v>
          </cell>
          <cell r="AN59">
            <v>9929.6801279753399</v>
          </cell>
          <cell r="AO59">
            <v>10177.922131174722</v>
          </cell>
          <cell r="AP59">
            <v>10432.37018445409</v>
          </cell>
          <cell r="AQ59">
            <v>10693.179439065441</v>
          </cell>
          <cell r="AR59">
            <v>10960.508925042077</v>
          </cell>
          <cell r="AS59">
            <v>11234.521648168127</v>
          </cell>
          <cell r="AT59">
            <v>11515.384689372329</v>
          </cell>
          <cell r="AU59">
            <v>11745.692383159776</v>
          </cell>
          <cell r="AV59">
            <v>11921.877768907172</v>
          </cell>
          <cell r="AW59">
            <v>12100.705935440779</v>
          </cell>
          <cell r="AX59">
            <v>12282.216524472389</v>
          </cell>
          <cell r="AY59">
            <v>12405.038689717114</v>
          </cell>
          <cell r="AZ59">
            <v>12529.089076614286</v>
          </cell>
          <cell r="BA59">
            <v>12654.379967380428</v>
          </cell>
          <cell r="BB59">
            <v>12780.923767054232</v>
          </cell>
          <cell r="BC59">
            <v>12908.733004724774</v>
          </cell>
        </row>
        <row r="61">
          <cell r="B61" t="str">
            <v>Revenue</v>
          </cell>
        </row>
        <row r="62">
          <cell r="B62" t="str">
            <v>Prior yr</v>
          </cell>
          <cell r="D62">
            <v>159.75323582400017</v>
          </cell>
          <cell r="E62">
            <v>129.51208108800006</v>
          </cell>
          <cell r="F62">
            <v>179.55967161600009</v>
          </cell>
          <cell r="G62">
            <v>201.38558169599992</v>
          </cell>
          <cell r="H62">
            <v>178.999548624</v>
          </cell>
          <cell r="I62">
            <v>190.01516975999996</v>
          </cell>
          <cell r="J62">
            <v>195.01561684799978</v>
          </cell>
          <cell r="K62">
            <v>200.89802865600001</v>
          </cell>
          <cell r="L62">
            <v>165.49824657600004</v>
          </cell>
          <cell r="M62">
            <v>168.79762411200025</v>
          </cell>
          <cell r="N62">
            <v>171.83274638399999</v>
          </cell>
          <cell r="O62">
            <v>174.57219748800028</v>
          </cell>
          <cell r="P62">
            <v>176.37168182399995</v>
          </cell>
          <cell r="Q62">
            <v>199.60817385599987</v>
          </cell>
          <cell r="R62">
            <v>189.86987822400013</v>
          </cell>
          <cell r="S62">
            <v>178.53590289600018</v>
          </cell>
          <cell r="T62">
            <v>204.28081502399962</v>
          </cell>
          <cell r="U62">
            <v>176.4242419680003</v>
          </cell>
          <cell r="V62">
            <v>193.89425889600062</v>
          </cell>
          <cell r="W62">
            <v>200.01263256000024</v>
          </cell>
          <cell r="X62">
            <v>215.29667764799999</v>
          </cell>
          <cell r="Y62">
            <v>192.40746782400009</v>
          </cell>
          <cell r="Z62">
            <v>224.31206491199993</v>
          </cell>
          <cell r="AA62">
            <v>219.33924292799975</v>
          </cell>
          <cell r="AB62">
            <v>202.47200812800017</v>
          </cell>
          <cell r="AC62">
            <v>252.22918968000016</v>
          </cell>
          <cell r="AD62">
            <v>223.60082659199995</v>
          </cell>
          <cell r="AE62">
            <v>231.23945707200014</v>
          </cell>
          <cell r="AF62">
            <v>213.08872478399988</v>
          </cell>
          <cell r="AG62">
            <v>240.96726763200027</v>
          </cell>
          <cell r="AH62">
            <v>227.68907803200028</v>
          </cell>
          <cell r="AI62">
            <v>220.52899814399979</v>
          </cell>
          <cell r="AJ62">
            <v>217.19715451200034</v>
          </cell>
          <cell r="AK62">
            <v>222.60694060799966</v>
          </cell>
          <cell r="AL62">
            <v>240.44049244799976</v>
          </cell>
          <cell r="AM62">
            <v>239.60212473600001</v>
          </cell>
          <cell r="AN62">
            <v>225.14176151999976</v>
          </cell>
          <cell r="AO62">
            <v>256.8526403040002</v>
          </cell>
          <cell r="AP62">
            <v>245.90076638399967</v>
          </cell>
          <cell r="AQ62">
            <v>253.47809822399989</v>
          </cell>
          <cell r="AR62">
            <v>244.40207500799991</v>
          </cell>
          <cell r="AS62">
            <v>250.1548639199998</v>
          </cell>
          <cell r="AT62">
            <v>255.54989116800019</v>
          </cell>
          <cell r="AU62">
            <v>269.03371060799986</v>
          </cell>
          <cell r="AV62">
            <v>232.47990792000007</v>
          </cell>
          <cell r="AW62">
            <v>210.1540222079997</v>
          </cell>
          <cell r="AX62">
            <v>242.493887376</v>
          </cell>
          <cell r="AY62">
            <v>248.00773795200007</v>
          </cell>
          <cell r="AZ62">
            <v>235.06854134400038</v>
          </cell>
          <cell r="BA62">
            <v>212.49732628800047</v>
          </cell>
          <cell r="BB62">
            <v>230.93297510399998</v>
          </cell>
          <cell r="BC62">
            <v>239.32325663999978</v>
          </cell>
        </row>
        <row r="63">
          <cell r="B63" t="str">
            <v>Actual</v>
          </cell>
          <cell r="D63">
            <v>244.821</v>
          </cell>
          <cell r="E63">
            <v>244.821</v>
          </cell>
          <cell r="F63">
            <v>244.821</v>
          </cell>
          <cell r="G63">
            <v>244.821</v>
          </cell>
          <cell r="H63">
            <v>175.62225280000001</v>
          </cell>
          <cell r="I63">
            <v>175.62225280000001</v>
          </cell>
          <cell r="J63">
            <v>175.62225280000001</v>
          </cell>
          <cell r="K63">
            <v>175.62225280000001</v>
          </cell>
          <cell r="L63">
            <v>175.62225280000001</v>
          </cell>
          <cell r="M63">
            <v>99.847016000000011</v>
          </cell>
          <cell r="N63">
            <v>99.847016000000011</v>
          </cell>
          <cell r="O63">
            <v>99.847016000000011</v>
          </cell>
          <cell r="P63">
            <v>99.847016000000011</v>
          </cell>
          <cell r="Q63">
            <v>67.736799862326706</v>
          </cell>
          <cell r="R63">
            <v>67.736799862326706</v>
          </cell>
          <cell r="S63">
            <v>67.736799862326706</v>
          </cell>
          <cell r="T63">
            <v>67.736799862326706</v>
          </cell>
        </row>
        <row r="64">
          <cell r="B64" t="str">
            <v>Target</v>
          </cell>
          <cell r="D64">
            <v>244.821</v>
          </cell>
          <cell r="E64">
            <v>244.821</v>
          </cell>
          <cell r="F64">
            <v>244.821</v>
          </cell>
          <cell r="G64">
            <v>244.821</v>
          </cell>
          <cell r="H64">
            <v>175.62225280000001</v>
          </cell>
          <cell r="I64">
            <v>175.62225280000001</v>
          </cell>
          <cell r="J64">
            <v>175.62225280000001</v>
          </cell>
          <cell r="K64">
            <v>175.62225280000001</v>
          </cell>
          <cell r="L64">
            <v>175.62225280000001</v>
          </cell>
          <cell r="M64">
            <v>99.847016000000011</v>
          </cell>
          <cell r="N64">
            <v>99.847016000000011</v>
          </cell>
          <cell r="O64">
            <v>99.847016000000011</v>
          </cell>
          <cell r="P64">
            <v>99.847016000000011</v>
          </cell>
          <cell r="Q64">
            <v>67.736799862326706</v>
          </cell>
          <cell r="R64">
            <v>67.736799862326706</v>
          </cell>
          <cell r="S64">
            <v>67.736799862326706</v>
          </cell>
          <cell r="T64">
            <v>67.736799862326706</v>
          </cell>
          <cell r="U64">
            <v>96.848516580120858</v>
          </cell>
          <cell r="V64">
            <v>98.785486911723311</v>
          </cell>
          <cell r="W64">
            <v>110.98020558408069</v>
          </cell>
          <cell r="X64">
            <v>112.09000763992147</v>
          </cell>
          <cell r="Y64">
            <v>113.21090771632068</v>
          </cell>
          <cell r="Z64">
            <v>125.64916950254225</v>
          </cell>
          <cell r="AA64">
            <v>128.16215289259301</v>
          </cell>
          <cell r="AB64">
            <v>129.44377442151895</v>
          </cell>
          <cell r="AC64">
            <v>130.7382121657343</v>
          </cell>
          <cell r="AD64">
            <v>175.532848587844</v>
          </cell>
          <cell r="AE64">
            <v>184.30949101723621</v>
          </cell>
          <cell r="AF64">
            <v>193.52496556809788</v>
          </cell>
          <cell r="AG64">
            <v>203.20121384650298</v>
          </cell>
          <cell r="AH64">
            <v>228.43531734895609</v>
          </cell>
          <cell r="AI64">
            <v>234.1462002826799</v>
          </cell>
          <cell r="AJ64">
            <v>239.99985528974699</v>
          </cell>
          <cell r="AK64">
            <v>245.99985167199057</v>
          </cell>
          <cell r="AL64">
            <v>252.14984796379034</v>
          </cell>
          <cell r="AM64">
            <v>293.04485804921393</v>
          </cell>
          <cell r="AN64">
            <v>300.37097950044415</v>
          </cell>
          <cell r="AO64">
            <v>307.88025398795514</v>
          </cell>
          <cell r="AP64">
            <v>315.57726033765414</v>
          </cell>
          <cell r="AQ64">
            <v>366.15677416461483</v>
          </cell>
          <cell r="AR64">
            <v>375.31069351873009</v>
          </cell>
          <cell r="AS64">
            <v>384.69346085669821</v>
          </cell>
          <cell r="AT64">
            <v>394.31079737811564</v>
          </cell>
          <cell r="AU64">
            <v>431.89439049244316</v>
          </cell>
          <cell r="AV64">
            <v>438.37280634983023</v>
          </cell>
          <cell r="AW64">
            <v>444.94839844507754</v>
          </cell>
          <cell r="AX64">
            <v>451.62262442175353</v>
          </cell>
          <cell r="AY64">
            <v>456.13885066597106</v>
          </cell>
          <cell r="AZ64">
            <v>494.75418440684371</v>
          </cell>
          <cell r="BA64">
            <v>499.70172625091197</v>
          </cell>
          <cell r="BB64">
            <v>504.69874351342111</v>
          </cell>
          <cell r="BC64">
            <v>509.74573094855538</v>
          </cell>
        </row>
      </sheetData>
      <sheetData sheetId="1"/>
      <sheetData sheetId="2"/>
      <sheetData sheetId="3"/>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ibution Analysis3"/>
      <sheetName val="Sav"/>
      <sheetName val="Capitalization"/>
      <sheetName val="Contribution Analysis2"/>
      <sheetName val="Management Estimates"/>
      <sheetName val="Management Estimates- old"/>
      <sheetName val="New Estimates Field"/>
      <sheetName val="Combined Field"/>
      <sheetName val="Old Estimates Field"/>
      <sheetName val="Revenue Brekadown"/>
      <sheetName val="M&amp;A Considerations"/>
      <sheetName val="Shareholders + Comps Graphs"/>
      <sheetName val="Share Price"/>
      <sheetName val="Chart11"/>
      <sheetName val="VWAP-"/>
      <sheetName val="graph-vwap"/>
      <sheetName val="Chart12"/>
      <sheetName val="Chart13"/>
      <sheetName val="Financials"/>
      <sheetName val="Chart14"/>
      <sheetName val="Chart15"/>
      <sheetName val="Chart16"/>
      <sheetName val="Chart17"/>
      <sheetName val="Chart18"/>
      <sheetName val="Estimates"/>
      <sheetName val="Comps Rob"/>
      <sheetName val="Output I"/>
      <sheetName val="Comps - Output2"/>
      <sheetName val="Coverage"/>
      <sheetName val="Chart19"/>
      <sheetName val="Segmentation"/>
      <sheetName val="Comp Descriptions"/>
      <sheetName val="Football Field - Extended"/>
      <sheetName val="FootballFIeld 2"/>
      <sheetName val="Sheet5"/>
      <sheetName val="Tool Box"/>
      <sheetName val="Interplan Growth"/>
      <sheetName val="Chart20"/>
      <sheetName val="Comps Old"/>
      <sheetName val="Football Field Old"/>
      <sheetName val="Comps-old"/>
      <sheetName val="VWAP"/>
      <sheetName val="Contribution Analysis"/>
      <sheetName val="FootballFIeld 2 (2)"/>
      <sheetName val="SIB MATH"/>
      <sheetName val="Going Private"/>
      <sheetName val="Private Placement"/>
      <sheetName val="Issue Equity"/>
      <sheetName val="SIB"/>
      <sheetName val="Sample Data (3)"/>
      <sheetName val="Reconcialliation of Q2"/>
    </sheetNames>
    <sheetDataSet>
      <sheetData sheetId="0"/>
      <sheetData sheetId="1">
        <row r="83">
          <cell r="D83">
            <v>41090</v>
          </cell>
          <cell r="E83">
            <v>5.4660000000000002</v>
          </cell>
        </row>
        <row r="84">
          <cell r="D84">
            <v>41182</v>
          </cell>
          <cell r="E84">
            <v>4.9059999999999997</v>
          </cell>
        </row>
        <row r="85">
          <cell r="D85">
            <v>41274</v>
          </cell>
          <cell r="E85">
            <v>5.2409999999999997</v>
          </cell>
        </row>
        <row r="86">
          <cell r="A86">
            <v>0.04</v>
          </cell>
          <cell r="D86">
            <v>41364</v>
          </cell>
        </row>
        <row r="87">
          <cell r="A87">
            <v>0.05</v>
          </cell>
          <cell r="D87">
            <v>41455</v>
          </cell>
        </row>
        <row r="88">
          <cell r="A88">
            <v>0.06</v>
          </cell>
          <cell r="D88">
            <v>41547</v>
          </cell>
        </row>
        <row r="89">
          <cell r="A89">
            <v>7.0000000000000007E-2</v>
          </cell>
          <cell r="D89">
            <v>41639</v>
          </cell>
          <cell r="E89">
            <v>8.8339999999999996</v>
          </cell>
        </row>
        <row r="90">
          <cell r="A90">
            <v>0.05</v>
          </cell>
          <cell r="D90">
            <v>41729</v>
          </cell>
        </row>
        <row r="91">
          <cell r="A91">
            <v>0.05</v>
          </cell>
        </row>
        <row r="92">
          <cell r="A92">
            <v>0.05</v>
          </cell>
        </row>
        <row r="93">
          <cell r="A93">
            <v>7.0000000000000007E-2</v>
          </cell>
        </row>
      </sheetData>
      <sheetData sheetId="2">
        <row r="80">
          <cell r="D80">
            <v>41060</v>
          </cell>
          <cell r="E80">
            <v>9.157</v>
          </cell>
        </row>
        <row r="81">
          <cell r="D81">
            <v>41152</v>
          </cell>
          <cell r="E81">
            <v>8.3030000000000008</v>
          </cell>
        </row>
        <row r="82">
          <cell r="D82">
            <v>41243</v>
          </cell>
          <cell r="E82">
            <v>5.7130000000000001</v>
          </cell>
        </row>
        <row r="83">
          <cell r="A83">
            <v>-0.02</v>
          </cell>
          <cell r="D83">
            <v>41333</v>
          </cell>
        </row>
        <row r="84">
          <cell r="A84">
            <v>2.1569999999999999E-2</v>
          </cell>
          <cell r="D84">
            <v>41425</v>
          </cell>
        </row>
        <row r="85">
          <cell r="A85">
            <v>0.15934000000000001</v>
          </cell>
          <cell r="D85">
            <v>41517</v>
          </cell>
        </row>
        <row r="86">
          <cell r="A86">
            <v>0.14732000000000001</v>
          </cell>
          <cell r="D86">
            <v>41608</v>
          </cell>
          <cell r="E86">
            <v>9.4290000000000003</v>
          </cell>
        </row>
        <row r="87">
          <cell r="A87">
            <v>0.21127000000000001</v>
          </cell>
          <cell r="D87">
            <v>41698</v>
          </cell>
        </row>
        <row r="88">
          <cell r="A88">
            <v>9.3619999999999995E-2</v>
          </cell>
        </row>
        <row r="89">
          <cell r="A89">
            <v>2.50603</v>
          </cell>
        </row>
        <row r="90">
          <cell r="A90">
            <v>8.448E-2</v>
          </cell>
        </row>
      </sheetData>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botson-D2"/>
      <sheetName val="D&amp;P-D3"/>
      <sheetName val="MCAPM-D4"/>
      <sheetName val="WACC-D5"/>
      <sheetName val="Minority Discount-E1 "/>
      <sheetName val="DLOM - F1"/>
      <sheetName val="WPs"/>
      <sheetName val="Mergerstat"/>
      <sheetName val="Mergerstat-Amus &amp; Softw"/>
      <sheetName val="Mergerstat-Racing"/>
      <sheetName val="GPC"/>
      <sheetName val="Unlevering &amp; Relevering Beta"/>
      <sheetName val="Beta Calculation - 5 yrs"/>
      <sheetName val="Volatility Calculation"/>
      <sheetName val="_CIQHiddenCacheSheet"/>
      <sheetName val="Cover Page"/>
      <sheetName val="Executive Summary "/>
      <sheetName val="Equity Value Analysis Summary_1"/>
      <sheetName val="Equity Value Analysis Summary_2"/>
      <sheetName val="Equity Value Analysis Summary_3"/>
      <sheetName val="Equity Value Analysis Summary_4"/>
      <sheetName val="Market Multiples Summary"/>
      <sheetName val="Market Multiples Comps"/>
      <sheetName val="DCF Analysis"/>
      <sheetName val="Cap Table"/>
      <sheetName val="Executive Summary"/>
      <sheetName val="Market Multiples Comps (2)"/>
      <sheetName val="Financial Data"/>
      <sheetName val="NOT USED"/>
      <sheetName val="Value per Share -A1"/>
      <sheetName val="Summary of Values -A2"/>
      <sheetName val="Capital Structure - B1"/>
      <sheetName val="OPM - B2"/>
      <sheetName val="OPM - B3"/>
      <sheetName val="OPM - B4"/>
      <sheetName val="OPM - B5"/>
      <sheetName val="OPM - B6"/>
      <sheetName val="OPM - B7"/>
      <sheetName val="Allocating Equity Value -B8"/>
      <sheetName val="Hist IS-C1"/>
      <sheetName val="Hist BS-C2"/>
      <sheetName val="Ratios - C3"/>
      <sheetName val="DCF-D1"/>
      <sheetName val="M&amp;A Method-D1"/>
    </sheetNames>
    <sheetDataSet>
      <sheetData sheetId="0" refreshError="1"/>
      <sheetData sheetId="1" refreshError="1"/>
      <sheetData sheetId="2" refreshError="1"/>
      <sheetData sheetId="3">
        <row r="27">
          <cell r="K27">
            <v>0.22992640661540151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Dashboard"/>
      <sheetName val="Data"/>
      <sheetName val="Releases"/>
      <sheetName val="Contact Prog"/>
      <sheetName val="Op Articles"/>
      <sheetName val="Features"/>
      <sheetName val="Events"/>
      <sheetName val="Awards"/>
      <sheetName val="Speakers"/>
      <sheetName val="Reporting"/>
      <sheetName val="Blogs &amp; Comments"/>
      <sheetName val="Newsletters"/>
      <sheetName val="Other"/>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t="str">
            <v>NBC approvals</v>
          </cell>
          <cell r="C4" t="str">
            <v>yes</v>
          </cell>
        </row>
        <row r="5">
          <cell r="A5" t="str">
            <v>Client approvals</v>
          </cell>
          <cell r="C5" t="str">
            <v>no</v>
          </cell>
        </row>
        <row r="6">
          <cell r="A6" t="str">
            <v>Distributed</v>
          </cell>
        </row>
        <row r="7">
          <cell r="A7" t="str">
            <v>On hold</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Input Shee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 Assump-F3"/>
      <sheetName val="Summary-A"/>
      <sheetName val="Hist IS-B1"/>
      <sheetName val="IS Adj-B2"/>
      <sheetName val="Adj IS-B3"/>
      <sheetName val="Hist BS-B4"/>
      <sheetName val="Ratios-C"/>
      <sheetName val="WACC-D"/>
      <sheetName val="Dir Cap-E"/>
      <sheetName val="Projected IS-F"/>
      <sheetName val="DCF-Common-F2"/>
      <sheetName val="Transaction Data-G1"/>
      <sheetName val="Transaction Summ-G2"/>
      <sheetName val="NAV-H"/>
      <sheetName val="Debt-I"/>
      <sheetName val="BREAK"/>
      <sheetName val="BS Adj-B5"/>
      <sheetName val="Adj BS-B6"/>
      <sheetName val="Public Comps. Summ-G3"/>
      <sheetName val="Public Companies"/>
      <sheetName val="PBC"/>
      <sheetName val="2009 Redone for Allocation Expe"/>
      <sheetName val=" Debt"/>
      <sheetName val="Sch A - Budget 2009"/>
      <sheetName val="Sch B - Income Statement"/>
      <sheetName val="Sch C - Balance Sheet"/>
      <sheetName val="Sch D - Cash Flow"/>
      <sheetName val="Sch E - Cust Rev"/>
      <sheetName val="Sch F - Debt"/>
      <sheetName val="Sch G - Fixed Assets"/>
      <sheetName val="Debt"/>
      <sheetName val="Module5"/>
      <sheetName val="Module1"/>
      <sheetName val="Module2"/>
      <sheetName val="Module3"/>
      <sheetName val="Module4"/>
      <sheetName val="Module6"/>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ofile Comparison"/>
      <sheetName val="Indexed Chart"/>
      <sheetName val="Key Pill Provision"/>
      <sheetName val="Detail Profile"/>
      <sheetName val="Profile"/>
      <sheetName val="Graphs"/>
      <sheetName val="Quartiles"/>
      <sheetName val="Tactic Options"/>
    </sheetNames>
    <sheetDataSet>
      <sheetData sheetId="0"/>
      <sheetData sheetId="1">
        <row r="2">
          <cell r="B2" t="str">
            <v>Provision</v>
          </cell>
          <cell r="G2" t="str">
            <v>Cue</v>
          </cell>
          <cell r="I2" t="str">
            <v>Engelhard</v>
          </cell>
          <cell r="K2" t="str">
            <v>Kellwood</v>
          </cell>
        </row>
        <row r="4">
          <cell r="B4" t="str">
            <v>State of Incorporation</v>
          </cell>
          <cell r="G4" t="str">
            <v>DE</v>
          </cell>
          <cell r="I4" t="str">
            <v>DE</v>
          </cell>
          <cell r="K4" t="str">
            <v>DE</v>
          </cell>
        </row>
        <row r="5">
          <cell r="B5" t="str">
            <v>Classified Board</v>
          </cell>
          <cell r="G5" t="str">
            <v>ü</v>
          </cell>
          <cell r="I5" t="str">
            <v>ü</v>
          </cell>
          <cell r="K5" t="str">
            <v>ü</v>
          </cell>
          <cell r="M5" t="str">
            <v>Yes</v>
          </cell>
        </row>
        <row r="6">
          <cell r="B6" t="str">
            <v>Board Fills All Vacancies</v>
          </cell>
          <cell r="G6" t="str">
            <v>ü</v>
          </cell>
          <cell r="I6" t="str">
            <v>û</v>
          </cell>
          <cell r="K6" t="str">
            <v>ü</v>
          </cell>
          <cell r="M6" t="str">
            <v>Yes</v>
          </cell>
        </row>
        <row r="7">
          <cell r="B7" t="str">
            <v>Directors Removed Only for Cause</v>
          </cell>
          <cell r="G7" t="str">
            <v>û</v>
          </cell>
          <cell r="I7" t="str">
            <v>ü</v>
          </cell>
          <cell r="K7" t="str">
            <v>ü</v>
          </cell>
          <cell r="M7" t="str">
            <v>Yes</v>
          </cell>
        </row>
        <row r="8">
          <cell r="B8" t="str">
            <v>Supermajority Vote to Remove Directors</v>
          </cell>
          <cell r="G8" t="str">
            <v>ü</v>
          </cell>
          <cell r="I8" t="str">
            <v>û</v>
          </cell>
          <cell r="K8" t="str">
            <v>ü</v>
          </cell>
          <cell r="M8" t="str">
            <v>Yes</v>
          </cell>
        </row>
        <row r="9">
          <cell r="B9" t="str">
            <v>No Cumulative Voting</v>
          </cell>
          <cell r="G9" t="str">
            <v>ü</v>
          </cell>
          <cell r="I9" t="str">
            <v>ü</v>
          </cell>
          <cell r="K9" t="str">
            <v>û</v>
          </cell>
          <cell r="M9" t="str">
            <v>Yes</v>
          </cell>
        </row>
        <row r="10">
          <cell r="B10" t="str">
            <v>Shareholders Cannot Call Special Meetings</v>
          </cell>
          <cell r="G10" t="str">
            <v>ü</v>
          </cell>
          <cell r="I10" t="str">
            <v>û</v>
          </cell>
          <cell r="K10" t="str">
            <v>ü</v>
          </cell>
          <cell r="M10" t="str">
            <v>Yes</v>
          </cell>
        </row>
        <row r="11">
          <cell r="B11" t="str">
            <v>No Action by Written Consent</v>
          </cell>
          <cell r="G11" t="str">
            <v>ü</v>
          </cell>
          <cell r="I11" t="str">
            <v>û</v>
          </cell>
          <cell r="K11" t="str">
            <v>ü</v>
          </cell>
          <cell r="M11" t="str">
            <v>Yes</v>
          </cell>
        </row>
        <row r="12">
          <cell r="B12" t="str">
            <v>Locked-In Charter or Bylaw Provisions</v>
          </cell>
          <cell r="G12" t="str">
            <v>ü</v>
          </cell>
          <cell r="I12" t="str">
            <v>ü</v>
          </cell>
          <cell r="K12" t="str">
            <v>ü</v>
          </cell>
          <cell r="M12" t="str">
            <v>No</v>
          </cell>
        </row>
        <row r="13">
          <cell r="B13" t="str">
            <v>Fair Price Provision</v>
          </cell>
          <cell r="G13" t="str">
            <v>ü</v>
          </cell>
          <cell r="I13" t="str">
            <v>û</v>
          </cell>
          <cell r="K13" t="str">
            <v>ü</v>
          </cell>
          <cell r="M13" t="str">
            <v>Yes</v>
          </cell>
        </row>
        <row r="14">
          <cell r="B14" t="str">
            <v>Supermajority Vote for Mergers</v>
          </cell>
          <cell r="G14" t="str">
            <v>ü</v>
          </cell>
          <cell r="I14" t="str">
            <v>ü</v>
          </cell>
          <cell r="K14" t="str">
            <v>û</v>
          </cell>
          <cell r="M14" t="str">
            <v>No</v>
          </cell>
        </row>
        <row r="15">
          <cell r="B15" t="str">
            <v>Expanded Constituency Provision</v>
          </cell>
          <cell r="G15" t="str">
            <v>û</v>
          </cell>
          <cell r="I15" t="str">
            <v>û</v>
          </cell>
          <cell r="K15" t="str">
            <v>û</v>
          </cell>
          <cell r="M15" t="str">
            <v>Yes</v>
          </cell>
        </row>
        <row r="16">
          <cell r="B16" t="str">
            <v>Blank Check Preferred Stock</v>
          </cell>
          <cell r="G16" t="str">
            <v>ü</v>
          </cell>
          <cell r="I16" t="str">
            <v>ü</v>
          </cell>
          <cell r="K16" t="str">
            <v>ü</v>
          </cell>
          <cell r="M16" t="str">
            <v>Yes</v>
          </cell>
        </row>
        <row r="17">
          <cell r="B17" t="str">
            <v>Poison Pill In Force</v>
          </cell>
          <cell r="G17" t="str">
            <v>ü</v>
          </cell>
          <cell r="I17" t="str">
            <v>ü</v>
          </cell>
          <cell r="K17" t="str">
            <v>ü</v>
          </cell>
          <cell r="M17" t="str">
            <v>Yes</v>
          </cell>
        </row>
        <row r="18">
          <cell r="B18" t="str">
            <v>DGCL §203 in force</v>
          </cell>
          <cell r="G18" t="str">
            <v>ü</v>
          </cell>
          <cell r="I18" t="str">
            <v>û</v>
          </cell>
          <cell r="K18" t="str">
            <v>ü</v>
          </cell>
        </row>
        <row r="21">
          <cell r="B21" t="str">
            <v>Posion Pill Provisions</v>
          </cell>
        </row>
        <row r="23">
          <cell r="G23" t="str">
            <v>Cue</v>
          </cell>
          <cell r="I23" t="str">
            <v>Engelhard</v>
          </cell>
          <cell r="K23" t="str">
            <v>Kellwood</v>
          </cell>
        </row>
        <row r="25">
          <cell r="B25" t="str">
            <v>Pill Type</v>
          </cell>
          <cell r="G25" t="str">
            <v>Flip-in/Flip-over</v>
          </cell>
          <cell r="I25" t="str">
            <v>Flip-in/Flip-over</v>
          </cell>
          <cell r="K25" t="str">
            <v>Flip-in/Flip-over</v>
          </cell>
        </row>
        <row r="26">
          <cell r="B26" t="str">
            <v>Adoption Date</v>
          </cell>
          <cell r="G26">
            <v>35976</v>
          </cell>
          <cell r="I26">
            <v>36069</v>
          </cell>
          <cell r="K26">
            <v>38878</v>
          </cell>
        </row>
        <row r="27">
          <cell r="B27" t="str">
            <v>Rights Agreement Date</v>
          </cell>
          <cell r="G27">
            <v>36000</v>
          </cell>
          <cell r="I27">
            <v>36069</v>
          </cell>
          <cell r="K27">
            <v>38878</v>
          </cell>
        </row>
        <row r="28">
          <cell r="B28" t="str">
            <v>Expiration Date</v>
          </cell>
          <cell r="G28">
            <v>39653</v>
          </cell>
          <cell r="I28">
            <v>39722</v>
          </cell>
          <cell r="K28">
            <v>39974</v>
          </cell>
        </row>
        <row r="29">
          <cell r="B29" t="str">
            <v>Withdrawn Date</v>
          </cell>
          <cell r="G29" t="str">
            <v>n/a</v>
          </cell>
          <cell r="I29">
            <v>38880</v>
          </cell>
          <cell r="K29">
            <v>39498</v>
          </cell>
        </row>
        <row r="30">
          <cell r="B30" t="str">
            <v>Exercise Price</v>
          </cell>
          <cell r="G30">
            <v>40</v>
          </cell>
          <cell r="I30">
            <v>100</v>
          </cell>
          <cell r="K30">
            <v>100</v>
          </cell>
        </row>
        <row r="31">
          <cell r="B31" t="str">
            <v>Trigger for Purchases</v>
          </cell>
          <cell r="G31">
            <v>0.15</v>
          </cell>
          <cell r="I31">
            <v>0.15</v>
          </cell>
          <cell r="K31">
            <v>0.2</v>
          </cell>
        </row>
        <row r="32">
          <cell r="B32" t="str">
            <v>Trigger for Tender</v>
          </cell>
          <cell r="G32">
            <v>0.2</v>
          </cell>
          <cell r="I32">
            <v>0.15</v>
          </cell>
          <cell r="K32">
            <v>0.2</v>
          </cell>
        </row>
        <row r="33">
          <cell r="B33" t="str">
            <v>Pill Status</v>
          </cell>
          <cell r="G33" t="str">
            <v>In Force</v>
          </cell>
          <cell r="I33" t="str">
            <v>Company Acq.</v>
          </cell>
          <cell r="K33" t="str">
            <v>Company Acq.</v>
          </cell>
        </row>
        <row r="34">
          <cell r="B34" t="str">
            <v>Last Amended</v>
          </cell>
          <cell r="G34">
            <v>37179</v>
          </cell>
          <cell r="I34">
            <v>38867</v>
          </cell>
          <cell r="K34">
            <v>39489</v>
          </cell>
        </row>
        <row r="37">
          <cell r="B37" t="str">
            <v>Other</v>
          </cell>
        </row>
        <row r="39">
          <cell r="G39" t="str">
            <v>Cue</v>
          </cell>
          <cell r="I39" t="str">
            <v>Engelhard</v>
          </cell>
          <cell r="K39" t="str">
            <v>Kellwood</v>
          </cell>
        </row>
        <row r="40">
          <cell r="B40" t="str">
            <v>Acquiror Type</v>
          </cell>
          <cell r="G40" t="str">
            <v>Strategic</v>
          </cell>
          <cell r="I40" t="str">
            <v>Strategic</v>
          </cell>
          <cell r="K40" t="str">
            <v>Financial</v>
          </cell>
        </row>
        <row r="41">
          <cell r="B41" t="str">
            <v>Shares accumulated prior to Tender Offer</v>
          </cell>
          <cell r="G41" t="str">
            <v>--</v>
          </cell>
          <cell r="I41">
            <v>0</v>
          </cell>
          <cell r="K41">
            <v>9.9000000000000005E-2</v>
          </cell>
        </row>
        <row r="45">
          <cell r="O45" t="str">
            <v>Premia Analysis</v>
          </cell>
        </row>
        <row r="47">
          <cell r="O47" t="str">
            <v>Premium to:</v>
          </cell>
          <cell r="U47" t="str">
            <v>Engelhard</v>
          </cell>
          <cell r="W47" t="str">
            <v>Kellwood</v>
          </cell>
        </row>
        <row r="49">
          <cell r="O49" t="str">
            <v>Intial Price</v>
          </cell>
          <cell r="U49">
            <v>37</v>
          </cell>
          <cell r="W49">
            <v>21</v>
          </cell>
        </row>
        <row r="50">
          <cell r="O50" t="str">
            <v>1-Day Prior</v>
          </cell>
          <cell r="U50">
            <v>0.22719734660033164</v>
          </cell>
          <cell r="W50">
            <v>0.3843111404087014</v>
          </cell>
        </row>
        <row r="51">
          <cell r="O51" t="str">
            <v>30-Days Prior</v>
          </cell>
          <cell r="U51">
            <v>0.28294036061026362</v>
          </cell>
          <cell r="W51">
            <v>-0.1439054219323278</v>
          </cell>
        </row>
        <row r="52">
          <cell r="O52" t="str">
            <v>52-Week High</v>
          </cell>
          <cell r="U52">
            <v>0.17947083200510039</v>
          </cell>
          <cell r="W52">
            <v>-0.3972445464982779</v>
          </cell>
        </row>
        <row r="53">
          <cell r="O53" t="str">
            <v>Final Price</v>
          </cell>
          <cell r="U53">
            <v>39</v>
          </cell>
          <cell r="W53">
            <v>21</v>
          </cell>
        </row>
        <row r="54">
          <cell r="O54" t="str">
            <v>1-Day Prior</v>
          </cell>
          <cell r="U54">
            <v>0.29353233830845782</v>
          </cell>
          <cell r="W54">
            <v>0.3843111404087014</v>
          </cell>
        </row>
        <row r="55">
          <cell r="O55" t="str">
            <v>30-Days Prior</v>
          </cell>
          <cell r="U55">
            <v>0.35228848821081837</v>
          </cell>
          <cell r="W55">
            <v>-0.1439054219323278</v>
          </cell>
        </row>
        <row r="56">
          <cell r="O56" t="str">
            <v>52-Week High</v>
          </cell>
          <cell r="U56">
            <v>0.24322601211348416</v>
          </cell>
          <cell r="W56">
            <v>-0.3972445464982779</v>
          </cell>
        </row>
        <row r="57">
          <cell r="O57" t="str">
            <v>Final Price to Intial Price</v>
          </cell>
          <cell r="U57">
            <v>5.4054054054053946E-2</v>
          </cell>
          <cell r="W57">
            <v>0</v>
          </cell>
        </row>
        <row r="59">
          <cell r="O59" t="str">
            <v>Source: Capital IQ</v>
          </cell>
        </row>
        <row r="61">
          <cell r="U61">
            <v>30.15</v>
          </cell>
          <cell r="W61">
            <v>15.17</v>
          </cell>
          <cell r="X61" t="str">
            <v>1-Day</v>
          </cell>
        </row>
        <row r="62">
          <cell r="U62">
            <v>28.84</v>
          </cell>
          <cell r="W62">
            <v>24.53</v>
          </cell>
          <cell r="X62" t="str">
            <v>30-Days</v>
          </cell>
        </row>
        <row r="63">
          <cell r="U63">
            <v>31.37</v>
          </cell>
          <cell r="W63">
            <v>34.840000000000003</v>
          </cell>
          <cell r="X63" t="str">
            <v>52-Wk High</v>
          </cell>
        </row>
      </sheetData>
      <sheetData sheetId="2">
        <row r="3">
          <cell r="A3" t="str">
            <v>Ticker:</v>
          </cell>
          <cell r="B3" t="str">
            <v>QUIX</v>
          </cell>
          <cell r="E3" t="str">
            <v>Ticker:</v>
          </cell>
          <cell r="F3" t="str">
            <v>IQ269565</v>
          </cell>
          <cell r="I3" t="str">
            <v>Ticker:</v>
          </cell>
          <cell r="J3" t="str">
            <v>IQ283410</v>
          </cell>
        </row>
        <row r="4">
          <cell r="A4" t="str">
            <v>Start Date:</v>
          </cell>
          <cell r="B4">
            <v>39542</v>
          </cell>
          <cell r="E4" t="str">
            <v>Start Date:</v>
          </cell>
          <cell r="F4">
            <v>38720</v>
          </cell>
          <cell r="I4" t="str">
            <v>Start Date:</v>
          </cell>
          <cell r="J4">
            <v>39344</v>
          </cell>
        </row>
        <row r="5">
          <cell r="A5" t="str">
            <v>End Date:</v>
          </cell>
          <cell r="B5">
            <v>39451</v>
          </cell>
          <cell r="E5" t="str">
            <v>End Date:</v>
          </cell>
          <cell r="F5">
            <v>38628</v>
          </cell>
          <cell r="I5" t="str">
            <v>End Date:</v>
          </cell>
          <cell r="J5">
            <v>39252</v>
          </cell>
        </row>
        <row r="6">
          <cell r="B6" t="str">
            <v>Cue</v>
          </cell>
          <cell r="F6" t="str">
            <v>#CIQINACTIVE</v>
          </cell>
          <cell r="J6" t="str">
            <v>#CIQINACTIVE</v>
          </cell>
        </row>
        <row r="7">
          <cell r="F7" t="str">
            <v>Engelhard Corporation</v>
          </cell>
          <cell r="Q7" t="str">
            <v xml:space="preserve">90 Days </v>
          </cell>
        </row>
        <row r="8">
          <cell r="O8" t="str">
            <v>Performance</v>
          </cell>
          <cell r="Q8" t="str">
            <v>Prior to Announcement</v>
          </cell>
        </row>
        <row r="9">
          <cell r="A9" t="str">
            <v>#CIQINACTIVE</v>
          </cell>
          <cell r="E9" t="str">
            <v>#CIQINACTIVE</v>
          </cell>
          <cell r="I9" t="str">
            <v>#CIQINACTIVE</v>
          </cell>
        </row>
        <row r="10">
          <cell r="A10" t="str">
            <v>#CIQINACTIVE</v>
          </cell>
          <cell r="B10" t="str">
            <v>#CIQINACTIVE</v>
          </cell>
          <cell r="C10" t="e">
            <v>#VALUE!</v>
          </cell>
          <cell r="E10" t="str">
            <v>#CIQINACTIVE</v>
          </cell>
          <cell r="F10" t="str">
            <v>#CIQINACTIVE</v>
          </cell>
          <cell r="G10" t="e">
            <v>#VALUE!</v>
          </cell>
          <cell r="I10" t="str">
            <v>#CIQINACTIVE</v>
          </cell>
          <cell r="J10" t="str">
            <v>#CIQINACTIVE</v>
          </cell>
          <cell r="K10" t="e">
            <v>#VALUE!</v>
          </cell>
          <cell r="O10" t="str">
            <v>Cue</v>
          </cell>
          <cell r="Q10" t="e">
            <v>#VALUE!</v>
          </cell>
        </row>
        <row r="11">
          <cell r="A11" t="str">
            <v>#CIQINACTIVE</v>
          </cell>
          <cell r="B11" t="str">
            <v>#CIQINACTIVE</v>
          </cell>
          <cell r="C11" t="e">
            <v>#VALUE!</v>
          </cell>
          <cell r="E11" t="str">
            <v>#CIQINACTIVE</v>
          </cell>
          <cell r="F11" t="str">
            <v>#CIQINACTIVE</v>
          </cell>
          <cell r="G11" t="e">
            <v>#VALUE!</v>
          </cell>
          <cell r="I11" t="str">
            <v>#CIQINACTIVE</v>
          </cell>
          <cell r="J11" t="str">
            <v>#CIQINACTIVE</v>
          </cell>
          <cell r="K11" t="e">
            <v>#VALUE!</v>
          </cell>
          <cell r="O11" t="str">
            <v>Engelhard</v>
          </cell>
          <cell r="Q11" t="e">
            <v>#VALUE!</v>
          </cell>
        </row>
        <row r="12">
          <cell r="A12" t="str">
            <v>#CIQINACTIVE</v>
          </cell>
          <cell r="B12" t="str">
            <v>#CIQINACTIVE</v>
          </cell>
          <cell r="C12" t="e">
            <v>#VALUE!</v>
          </cell>
          <cell r="E12" t="str">
            <v>#CIQINACTIVE</v>
          </cell>
          <cell r="F12" t="str">
            <v>#CIQINACTIVE</v>
          </cell>
          <cell r="G12" t="e">
            <v>#VALUE!</v>
          </cell>
          <cell r="I12" t="str">
            <v>#CIQINACTIVE</v>
          </cell>
          <cell r="J12" t="str">
            <v>#CIQINACTIVE</v>
          </cell>
          <cell r="K12" t="e">
            <v>#VALUE!</v>
          </cell>
          <cell r="O12" t="str">
            <v>Kellwood</v>
          </cell>
          <cell r="Q12" t="e">
            <v>#VALUE!</v>
          </cell>
        </row>
        <row r="13">
          <cell r="A13" t="str">
            <v>#CIQINACTIVE</v>
          </cell>
          <cell r="B13" t="str">
            <v>#CIQINACTIVE</v>
          </cell>
          <cell r="C13" t="e">
            <v>#VALUE!</v>
          </cell>
          <cell r="E13" t="str">
            <v>#CIQINACTIVE</v>
          </cell>
          <cell r="F13" t="str">
            <v>#CIQINACTIVE</v>
          </cell>
          <cell r="G13" t="e">
            <v>#VALUE!</v>
          </cell>
          <cell r="I13" t="str">
            <v>#CIQINACTIVE</v>
          </cell>
          <cell r="J13" t="str">
            <v>#CIQINACTIVE</v>
          </cell>
          <cell r="K13" t="e">
            <v>#VALUE!</v>
          </cell>
        </row>
        <row r="14">
          <cell r="A14" t="str">
            <v>#CIQINACTIVE</v>
          </cell>
          <cell r="B14" t="str">
            <v>#CIQINACTIVE</v>
          </cell>
          <cell r="C14" t="e">
            <v>#VALUE!</v>
          </cell>
          <cell r="E14" t="str">
            <v>#CIQINACTIVE</v>
          </cell>
          <cell r="F14" t="str">
            <v>#CIQINACTIVE</v>
          </cell>
          <cell r="G14" t="e">
            <v>#VALUE!</v>
          </cell>
          <cell r="I14" t="str">
            <v>#CIQINACTIVE</v>
          </cell>
          <cell r="J14" t="str">
            <v>#CIQINACTIVE</v>
          </cell>
          <cell r="K14" t="e">
            <v>#VALUE!</v>
          </cell>
        </row>
        <row r="15">
          <cell r="A15" t="str">
            <v>#CIQINACTIVE</v>
          </cell>
          <cell r="B15" t="str">
            <v>#CIQINACTIVE</v>
          </cell>
          <cell r="C15" t="e">
            <v>#VALUE!</v>
          </cell>
          <cell r="E15" t="str">
            <v>#CIQINACTIVE</v>
          </cell>
          <cell r="F15" t="str">
            <v>#CIQINACTIVE</v>
          </cell>
          <cell r="G15" t="e">
            <v>#VALUE!</v>
          </cell>
          <cell r="I15" t="str">
            <v>#CIQINACTIVE</v>
          </cell>
          <cell r="J15" t="str">
            <v>#CIQINACTIVE</v>
          </cell>
          <cell r="K15" t="e">
            <v>#VALUE!</v>
          </cell>
        </row>
        <row r="16">
          <cell r="A16" t="str">
            <v>#CIQINACTIVE</v>
          </cell>
          <cell r="B16" t="str">
            <v>#CIQINACTIVE</v>
          </cell>
          <cell r="C16" t="e">
            <v>#VALUE!</v>
          </cell>
          <cell r="E16" t="str">
            <v>#CIQINACTIVE</v>
          </cell>
          <cell r="F16" t="str">
            <v>#CIQINACTIVE</v>
          </cell>
          <cell r="G16" t="e">
            <v>#VALUE!</v>
          </cell>
          <cell r="I16" t="str">
            <v>#CIQINACTIVE</v>
          </cell>
          <cell r="J16" t="str">
            <v>#CIQINACTIVE</v>
          </cell>
          <cell r="K16" t="e">
            <v>#VALUE!</v>
          </cell>
        </row>
        <row r="17">
          <cell r="A17" t="str">
            <v>#CIQINACTIVE</v>
          </cell>
          <cell r="B17" t="str">
            <v>#CIQINACTIVE</v>
          </cell>
          <cell r="C17" t="e">
            <v>#VALUE!</v>
          </cell>
          <cell r="E17" t="str">
            <v>#CIQINACTIVE</v>
          </cell>
          <cell r="F17" t="str">
            <v>#CIQINACTIVE</v>
          </cell>
          <cell r="G17" t="e">
            <v>#VALUE!</v>
          </cell>
          <cell r="I17" t="str">
            <v>#CIQINACTIVE</v>
          </cell>
          <cell r="J17" t="str">
            <v>#CIQINACTIVE</v>
          </cell>
          <cell r="K17" t="e">
            <v>#VALUE!</v>
          </cell>
        </row>
        <row r="18">
          <cell r="A18" t="str">
            <v>#CIQINACTIVE</v>
          </cell>
          <cell r="B18" t="str">
            <v>#CIQINACTIVE</v>
          </cell>
          <cell r="C18" t="e">
            <v>#VALUE!</v>
          </cell>
          <cell r="E18" t="str">
            <v>#CIQINACTIVE</v>
          </cell>
          <cell r="F18" t="str">
            <v>#CIQINACTIVE</v>
          </cell>
          <cell r="G18" t="e">
            <v>#VALUE!</v>
          </cell>
          <cell r="I18" t="str">
            <v>#CIQINACTIVE</v>
          </cell>
          <cell r="J18" t="str">
            <v>#CIQINACTIVE</v>
          </cell>
          <cell r="K18" t="e">
            <v>#VALUE!</v>
          </cell>
        </row>
        <row r="19">
          <cell r="A19" t="str">
            <v>#CIQINACTIVE</v>
          </cell>
          <cell r="B19" t="str">
            <v>#CIQINACTIVE</v>
          </cell>
          <cell r="C19" t="e">
            <v>#VALUE!</v>
          </cell>
          <cell r="E19" t="str">
            <v>#CIQINACTIVE</v>
          </cell>
          <cell r="F19" t="str">
            <v>#CIQINACTIVE</v>
          </cell>
          <cell r="G19" t="e">
            <v>#VALUE!</v>
          </cell>
          <cell r="I19" t="str">
            <v>#CIQINACTIVE</v>
          </cell>
          <cell r="J19" t="str">
            <v>#CIQINACTIVE</v>
          </cell>
          <cell r="K19" t="e">
            <v>#VALUE!</v>
          </cell>
        </row>
        <row r="20">
          <cell r="A20" t="str">
            <v>#CIQINACTIVE</v>
          </cell>
          <cell r="B20" t="str">
            <v>#CIQINACTIVE</v>
          </cell>
          <cell r="C20" t="e">
            <v>#VALUE!</v>
          </cell>
          <cell r="E20" t="str">
            <v>#CIQINACTIVE</v>
          </cell>
          <cell r="F20" t="str">
            <v>#CIQINACTIVE</v>
          </cell>
          <cell r="G20" t="e">
            <v>#VALUE!</v>
          </cell>
          <cell r="I20" t="str">
            <v>#CIQINACTIVE</v>
          </cell>
          <cell r="J20" t="str">
            <v>#CIQINACTIVE</v>
          </cell>
          <cell r="K20" t="e">
            <v>#VALUE!</v>
          </cell>
        </row>
        <row r="21">
          <cell r="A21" t="str">
            <v>#CIQINACTIVE</v>
          </cell>
          <cell r="B21" t="str">
            <v>#CIQINACTIVE</v>
          </cell>
          <cell r="C21" t="e">
            <v>#VALUE!</v>
          </cell>
          <cell r="E21" t="str">
            <v>#CIQINACTIVE</v>
          </cell>
          <cell r="F21" t="str">
            <v>#CIQINACTIVE</v>
          </cell>
          <cell r="G21" t="e">
            <v>#VALUE!</v>
          </cell>
          <cell r="I21" t="str">
            <v>#CIQINACTIVE</v>
          </cell>
          <cell r="J21" t="str">
            <v>#CIQINACTIVE</v>
          </cell>
          <cell r="K21" t="e">
            <v>#VALUE!</v>
          </cell>
        </row>
        <row r="22">
          <cell r="A22" t="str">
            <v>#CIQINACTIVE</v>
          </cell>
          <cell r="B22" t="str">
            <v>#CIQINACTIVE</v>
          </cell>
          <cell r="C22" t="e">
            <v>#VALUE!</v>
          </cell>
          <cell r="E22" t="str">
            <v>#CIQINACTIVE</v>
          </cell>
          <cell r="F22" t="str">
            <v>#CIQINACTIVE</v>
          </cell>
          <cell r="G22" t="e">
            <v>#VALUE!</v>
          </cell>
          <cell r="I22" t="str">
            <v>#CIQINACTIVE</v>
          </cell>
          <cell r="J22" t="str">
            <v>#CIQINACTIVE</v>
          </cell>
          <cell r="K22" t="e">
            <v>#VALUE!</v>
          </cell>
        </row>
        <row r="23">
          <cell r="A23" t="str">
            <v>#CIQINACTIVE</v>
          </cell>
          <cell r="B23" t="str">
            <v>#CIQINACTIVE</v>
          </cell>
          <cell r="C23" t="e">
            <v>#VALUE!</v>
          </cell>
          <cell r="E23" t="str">
            <v>#CIQINACTIVE</v>
          </cell>
          <cell r="F23" t="str">
            <v>#CIQINACTIVE</v>
          </cell>
          <cell r="G23" t="e">
            <v>#VALUE!</v>
          </cell>
          <cell r="I23" t="str">
            <v>#CIQINACTIVE</v>
          </cell>
          <cell r="J23" t="str">
            <v>#CIQINACTIVE</v>
          </cell>
          <cell r="K23" t="e">
            <v>#VALUE!</v>
          </cell>
        </row>
        <row r="24">
          <cell r="A24" t="str">
            <v>#CIQINACTIVE</v>
          </cell>
          <cell r="B24" t="str">
            <v>#CIQINACTIVE</v>
          </cell>
          <cell r="C24" t="e">
            <v>#VALUE!</v>
          </cell>
          <cell r="E24" t="str">
            <v>#CIQINACTIVE</v>
          </cell>
          <cell r="F24" t="str">
            <v>#CIQINACTIVE</v>
          </cell>
          <cell r="G24" t="e">
            <v>#VALUE!</v>
          </cell>
          <cell r="I24" t="str">
            <v>#CIQINACTIVE</v>
          </cell>
          <cell r="J24" t="str">
            <v>#CIQINACTIVE</v>
          </cell>
          <cell r="K24" t="e">
            <v>#VALUE!</v>
          </cell>
        </row>
        <row r="25">
          <cell r="A25" t="str">
            <v>#CIQINACTIVE</v>
          </cell>
          <cell r="B25" t="str">
            <v>#CIQINACTIVE</v>
          </cell>
          <cell r="C25" t="e">
            <v>#VALUE!</v>
          </cell>
          <cell r="E25" t="str">
            <v>#CIQINACTIVE</v>
          </cell>
          <cell r="F25" t="str">
            <v>#CIQINACTIVE</v>
          </cell>
          <cell r="G25" t="e">
            <v>#VALUE!</v>
          </cell>
          <cell r="I25" t="str">
            <v>#CIQINACTIVE</v>
          </cell>
          <cell r="J25" t="str">
            <v>#CIQINACTIVE</v>
          </cell>
          <cell r="K25" t="e">
            <v>#VALUE!</v>
          </cell>
        </row>
        <row r="26">
          <cell r="A26" t="str">
            <v>#CIQINACTIVE</v>
          </cell>
          <cell r="B26" t="str">
            <v>#CIQINACTIVE</v>
          </cell>
          <cell r="C26" t="e">
            <v>#VALUE!</v>
          </cell>
          <cell r="E26" t="str">
            <v>#CIQINACTIVE</v>
          </cell>
          <cell r="F26" t="str">
            <v>#CIQINACTIVE</v>
          </cell>
          <cell r="G26" t="e">
            <v>#VALUE!</v>
          </cell>
          <cell r="I26" t="str">
            <v>#CIQINACTIVE</v>
          </cell>
          <cell r="J26" t="str">
            <v>#CIQINACTIVE</v>
          </cell>
          <cell r="K26" t="e">
            <v>#VALUE!</v>
          </cell>
        </row>
        <row r="27">
          <cell r="A27" t="str">
            <v>#CIQINACTIVE</v>
          </cell>
          <cell r="B27" t="str">
            <v>#CIQINACTIVE</v>
          </cell>
          <cell r="C27" t="e">
            <v>#VALUE!</v>
          </cell>
          <cell r="E27" t="str">
            <v>#CIQINACTIVE</v>
          </cell>
          <cell r="F27" t="str">
            <v>#CIQINACTIVE</v>
          </cell>
          <cell r="G27" t="e">
            <v>#VALUE!</v>
          </cell>
          <cell r="I27" t="str">
            <v>#CIQINACTIVE</v>
          </cell>
          <cell r="J27" t="str">
            <v>#CIQINACTIVE</v>
          </cell>
          <cell r="K27" t="e">
            <v>#VALUE!</v>
          </cell>
        </row>
        <row r="28">
          <cell r="A28" t="str">
            <v>#CIQINACTIVE</v>
          </cell>
          <cell r="B28" t="str">
            <v>#CIQINACTIVE</v>
          </cell>
          <cell r="C28" t="e">
            <v>#VALUE!</v>
          </cell>
          <cell r="E28" t="str">
            <v>#CIQINACTIVE</v>
          </cell>
          <cell r="F28" t="str">
            <v>#CIQINACTIVE</v>
          </cell>
          <cell r="G28" t="e">
            <v>#VALUE!</v>
          </cell>
          <cell r="I28" t="str">
            <v>#CIQINACTIVE</v>
          </cell>
          <cell r="J28" t="str">
            <v>#CIQINACTIVE</v>
          </cell>
          <cell r="K28" t="e">
            <v>#VALUE!</v>
          </cell>
        </row>
        <row r="29">
          <cell r="A29" t="str">
            <v>#CIQINACTIVE</v>
          </cell>
          <cell r="B29" t="str">
            <v>#CIQINACTIVE</v>
          </cell>
          <cell r="C29" t="e">
            <v>#VALUE!</v>
          </cell>
          <cell r="E29" t="str">
            <v>#CIQINACTIVE</v>
          </cell>
          <cell r="F29" t="str">
            <v>#CIQINACTIVE</v>
          </cell>
          <cell r="G29" t="e">
            <v>#VALUE!</v>
          </cell>
          <cell r="I29" t="str">
            <v>#CIQINACTIVE</v>
          </cell>
          <cell r="J29" t="str">
            <v>#CIQINACTIVE</v>
          </cell>
          <cell r="K29" t="e">
            <v>#VALUE!</v>
          </cell>
        </row>
        <row r="30">
          <cell r="A30" t="str">
            <v>#CIQINACTIVE</v>
          </cell>
          <cell r="B30" t="str">
            <v>#CIQINACTIVE</v>
          </cell>
          <cell r="C30" t="e">
            <v>#VALUE!</v>
          </cell>
          <cell r="E30" t="str">
            <v>#CIQINACTIVE</v>
          </cell>
          <cell r="F30" t="str">
            <v>#CIQINACTIVE</v>
          </cell>
          <cell r="G30" t="e">
            <v>#VALUE!</v>
          </cell>
          <cell r="I30" t="str">
            <v>#CIQINACTIVE</v>
          </cell>
          <cell r="J30" t="str">
            <v>#CIQINACTIVE</v>
          </cell>
          <cell r="K30" t="e">
            <v>#VALUE!</v>
          </cell>
        </row>
        <row r="31">
          <cell r="A31" t="str">
            <v>#CIQINACTIVE</v>
          </cell>
          <cell r="B31" t="str">
            <v>#CIQINACTIVE</v>
          </cell>
          <cell r="C31" t="e">
            <v>#VALUE!</v>
          </cell>
          <cell r="E31" t="str">
            <v>#CIQINACTIVE</v>
          </cell>
          <cell r="F31" t="str">
            <v>#CIQINACTIVE</v>
          </cell>
          <cell r="G31" t="e">
            <v>#VALUE!</v>
          </cell>
          <cell r="I31" t="str">
            <v>#CIQINACTIVE</v>
          </cell>
          <cell r="J31" t="str">
            <v>#CIQINACTIVE</v>
          </cell>
          <cell r="K31" t="e">
            <v>#VALUE!</v>
          </cell>
        </row>
        <row r="32">
          <cell r="A32" t="str">
            <v>#CIQINACTIVE</v>
          </cell>
          <cell r="B32" t="str">
            <v>#CIQINACTIVE</v>
          </cell>
          <cell r="C32" t="e">
            <v>#VALUE!</v>
          </cell>
          <cell r="E32" t="str">
            <v>#CIQINACTIVE</v>
          </cell>
          <cell r="F32" t="str">
            <v>#CIQINACTIVE</v>
          </cell>
          <cell r="G32" t="e">
            <v>#VALUE!</v>
          </cell>
          <cell r="I32" t="str">
            <v>#CIQINACTIVE</v>
          </cell>
          <cell r="J32" t="str">
            <v>#CIQINACTIVE</v>
          </cell>
          <cell r="K32" t="e">
            <v>#VALUE!</v>
          </cell>
        </row>
        <row r="33">
          <cell r="A33" t="str">
            <v>#CIQINACTIVE</v>
          </cell>
          <cell r="B33" t="str">
            <v>#CIQINACTIVE</v>
          </cell>
          <cell r="C33" t="e">
            <v>#VALUE!</v>
          </cell>
          <cell r="E33" t="str">
            <v>#CIQINACTIVE</v>
          </cell>
          <cell r="F33" t="str">
            <v>#CIQINACTIVE</v>
          </cell>
          <cell r="G33" t="e">
            <v>#VALUE!</v>
          </cell>
          <cell r="I33" t="str">
            <v>#CIQINACTIVE</v>
          </cell>
          <cell r="J33" t="str">
            <v>#CIQINACTIVE</v>
          </cell>
          <cell r="K33" t="e">
            <v>#VALUE!</v>
          </cell>
        </row>
        <row r="34">
          <cell r="A34" t="str">
            <v>#CIQINACTIVE</v>
          </cell>
          <cell r="B34" t="str">
            <v>#CIQINACTIVE</v>
          </cell>
          <cell r="C34" t="e">
            <v>#VALUE!</v>
          </cell>
          <cell r="E34" t="str">
            <v>#CIQINACTIVE</v>
          </cell>
          <cell r="F34" t="str">
            <v>#CIQINACTIVE</v>
          </cell>
          <cell r="G34" t="e">
            <v>#VALUE!</v>
          </cell>
          <cell r="I34" t="str">
            <v>#CIQINACTIVE</v>
          </cell>
          <cell r="J34" t="str">
            <v>#CIQINACTIVE</v>
          </cell>
          <cell r="K34" t="e">
            <v>#VALUE!</v>
          </cell>
        </row>
        <row r="35">
          <cell r="A35" t="str">
            <v>#CIQINACTIVE</v>
          </cell>
          <cell r="B35" t="str">
            <v>#CIQINACTIVE</v>
          </cell>
          <cell r="C35" t="e">
            <v>#VALUE!</v>
          </cell>
          <cell r="E35" t="str">
            <v>#CIQINACTIVE</v>
          </cell>
          <cell r="F35" t="str">
            <v>#CIQINACTIVE</v>
          </cell>
          <cell r="G35" t="e">
            <v>#VALUE!</v>
          </cell>
          <cell r="I35" t="str">
            <v>#CIQINACTIVE</v>
          </cell>
          <cell r="J35" t="str">
            <v>#CIQINACTIVE</v>
          </cell>
          <cell r="K35" t="e">
            <v>#VALUE!</v>
          </cell>
        </row>
        <row r="36">
          <cell r="A36" t="str">
            <v>#CIQINACTIVE</v>
          </cell>
          <cell r="B36" t="str">
            <v>#CIQINACTIVE</v>
          </cell>
          <cell r="C36" t="e">
            <v>#VALUE!</v>
          </cell>
          <cell r="E36" t="str">
            <v>#CIQINACTIVE</v>
          </cell>
          <cell r="F36" t="str">
            <v>#CIQINACTIVE</v>
          </cell>
          <cell r="G36" t="e">
            <v>#VALUE!</v>
          </cell>
          <cell r="I36" t="str">
            <v>#CIQINACTIVE</v>
          </cell>
          <cell r="J36" t="str">
            <v>#CIQINACTIVE</v>
          </cell>
          <cell r="K36" t="e">
            <v>#VALUE!</v>
          </cell>
        </row>
        <row r="37">
          <cell r="A37" t="str">
            <v>#CIQINACTIVE</v>
          </cell>
          <cell r="B37" t="str">
            <v>#CIQINACTIVE</v>
          </cell>
          <cell r="C37" t="e">
            <v>#VALUE!</v>
          </cell>
          <cell r="E37" t="str">
            <v>#CIQINACTIVE</v>
          </cell>
          <cell r="F37" t="str">
            <v>#CIQINACTIVE</v>
          </cell>
          <cell r="G37" t="e">
            <v>#VALUE!</v>
          </cell>
          <cell r="I37" t="str">
            <v>#CIQINACTIVE</v>
          </cell>
          <cell r="J37" t="str">
            <v>#CIQINACTIVE</v>
          </cell>
          <cell r="K37" t="e">
            <v>#VALUE!</v>
          </cell>
        </row>
        <row r="38">
          <cell r="A38" t="str">
            <v>#CIQINACTIVE</v>
          </cell>
          <cell r="B38" t="str">
            <v>#CIQINACTIVE</v>
          </cell>
          <cell r="C38" t="e">
            <v>#VALUE!</v>
          </cell>
          <cell r="E38" t="str">
            <v>#CIQINACTIVE</v>
          </cell>
          <cell r="F38" t="str">
            <v>#CIQINACTIVE</v>
          </cell>
          <cell r="G38" t="e">
            <v>#VALUE!</v>
          </cell>
          <cell r="I38" t="str">
            <v>#CIQINACTIVE</v>
          </cell>
          <cell r="J38" t="str">
            <v>#CIQINACTIVE</v>
          </cell>
          <cell r="K38" t="e">
            <v>#VALUE!</v>
          </cell>
        </row>
        <row r="39">
          <cell r="A39" t="str">
            <v>#CIQINACTIVE</v>
          </cell>
          <cell r="B39" t="str">
            <v>#CIQINACTIVE</v>
          </cell>
          <cell r="C39" t="e">
            <v>#VALUE!</v>
          </cell>
          <cell r="E39" t="str">
            <v>#CIQINACTIVE</v>
          </cell>
          <cell r="F39" t="str">
            <v>#CIQINACTIVE</v>
          </cell>
          <cell r="G39" t="e">
            <v>#VALUE!</v>
          </cell>
          <cell r="I39" t="str">
            <v>#CIQINACTIVE</v>
          </cell>
          <cell r="J39" t="str">
            <v>#CIQINACTIVE</v>
          </cell>
          <cell r="K39" t="e">
            <v>#VALUE!</v>
          </cell>
        </row>
        <row r="40">
          <cell r="A40" t="str">
            <v>#CIQINACTIVE</v>
          </cell>
          <cell r="B40" t="str">
            <v>#CIQINACTIVE</v>
          </cell>
          <cell r="C40" t="e">
            <v>#VALUE!</v>
          </cell>
          <cell r="E40" t="str">
            <v>#CIQINACTIVE</v>
          </cell>
          <cell r="F40" t="str">
            <v>#CIQINACTIVE</v>
          </cell>
          <cell r="G40" t="e">
            <v>#VALUE!</v>
          </cell>
          <cell r="I40" t="str">
            <v>#CIQINACTIVE</v>
          </cell>
          <cell r="J40" t="str">
            <v>#CIQINACTIVE</v>
          </cell>
          <cell r="K40" t="e">
            <v>#VALUE!</v>
          </cell>
        </row>
        <row r="41">
          <cell r="A41" t="str">
            <v>#CIQINACTIVE</v>
          </cell>
          <cell r="B41" t="str">
            <v>#CIQINACTIVE</v>
          </cell>
          <cell r="C41" t="e">
            <v>#VALUE!</v>
          </cell>
          <cell r="E41" t="str">
            <v>#CIQINACTIVE</v>
          </cell>
          <cell r="F41" t="str">
            <v>#CIQINACTIVE</v>
          </cell>
          <cell r="G41" t="e">
            <v>#VALUE!</v>
          </cell>
          <cell r="I41" t="str">
            <v>#CIQINACTIVE</v>
          </cell>
          <cell r="J41" t="str">
            <v>#CIQINACTIVE</v>
          </cell>
          <cell r="K41" t="e">
            <v>#VALUE!</v>
          </cell>
        </row>
        <row r="42">
          <cell r="A42" t="str">
            <v>#CIQINACTIVE</v>
          </cell>
          <cell r="B42" t="str">
            <v>#CIQINACTIVE</v>
          </cell>
          <cell r="C42" t="e">
            <v>#VALUE!</v>
          </cell>
          <cell r="E42" t="str">
            <v>#CIQINACTIVE</v>
          </cell>
          <cell r="F42" t="str">
            <v>#CIQINACTIVE</v>
          </cell>
          <cell r="G42" t="e">
            <v>#VALUE!</v>
          </cell>
          <cell r="I42" t="str">
            <v>#CIQINACTIVE</v>
          </cell>
          <cell r="J42" t="str">
            <v>#CIQINACTIVE</v>
          </cell>
          <cell r="K42" t="e">
            <v>#VALUE!</v>
          </cell>
        </row>
        <row r="43">
          <cell r="A43" t="str">
            <v>#CIQINACTIVE</v>
          </cell>
          <cell r="B43" t="str">
            <v>#CIQINACTIVE</v>
          </cell>
          <cell r="C43" t="e">
            <v>#VALUE!</v>
          </cell>
          <cell r="E43" t="str">
            <v>#CIQINACTIVE</v>
          </cell>
          <cell r="F43" t="str">
            <v>#CIQINACTIVE</v>
          </cell>
          <cell r="G43" t="e">
            <v>#VALUE!</v>
          </cell>
          <cell r="I43" t="str">
            <v>#CIQINACTIVE</v>
          </cell>
          <cell r="J43" t="str">
            <v>#CIQINACTIVE</v>
          </cell>
          <cell r="K43" t="e">
            <v>#VALUE!</v>
          </cell>
        </row>
        <row r="44">
          <cell r="A44" t="str">
            <v>#CIQINACTIVE</v>
          </cell>
          <cell r="B44" t="str">
            <v>#CIQINACTIVE</v>
          </cell>
          <cell r="C44" t="e">
            <v>#VALUE!</v>
          </cell>
          <cell r="E44" t="str">
            <v>#CIQINACTIVE</v>
          </cell>
          <cell r="F44" t="str">
            <v>#CIQINACTIVE</v>
          </cell>
          <cell r="G44" t="e">
            <v>#VALUE!</v>
          </cell>
          <cell r="I44" t="str">
            <v>#CIQINACTIVE</v>
          </cell>
          <cell r="J44" t="str">
            <v>#CIQINACTIVE</v>
          </cell>
          <cell r="K44" t="e">
            <v>#VALUE!</v>
          </cell>
        </row>
        <row r="45">
          <cell r="A45" t="str">
            <v>#CIQINACTIVE</v>
          </cell>
          <cell r="B45" t="str">
            <v>#CIQINACTIVE</v>
          </cell>
          <cell r="C45" t="e">
            <v>#VALUE!</v>
          </cell>
          <cell r="E45" t="str">
            <v>#CIQINACTIVE</v>
          </cell>
          <cell r="F45" t="str">
            <v>#CIQINACTIVE</v>
          </cell>
          <cell r="G45" t="e">
            <v>#VALUE!</v>
          </cell>
          <cell r="I45" t="str">
            <v>#CIQINACTIVE</v>
          </cell>
          <cell r="J45" t="str">
            <v>#CIQINACTIVE</v>
          </cell>
          <cell r="K45" t="e">
            <v>#VALUE!</v>
          </cell>
        </row>
        <row r="46">
          <cell r="A46" t="str">
            <v>#CIQINACTIVE</v>
          </cell>
          <cell r="B46" t="str">
            <v>#CIQINACTIVE</v>
          </cell>
          <cell r="C46" t="e">
            <v>#VALUE!</v>
          </cell>
          <cell r="E46" t="str">
            <v>#CIQINACTIVE</v>
          </cell>
          <cell r="F46" t="str">
            <v>#CIQINACTIVE</v>
          </cell>
          <cell r="G46" t="e">
            <v>#VALUE!</v>
          </cell>
          <cell r="I46" t="str">
            <v>#CIQINACTIVE</v>
          </cell>
          <cell r="J46" t="str">
            <v>#CIQINACTIVE</v>
          </cell>
          <cell r="K46" t="e">
            <v>#VALUE!</v>
          </cell>
        </row>
        <row r="47">
          <cell r="A47" t="str">
            <v>#CIQINACTIVE</v>
          </cell>
          <cell r="B47" t="str">
            <v>#CIQINACTIVE</v>
          </cell>
          <cell r="C47" t="e">
            <v>#VALUE!</v>
          </cell>
          <cell r="E47" t="str">
            <v>#CIQINACTIVE</v>
          </cell>
          <cell r="F47" t="str">
            <v>#CIQINACTIVE</v>
          </cell>
          <cell r="G47" t="e">
            <v>#VALUE!</v>
          </cell>
          <cell r="I47" t="str">
            <v>#CIQINACTIVE</v>
          </cell>
          <cell r="J47" t="str">
            <v>#CIQINACTIVE</v>
          </cell>
          <cell r="K47" t="e">
            <v>#VALUE!</v>
          </cell>
        </row>
        <row r="48">
          <cell r="A48" t="str">
            <v>#CIQINACTIVE</v>
          </cell>
          <cell r="B48" t="str">
            <v>#CIQINACTIVE</v>
          </cell>
          <cell r="C48" t="e">
            <v>#VALUE!</v>
          </cell>
          <cell r="E48" t="str">
            <v>#CIQINACTIVE</v>
          </cell>
          <cell r="F48" t="str">
            <v>#CIQINACTIVE</v>
          </cell>
          <cell r="G48" t="e">
            <v>#VALUE!</v>
          </cell>
          <cell r="I48" t="str">
            <v>#CIQINACTIVE</v>
          </cell>
          <cell r="J48" t="str">
            <v>#CIQINACTIVE</v>
          </cell>
          <cell r="K48" t="e">
            <v>#VALUE!</v>
          </cell>
        </row>
        <row r="49">
          <cell r="A49" t="str">
            <v>#CIQINACTIVE</v>
          </cell>
          <cell r="B49" t="str">
            <v>#CIQINACTIVE</v>
          </cell>
          <cell r="C49" t="e">
            <v>#VALUE!</v>
          </cell>
          <cell r="E49" t="str">
            <v>#CIQINACTIVE</v>
          </cell>
          <cell r="F49" t="str">
            <v>#CIQINACTIVE</v>
          </cell>
          <cell r="G49" t="e">
            <v>#VALUE!</v>
          </cell>
          <cell r="I49" t="str">
            <v>#CIQINACTIVE</v>
          </cell>
          <cell r="J49" t="str">
            <v>#CIQINACTIVE</v>
          </cell>
          <cell r="K49" t="e">
            <v>#VALUE!</v>
          </cell>
        </row>
        <row r="50">
          <cell r="A50" t="str">
            <v>#CIQINACTIVE</v>
          </cell>
          <cell r="B50" t="str">
            <v>#CIQINACTIVE</v>
          </cell>
          <cell r="C50" t="e">
            <v>#VALUE!</v>
          </cell>
          <cell r="E50" t="str">
            <v>#CIQINACTIVE</v>
          </cell>
          <cell r="F50" t="str">
            <v>#CIQINACTIVE</v>
          </cell>
          <cell r="G50" t="e">
            <v>#VALUE!</v>
          </cell>
          <cell r="I50" t="str">
            <v>#CIQINACTIVE</v>
          </cell>
          <cell r="J50" t="str">
            <v>#CIQINACTIVE</v>
          </cell>
          <cell r="K50" t="e">
            <v>#VALUE!</v>
          </cell>
        </row>
        <row r="51">
          <cell r="A51" t="str">
            <v>#CIQINACTIVE</v>
          </cell>
          <cell r="B51" t="str">
            <v>#CIQINACTIVE</v>
          </cell>
          <cell r="C51" t="e">
            <v>#VALUE!</v>
          </cell>
          <cell r="E51" t="str">
            <v>#CIQINACTIVE</v>
          </cell>
          <cell r="F51" t="str">
            <v>#CIQINACTIVE</v>
          </cell>
          <cell r="G51" t="e">
            <v>#VALUE!</v>
          </cell>
          <cell r="I51" t="str">
            <v>#CIQINACTIVE</v>
          </cell>
          <cell r="J51" t="str">
            <v>#CIQINACTIVE</v>
          </cell>
          <cell r="K51" t="e">
            <v>#VALUE!</v>
          </cell>
        </row>
        <row r="52">
          <cell r="A52" t="str">
            <v>#CIQINACTIVE</v>
          </cell>
          <cell r="B52" t="str">
            <v>#CIQINACTIVE</v>
          </cell>
          <cell r="C52" t="e">
            <v>#VALUE!</v>
          </cell>
          <cell r="E52" t="str">
            <v>#CIQINACTIVE</v>
          </cell>
          <cell r="F52" t="str">
            <v>#CIQINACTIVE</v>
          </cell>
          <cell r="G52" t="e">
            <v>#VALUE!</v>
          </cell>
          <cell r="I52" t="str">
            <v>#CIQINACTIVE</v>
          </cell>
          <cell r="J52" t="str">
            <v>#CIQINACTIVE</v>
          </cell>
          <cell r="K52" t="e">
            <v>#VALUE!</v>
          </cell>
        </row>
        <row r="53">
          <cell r="A53" t="str">
            <v>#CIQINACTIVE</v>
          </cell>
          <cell r="B53" t="str">
            <v>#CIQINACTIVE</v>
          </cell>
          <cell r="C53" t="e">
            <v>#VALUE!</v>
          </cell>
          <cell r="E53" t="str">
            <v>#CIQINACTIVE</v>
          </cell>
          <cell r="F53" t="str">
            <v>#CIQINACTIVE</v>
          </cell>
          <cell r="G53" t="e">
            <v>#VALUE!</v>
          </cell>
          <cell r="I53" t="str">
            <v>#CIQINACTIVE</v>
          </cell>
          <cell r="J53" t="str">
            <v>#CIQINACTIVE</v>
          </cell>
          <cell r="K53" t="e">
            <v>#VALUE!</v>
          </cell>
        </row>
        <row r="54">
          <cell r="A54" t="str">
            <v>#CIQINACTIVE</v>
          </cell>
          <cell r="B54" t="str">
            <v>#CIQINACTIVE</v>
          </cell>
          <cell r="C54" t="e">
            <v>#VALUE!</v>
          </cell>
          <cell r="E54" t="str">
            <v>#CIQINACTIVE</v>
          </cell>
          <cell r="F54" t="str">
            <v>#CIQINACTIVE</v>
          </cell>
          <cell r="G54" t="e">
            <v>#VALUE!</v>
          </cell>
          <cell r="I54" t="str">
            <v>#CIQINACTIVE</v>
          </cell>
          <cell r="J54" t="str">
            <v>#CIQINACTIVE</v>
          </cell>
          <cell r="K54" t="e">
            <v>#VALUE!</v>
          </cell>
        </row>
        <row r="55">
          <cell r="A55" t="str">
            <v>#CIQINACTIVE</v>
          </cell>
          <cell r="B55" t="str">
            <v>#CIQINACTIVE</v>
          </cell>
          <cell r="C55" t="e">
            <v>#VALUE!</v>
          </cell>
          <cell r="E55" t="str">
            <v>#CIQINACTIVE</v>
          </cell>
          <cell r="F55" t="str">
            <v>#CIQINACTIVE</v>
          </cell>
          <cell r="G55" t="e">
            <v>#VALUE!</v>
          </cell>
          <cell r="I55" t="str">
            <v>#CIQINACTIVE</v>
          </cell>
          <cell r="J55" t="str">
            <v>#CIQINACTIVE</v>
          </cell>
          <cell r="K55" t="e">
            <v>#VALUE!</v>
          </cell>
        </row>
        <row r="56">
          <cell r="A56" t="str">
            <v>#CIQINACTIVE</v>
          </cell>
          <cell r="B56" t="str">
            <v>#CIQINACTIVE</v>
          </cell>
          <cell r="C56" t="e">
            <v>#VALUE!</v>
          </cell>
          <cell r="E56" t="str">
            <v>#CIQINACTIVE</v>
          </cell>
          <cell r="F56" t="str">
            <v>#CIQINACTIVE</v>
          </cell>
          <cell r="G56" t="e">
            <v>#VALUE!</v>
          </cell>
          <cell r="I56" t="str">
            <v>#CIQINACTIVE</v>
          </cell>
          <cell r="J56" t="str">
            <v>#CIQINACTIVE</v>
          </cell>
          <cell r="K56" t="e">
            <v>#VALUE!</v>
          </cell>
        </row>
        <row r="57">
          <cell r="A57" t="str">
            <v>#CIQINACTIVE</v>
          </cell>
          <cell r="B57" t="str">
            <v>#CIQINACTIVE</v>
          </cell>
          <cell r="C57" t="e">
            <v>#VALUE!</v>
          </cell>
          <cell r="E57" t="str">
            <v>#CIQINACTIVE</v>
          </cell>
          <cell r="F57" t="str">
            <v>#CIQINACTIVE</v>
          </cell>
          <cell r="G57" t="e">
            <v>#VALUE!</v>
          </cell>
          <cell r="I57" t="str">
            <v>#CIQINACTIVE</v>
          </cell>
          <cell r="J57" t="str">
            <v>#CIQINACTIVE</v>
          </cell>
          <cell r="K57" t="e">
            <v>#VALUE!</v>
          </cell>
        </row>
        <row r="58">
          <cell r="A58" t="str">
            <v>#CIQINACTIVE</v>
          </cell>
          <cell r="B58" t="str">
            <v>#CIQINACTIVE</v>
          </cell>
          <cell r="C58" t="e">
            <v>#VALUE!</v>
          </cell>
          <cell r="E58" t="str">
            <v>#CIQINACTIVE</v>
          </cell>
          <cell r="F58" t="str">
            <v>#CIQINACTIVE</v>
          </cell>
          <cell r="G58" t="e">
            <v>#VALUE!</v>
          </cell>
          <cell r="I58" t="str">
            <v>#CIQINACTIVE</v>
          </cell>
          <cell r="J58" t="str">
            <v>#CIQINACTIVE</v>
          </cell>
          <cell r="K58" t="e">
            <v>#VALUE!</v>
          </cell>
        </row>
        <row r="59">
          <cell r="A59" t="str">
            <v>#CIQINACTIVE</v>
          </cell>
          <cell r="B59" t="str">
            <v>#CIQINACTIVE</v>
          </cell>
          <cell r="C59" t="e">
            <v>#VALUE!</v>
          </cell>
          <cell r="E59" t="str">
            <v>#CIQINACTIVE</v>
          </cell>
          <cell r="F59" t="str">
            <v>#CIQINACTIVE</v>
          </cell>
          <cell r="G59" t="e">
            <v>#VALUE!</v>
          </cell>
          <cell r="I59" t="str">
            <v>#CIQINACTIVE</v>
          </cell>
          <cell r="J59" t="str">
            <v>#CIQINACTIVE</v>
          </cell>
          <cell r="K59" t="e">
            <v>#VALUE!</v>
          </cell>
        </row>
        <row r="60">
          <cell r="A60" t="str">
            <v>#CIQINACTIVE</v>
          </cell>
          <cell r="B60" t="str">
            <v>#CIQINACTIVE</v>
          </cell>
          <cell r="C60" t="e">
            <v>#VALUE!</v>
          </cell>
          <cell r="E60" t="str">
            <v>#CIQINACTIVE</v>
          </cell>
          <cell r="F60" t="str">
            <v>#CIQINACTIVE</v>
          </cell>
          <cell r="G60" t="e">
            <v>#VALUE!</v>
          </cell>
          <cell r="I60" t="str">
            <v>#CIQINACTIVE</v>
          </cell>
          <cell r="J60" t="str">
            <v>#CIQINACTIVE</v>
          </cell>
          <cell r="K60" t="e">
            <v>#VALUE!</v>
          </cell>
        </row>
        <row r="61">
          <cell r="A61" t="str">
            <v>#CIQINACTIVE</v>
          </cell>
          <cell r="B61" t="str">
            <v>#CIQINACTIVE</v>
          </cell>
          <cell r="C61" t="e">
            <v>#VALUE!</v>
          </cell>
          <cell r="E61" t="str">
            <v>#CIQINACTIVE</v>
          </cell>
          <cell r="F61" t="str">
            <v>#CIQINACTIVE</v>
          </cell>
          <cell r="G61" t="e">
            <v>#VALUE!</v>
          </cell>
          <cell r="I61" t="str">
            <v>#CIQINACTIVE</v>
          </cell>
          <cell r="J61" t="str">
            <v>#CIQINACTIVE</v>
          </cell>
          <cell r="K61" t="e">
            <v>#VALUE!</v>
          </cell>
        </row>
        <row r="62">
          <cell r="A62" t="str">
            <v>#CIQINACTIVE</v>
          </cell>
          <cell r="B62" t="str">
            <v>#CIQINACTIVE</v>
          </cell>
          <cell r="C62" t="e">
            <v>#VALUE!</v>
          </cell>
          <cell r="E62" t="str">
            <v>#CIQINACTIVE</v>
          </cell>
          <cell r="F62" t="str">
            <v>#CIQINACTIVE</v>
          </cell>
          <cell r="G62" t="e">
            <v>#VALUE!</v>
          </cell>
          <cell r="I62" t="str">
            <v>#CIQINACTIVE</v>
          </cell>
          <cell r="J62" t="str">
            <v>#CIQINACTIVE</v>
          </cell>
          <cell r="K62" t="e">
            <v>#VALUE!</v>
          </cell>
        </row>
        <row r="63">
          <cell r="A63" t="str">
            <v>#CIQINACTIVE</v>
          </cell>
          <cell r="B63" t="str">
            <v>#CIQINACTIVE</v>
          </cell>
          <cell r="C63" t="e">
            <v>#VALUE!</v>
          </cell>
          <cell r="E63" t="str">
            <v>#CIQINACTIVE</v>
          </cell>
          <cell r="F63" t="str">
            <v>#CIQINACTIVE</v>
          </cell>
          <cell r="G63" t="e">
            <v>#VALUE!</v>
          </cell>
          <cell r="I63" t="str">
            <v>#CIQINACTIVE</v>
          </cell>
          <cell r="J63" t="str">
            <v>#CIQINACTIVE</v>
          </cell>
          <cell r="K63" t="e">
            <v>#VALUE!</v>
          </cell>
        </row>
        <row r="64">
          <cell r="A64" t="str">
            <v>#CIQINACTIVE</v>
          </cell>
          <cell r="B64" t="str">
            <v>#CIQINACTIVE</v>
          </cell>
          <cell r="C64" t="e">
            <v>#VALUE!</v>
          </cell>
          <cell r="E64" t="str">
            <v>#CIQINACTIVE</v>
          </cell>
          <cell r="F64" t="str">
            <v>#CIQINACTIVE</v>
          </cell>
          <cell r="G64" t="e">
            <v>#VALUE!</v>
          </cell>
          <cell r="I64" t="str">
            <v>#CIQINACTIVE</v>
          </cell>
          <cell r="J64" t="str">
            <v>#CIQINACTIVE</v>
          </cell>
          <cell r="K64" t="e">
            <v>#VALUE!</v>
          </cell>
        </row>
        <row r="65">
          <cell r="A65" t="str">
            <v>#CIQINACTIVE</v>
          </cell>
          <cell r="B65" t="str">
            <v>#CIQINACTIVE</v>
          </cell>
          <cell r="C65" t="e">
            <v>#VALUE!</v>
          </cell>
          <cell r="E65" t="str">
            <v>#CIQINACTIVE</v>
          </cell>
          <cell r="F65" t="str">
            <v>#CIQINACTIVE</v>
          </cell>
          <cell r="G65" t="e">
            <v>#VALUE!</v>
          </cell>
          <cell r="I65" t="str">
            <v>#CIQINACTIVE</v>
          </cell>
          <cell r="J65" t="str">
            <v>#CIQINACTIVE</v>
          </cell>
          <cell r="K65" t="e">
            <v>#VALUE!</v>
          </cell>
        </row>
        <row r="66">
          <cell r="A66" t="str">
            <v>#CIQINACTIVE</v>
          </cell>
          <cell r="B66" t="str">
            <v>#CIQINACTIVE</v>
          </cell>
          <cell r="C66" t="e">
            <v>#VALUE!</v>
          </cell>
          <cell r="E66" t="str">
            <v>#CIQINACTIVE</v>
          </cell>
          <cell r="F66" t="str">
            <v>#CIQINACTIVE</v>
          </cell>
          <cell r="G66" t="e">
            <v>#VALUE!</v>
          </cell>
          <cell r="I66" t="str">
            <v>#CIQINACTIVE</v>
          </cell>
          <cell r="J66" t="str">
            <v>#CIQINACTIVE</v>
          </cell>
          <cell r="K66" t="e">
            <v>#VALUE!</v>
          </cell>
        </row>
        <row r="67">
          <cell r="A67" t="str">
            <v>#CIQINACTIVE</v>
          </cell>
          <cell r="B67" t="str">
            <v>#CIQINACTIVE</v>
          </cell>
          <cell r="C67" t="e">
            <v>#VALUE!</v>
          </cell>
          <cell r="E67" t="str">
            <v>#CIQINACTIVE</v>
          </cell>
          <cell r="F67" t="str">
            <v>#CIQINACTIVE</v>
          </cell>
          <cell r="G67" t="e">
            <v>#VALUE!</v>
          </cell>
          <cell r="I67" t="str">
            <v>#CIQINACTIVE</v>
          </cell>
          <cell r="J67" t="str">
            <v>#CIQINACTIVE</v>
          </cell>
          <cell r="K67" t="e">
            <v>#VALUE!</v>
          </cell>
        </row>
        <row r="68">
          <cell r="A68" t="str">
            <v>#CIQINACTIVE</v>
          </cell>
          <cell r="B68" t="str">
            <v>#CIQINACTIVE</v>
          </cell>
          <cell r="C68" t="e">
            <v>#VALUE!</v>
          </cell>
          <cell r="E68" t="str">
            <v>#CIQINACTIVE</v>
          </cell>
          <cell r="F68" t="str">
            <v>#CIQINACTIVE</v>
          </cell>
          <cell r="G68" t="e">
            <v>#VALUE!</v>
          </cell>
          <cell r="I68" t="str">
            <v>#CIQINACTIVE</v>
          </cell>
          <cell r="J68" t="str">
            <v>#CIQINACTIVE</v>
          </cell>
          <cell r="K68" t="e">
            <v>#VALUE!</v>
          </cell>
        </row>
        <row r="69">
          <cell r="A69" t="str">
            <v>#CIQINACTIVE</v>
          </cell>
          <cell r="B69" t="str">
            <v>#CIQINACTIVE</v>
          </cell>
          <cell r="C69" t="e">
            <v>#VALUE!</v>
          </cell>
          <cell r="E69" t="str">
            <v>#CIQINACTIVE</v>
          </cell>
          <cell r="F69" t="str">
            <v>#CIQINACTIVE</v>
          </cell>
          <cell r="G69" t="e">
            <v>#VALUE!</v>
          </cell>
          <cell r="I69" t="str">
            <v>#CIQINACTIVE</v>
          </cell>
          <cell r="J69" t="str">
            <v>#CIQINACTIVE</v>
          </cell>
          <cell r="K69" t="e">
            <v>#VALUE!</v>
          </cell>
        </row>
        <row r="70">
          <cell r="A70" t="str">
            <v>#CIQINACTIVE</v>
          </cell>
          <cell r="B70" t="str">
            <v>#CIQINACTIVE</v>
          </cell>
          <cell r="C70" t="e">
            <v>#VALUE!</v>
          </cell>
          <cell r="E70" t="str">
            <v>#CIQINACTIVE</v>
          </cell>
          <cell r="F70" t="str">
            <v>#CIQINACTIVE</v>
          </cell>
          <cell r="G70" t="e">
            <v>#VALUE!</v>
          </cell>
          <cell r="I70" t="str">
            <v>#CIQINACTIVE</v>
          </cell>
          <cell r="J70" t="str">
            <v>#CIQINACTIVE</v>
          </cell>
          <cell r="K70" t="e">
            <v>#VALUE!</v>
          </cell>
        </row>
        <row r="71">
          <cell r="A71" t="str">
            <v>#CIQINACTIVE</v>
          </cell>
          <cell r="B71" t="str">
            <v>#CIQINACTIVE</v>
          </cell>
          <cell r="C71" t="e">
            <v>#VALUE!</v>
          </cell>
          <cell r="E71" t="str">
            <v>#CIQINACTIVE</v>
          </cell>
          <cell r="F71" t="str">
            <v>#CIQINACTIVE</v>
          </cell>
          <cell r="G71" t="e">
            <v>#VALUE!</v>
          </cell>
          <cell r="I71" t="str">
            <v>#CIQINACTIVE</v>
          </cell>
          <cell r="J71" t="str">
            <v>#CIQINACTIVE</v>
          </cell>
          <cell r="K71" t="e">
            <v>#VALUE!</v>
          </cell>
        </row>
        <row r="72">
          <cell r="A72" t="str">
            <v>#CIQINACTIVE</v>
          </cell>
          <cell r="B72" t="str">
            <v>#CIQINACTIVE</v>
          </cell>
          <cell r="C72" t="e">
            <v>#VALUE!</v>
          </cell>
          <cell r="E72" t="str">
            <v>#CIQINACTIVE</v>
          </cell>
          <cell r="F72" t="str">
            <v>#CIQINACTIVE</v>
          </cell>
          <cell r="G72" t="e">
            <v>#VALUE!</v>
          </cell>
          <cell r="I72" t="str">
            <v>#CIQINACTIVE</v>
          </cell>
          <cell r="J72" t="str">
            <v>#CIQINACTIVE</v>
          </cell>
          <cell r="K72" t="e">
            <v>#VALUE!</v>
          </cell>
        </row>
        <row r="73">
          <cell r="E73" t="str">
            <v>#CIQINACTIVE</v>
          </cell>
          <cell r="F73" t="str">
            <v>#CIQINACTIVE</v>
          </cell>
          <cell r="G73" t="e">
            <v>#VALUE!</v>
          </cell>
          <cell r="I73" t="str">
            <v>#CIQINACTIVE</v>
          </cell>
          <cell r="J73" t="str">
            <v>#CIQINACTIVE</v>
          </cell>
          <cell r="K73" t="e">
            <v>#VALUE!</v>
          </cell>
        </row>
        <row r="74">
          <cell r="I74" t="str">
            <v>#CIQINACTIVE</v>
          </cell>
          <cell r="J74" t="str">
            <v>#CIQINACTIVE</v>
          </cell>
          <cell r="K74" t="e">
            <v>#VALUE!</v>
          </cell>
        </row>
      </sheetData>
      <sheetData sheetId="3"/>
      <sheetData sheetId="4">
        <row r="2">
          <cell r="B2" t="str">
            <v>Provision</v>
          </cell>
          <cell r="D2" t="str">
            <v>Status</v>
          </cell>
          <cell r="G2" t="str">
            <v>Additional Details of Provision</v>
          </cell>
          <cell r="J2" t="str">
            <v>Defense Measure Against</v>
          </cell>
        </row>
        <row r="4">
          <cell r="B4" t="str">
            <v>Classified Board</v>
          </cell>
          <cell r="D4" t="str">
            <v>ü</v>
          </cell>
          <cell r="F4" t="str">
            <v></v>
          </cell>
          <cell r="G4" t="str">
            <v>7 person Board divided into 3 classes with each class serving for 3 years.</v>
          </cell>
          <cell r="J4" t="str">
            <v>Proxy Contest</v>
          </cell>
          <cell r="L4" t="str">
            <v>Yes</v>
          </cell>
        </row>
        <row r="5">
          <cell r="F5" t="str">
            <v></v>
          </cell>
          <cell r="G5" t="str">
            <v>Staggered Terms with 3 expiring in 2008, 2 in 2009, and 1 in 2010.</v>
          </cell>
        </row>
        <row r="6">
          <cell r="F6" t="str">
            <v></v>
          </cell>
          <cell r="G6" t="str">
            <v>One vacancy with recent resignation of Joseph Giglio on 8/24/07. Board expects to fill the vacancy within the next 6</v>
          </cell>
        </row>
        <row r="7">
          <cell r="G7" t="str">
            <v>months (as of Oct. 2007).</v>
          </cell>
        </row>
        <row r="10">
          <cell r="B10" t="str">
            <v>Board Fills All Vacancies</v>
          </cell>
          <cell r="D10" t="str">
            <v>ü</v>
          </cell>
          <cell r="F10" t="str">
            <v></v>
          </cell>
          <cell r="G10" t="str">
            <v>All vacancies on board are filled by remaining directors, including vacancies as a result of removal or an enlargement of</v>
          </cell>
          <cell r="J10" t="str">
            <v>Proxy Contest</v>
          </cell>
          <cell r="L10" t="str">
            <v>Yes</v>
          </cell>
        </row>
        <row r="11">
          <cell r="G11" t="str">
            <v>the Board.</v>
          </cell>
        </row>
        <row r="12">
          <cell r="F12" t="str">
            <v></v>
          </cell>
          <cell r="G12" t="str">
            <v>Board is authorized to increase or decease the size of the Board without shareholder approval (up to 9 based on charter).</v>
          </cell>
        </row>
        <row r="15">
          <cell r="B15" t="str">
            <v>Supermajority Vote to Remove Directors</v>
          </cell>
          <cell r="D15" t="str">
            <v>ü</v>
          </cell>
          <cell r="F15" t="str">
            <v></v>
          </cell>
          <cell r="G15" t="str">
            <v>Directors may be removed but only by the vote of 75% of the shares entitled to vote.</v>
          </cell>
          <cell r="J15" t="str">
            <v>Proxy Contest</v>
          </cell>
          <cell r="L15" t="str">
            <v>No</v>
          </cell>
        </row>
        <row r="18">
          <cell r="B18" t="str">
            <v>Expanded Constituency Provision</v>
          </cell>
          <cell r="D18" t="str">
            <v>û</v>
          </cell>
          <cell r="L18" t="str">
            <v>No</v>
          </cell>
        </row>
        <row r="21">
          <cell r="B21" t="str">
            <v>Shareholders Cannot Call Special Meetings</v>
          </cell>
          <cell r="D21" t="str">
            <v>ü</v>
          </cell>
          <cell r="F21" t="str">
            <v></v>
          </cell>
          <cell r="G21" t="str">
            <v>Only the Board can call Special Meetings of the Shareholders, with a minimum of 20 days notice.</v>
          </cell>
          <cell r="J21" t="str">
            <v>Proxy Contest</v>
          </cell>
          <cell r="L21" t="str">
            <v>Yes</v>
          </cell>
        </row>
        <row r="24">
          <cell r="B24" t="str">
            <v>No Action by Written Consent</v>
          </cell>
          <cell r="D24" t="str">
            <v>ü</v>
          </cell>
          <cell r="F24" t="str">
            <v></v>
          </cell>
          <cell r="G24" t="str">
            <v>No shareholder action can be taken by written consent; shareholder votes allowed only at Annual Meetings or Special</v>
          </cell>
          <cell r="J24" t="str">
            <v>Proxy Contest</v>
          </cell>
          <cell r="L24" t="str">
            <v>Yes</v>
          </cell>
        </row>
        <row r="25">
          <cell r="G25" t="str">
            <v>Meetings called by the Board.</v>
          </cell>
        </row>
        <row r="28">
          <cell r="B28" t="str">
            <v>Locked-In Charter or Bylaw Provisions</v>
          </cell>
          <cell r="D28" t="str">
            <v>ü</v>
          </cell>
          <cell r="F28" t="str">
            <v></v>
          </cell>
          <cell r="G28" t="str">
            <v>Supermajority vote requirement (60%) to amend all charter provisions.</v>
          </cell>
          <cell r="J28" t="str">
            <v>Proxy Contest</v>
          </cell>
          <cell r="L28" t="str">
            <v>Yes</v>
          </cell>
        </row>
        <row r="29">
          <cell r="F29" t="str">
            <v></v>
          </cell>
          <cell r="G29" t="str">
            <v>Board is authorized to adopt, amend or repeal bylaws without shareholder approval.</v>
          </cell>
        </row>
        <row r="32">
          <cell r="B32" t="str">
            <v>No Cumulative Voting</v>
          </cell>
          <cell r="D32" t="str">
            <v>ü</v>
          </cell>
          <cell r="F32" t="str">
            <v></v>
          </cell>
          <cell r="G32" t="str">
            <v>Cumulative voting is prohibited in the election of directors.</v>
          </cell>
          <cell r="J32" t="str">
            <v>Proxy Contest</v>
          </cell>
          <cell r="L32" t="str">
            <v>Yes</v>
          </cell>
        </row>
        <row r="35">
          <cell r="B35" t="str">
            <v>Supermajority Vote for Mergers</v>
          </cell>
          <cell r="D35" t="str">
            <v>ü</v>
          </cell>
          <cell r="F35" t="str">
            <v></v>
          </cell>
          <cell r="G35" t="str">
            <v>Supermajority vote requirement (60%) to approve mergers.</v>
          </cell>
          <cell r="J35" t="str">
            <v>Tender Offer</v>
          </cell>
          <cell r="L35" t="str">
            <v>Yes</v>
          </cell>
        </row>
        <row r="36">
          <cell r="J36" t="str">
            <v>Open Market Takeover</v>
          </cell>
        </row>
        <row r="39">
          <cell r="B39" t="str">
            <v>Fair Price Provision</v>
          </cell>
          <cell r="D39" t="str">
            <v>ü</v>
          </cell>
          <cell r="F39" t="str">
            <v></v>
          </cell>
          <cell r="G39" t="str">
            <v>Fair price provision whereby 60% of voting power is required to approve a business combination with Person (5%</v>
          </cell>
          <cell r="J39" t="str">
            <v>Tender Offer</v>
          </cell>
          <cell r="L39" t="str">
            <v>Yes</v>
          </cell>
        </row>
        <row r="40">
          <cell r="G40" t="str">
            <v>shareholder) unless approved by disinterested directors or certain fair price requirement is met (65% to amend/repeal).</v>
          </cell>
          <cell r="J40" t="str">
            <v>Open Market Takeover</v>
          </cell>
        </row>
        <row r="43">
          <cell r="B43" t="str">
            <v>Directors Removed Only for Cause</v>
          </cell>
          <cell r="D43" t="str">
            <v>û</v>
          </cell>
          <cell r="J43" t="str">
            <v>Proxy Contest</v>
          </cell>
          <cell r="L43" t="str">
            <v>Yes</v>
          </cell>
        </row>
        <row r="46">
          <cell r="B46" t="str">
            <v>Blank Check Preferred Stock</v>
          </cell>
          <cell r="D46" t="str">
            <v>ü</v>
          </cell>
          <cell r="F46" t="str">
            <v></v>
          </cell>
          <cell r="G46" t="str">
            <v>Redemption Price: $0.01, Redemption Window: 10 Days.</v>
          </cell>
          <cell r="J46" t="str">
            <v>Tender Offer</v>
          </cell>
          <cell r="L46" t="str">
            <v>Yes</v>
          </cell>
        </row>
        <row r="47">
          <cell r="J47" t="str">
            <v>Open Market Takeover</v>
          </cell>
        </row>
        <row r="50">
          <cell r="B50" t="str">
            <v>Poison Pill In Force (expires July 24, 2008)</v>
          </cell>
          <cell r="D50" t="str">
            <v>ü</v>
          </cell>
          <cell r="F50" t="str">
            <v></v>
          </cell>
          <cell r="G50" t="str">
            <v>Pill type: flip-in/flip-over, Exercise price - $40.00, Status Flip-in - 15%, Flip-over - 50%, Adverse person provision - 10%.</v>
          </cell>
          <cell r="J50" t="str">
            <v>Tender Offer</v>
          </cell>
          <cell r="L50" t="str">
            <v>Yes</v>
          </cell>
        </row>
        <row r="51">
          <cell r="F51" t="str">
            <v></v>
          </cell>
          <cell r="G51" t="str">
            <v>Acquiring person &amp; separation of rights: Acquiring person - 15%, % to separate (person) - 15%, % to separate (TO) - 20%.</v>
          </cell>
          <cell r="J51" t="str">
            <v>Open Market Takeover</v>
          </cell>
        </row>
        <row r="52">
          <cell r="F52" t="str">
            <v></v>
          </cell>
          <cell r="G52" t="str">
            <v>§203: Limitation on any stockholder acquiring &gt;15% of shares; may not engage in any business combination for 3 years.</v>
          </cell>
        </row>
        <row r="53">
          <cell r="F53" t="str">
            <v></v>
          </cell>
          <cell r="G53" t="str">
            <v>Trigger exemptions: Passed threshold "inadvertently" and divests shares or increase by repurchases/reclassifications.</v>
          </cell>
        </row>
        <row r="56">
          <cell r="B56" t="str">
            <v>Other</v>
          </cell>
          <cell r="D56" t="str">
            <v>ü</v>
          </cell>
          <cell r="F56" t="str">
            <v></v>
          </cell>
          <cell r="G56" t="str">
            <v>Anti-greenmail provision.</v>
          </cell>
        </row>
        <row r="62">
          <cell r="F62" t="str">
            <v></v>
          </cell>
          <cell r="G62" t="str">
            <v>Proposals of stockholders intended to be presented at the Annual Meeting (including Board nominations) must be</v>
          </cell>
        </row>
        <row r="63">
          <cell r="G63" t="str">
            <v>received by the Company on or before June 1 to be considered. [CHECK WITH KOTRAN]</v>
          </cell>
        </row>
      </sheetData>
      <sheetData sheetId="5">
        <row r="2">
          <cell r="B2" t="str">
            <v>Provision</v>
          </cell>
          <cell r="G2" t="str">
            <v>Status</v>
          </cell>
        </row>
        <row r="4">
          <cell r="B4" t="str">
            <v>Classified Board</v>
          </cell>
          <cell r="G4" t="str">
            <v>ü</v>
          </cell>
          <cell r="I4" t="str">
            <v>Yes</v>
          </cell>
        </row>
        <row r="5">
          <cell r="B5" t="str">
            <v>Board Fills All Vacancies</v>
          </cell>
          <cell r="G5" t="str">
            <v>ü</v>
          </cell>
          <cell r="I5" t="str">
            <v>Yes</v>
          </cell>
        </row>
        <row r="6">
          <cell r="B6" t="str">
            <v>Shareholders Cannot Call Special Meetings</v>
          </cell>
          <cell r="G6" t="str">
            <v>ü</v>
          </cell>
          <cell r="I6" t="str">
            <v>Yes</v>
          </cell>
        </row>
        <row r="7">
          <cell r="B7" t="str">
            <v>No Action by Written Consent</v>
          </cell>
          <cell r="G7" t="str">
            <v>ü</v>
          </cell>
          <cell r="I7" t="str">
            <v>Yes</v>
          </cell>
        </row>
        <row r="8">
          <cell r="B8" t="str">
            <v>Fair Price Provision</v>
          </cell>
          <cell r="G8" t="str">
            <v>ü</v>
          </cell>
          <cell r="I8" t="str">
            <v>Yes</v>
          </cell>
        </row>
        <row r="9">
          <cell r="B9" t="str">
            <v>Supermajority Vote for Mergers</v>
          </cell>
          <cell r="G9" t="str">
            <v>ü</v>
          </cell>
          <cell r="I9" t="str">
            <v>Yes</v>
          </cell>
        </row>
        <row r="10">
          <cell r="B10" t="str">
            <v>Directors Removed Only for Cause</v>
          </cell>
          <cell r="G10" t="str">
            <v>û</v>
          </cell>
          <cell r="I10" t="str">
            <v>Yes</v>
          </cell>
        </row>
        <row r="11">
          <cell r="B11" t="str">
            <v>Supermajority Vote to Remove Directors</v>
          </cell>
          <cell r="G11" t="str">
            <v>ü</v>
          </cell>
          <cell r="I11" t="str">
            <v>No</v>
          </cell>
        </row>
        <row r="12">
          <cell r="B12" t="str">
            <v>Locked-In Charter or Bylaw Provisions</v>
          </cell>
          <cell r="G12" t="str">
            <v>ü</v>
          </cell>
          <cell r="I12" t="str">
            <v>Yes</v>
          </cell>
        </row>
        <row r="13">
          <cell r="B13" t="str">
            <v>Expanded Constituency Provision</v>
          </cell>
          <cell r="G13" t="str">
            <v>û</v>
          </cell>
          <cell r="I13" t="str">
            <v>No</v>
          </cell>
        </row>
        <row r="14">
          <cell r="B14" t="str">
            <v>No Cumulative Voting</v>
          </cell>
          <cell r="G14" t="str">
            <v>ü</v>
          </cell>
          <cell r="I14" t="str">
            <v>Yes</v>
          </cell>
        </row>
        <row r="15">
          <cell r="B15" t="str">
            <v>Blank Check Preferred Stock</v>
          </cell>
          <cell r="G15" t="str">
            <v>ü</v>
          </cell>
          <cell r="I15" t="str">
            <v>Yes</v>
          </cell>
        </row>
        <row r="16">
          <cell r="B16" t="str">
            <v>Poison Pill In Force (expires July 24, 2008)</v>
          </cell>
          <cell r="G16" t="str">
            <v>ü</v>
          </cell>
          <cell r="I16" t="str">
            <v>Yes</v>
          </cell>
        </row>
        <row r="19">
          <cell r="B19" t="str">
            <v>Posion Pill Provisions</v>
          </cell>
        </row>
        <row r="21">
          <cell r="B21" t="str">
            <v>Pill Type</v>
          </cell>
          <cell r="G21" t="str">
            <v>Flip-in/Flip-over</v>
          </cell>
        </row>
        <row r="22">
          <cell r="B22" t="str">
            <v>Adoption Date</v>
          </cell>
          <cell r="G22">
            <v>35976</v>
          </cell>
        </row>
        <row r="23">
          <cell r="B23" t="str">
            <v>Rights Agreement Date</v>
          </cell>
          <cell r="G23">
            <v>36000</v>
          </cell>
        </row>
        <row r="24">
          <cell r="B24" t="str">
            <v>Exercise Price</v>
          </cell>
          <cell r="G24">
            <v>40</v>
          </cell>
        </row>
        <row r="25">
          <cell r="B25" t="str">
            <v>Pill Status</v>
          </cell>
          <cell r="G25" t="str">
            <v>In Force</v>
          </cell>
        </row>
        <row r="26">
          <cell r="B26" t="str">
            <v>Last Amended</v>
          </cell>
          <cell r="G26">
            <v>37179</v>
          </cell>
        </row>
        <row r="27">
          <cell r="B27" t="str">
            <v>Expiration Date</v>
          </cell>
          <cell r="G27">
            <v>39653</v>
          </cell>
        </row>
      </sheetData>
      <sheetData sheetId="6">
        <row r="3">
          <cell r="B3" t="str">
            <v>DJIA</v>
          </cell>
          <cell r="C3">
            <v>1.77</v>
          </cell>
        </row>
        <row r="4">
          <cell r="B4" t="str">
            <v>Nasdaq 100</v>
          </cell>
          <cell r="C4">
            <v>3.61</v>
          </cell>
        </row>
        <row r="5">
          <cell r="B5" t="str">
            <v>Fortune 500</v>
          </cell>
          <cell r="C5">
            <v>3.78</v>
          </cell>
        </row>
        <row r="6">
          <cell r="B6" t="str">
            <v>S&amp;P 500</v>
          </cell>
          <cell r="C6">
            <v>3.82</v>
          </cell>
        </row>
        <row r="7">
          <cell r="B7" t="str">
            <v>Universe (2)</v>
          </cell>
          <cell r="C7">
            <v>4.41</v>
          </cell>
        </row>
        <row r="8">
          <cell r="B8" t="str">
            <v>S&amp;P 1500</v>
          </cell>
          <cell r="C8">
            <v>4.51</v>
          </cell>
        </row>
        <row r="9">
          <cell r="B9" t="str">
            <v>S&amp;P 600</v>
          </cell>
          <cell r="C9">
            <v>4.7699999999999996</v>
          </cell>
        </row>
        <row r="10">
          <cell r="B10" t="str">
            <v>SIC Group (3)</v>
          </cell>
          <cell r="C10">
            <v>4.8499999999999996</v>
          </cell>
        </row>
        <row r="11">
          <cell r="B11" t="str">
            <v>S&amp;P 400</v>
          </cell>
          <cell r="C11">
            <v>4.9800000000000004</v>
          </cell>
        </row>
        <row r="12">
          <cell r="B12" t="str">
            <v>Coyote</v>
          </cell>
          <cell r="C12">
            <v>9.75</v>
          </cell>
        </row>
      </sheetData>
      <sheetData sheetId="7">
        <row r="4">
          <cell r="B4" t="str">
            <v>Top Quartile</v>
          </cell>
          <cell r="E4" t="str">
            <v>Bottom Quartile</v>
          </cell>
        </row>
        <row r="5">
          <cell r="B5" t="str">
            <v xml:space="preserve">AptarGroup, Inc. </v>
          </cell>
          <cell r="C5">
            <v>9.75</v>
          </cell>
          <cell r="E5" t="str">
            <v xml:space="preserve">International Smart Sourcing, Inc. </v>
          </cell>
          <cell r="F5">
            <v>0.75</v>
          </cell>
        </row>
        <row r="6">
          <cell r="B6" t="str">
            <v xml:space="preserve">Quixote Corporation </v>
          </cell>
          <cell r="C6">
            <v>9.75</v>
          </cell>
          <cell r="E6" t="str">
            <v xml:space="preserve">Sealed Air Corporation </v>
          </cell>
          <cell r="F6">
            <v>0.75</v>
          </cell>
        </row>
        <row r="7">
          <cell r="B7" t="str">
            <v xml:space="preserve">Carlisle Companies Incorporated </v>
          </cell>
          <cell r="C7">
            <v>9.5</v>
          </cell>
          <cell r="E7" t="str">
            <v xml:space="preserve">Viskase Companies, Inc. </v>
          </cell>
          <cell r="F7">
            <v>0.75</v>
          </cell>
        </row>
        <row r="8">
          <cell r="B8" t="str">
            <v xml:space="preserve">Cooper Tire &amp; Rubber Company </v>
          </cell>
          <cell r="C8">
            <v>9.5</v>
          </cell>
          <cell r="E8" t="str">
            <v xml:space="preserve">Foamex International Inc. </v>
          </cell>
          <cell r="F8">
            <v>1.5</v>
          </cell>
        </row>
        <row r="9">
          <cell r="B9" t="str">
            <v xml:space="preserve">Spartech Corporation </v>
          </cell>
          <cell r="C9">
            <v>8.25</v>
          </cell>
          <cell r="E9" t="str">
            <v xml:space="preserve">Myers Industries, Inc. </v>
          </cell>
          <cell r="F9">
            <v>1.5</v>
          </cell>
        </row>
        <row r="10">
          <cell r="B10" t="str">
            <v xml:space="preserve">West Pharmaceutical Services, Inc. </v>
          </cell>
          <cell r="C10">
            <v>6</v>
          </cell>
          <cell r="E10" t="str">
            <v xml:space="preserve">The Goodyear Tire &amp; Rubber Company </v>
          </cell>
          <cell r="F10">
            <v>1.5</v>
          </cell>
        </row>
        <row r="11">
          <cell r="B11" t="str">
            <v xml:space="preserve">Newell Rubbermaid Inc. </v>
          </cell>
          <cell r="C11">
            <v>5.75</v>
          </cell>
          <cell r="E11" t="str">
            <v xml:space="preserve">NIKE, Inc. </v>
          </cell>
          <cell r="F11">
            <v>1.75</v>
          </cell>
        </row>
        <row r="12">
          <cell r="B12" t="str">
            <v xml:space="preserve">EnPro Industries, Inc. </v>
          </cell>
          <cell r="C12">
            <v>5.5</v>
          </cell>
        </row>
        <row r="27">
          <cell r="B27" t="str">
            <v>Top Quartile</v>
          </cell>
          <cell r="E27" t="str">
            <v>Bottom Quartile</v>
          </cell>
        </row>
        <row r="28">
          <cell r="B28" t="str">
            <v>Company</v>
          </cell>
          <cell r="C28" t="str">
            <v>Ticker</v>
          </cell>
          <cell r="D28" t="str">
            <v>BPR</v>
          </cell>
          <cell r="E28" t="str">
            <v>Company</v>
          </cell>
          <cell r="F28" t="str">
            <v>Ticker</v>
          </cell>
          <cell r="G28" t="str">
            <v>BPR</v>
          </cell>
        </row>
        <row r="29">
          <cell r="B29" t="str">
            <v xml:space="preserve">AptarGroup, Inc. </v>
          </cell>
          <cell r="C29" t="str">
            <v>ATR</v>
          </cell>
          <cell r="D29">
            <v>9.75</v>
          </cell>
          <cell r="E29" t="str">
            <v xml:space="preserve">International Smart Sourcing, Inc. </v>
          </cell>
          <cell r="F29" t="str">
            <v>ISSG</v>
          </cell>
          <cell r="G29">
            <v>0.75</v>
          </cell>
        </row>
        <row r="30">
          <cell r="B30" t="str">
            <v xml:space="preserve">Quixote Corporation </v>
          </cell>
          <cell r="C30" t="str">
            <v>QUIX</v>
          </cell>
          <cell r="D30">
            <v>9.75</v>
          </cell>
          <cell r="E30" t="str">
            <v xml:space="preserve">Sealed Air Corporation </v>
          </cell>
          <cell r="F30" t="str">
            <v>SEE</v>
          </cell>
          <cell r="G30">
            <v>0.75</v>
          </cell>
        </row>
        <row r="31">
          <cell r="B31" t="str">
            <v xml:space="preserve">Carlisle Companies Incorporated </v>
          </cell>
          <cell r="C31" t="str">
            <v>CSL</v>
          </cell>
          <cell r="D31">
            <v>9.5</v>
          </cell>
          <cell r="E31" t="str">
            <v xml:space="preserve">Viskase Companies, Inc. </v>
          </cell>
          <cell r="F31" t="str">
            <v>VKSC</v>
          </cell>
          <cell r="G31">
            <v>0.75</v>
          </cell>
        </row>
        <row r="32">
          <cell r="B32" t="str">
            <v xml:space="preserve">Cooper Tire &amp; Rubber Company </v>
          </cell>
          <cell r="C32" t="str">
            <v>CTB</v>
          </cell>
          <cell r="D32">
            <v>9.5</v>
          </cell>
          <cell r="E32" t="str">
            <v xml:space="preserve">Foamex International Inc. </v>
          </cell>
          <cell r="F32" t="str">
            <v>FMXL</v>
          </cell>
          <cell r="G32">
            <v>1.5</v>
          </cell>
        </row>
        <row r="33">
          <cell r="B33" t="str">
            <v xml:space="preserve">Spartech Corporation </v>
          </cell>
          <cell r="C33" t="str">
            <v>SEH</v>
          </cell>
          <cell r="D33">
            <v>8.25</v>
          </cell>
          <cell r="E33" t="str">
            <v xml:space="preserve">Myers Industries, Inc. </v>
          </cell>
          <cell r="F33" t="str">
            <v>MYE</v>
          </cell>
          <cell r="G33">
            <v>1.5</v>
          </cell>
        </row>
        <row r="34">
          <cell r="B34" t="str">
            <v xml:space="preserve">West Pharmaceutical Services, Inc. </v>
          </cell>
          <cell r="C34" t="str">
            <v>WST</v>
          </cell>
          <cell r="D34">
            <v>6</v>
          </cell>
          <cell r="E34" t="str">
            <v xml:space="preserve">The Goodyear Tire &amp; Rubber Company </v>
          </cell>
          <cell r="F34" t="str">
            <v>GT</v>
          </cell>
          <cell r="G34">
            <v>1.5</v>
          </cell>
        </row>
        <row r="35">
          <cell r="B35" t="str">
            <v xml:space="preserve">Newell Rubbermaid Inc. </v>
          </cell>
          <cell r="C35" t="str">
            <v>NWL</v>
          </cell>
          <cell r="D35">
            <v>5.75</v>
          </cell>
          <cell r="E35" t="str">
            <v xml:space="preserve">NIKE, Inc. </v>
          </cell>
          <cell r="F35" t="str">
            <v>NKE</v>
          </cell>
          <cell r="G35">
            <v>1.75</v>
          </cell>
        </row>
        <row r="36">
          <cell r="B36" t="str">
            <v xml:space="preserve">EnPro Industries, Inc. </v>
          </cell>
          <cell r="C36" t="str">
            <v>NPO</v>
          </cell>
          <cell r="D36">
            <v>5.5</v>
          </cell>
        </row>
      </sheetData>
      <sheetData sheetId="8">
        <row r="2">
          <cell r="B2" t="str">
            <v>Tactic</v>
          </cell>
          <cell r="E2" t="str">
            <v>Action</v>
          </cell>
          <cell r="H2" t="str">
            <v>Response</v>
          </cell>
        </row>
        <row r="4">
          <cell r="B4" t="str">
            <v>Nominate new Board members</v>
          </cell>
          <cell r="D4" t="str">
            <v></v>
          </cell>
          <cell r="E4" t="str">
            <v>Only 3 reelection seats in 2008.</v>
          </cell>
          <cell r="G4" t="str">
            <v></v>
          </cell>
          <cell r="H4" t="str">
            <v>Board has ability to add board seats to expand board.</v>
          </cell>
        </row>
        <row r="5">
          <cell r="D5" t="str">
            <v></v>
          </cell>
          <cell r="E5" t="str">
            <v>Can only nominate/vote at annual meeting.</v>
          </cell>
          <cell r="G5" t="str">
            <v></v>
          </cell>
          <cell r="H5" t="str">
            <v>After expanding the Board, current Board nominates new members.</v>
          </cell>
        </row>
        <row r="6">
          <cell r="D6" t="str">
            <v></v>
          </cell>
          <cell r="E6" t="str">
            <v>Elected by majority of shareholders (75%+).</v>
          </cell>
        </row>
        <row r="9">
          <cell r="B9" t="str">
            <v>Proxy contest</v>
          </cell>
          <cell r="D9" t="str">
            <v></v>
          </cell>
          <cell r="E9" t="str">
            <v>Nominate new Board members</v>
          </cell>
          <cell r="G9" t="str">
            <v></v>
          </cell>
          <cell r="H9" t="str">
            <v>Only 3 reelection seats in 2008.</v>
          </cell>
        </row>
        <row r="10">
          <cell r="D10" t="str">
            <v></v>
          </cell>
          <cell r="E10" t="str">
            <v>Can only nominate/vote at annual meeting.</v>
          </cell>
          <cell r="G10" t="str">
            <v></v>
          </cell>
          <cell r="H10" t="str">
            <v>Elected by majority of shareholders (75%+).</v>
          </cell>
        </row>
        <row r="11">
          <cell r="G11" t="str">
            <v></v>
          </cell>
          <cell r="H11" t="str">
            <v>Board has ability to add board seats to expand board.</v>
          </cell>
        </row>
        <row r="12">
          <cell r="G12" t="str">
            <v></v>
          </cell>
          <cell r="H12" t="str">
            <v>After expanding the Board, current Board nominates new members.</v>
          </cell>
        </row>
        <row r="15">
          <cell r="B15" t="str">
            <v>Wait for pill expiration</v>
          </cell>
          <cell r="D15" t="str">
            <v></v>
          </cell>
          <cell r="E15" t="str">
            <v>Wait until July expiration before launching tender.</v>
          </cell>
          <cell r="G15" t="str">
            <v></v>
          </cell>
          <cell r="H15" t="str">
            <v>Board can amend at any time; doesn't need shareholder vote.</v>
          </cell>
        </row>
        <row r="16">
          <cell r="G16" t="str">
            <v></v>
          </cell>
          <cell r="H16" t="str">
            <v>Delaware statutory pill still in place.</v>
          </cell>
        </row>
        <row r="20">
          <cell r="B20" t="str">
            <v>Befriend current shareholders</v>
          </cell>
          <cell r="D20" t="str">
            <v></v>
          </cell>
          <cell r="E20" t="str">
            <v>Approach larger shareholders to gain favor before announcing</v>
          </cell>
          <cell r="G20" t="str">
            <v></v>
          </cell>
          <cell r="H20" t="str">
            <v>Board can claim all involved shareholders in favor of acquisition are</v>
          </cell>
        </row>
        <row r="21">
          <cell r="E21" t="str">
            <v>unsolicited offer or tender offer.</v>
          </cell>
          <cell r="H21" t="str">
            <v>one interested party and enact pill.</v>
          </cell>
        </row>
        <row r="22">
          <cell r="D22" t="str">
            <v></v>
          </cell>
        </row>
        <row r="25">
          <cell r="B25" t="str">
            <v>Nuclear attack</v>
          </cell>
          <cell r="D25" t="str">
            <v></v>
          </cell>
          <cell r="E25" t="str">
            <v>Launch tender offer and proxy contest simultaneously.</v>
          </cell>
          <cell r="G25" t="str">
            <v></v>
          </cell>
          <cell r="H25" t="str">
            <v>Enact pill immediately.</v>
          </cell>
        </row>
        <row r="26">
          <cell r="D26" t="str">
            <v></v>
          </cell>
          <cell r="G26" t="str">
            <v></v>
          </cell>
        </row>
        <row r="30">
          <cell r="D30" t="str">
            <v></v>
          </cell>
          <cell r="G30" t="str">
            <v></v>
          </cell>
        </row>
        <row r="31">
          <cell r="D31" t="str">
            <v></v>
          </cell>
          <cell r="G31"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nse Profile Summary"/>
      <sheetName val="Peer Defense Comparison"/>
      <sheetName val="SandPTakeover"/>
      <sheetName val="Industry Rights Provisions"/>
      <sheetName val="SandPs"/>
      <sheetName val="ExtendExpire"/>
    </sheetNames>
    <sheetDataSet>
      <sheetData sheetId="0">
        <row r="4">
          <cell r="C4" t="str">
            <v>Structural Defense</v>
          </cell>
          <cell r="G4" t="str">
            <v>Comments</v>
          </cell>
        </row>
        <row r="6">
          <cell r="C6" t="str">
            <v>State of Incorporation</v>
          </cell>
          <cell r="G6" t="str">
            <v>North Carolina</v>
          </cell>
        </row>
        <row r="7">
          <cell r="C7" t="str">
            <v>Significant Insider Stake</v>
          </cell>
          <cell r="E7" t="str">
            <v>-</v>
          </cell>
          <cell r="G7" t="str">
            <v>Approximately 0.4% of outstanding shares owned by insiders (excluding Al-Kharafi &amp; Sons)</v>
          </cell>
        </row>
        <row r="9">
          <cell r="C9" t="str">
            <v>Economic Deterrents</v>
          </cell>
        </row>
        <row r="11">
          <cell r="C11" t="str">
            <v>Poison Pill</v>
          </cell>
          <cell r="E11" t="str">
            <v>√</v>
          </cell>
          <cell r="G11" t="str">
            <v>Krispy Kreme Doughnuts currently has a shareholder rights plan in force that will expire on 1/18/2010</v>
          </cell>
        </row>
        <row r="12">
          <cell r="C12" t="str">
            <v>"Blank Check" Preferred</v>
          </cell>
          <cell r="E12" t="str">
            <v>√</v>
          </cell>
          <cell r="G12" t="str">
            <v>Board can issue preferred stock in the event of a hostile takeover threat</v>
          </cell>
        </row>
        <row r="14">
          <cell r="C14" t="str">
            <v>Corporate Governance Defenses</v>
          </cell>
        </row>
        <row r="16">
          <cell r="C16" t="str">
            <v>Staggered Board</v>
          </cell>
          <cell r="E16" t="str">
            <v>√</v>
          </cell>
          <cell r="G16" t="str">
            <v>Classified board with staggered terms</v>
          </cell>
        </row>
        <row r="17">
          <cell r="C17" t="str">
            <v>No action by written consent</v>
          </cell>
          <cell r="E17" t="str">
            <v>√</v>
          </cell>
          <cell r="G17" t="str">
            <v>Action may be taken through unanimous written consent</v>
          </cell>
        </row>
        <row r="18">
          <cell r="C18" t="str">
            <v>Director removal</v>
          </cell>
          <cell r="E18" t="str">
            <v>√</v>
          </cell>
          <cell r="G18" t="str">
            <v>Directors may only be removed for cause and only by the vote of 66.67% of the shares entitled to vote</v>
          </cell>
        </row>
        <row r="19">
          <cell r="C19" t="str">
            <v>Board Size</v>
          </cell>
          <cell r="E19" t="str">
            <v>√</v>
          </cell>
          <cell r="G19" t="str">
            <v>Board is authorized to increase or decrease the size of the board without shareholder approval</v>
          </cell>
        </row>
        <row r="20">
          <cell r="C20" t="str">
            <v>Director vacancies</v>
          </cell>
          <cell r="E20" t="str">
            <v>-</v>
          </cell>
          <cell r="G20" t="str">
            <v>Vacancies created by an increase in the authorized number of Directors shall be filled by election at an annual meeting or at a special meeting of shareholders called for that purpose. All other vacancies are filled by remaining directors.</v>
          </cell>
        </row>
        <row r="21">
          <cell r="C21" t="str">
            <v>Limitation on ability to call 
special meetings</v>
          </cell>
          <cell r="E21" t="str">
            <v>√</v>
          </cell>
          <cell r="G21" t="str">
            <v>Shareholders cannot call special meetings, Special meetings of the shareholders may be called at any time by the 
President, Secretary or Board of Directors of the corporation</v>
          </cell>
        </row>
        <row r="22">
          <cell r="C22" t="str">
            <v>Advance notice requirements</v>
          </cell>
          <cell r="E22" t="str">
            <v>√</v>
          </cell>
          <cell r="G22" t="str">
            <v>For proposals or nominations, written consent must be given to  the Secretary of the corporation at least not less than 90 days nor more than 120 days prior to the first anniversary of the prior year's annual shareholders meeting</v>
          </cell>
        </row>
        <row r="23">
          <cell r="C23" t="str">
            <v>No cumulative voting</v>
          </cell>
          <cell r="E23" t="str">
            <v>√</v>
          </cell>
          <cell r="G23" t="str">
            <v>Cumulative voting is prohibited in the election of directors</v>
          </cell>
        </row>
        <row r="24">
          <cell r="C24" t="str">
            <v>Ability to amend by laws</v>
          </cell>
          <cell r="E24" t="str">
            <v>√</v>
          </cell>
          <cell r="G24" t="str">
            <v>Board is authorized to adopt, amend or repeal bylaws without shareholder approval</v>
          </cell>
        </row>
        <row r="25">
          <cell r="C25" t="str">
            <v>Ability to amend by charter</v>
          </cell>
          <cell r="E25" t="str">
            <v>√</v>
          </cell>
          <cell r="G25" t="str">
            <v>Supermajority vote requirement (66.67%) to amend all charter provisions</v>
          </cell>
        </row>
      </sheetData>
      <sheetData sheetId="1">
        <row r="1">
          <cell r="A1">
            <v>40415</v>
          </cell>
        </row>
        <row r="3">
          <cell r="G3" t="str">
            <v>√</v>
          </cell>
          <cell r="H3" t="str">
            <v>-</v>
          </cell>
        </row>
        <row r="5">
          <cell r="F5" t="str">
            <v>Market Cap</v>
          </cell>
          <cell r="G5" t="str">
            <v>Classified 
Board</v>
          </cell>
          <cell r="H5" t="str">
            <v>Board Fills 
All Vacancies</v>
          </cell>
          <cell r="I5" t="str">
            <v>Shareholders Cannot 
Call Special Meetings</v>
          </cell>
          <cell r="J5" t="str">
            <v>No Action by 
Written Consent</v>
          </cell>
          <cell r="K5" t="str">
            <v>Fair Price Provision</v>
          </cell>
          <cell r="L5" t="str">
            <v>Supermajority Vote 
for Mergers</v>
          </cell>
          <cell r="M5" t="str">
            <v>Directors Removed 
Only for Cause</v>
          </cell>
          <cell r="N5" t="str">
            <v>Supermajority Vote to 
Remove Directors</v>
          </cell>
          <cell r="O5" t="str">
            <v>Locked-In Charter or 
Bylaw Provisions</v>
          </cell>
          <cell r="P5" t="str">
            <v>Expanded Constituency 
Provision</v>
          </cell>
          <cell r="Q5" t="str">
            <v>No Cumulative Voting</v>
          </cell>
          <cell r="R5" t="str">
            <v>Blank Check 
Preferred Stock</v>
          </cell>
          <cell r="S5" t="str">
            <v>Rights Plan in Force</v>
          </cell>
          <cell r="T5" t="str">
            <v>Insider Ownership 1</v>
          </cell>
          <cell r="U5" t="str">
            <v>Shark Repellent Rating 2</v>
          </cell>
        </row>
        <row r="8">
          <cell r="B8" t="str">
            <v>POWL</v>
          </cell>
          <cell r="E8" t="str">
            <v>Powell</v>
          </cell>
          <cell r="F8">
            <v>337.49639999999999</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v>0.22858000000000001</v>
          </cell>
          <cell r="U8">
            <v>3.75</v>
          </cell>
        </row>
        <row r="10">
          <cell r="E10" t="str">
            <v>% S&amp;P 1500 Companies with provision</v>
          </cell>
          <cell r="G10">
            <v>0.29149999999999998</v>
          </cell>
          <cell r="H10">
            <v>0.78339999999999999</v>
          </cell>
          <cell r="I10">
            <v>0.5101</v>
          </cell>
          <cell r="J10">
            <v>0.72060000000000002</v>
          </cell>
          <cell r="K10">
            <v>0.20649999999999999</v>
          </cell>
          <cell r="L10">
            <v>0.23680000000000001</v>
          </cell>
          <cell r="M10">
            <v>0.38059999999999999</v>
          </cell>
          <cell r="N10">
            <v>0.253</v>
          </cell>
          <cell r="O10">
            <v>0.54659999999999997</v>
          </cell>
          <cell r="P10">
            <v>7.6899999999999996E-2</v>
          </cell>
          <cell r="Q10">
            <v>0.94130000000000003</v>
          </cell>
          <cell r="R10">
            <v>0.95140000000000002</v>
          </cell>
          <cell r="S10">
            <v>0.14199999999999999</v>
          </cell>
          <cell r="T10" t="str">
            <v>NA</v>
          </cell>
          <cell r="U10">
            <v>3.7</v>
          </cell>
        </row>
        <row r="12">
          <cell r="B12" t="str">
            <v>EMR</v>
          </cell>
          <cell r="C12" t="str">
            <v>Emerson Electric Co.</v>
          </cell>
          <cell r="F12">
            <v>34467.856290000003</v>
          </cell>
          <cell r="G12" t="str">
            <v>√</v>
          </cell>
          <cell r="H12" t="str">
            <v>√</v>
          </cell>
          <cell r="I12" t="str">
            <v>-</v>
          </cell>
          <cell r="J12" t="str">
            <v>√</v>
          </cell>
          <cell r="K12" t="str">
            <v>√</v>
          </cell>
          <cell r="L12" t="str">
            <v>√</v>
          </cell>
          <cell r="M12" t="str">
            <v>-</v>
          </cell>
          <cell r="N12" t="str">
            <v>√</v>
          </cell>
          <cell r="O12" t="str">
            <v>√</v>
          </cell>
          <cell r="P12" t="str">
            <v>-</v>
          </cell>
          <cell r="Q12" t="str">
            <v>√</v>
          </cell>
          <cell r="R12" t="str">
            <v>√</v>
          </cell>
          <cell r="S12" t="str">
            <v>-</v>
          </cell>
          <cell r="T12">
            <v>6.0299999999999998E-3</v>
          </cell>
          <cell r="U12">
            <v>5.25</v>
          </cell>
        </row>
        <row r="13">
          <cell r="B13" t="str">
            <v>ETN</v>
          </cell>
          <cell r="C13" t="str">
            <v>Eaton Corporation</v>
          </cell>
          <cell r="F13">
            <v>11740.966</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v>2.0490000000000001E-2</v>
          </cell>
          <cell r="U13">
            <v>4.75</v>
          </cell>
        </row>
        <row r="14">
          <cell r="B14" t="str">
            <v>CBE</v>
          </cell>
          <cell r="C14" t="str">
            <v>Cooper Industries plc</v>
          </cell>
          <cell r="F14">
            <v>6912.7538800000002</v>
          </cell>
          <cell r="G14" t="str">
            <v>NA</v>
          </cell>
          <cell r="H14" t="str">
            <v>NA</v>
          </cell>
          <cell r="I14" t="str">
            <v>NA</v>
          </cell>
          <cell r="J14" t="str">
            <v>NA</v>
          </cell>
          <cell r="K14" t="str">
            <v>NA</v>
          </cell>
          <cell r="L14" t="str">
            <v>NA</v>
          </cell>
          <cell r="M14" t="str">
            <v>NA</v>
          </cell>
          <cell r="N14" t="str">
            <v>NA</v>
          </cell>
          <cell r="O14" t="str">
            <v>NA</v>
          </cell>
          <cell r="P14" t="str">
            <v>NA</v>
          </cell>
          <cell r="Q14" t="str">
            <v>NA</v>
          </cell>
          <cell r="R14" t="str">
            <v>NA</v>
          </cell>
          <cell r="S14" t="str">
            <v>√</v>
          </cell>
          <cell r="T14">
            <v>2.0619999999999999E-2</v>
          </cell>
          <cell r="U14" t="str">
            <v>NA</v>
          </cell>
        </row>
        <row r="15">
          <cell r="B15" t="str">
            <v>HUB.B</v>
          </cell>
          <cell r="C15" t="str">
            <v>Hubbell Inc.</v>
          </cell>
          <cell r="F15">
            <v>2637.69812</v>
          </cell>
          <cell r="G15" t="str">
            <v>-</v>
          </cell>
          <cell r="H15" t="str">
            <v>√</v>
          </cell>
          <cell r="I15" t="str">
            <v>-</v>
          </cell>
          <cell r="J15" t="str">
            <v>√</v>
          </cell>
          <cell r="K15" t="str">
            <v>-</v>
          </cell>
          <cell r="L15" t="str">
            <v>√</v>
          </cell>
          <cell r="M15" t="str">
            <v>-</v>
          </cell>
          <cell r="N15" t="str">
            <v>-</v>
          </cell>
          <cell r="O15" t="str">
            <v>-</v>
          </cell>
          <cell r="P15" t="str">
            <v>-</v>
          </cell>
          <cell r="Q15" t="str">
            <v>√</v>
          </cell>
          <cell r="R15" t="str">
            <v>√</v>
          </cell>
          <cell r="S15" t="str">
            <v>√</v>
          </cell>
          <cell r="T15">
            <v>1.566E-2</v>
          </cell>
          <cell r="U15">
            <v>5</v>
          </cell>
        </row>
        <row r="16">
          <cell r="B16" t="str">
            <v>TNB</v>
          </cell>
          <cell r="C16" t="str">
            <v>Thomas &amp; Betts Corp.</v>
          </cell>
          <cell r="F16">
            <v>1918.1989000000001</v>
          </cell>
          <cell r="G16" t="str">
            <v>-</v>
          </cell>
          <cell r="H16" t="str">
            <v>√</v>
          </cell>
          <cell r="I16" t="str">
            <v>√</v>
          </cell>
          <cell r="J16" t="str">
            <v>√</v>
          </cell>
          <cell r="K16" t="str">
            <v>-</v>
          </cell>
          <cell r="L16" t="str">
            <v>-</v>
          </cell>
          <cell r="M16" t="str">
            <v>-</v>
          </cell>
          <cell r="N16" t="str">
            <v>-</v>
          </cell>
          <cell r="O16" t="str">
            <v>-</v>
          </cell>
          <cell r="P16" t="str">
            <v>√</v>
          </cell>
          <cell r="Q16" t="str">
            <v>√</v>
          </cell>
          <cell r="R16" t="str">
            <v>√</v>
          </cell>
          <cell r="S16" t="str">
            <v>-</v>
          </cell>
          <cell r="T16">
            <v>8.6400000000000001E-3</v>
          </cell>
          <cell r="U16">
            <v>2</v>
          </cell>
        </row>
        <row r="17">
          <cell r="B17" t="str">
            <v>MTZ</v>
          </cell>
          <cell r="C17" t="str">
            <v>MasTec, Inc.</v>
          </cell>
          <cell r="F17">
            <v>761.06</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v>0.31173000000000001</v>
          </cell>
          <cell r="U17">
            <v>4.25</v>
          </cell>
        </row>
        <row r="18">
          <cell r="B18" t="str">
            <v>FELE</v>
          </cell>
          <cell r="C18" t="str">
            <v>Franklin Electric Co. Inc.</v>
          </cell>
          <cell r="F18">
            <v>718.00838999999996</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v>0.22098999999999999</v>
          </cell>
          <cell r="U18">
            <v>8.75</v>
          </cell>
        </row>
        <row r="19">
          <cell r="B19" t="str">
            <v>AZZ</v>
          </cell>
          <cell r="C19" t="str">
            <v>AZZ incorporated</v>
          </cell>
          <cell r="F19">
            <v>479.97775000000001</v>
          </cell>
          <cell r="G19" t="str">
            <v>NA</v>
          </cell>
          <cell r="H19" t="str">
            <v>NA</v>
          </cell>
          <cell r="I19" t="str">
            <v>NA</v>
          </cell>
          <cell r="J19" t="str">
            <v>NA</v>
          </cell>
          <cell r="K19" t="str">
            <v>NA</v>
          </cell>
          <cell r="L19" t="str">
            <v>NA</v>
          </cell>
          <cell r="M19" t="str">
            <v>NA</v>
          </cell>
          <cell r="N19" t="str">
            <v>NA</v>
          </cell>
          <cell r="O19" t="str">
            <v>NA</v>
          </cell>
          <cell r="P19" t="str">
            <v>NA</v>
          </cell>
          <cell r="Q19" t="str">
            <v>NA</v>
          </cell>
          <cell r="R19" t="str">
            <v>NA</v>
          </cell>
          <cell r="S19" t="str">
            <v>NA</v>
          </cell>
          <cell r="T19">
            <v>4.4170000000000001E-2</v>
          </cell>
          <cell r="U19" t="str">
            <v>NA</v>
          </cell>
        </row>
        <row r="20">
          <cell r="B20" t="str">
            <v>MEI</v>
          </cell>
          <cell r="C20" t="str">
            <v>Methode Electronics Inc.</v>
          </cell>
          <cell r="F20">
            <v>345.96190999999999</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v>3.9010000000000003E-2</v>
          </cell>
          <cell r="U20">
            <v>4.5</v>
          </cell>
        </row>
        <row r="21">
          <cell r="B21" t="str">
            <v>PIKE</v>
          </cell>
          <cell r="C21" t="str">
            <v>Pike Electric Corporation</v>
          </cell>
          <cell r="F21">
            <v>279.30489999999998</v>
          </cell>
          <cell r="G21" t="str">
            <v>-</v>
          </cell>
          <cell r="H21" t="str">
            <v>√</v>
          </cell>
          <cell r="I21" t="str">
            <v>√</v>
          </cell>
          <cell r="J21" t="str">
            <v>√</v>
          </cell>
          <cell r="K21" t="str">
            <v>-</v>
          </cell>
          <cell r="L21" t="str">
            <v>-</v>
          </cell>
          <cell r="M21" t="str">
            <v>-</v>
          </cell>
          <cell r="N21" t="str">
            <v>-</v>
          </cell>
          <cell r="O21" t="str">
            <v>-</v>
          </cell>
          <cell r="P21" t="str">
            <v>-</v>
          </cell>
          <cell r="Q21" t="str">
            <v>√</v>
          </cell>
          <cell r="R21" t="str">
            <v>√</v>
          </cell>
          <cell r="S21" t="str">
            <v>-</v>
          </cell>
          <cell r="T21">
            <v>0.48200999999999999</v>
          </cell>
          <cell r="U21">
            <v>1.75</v>
          </cell>
        </row>
        <row r="22">
          <cell r="B22" t="str">
            <v>POWR</v>
          </cell>
          <cell r="C22" t="str">
            <v>PowerSecure International, Inc.</v>
          </cell>
          <cell r="F22">
            <v>158.27888999999999</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v>8.6959999999999996E-2</v>
          </cell>
          <cell r="U22">
            <v>9.5</v>
          </cell>
        </row>
        <row r="23">
          <cell r="B23" t="str">
            <v>IESC</v>
          </cell>
          <cell r="C23" t="str">
            <v>Integrated Electrical Services, Inc.</v>
          </cell>
          <cell r="F23">
            <v>45.151499999999999</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v>2.9680000000000002E-2</v>
          </cell>
          <cell r="U23">
            <v>1.5</v>
          </cell>
        </row>
        <row r="25">
          <cell r="S25" t="str">
            <v>Peer Median:</v>
          </cell>
          <cell r="U25">
            <v>4.875</v>
          </cell>
        </row>
      </sheetData>
      <sheetData sheetId="2">
        <row r="2">
          <cell r="B2" t="str">
            <v>S&amp;P 1500 Companies</v>
          </cell>
          <cell r="C2" t="str">
            <v>S&amp;P 500 Companies</v>
          </cell>
        </row>
        <row r="3">
          <cell r="A3" t="str">
            <v>Blank Check 
Preferred Stock</v>
          </cell>
          <cell r="B3">
            <v>0.9294</v>
          </cell>
          <cell r="C3">
            <v>0.95140000000000002</v>
          </cell>
        </row>
        <row r="4">
          <cell r="A4" t="str">
            <v>No Cumulative Voting</v>
          </cell>
          <cell r="B4">
            <v>0.92810000000000004</v>
          </cell>
          <cell r="C4">
            <v>0.94130000000000003</v>
          </cell>
        </row>
        <row r="5">
          <cell r="A5" t="str">
            <v>Board Fills 
All Vacancies</v>
          </cell>
          <cell r="B5">
            <v>0.77070000000000005</v>
          </cell>
          <cell r="C5">
            <v>0.78339999999999999</v>
          </cell>
        </row>
        <row r="6">
          <cell r="A6" t="str">
            <v>No Action by 
Written Consent</v>
          </cell>
          <cell r="B6">
            <v>0.72050000000000003</v>
          </cell>
          <cell r="C6">
            <v>0.72060000000000002</v>
          </cell>
        </row>
        <row r="7">
          <cell r="A7" t="str">
            <v>Locked-In Charter or 
Bylaw Provisions</v>
          </cell>
          <cell r="B7">
            <v>0.6079</v>
          </cell>
          <cell r="C7">
            <v>0.54659999999999997</v>
          </cell>
        </row>
        <row r="8">
          <cell r="A8" t="str">
            <v>Shareholders Cannot 
Call Special Meetings</v>
          </cell>
          <cell r="B8">
            <v>0.49390000000000001</v>
          </cell>
          <cell r="C8">
            <v>0.5101</v>
          </cell>
        </row>
        <row r="9">
          <cell r="A9" t="str">
            <v>Directors Removed 
Only for Cause</v>
          </cell>
          <cell r="B9">
            <v>0.44840000000000002</v>
          </cell>
          <cell r="C9">
            <v>0.38059999999999999</v>
          </cell>
        </row>
        <row r="10">
          <cell r="A10" t="str">
            <v>Classified 
Board</v>
          </cell>
          <cell r="B10">
            <v>0.41789999999999999</v>
          </cell>
          <cell r="C10">
            <v>0.29149999999999998</v>
          </cell>
        </row>
        <row r="11">
          <cell r="A11" t="str">
            <v>Supermajority Vote to 
Remove Directors</v>
          </cell>
          <cell r="B11">
            <v>0.29170000000000001</v>
          </cell>
          <cell r="C11">
            <v>0.253</v>
          </cell>
          <cell r="D11" t="str">
            <v>Poison Pills in Force</v>
          </cell>
        </row>
        <row r="12">
          <cell r="A12" t="str">
            <v>Supermajority Vote 
for Mergers</v>
          </cell>
          <cell r="B12">
            <v>0.25440000000000002</v>
          </cell>
          <cell r="C12">
            <v>0.23680000000000001</v>
          </cell>
        </row>
        <row r="13">
          <cell r="A13" t="str">
            <v>Fair Price Provision</v>
          </cell>
          <cell r="B13">
            <v>0.18110000000000001</v>
          </cell>
          <cell r="C13">
            <v>0.20649999999999999</v>
          </cell>
        </row>
        <row r="14">
          <cell r="A14" t="str">
            <v>Rights Plan in Force</v>
          </cell>
          <cell r="B14">
            <v>0.20080000000000001</v>
          </cell>
          <cell r="C14">
            <v>0.14199999999999999</v>
          </cell>
        </row>
        <row r="15">
          <cell r="A15" t="str">
            <v>Expanded Constituency 
Provision</v>
          </cell>
          <cell r="B15">
            <v>9.9099999999999994E-2</v>
          </cell>
          <cell r="C15">
            <v>7.6899999999999996E-2</v>
          </cell>
        </row>
        <row r="18">
          <cell r="A18" t="str">
            <v>Average Shark Repellent Rating 1</v>
          </cell>
        </row>
        <row r="19">
          <cell r="A19" t="str">
            <v>Powell</v>
          </cell>
          <cell r="B19">
            <v>3.75</v>
          </cell>
        </row>
        <row r="20">
          <cell r="A20" t="str">
            <v>S&amp;P 500</v>
          </cell>
          <cell r="B20">
            <v>3.11</v>
          </cell>
        </row>
        <row r="21">
          <cell r="A21" t="str">
            <v>S&amp;P 1500</v>
          </cell>
          <cell r="B21">
            <v>3.7</v>
          </cell>
        </row>
      </sheetData>
      <sheetData sheetId="3">
        <row r="5">
          <cell r="E5" t="str">
            <v>Rights Plan in Force</v>
          </cell>
          <cell r="G5" t="str">
            <v>Expiration Date</v>
          </cell>
          <cell r="I5" t="str">
            <v>Term</v>
          </cell>
          <cell r="K5" t="str">
            <v>Trigger Threshold</v>
          </cell>
          <cell r="M5" t="str">
            <v>Exchange Feature</v>
          </cell>
          <cell r="O5" t="str">
            <v>TIDE Provision 1</v>
          </cell>
          <cell r="Q5" t="str">
            <v>Notes</v>
          </cell>
        </row>
        <row r="7">
          <cell r="E7" t="str">
            <v>√</v>
          </cell>
          <cell r="G7">
            <v>40196</v>
          </cell>
          <cell r="I7" t="str">
            <v>10 years</v>
          </cell>
          <cell r="K7">
            <v>0.15</v>
          </cell>
          <cell r="M7" t="str">
            <v>Yes</v>
          </cell>
          <cell r="O7" t="str">
            <v>No</v>
          </cell>
          <cell r="Q7" t="str">
            <v>None</v>
          </cell>
        </row>
        <row r="9">
          <cell r="E9" t="str">
            <v>Quick Restaurant Services</v>
          </cell>
        </row>
        <row r="11">
          <cell r="E11" t="str">
            <v>–</v>
          </cell>
          <cell r="G11" t="str">
            <v>–</v>
          </cell>
          <cell r="I11" t="str">
            <v>–</v>
          </cell>
          <cell r="K11" t="str">
            <v>–</v>
          </cell>
          <cell r="M11" t="str">
            <v>–</v>
          </cell>
          <cell r="O11" t="str">
            <v>–</v>
          </cell>
          <cell r="Q11" t="str">
            <v>–</v>
          </cell>
        </row>
        <row r="12">
          <cell r="E12" t="str">
            <v>–</v>
          </cell>
          <cell r="G12" t="str">
            <v>–</v>
          </cell>
          <cell r="I12" t="str">
            <v>–</v>
          </cell>
          <cell r="K12" t="str">
            <v>–</v>
          </cell>
          <cell r="M12" t="str">
            <v>–</v>
          </cell>
          <cell r="O12" t="str">
            <v>–</v>
          </cell>
          <cell r="Q12" t="str">
            <v>–</v>
          </cell>
        </row>
        <row r="13">
          <cell r="E13" t="str">
            <v>√</v>
          </cell>
          <cell r="G13">
            <v>40178</v>
          </cell>
          <cell r="I13" t="str">
            <v>1 year</v>
          </cell>
          <cell r="K13">
            <v>0.15</v>
          </cell>
          <cell r="M13" t="str">
            <v>Yes</v>
          </cell>
          <cell r="O13" t="str">
            <v>No</v>
          </cell>
          <cell r="Q13" t="str">
            <v>None</v>
          </cell>
        </row>
        <row r="14">
          <cell r="E14" t="str">
            <v>–</v>
          </cell>
          <cell r="G14" t="str">
            <v>–</v>
          </cell>
          <cell r="I14" t="str">
            <v>–</v>
          </cell>
          <cell r="K14" t="str">
            <v>–</v>
          </cell>
          <cell r="M14" t="str">
            <v>–</v>
          </cell>
          <cell r="O14" t="str">
            <v>–</v>
          </cell>
          <cell r="Q14" t="str">
            <v>–</v>
          </cell>
        </row>
        <row r="15">
          <cell r="E15" t="str">
            <v>√</v>
          </cell>
          <cell r="G15">
            <v>43371</v>
          </cell>
          <cell r="I15" t="str">
            <v>10 years</v>
          </cell>
          <cell r="K15">
            <v>0.2</v>
          </cell>
          <cell r="M15" t="str">
            <v>Yes</v>
          </cell>
          <cell r="O15" t="str">
            <v>–</v>
          </cell>
          <cell r="Q15" t="str">
            <v>None</v>
          </cell>
        </row>
        <row r="16">
          <cell r="E16" t="str">
            <v>–</v>
          </cell>
          <cell r="G16" t="str">
            <v>–</v>
          </cell>
          <cell r="I16" t="str">
            <v>–</v>
          </cell>
          <cell r="K16" t="str">
            <v>–</v>
          </cell>
          <cell r="M16" t="str">
            <v>–</v>
          </cell>
          <cell r="O16" t="str">
            <v>–</v>
          </cell>
          <cell r="Q16" t="str">
            <v>–</v>
          </cell>
        </row>
        <row r="17">
          <cell r="E17" t="str">
            <v>Wholesale Companies</v>
          </cell>
        </row>
        <row r="19">
          <cell r="E19" t="str">
            <v>√</v>
          </cell>
          <cell r="G19">
            <v>41484</v>
          </cell>
          <cell r="I19" t="str">
            <v>10 years</v>
          </cell>
          <cell r="K19">
            <v>0.15</v>
          </cell>
          <cell r="M19" t="str">
            <v>Yes</v>
          </cell>
          <cell r="O19" t="str">
            <v>No</v>
          </cell>
          <cell r="Q19" t="str">
            <v>None</v>
          </cell>
        </row>
        <row r="20">
          <cell r="E20" t="str">
            <v>√</v>
          </cell>
          <cell r="G20">
            <v>40628</v>
          </cell>
          <cell r="I20" t="str">
            <v>10 years</v>
          </cell>
          <cell r="K20">
            <v>0.15</v>
          </cell>
          <cell r="M20" t="str">
            <v>Yes</v>
          </cell>
          <cell r="O20" t="str">
            <v>No</v>
          </cell>
          <cell r="Q20" t="str">
            <v>None</v>
          </cell>
        </row>
        <row r="21">
          <cell r="E21" t="str">
            <v>–</v>
          </cell>
          <cell r="G21" t="str">
            <v>–</v>
          </cell>
          <cell r="I21" t="str">
            <v>–</v>
          </cell>
          <cell r="K21" t="str">
            <v>–</v>
          </cell>
          <cell r="M21" t="str">
            <v>–</v>
          </cell>
          <cell r="O21" t="str">
            <v>–</v>
          </cell>
          <cell r="Q21" t="str">
            <v>–</v>
          </cell>
        </row>
      </sheetData>
      <sheetData sheetId="4">
        <row r="2">
          <cell r="C2" t="str">
            <v>S&amp;P 500 (Large Cap)</v>
          </cell>
          <cell r="D2" t="str">
            <v>S&amp;P 400 (Mid Cap)</v>
          </cell>
          <cell r="E2" t="str">
            <v>S&amp;P 600 (Small Cap)</v>
          </cell>
        </row>
        <row r="3">
          <cell r="B3">
            <v>1998</v>
          </cell>
          <cell r="C3">
            <v>294</v>
          </cell>
          <cell r="D3">
            <v>242</v>
          </cell>
          <cell r="E3">
            <v>328</v>
          </cell>
          <cell r="F3">
            <v>864</v>
          </cell>
        </row>
        <row r="4">
          <cell r="B4">
            <v>1999</v>
          </cell>
          <cell r="C4">
            <v>286</v>
          </cell>
          <cell r="D4">
            <v>244</v>
          </cell>
          <cell r="E4">
            <v>351</v>
          </cell>
          <cell r="F4">
            <v>881</v>
          </cell>
        </row>
        <row r="5">
          <cell r="B5">
            <v>2000</v>
          </cell>
          <cell r="C5">
            <v>299</v>
          </cell>
          <cell r="D5">
            <v>249</v>
          </cell>
          <cell r="E5">
            <v>342</v>
          </cell>
          <cell r="F5">
            <v>890</v>
          </cell>
        </row>
        <row r="6">
          <cell r="B6">
            <v>2001</v>
          </cell>
          <cell r="C6">
            <v>301</v>
          </cell>
          <cell r="D6">
            <v>260</v>
          </cell>
          <cell r="E6">
            <v>353</v>
          </cell>
          <cell r="F6">
            <v>914</v>
          </cell>
        </row>
        <row r="7">
          <cell r="B7">
            <v>2002</v>
          </cell>
          <cell r="C7">
            <v>300</v>
          </cell>
          <cell r="D7">
            <v>260</v>
          </cell>
          <cell r="E7">
            <v>364</v>
          </cell>
          <cell r="F7">
            <v>924</v>
          </cell>
        </row>
        <row r="8">
          <cell r="B8">
            <v>2003</v>
          </cell>
          <cell r="C8">
            <v>286</v>
          </cell>
          <cell r="D8">
            <v>256</v>
          </cell>
          <cell r="E8">
            <v>353</v>
          </cell>
          <cell r="F8">
            <v>895</v>
          </cell>
        </row>
        <row r="9">
          <cell r="B9">
            <v>2004</v>
          </cell>
          <cell r="C9">
            <v>266</v>
          </cell>
          <cell r="D9">
            <v>242</v>
          </cell>
          <cell r="E9">
            <v>338</v>
          </cell>
          <cell r="F9">
            <v>846</v>
          </cell>
        </row>
        <row r="10">
          <cell r="B10">
            <v>2005</v>
          </cell>
          <cell r="C10">
            <v>227</v>
          </cell>
          <cell r="D10">
            <v>232</v>
          </cell>
          <cell r="E10">
            <v>321</v>
          </cell>
          <cell r="F10">
            <v>780</v>
          </cell>
        </row>
        <row r="11">
          <cell r="B11">
            <v>2006</v>
          </cell>
          <cell r="C11">
            <v>171</v>
          </cell>
          <cell r="D11">
            <v>200</v>
          </cell>
          <cell r="E11">
            <v>280</v>
          </cell>
          <cell r="F11">
            <v>651</v>
          </cell>
        </row>
        <row r="12">
          <cell r="B12">
            <v>2007</v>
          </cell>
          <cell r="C12">
            <v>143</v>
          </cell>
          <cell r="D12">
            <v>167</v>
          </cell>
          <cell r="E12">
            <v>235</v>
          </cell>
          <cell r="F12">
            <v>545</v>
          </cell>
        </row>
        <row r="13">
          <cell r="B13">
            <v>2008</v>
          </cell>
          <cell r="C13">
            <v>107</v>
          </cell>
          <cell r="D13">
            <v>142</v>
          </cell>
          <cell r="E13">
            <v>197</v>
          </cell>
          <cell r="F13">
            <v>446</v>
          </cell>
        </row>
        <row r="14">
          <cell r="B14" t="str">
            <v>2009 YTD</v>
          </cell>
          <cell r="C14">
            <v>87</v>
          </cell>
          <cell r="D14">
            <v>111.00000000000001</v>
          </cell>
          <cell r="E14">
            <v>165.3</v>
          </cell>
          <cell r="F14">
            <v>363.3</v>
          </cell>
        </row>
      </sheetData>
      <sheetData sheetId="5">
        <row r="2">
          <cell r="C2" t="str">
            <v>Extended</v>
          </cell>
          <cell r="D2" t="str">
            <v>Let Expire / Redeemed</v>
          </cell>
          <cell r="E2" t="str">
            <v>Total</v>
          </cell>
        </row>
        <row r="3">
          <cell r="B3">
            <v>2001</v>
          </cell>
          <cell r="C3">
            <v>0.84</v>
          </cell>
          <cell r="D3">
            <v>0.16000000000000003</v>
          </cell>
          <cell r="E3">
            <v>49</v>
          </cell>
        </row>
        <row r="4">
          <cell r="B4">
            <v>2002</v>
          </cell>
          <cell r="C4">
            <v>0.68</v>
          </cell>
          <cell r="D4">
            <v>0.31999999999999995</v>
          </cell>
          <cell r="E4">
            <v>28</v>
          </cell>
        </row>
        <row r="5">
          <cell r="B5">
            <v>2003</v>
          </cell>
          <cell r="C5">
            <v>0.47</v>
          </cell>
          <cell r="D5">
            <v>0.53</v>
          </cell>
          <cell r="E5">
            <v>36</v>
          </cell>
        </row>
        <row r="6">
          <cell r="B6">
            <v>2004</v>
          </cell>
          <cell r="C6">
            <v>0.49</v>
          </cell>
          <cell r="D6">
            <v>0.51</v>
          </cell>
          <cell r="E6">
            <v>55</v>
          </cell>
        </row>
        <row r="7">
          <cell r="B7">
            <v>2005</v>
          </cell>
          <cell r="C7">
            <v>0.35</v>
          </cell>
          <cell r="D7">
            <v>0.65</v>
          </cell>
          <cell r="E7">
            <v>92</v>
          </cell>
        </row>
        <row r="8">
          <cell r="B8">
            <v>2006</v>
          </cell>
          <cell r="C8">
            <v>0.31</v>
          </cell>
          <cell r="D8">
            <v>0.69</v>
          </cell>
          <cell r="E8">
            <v>204</v>
          </cell>
        </row>
        <row r="9">
          <cell r="B9">
            <v>2007</v>
          </cell>
          <cell r="C9">
            <v>0.31</v>
          </cell>
          <cell r="D9">
            <v>0.69</v>
          </cell>
          <cell r="E9">
            <v>182</v>
          </cell>
        </row>
        <row r="10">
          <cell r="B10">
            <v>2008</v>
          </cell>
          <cell r="C10">
            <v>0.28999999999999998</v>
          </cell>
          <cell r="D10">
            <v>0.71</v>
          </cell>
          <cell r="E10">
            <v>266</v>
          </cell>
        </row>
        <row r="11">
          <cell r="B11" t="str">
            <v>2009 YTD</v>
          </cell>
          <cell r="C11">
            <v>0.35099999999999998</v>
          </cell>
          <cell r="D11">
            <v>0.64900000000000002</v>
          </cell>
          <cell r="E11">
            <v>207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reholder proposals by type"/>
      <sheetName val="2007ISSWatchlist"/>
      <sheetName val="SH poison pill proposals by yr"/>
      <sheetName val="Contested Solicitations"/>
      <sheetName val="SandPTakeover"/>
    </sheetNames>
    <sheetDataSet>
      <sheetData sheetId="0">
        <row r="2">
          <cell r="B2">
            <v>2002</v>
          </cell>
          <cell r="F2">
            <v>2006</v>
          </cell>
        </row>
        <row r="3">
          <cell r="B3" t="str">
            <v>Proposal</v>
          </cell>
          <cell r="C3" t="str">
            <v>Number</v>
          </cell>
          <cell r="F3" t="str">
            <v>Proposal</v>
          </cell>
          <cell r="G3" t="str">
            <v>Number</v>
          </cell>
        </row>
        <row r="4">
          <cell r="B4" t="str">
            <v>Board Related Issues</v>
          </cell>
          <cell r="C4">
            <v>115</v>
          </cell>
          <cell r="F4" t="str">
            <v>Board Related Issues</v>
          </cell>
          <cell r="G4">
            <v>235</v>
          </cell>
        </row>
        <row r="5">
          <cell r="B5" t="str">
            <v>Other</v>
          </cell>
          <cell r="C5">
            <v>55</v>
          </cell>
          <cell r="F5" t="str">
            <v>Executive Compensation Issues</v>
          </cell>
          <cell r="G5">
            <v>92</v>
          </cell>
        </row>
        <row r="6">
          <cell r="B6" t="str">
            <v>Rights Plan Issues</v>
          </cell>
          <cell r="C6">
            <v>50</v>
          </cell>
          <cell r="F6" t="str">
            <v>Super Majority Provisions</v>
          </cell>
          <cell r="G6">
            <v>24</v>
          </cell>
        </row>
        <row r="7">
          <cell r="B7" t="str">
            <v>Executive Compensation Issues</v>
          </cell>
          <cell r="C7">
            <v>43</v>
          </cell>
          <cell r="F7" t="str">
            <v>Other</v>
          </cell>
          <cell r="G7">
            <v>22</v>
          </cell>
        </row>
        <row r="8">
          <cell r="B8" t="str">
            <v>Super Majority Provisions</v>
          </cell>
          <cell r="C8">
            <v>10</v>
          </cell>
          <cell r="F8" t="str">
            <v>Rights Plan Issues</v>
          </cell>
          <cell r="G8">
            <v>12</v>
          </cell>
        </row>
      </sheetData>
      <sheetData sheetId="1">
        <row r="2">
          <cell r="B2" t="str">
            <v>Year</v>
          </cell>
          <cell r="C2" t="str">
            <v>Number of Proposals</v>
          </cell>
          <cell r="D2" t="str">
            <v>% Shareholder endorsement</v>
          </cell>
          <cell r="F2">
            <v>2006</v>
          </cell>
        </row>
        <row r="3">
          <cell r="B3">
            <v>2001</v>
          </cell>
          <cell r="C3">
            <v>33</v>
          </cell>
          <cell r="D3">
            <v>0.55640000000000001</v>
          </cell>
          <cell r="F3" t="str">
            <v>Proposal</v>
          </cell>
          <cell r="G3" t="str">
            <v>Number</v>
          </cell>
          <cell r="I3" t="str">
            <v>Previously showing:</v>
          </cell>
        </row>
        <row r="4">
          <cell r="B4">
            <v>2002</v>
          </cell>
          <cell r="C4">
            <v>59</v>
          </cell>
          <cell r="D4">
            <v>0.59699999999999998</v>
          </cell>
          <cell r="E4">
            <v>0.36599423631123917</v>
          </cell>
          <cell r="F4" t="str">
            <v>Board Related Issues</v>
          </cell>
          <cell r="G4">
            <v>235</v>
          </cell>
          <cell r="I4" t="str">
            <v>Require majority vote to elect directors</v>
          </cell>
          <cell r="J4">
            <v>58</v>
          </cell>
        </row>
        <row r="5">
          <cell r="B5">
            <v>2003</v>
          </cell>
          <cell r="C5">
            <v>93</v>
          </cell>
          <cell r="D5">
            <v>0.58599999999999997</v>
          </cell>
          <cell r="E5">
            <v>0.2680115273775216</v>
          </cell>
          <cell r="F5" t="str">
            <v>Executive Compensation Issues</v>
          </cell>
          <cell r="G5">
            <v>92</v>
          </cell>
          <cell r="I5" t="str">
            <v>Advisory vote on compensation</v>
          </cell>
          <cell r="J5">
            <v>45</v>
          </cell>
        </row>
        <row r="6">
          <cell r="B6">
            <v>2004</v>
          </cell>
          <cell r="C6">
            <v>55</v>
          </cell>
          <cell r="D6">
            <v>0.60099999999999998</v>
          </cell>
          <cell r="E6">
            <v>0.16714697406340057</v>
          </cell>
          <cell r="F6" t="str">
            <v>Super Majority Provisions</v>
          </cell>
          <cell r="G6">
            <v>24</v>
          </cell>
          <cell r="I6" t="str">
            <v>Other executive pay issues</v>
          </cell>
          <cell r="J6">
            <v>42</v>
          </cell>
        </row>
        <row r="7">
          <cell r="B7">
            <v>2005</v>
          </cell>
          <cell r="C7">
            <v>26</v>
          </cell>
          <cell r="D7">
            <v>0.59399999999999997</v>
          </cell>
          <cell r="E7">
            <v>9.7982708933717577E-2</v>
          </cell>
          <cell r="F7" t="str">
            <v>Other</v>
          </cell>
          <cell r="G7">
            <v>22</v>
          </cell>
          <cell r="I7" t="str">
            <v>Link pay-to-performance</v>
          </cell>
          <cell r="J7">
            <v>40</v>
          </cell>
        </row>
        <row r="8">
          <cell r="B8">
            <v>2006</v>
          </cell>
          <cell r="C8">
            <v>16</v>
          </cell>
          <cell r="D8">
            <v>0.53400000000000003</v>
          </cell>
          <cell r="E8">
            <v>6.6282420749279536E-2</v>
          </cell>
          <cell r="F8" t="str">
            <v>Rights Plan Issues</v>
          </cell>
          <cell r="G8">
            <v>12</v>
          </cell>
          <cell r="I8" t="str">
            <v>Political contributions</v>
          </cell>
          <cell r="J8">
            <v>35</v>
          </cell>
        </row>
        <row r="9">
          <cell r="B9" t="str">
            <v>2007 (YTD)</v>
          </cell>
          <cell r="C9">
            <v>17</v>
          </cell>
          <cell r="E9">
            <v>3.4582132564841501E-2</v>
          </cell>
          <cell r="I9" t="str">
            <v>Repeal classified board</v>
          </cell>
          <cell r="J9">
            <v>34</v>
          </cell>
        </row>
        <row r="10">
          <cell r="C10">
            <v>347</v>
          </cell>
          <cell r="E10">
            <v>1</v>
          </cell>
          <cell r="I10" t="str">
            <v>Independent board chairman</v>
          </cell>
          <cell r="J10">
            <v>34</v>
          </cell>
        </row>
        <row r="11">
          <cell r="I11" t="str">
            <v>Other social responsibility issues</v>
          </cell>
          <cell r="J11">
            <v>23</v>
          </cell>
        </row>
        <row r="12">
          <cell r="I12" t="str">
            <v>Other antitakeover issues</v>
          </cell>
          <cell r="J12">
            <v>23</v>
          </cell>
        </row>
        <row r="13">
          <cell r="I13" t="str">
            <v>Redeem or vote on poison pills</v>
          </cell>
          <cell r="J13">
            <v>12</v>
          </cell>
        </row>
        <row r="14">
          <cell r="J14">
            <v>346</v>
          </cell>
        </row>
      </sheetData>
      <sheetData sheetId="2">
        <row r="2">
          <cell r="B2">
            <v>2002</v>
          </cell>
          <cell r="C2" t="str">
            <v>Number of Proposals</v>
          </cell>
          <cell r="D2" t="str">
            <v>% Shareholder endorsement</v>
          </cell>
          <cell r="F2">
            <v>2006</v>
          </cell>
        </row>
        <row r="3">
          <cell r="B3" t="str">
            <v>Proposal</v>
          </cell>
          <cell r="C3" t="str">
            <v>Number</v>
          </cell>
          <cell r="D3">
            <v>0.55640000000000001</v>
          </cell>
          <cell r="F3" t="str">
            <v>Proposal</v>
          </cell>
          <cell r="G3" t="str">
            <v>Number</v>
          </cell>
        </row>
        <row r="4">
          <cell r="B4" t="str">
            <v>Board Related Issues</v>
          </cell>
          <cell r="C4">
            <v>115</v>
          </cell>
          <cell r="D4">
            <v>0.59699999999999998</v>
          </cell>
          <cell r="F4" t="str">
            <v>Board Related Issues</v>
          </cell>
          <cell r="G4">
            <v>235</v>
          </cell>
        </row>
        <row r="5">
          <cell r="B5" t="str">
            <v>Other</v>
          </cell>
          <cell r="C5">
            <v>55</v>
          </cell>
          <cell r="D5">
            <v>0.58599999999999997</v>
          </cell>
          <cell r="F5" t="str">
            <v>Executive Compensation Issues</v>
          </cell>
          <cell r="G5">
            <v>92</v>
          </cell>
        </row>
        <row r="6">
          <cell r="B6" t="str">
            <v>Rights Plan Issues</v>
          </cell>
          <cell r="C6">
            <v>50</v>
          </cell>
          <cell r="D6">
            <v>0.60099999999999998</v>
          </cell>
          <cell r="F6" t="str">
            <v>Super Majority Provisions</v>
          </cell>
          <cell r="G6">
            <v>24</v>
          </cell>
        </row>
        <row r="7">
          <cell r="B7" t="str">
            <v>Executive Compensation Issues</v>
          </cell>
          <cell r="C7">
            <v>43</v>
          </cell>
          <cell r="D7">
            <v>0.59399999999999997</v>
          </cell>
          <cell r="F7" t="str">
            <v>Other</v>
          </cell>
          <cell r="G7">
            <v>22</v>
          </cell>
        </row>
        <row r="8">
          <cell r="B8" t="str">
            <v>Super Majority Provisions</v>
          </cell>
          <cell r="C8">
            <v>10</v>
          </cell>
          <cell r="D8">
            <v>0.53400000000000003</v>
          </cell>
          <cell r="F8" t="str">
            <v>Rights Plan Issues</v>
          </cell>
          <cell r="G8">
            <v>12</v>
          </cell>
        </row>
        <row r="9">
          <cell r="B9" t="str">
            <v>2007 (YTD)</v>
          </cell>
          <cell r="C9">
            <v>17</v>
          </cell>
        </row>
      </sheetData>
      <sheetData sheetId="3">
        <row r="3">
          <cell r="B3" t="str">
            <v>Proposal</v>
          </cell>
        </row>
      </sheetData>
      <sheetData sheetId="4">
        <row r="2">
          <cell r="B2" t="str">
            <v>Year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D10" t="str">
            <v>2010E</v>
          </cell>
          <cell r="E10">
            <v>1</v>
          </cell>
          <cell r="F10">
            <v>2</v>
          </cell>
          <cell r="G10">
            <v>3</v>
          </cell>
          <cell r="H10">
            <v>4</v>
          </cell>
          <cell r="I10">
            <v>5</v>
          </cell>
          <cell r="J10" t="str">
            <v>2010E Run Rate EBITDA</v>
          </cell>
        </row>
        <row r="11">
          <cell r="D11">
            <v>50</v>
          </cell>
          <cell r="E11">
            <v>50</v>
          </cell>
          <cell r="F11">
            <v>52</v>
          </cell>
          <cell r="G11">
            <v>54</v>
          </cell>
          <cell r="H11">
            <v>56</v>
          </cell>
          <cell r="I11">
            <v>58</v>
          </cell>
          <cell r="J11">
            <v>60</v>
          </cell>
        </row>
        <row r="12">
          <cell r="D12">
            <v>0</v>
          </cell>
          <cell r="E12">
            <v>2</v>
          </cell>
          <cell r="F12">
            <v>2</v>
          </cell>
          <cell r="G12">
            <v>2</v>
          </cell>
          <cell r="H12">
            <v>2</v>
          </cell>
          <cell r="I12">
            <v>2</v>
          </cell>
          <cell r="J12">
            <v>0</v>
          </cell>
        </row>
        <row r="13">
          <cell r="D13">
            <v>50</v>
          </cell>
          <cell r="E13">
            <v>52</v>
          </cell>
          <cell r="F13">
            <v>54</v>
          </cell>
          <cell r="G13">
            <v>56</v>
          </cell>
          <cell r="H13">
            <v>58</v>
          </cell>
          <cell r="I13">
            <v>60</v>
          </cell>
          <cell r="J13">
            <v>60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s"/>
      <sheetName val="Sheet1"/>
      <sheetName val="Sheet2"/>
      <sheetName val="Sheet3"/>
    </sheetNames>
    <sheetDataSet>
      <sheetData sheetId="0">
        <row r="3">
          <cell r="B3" t="str">
            <v>Section</v>
          </cell>
          <cell r="D3" t="str">
            <v>Summary</v>
          </cell>
          <cell r="G3" t="str">
            <v>Private Company Considerations</v>
          </cell>
          <cell r="J3" t="str">
            <v>Public Company Considerations</v>
          </cell>
        </row>
        <row r="5">
          <cell r="B5" t="str">
            <v>Execution Provisions</v>
          </cell>
          <cell r="D5" t="str">
            <v>•</v>
          </cell>
          <cell r="E5" t="str">
            <v>Details the structure and mechanics of the transaction</v>
          </cell>
          <cell r="G5" t="str">
            <v>•</v>
          </cell>
          <cell r="H5" t="str">
            <v>In a private transaction, it is easier for a portion of the</v>
          </cell>
          <cell r="J5" t="str">
            <v>•</v>
          </cell>
          <cell r="K5" t="str">
            <v>Provide for the transfer of the target shares to the buyer in</v>
          </cell>
        </row>
        <row r="6">
          <cell r="D6" t="str">
            <v>•</v>
          </cell>
          <cell r="E6" t="str">
            <v>Specifies purchase consideration amount and form (e.g. cash, stock, or mix)</v>
          </cell>
          <cell r="H6" t="str">
            <v>purchase price to be withheld or deferred</v>
          </cell>
          <cell r="K6" t="str">
            <v>exchange for consideration and the ultimate merger of the</v>
          </cell>
        </row>
        <row r="7">
          <cell r="D7" t="str">
            <v>•</v>
          </cell>
          <cell r="E7" t="str">
            <v>Definition of any collars or other price protection mechanisms</v>
          </cell>
          <cell r="K7" t="str">
            <v>target into the buyer or a subsidiary of the buyer</v>
          </cell>
        </row>
        <row r="8">
          <cell r="D8" t="str">
            <v>•</v>
          </cell>
          <cell r="E8" t="str">
            <v>Purchase price adjustments (e.g. working capital adjustments, net debt</v>
          </cell>
        </row>
        <row r="9">
          <cell r="E9" t="str">
            <v>adjustments, and operating metric adjustments)</v>
          </cell>
        </row>
        <row r="12">
          <cell r="B12" t="str">
            <v>Representations &amp; Warranties</v>
          </cell>
          <cell r="D12" t="str">
            <v>•</v>
          </cell>
          <cell r="E12" t="str">
            <v>Representations - statements about the business</v>
          </cell>
          <cell r="G12" t="str">
            <v>•</v>
          </cell>
          <cell r="H12" t="str">
            <v>Generally strong reps and warranties since private</v>
          </cell>
          <cell r="J12" t="str">
            <v>•</v>
          </cell>
          <cell r="K12" t="str">
            <v>Typically more limited in scope and number due to</v>
          </cell>
        </row>
        <row r="13">
          <cell r="D13" t="str">
            <v>•</v>
          </cell>
          <cell r="E13" t="str">
            <v>Warranties - assurances that the representations are true and accurate</v>
          </cell>
          <cell r="H13" t="str">
            <v>companies are not obligated to file public documents (e.g.</v>
          </cell>
          <cell r="K13" t="str">
            <v>pre-existing public disclosure requirements. Also, usually</v>
          </cell>
        </row>
        <row r="14">
          <cell r="D14" t="str">
            <v>•</v>
          </cell>
          <cell r="E14" t="str">
            <v>Details exactly what is being bought and sold, and its condition</v>
          </cell>
          <cell r="H14" t="str">
            <v>annual reports and 10-Ks), buyers typically insist on more</v>
          </cell>
          <cell r="K14" t="str">
            <v>make reference to target's public filings as the basis for</v>
          </cell>
        </row>
        <row r="15">
          <cell r="D15" t="str">
            <v>•</v>
          </cell>
          <cell r="E15" t="str">
            <v>Seller represents that it has clean title to (i.e. ownership of) the property being sold</v>
          </cell>
          <cell r="H15" t="str">
            <v>thorough disclosures at the time of sale</v>
          </cell>
          <cell r="K15" t="str">
            <v>many of the reps and warranties</v>
          </cell>
        </row>
        <row r="16">
          <cell r="D16" t="str">
            <v>•</v>
          </cell>
          <cell r="E16" t="str">
            <v xml:space="preserve">Outlines each parties' ability to act </v>
          </cell>
          <cell r="G16" t="str">
            <v>•</v>
          </cell>
          <cell r="H16" t="str">
            <v>The seller(s) can be held responsible for hidden or</v>
          </cell>
          <cell r="J16" t="str">
            <v>•</v>
          </cell>
          <cell r="K16" t="str">
            <v>Typically more limited in scope and number due to</v>
          </cell>
        </row>
        <row r="17">
          <cell r="D17" t="str">
            <v>•</v>
          </cell>
          <cell r="E17" t="str">
            <v>Breaches form the basis for indemnification claims</v>
          </cell>
          <cell r="H17" t="str">
            <v>undisclosed liabilities after closing</v>
          </cell>
          <cell r="K17" t="str">
            <v>pre-existing public disclosure requirements</v>
          </cell>
        </row>
        <row r="20">
          <cell r="B20" t="str">
            <v>Covenants</v>
          </cell>
          <cell r="D20" t="str">
            <v>•</v>
          </cell>
          <cell r="E20" t="str">
            <v>Agreements to take (or not to take) certain actions between signing and closing</v>
          </cell>
        </row>
        <row r="21">
          <cell r="D21" t="str">
            <v>•</v>
          </cell>
          <cell r="E21" t="str">
            <v>For example, covenants define who must seek regulatory approval</v>
          </cell>
        </row>
        <row r="22">
          <cell r="D22" t="str">
            <v>•</v>
          </cell>
          <cell r="E22" t="str">
            <v>Requires the seller to operate the business as normal and not impair the business by</v>
          </cell>
        </row>
        <row r="23">
          <cell r="E23" t="str">
            <v>firing employees, for example</v>
          </cell>
        </row>
        <row r="24">
          <cell r="D24" t="str">
            <v>•</v>
          </cell>
          <cell r="E24" t="str">
            <v>Three broad categories - 1) Operations of business 2) "Efforts" to complete the</v>
          </cell>
        </row>
        <row r="25">
          <cell r="E25" t="str">
            <v>transaction and 3) Financing</v>
          </cell>
        </row>
        <row r="28">
          <cell r="B28" t="str">
            <v>Conditions to Closing</v>
          </cell>
          <cell r="D28" t="str">
            <v>•</v>
          </cell>
          <cell r="E28" t="str">
            <v>Conditions that must be met before closing can take place, such as regulatory</v>
          </cell>
          <cell r="J28" t="str">
            <v>•</v>
          </cell>
          <cell r="K28" t="str">
            <v>Additional condition for successful shareholder vote</v>
          </cell>
        </row>
        <row r="29">
          <cell r="E29" t="str">
            <v>approval</v>
          </cell>
        </row>
        <row r="32">
          <cell r="B32" t="str">
            <v>Termination Provision</v>
          </cell>
          <cell r="D32" t="str">
            <v>•</v>
          </cell>
          <cell r="E32" t="str">
            <v>Conditions upon which the transaction may be terminated, such as a higher bid</v>
          </cell>
          <cell r="G32" t="str">
            <v>•</v>
          </cell>
          <cell r="H32" t="str">
            <v>Sellers can commit outright to sell the company, and there</v>
          </cell>
          <cell r="J32" t="str">
            <v>•</v>
          </cell>
          <cell r="K32" t="str">
            <v>Additional termination rights based on negative</v>
          </cell>
        </row>
        <row r="33">
          <cell r="E33" t="str">
            <v>received by the seller or the buyer's inability to secure financing</v>
          </cell>
          <cell r="H33" t="str">
            <v>is generally no need to have a "fiduciary out" (i.e. the</v>
          </cell>
          <cell r="K33" t="str">
            <v>shareholder vote or exercise of fiduciary out (i.e. the</v>
          </cell>
        </row>
        <row r="34">
          <cell r="H34" t="str">
            <v>Board has no obligation to shareholders to consider higher</v>
          </cell>
          <cell r="K34" t="str">
            <v>target board's option to terminate the contemplated deal so</v>
          </cell>
        </row>
        <row r="35">
          <cell r="H35" t="str">
            <v>offers)</v>
          </cell>
          <cell r="K35" t="str">
            <v>that it can pursue a higher offer by another acquirer)</v>
          </cell>
        </row>
        <row r="38">
          <cell r="B38" t="str">
            <v>Break-Up Fees</v>
          </cell>
          <cell r="D38" t="str">
            <v>•</v>
          </cell>
          <cell r="E38" t="str">
            <v>Specifies the amount that must be paid by the seller (buyer) to the buyer (seller) if</v>
          </cell>
          <cell r="G38" t="str">
            <v>•</v>
          </cell>
          <cell r="H38" t="str">
            <v>Generally no break-up fee since most or all of the</v>
          </cell>
          <cell r="J38" t="str">
            <v>•</v>
          </cell>
          <cell r="K38" t="str">
            <v>Public companies (i.e. their management teams, Board,</v>
          </cell>
        </row>
        <row r="39">
          <cell r="E39" t="str">
            <v>the seller (buyer) terminates the transaction</v>
          </cell>
          <cell r="H39" t="str">
            <v>shareholders have already agreed to the transaction by</v>
          </cell>
          <cell r="K39" t="str">
            <v>and advisors) are typically precluded from actively</v>
          </cell>
        </row>
        <row r="40">
          <cell r="H40" t="str">
            <v>signing the agreement and there is no ability of those</v>
          </cell>
          <cell r="K40" t="str">
            <v>"shopping" the target once a deal is announced. Although</v>
          </cell>
        </row>
        <row r="41">
          <cell r="H41" t="str">
            <v>shareholders to terminate the transaction in favor of a</v>
          </cell>
          <cell r="K41" t="str">
            <v>they will normally retain the right to respond to unsolicited</v>
          </cell>
        </row>
        <row r="42">
          <cell r="H42" t="str">
            <v>superior deal</v>
          </cell>
          <cell r="K42" t="str">
            <v>offers, this right is circumsc</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ast"/>
      <sheetName val="budget "/>
      <sheetName val="P2Ps per engine"/>
      <sheetName val="Summary"/>
      <sheetName val="jackpotjoy.com"/>
      <sheetName val="SLAed Target Term Requirements"/>
      <sheetName val="Benchmarks"/>
      <sheetName val="summary of inputs"/>
      <sheetName val="targets"/>
      <sheetName val="Notes"/>
      <sheetName val="dir subs"/>
      <sheetName val="auth links"/>
      <sheetName val="webmasters"/>
      <sheetName val="pr links"/>
      <sheetName val="diagram"/>
      <sheetName val="accounts"/>
      <sheetName val="as boilers"/>
      <sheetName val="market shares"/>
      <sheetName val="brand boilers"/>
      <sheetName val="Fortify"/>
      <sheetName val="build relationship"/>
      <sheetName val="BBC Blog Work"/>
      <sheetName val="Power Links"/>
      <sheetName val="SEO Monster Market Wire"/>
      <sheetName val="SEO Issues"/>
      <sheetName val="Sheet1"/>
    </sheetNames>
    <sheetDataSet>
      <sheetData sheetId="0" refreshError="1"/>
      <sheetData sheetId="1"/>
      <sheetData sheetId="2" refreshError="1"/>
      <sheetData sheetId="3">
        <row r="6">
          <cell r="B6" t="str">
            <v>Reporting - Traffic Stats Access</v>
          </cell>
        </row>
        <row r="7">
          <cell r="B7" t="str">
            <v>Reporting - Score Card</v>
          </cell>
        </row>
        <row r="8">
          <cell r="B8" t="str">
            <v>Reporting - ID ops through PPC Data</v>
          </cell>
        </row>
        <row r="9">
          <cell r="B9" t="str">
            <v>Reporting - Loaded Into LMS</v>
          </cell>
        </row>
        <row r="10">
          <cell r="B10" t="str">
            <v>Reporting - Google Webmaster Tools Access</v>
          </cell>
        </row>
        <row r="12">
          <cell r="B12" t="str">
            <v>SEO - URL Consolidation</v>
          </cell>
        </row>
        <row r="13">
          <cell r="B13" t="str">
            <v>SEO - Domain Consolidation</v>
          </cell>
        </row>
        <row r="14">
          <cell r="B14" t="str">
            <v>SEO - Onpage Quick Wins</v>
          </cell>
        </row>
        <row r="15">
          <cell r="B15" t="str">
            <v>SEO - On Site SEO</v>
          </cell>
        </row>
        <row r="16">
          <cell r="B16" t="str">
            <v>SEO - Site Wide Footer</v>
          </cell>
        </row>
        <row r="17">
          <cell r="B17" t="str">
            <v>SEO - 404 Handler</v>
          </cell>
        </row>
        <row r="18">
          <cell r="B18" t="str">
            <v>SEO - sitemap.xml</v>
          </cell>
        </row>
        <row r="19">
          <cell r="B19" t="str">
            <v>SEO - HTML Sitemap</v>
          </cell>
        </row>
        <row r="20">
          <cell r="B20" t="str">
            <v>SEO - TOC (Table of Contents)</v>
          </cell>
        </row>
        <row r="21">
          <cell r="B21" t="str">
            <v>SEO - Varification of hops between redirects.</v>
          </cell>
        </row>
        <row r="22">
          <cell r="B22" t="str">
            <v>SEO - Use NOODP and NOYDIR</v>
          </cell>
        </row>
        <row r="23">
          <cell r="B23" t="str">
            <v>SEO - Review</v>
          </cell>
        </row>
        <row r="25">
          <cell r="B25" t="str">
            <v>AFF - Optimisation of Affiliate Program</v>
          </cell>
        </row>
        <row r="26">
          <cell r="B26" t="str">
            <v>AFF - Affiliate Redirection</v>
          </cell>
        </row>
        <row r="27">
          <cell r="B27" t="str">
            <v>AFF - Submission to Paid Affiliate Directories</v>
          </cell>
        </row>
        <row r="28">
          <cell r="B28" t="str">
            <v>AFF - Submission to Free Affiliate Directories</v>
          </cell>
        </row>
        <row r="29">
          <cell r="B29" t="str">
            <v>AFF - Submission to ALL Affiliate Directories</v>
          </cell>
        </row>
        <row r="30">
          <cell r="B30" t="str">
            <v>AFF - Submission to 10 Top Affiliate Directories</v>
          </cell>
        </row>
        <row r="31">
          <cell r="B31" t="str">
            <v>AFF - Submission to 10 Top Niche Affiliate Directories</v>
          </cell>
        </row>
        <row r="32">
          <cell r="B32" t="str">
            <v>AFF - Affiliate Press Release</v>
          </cell>
        </row>
        <row r="33">
          <cell r="B33" t="str">
            <v>AFF - Affiliate Program Announcement</v>
          </cell>
        </row>
        <row r="34">
          <cell r="B34" t="str">
            <v>AFF - Affiliate Forum Seeding *10</v>
          </cell>
        </row>
        <row r="35">
          <cell r="B35" t="str">
            <v>AFF - Review</v>
          </cell>
        </row>
        <row r="37">
          <cell r="B37" t="str">
            <v>Dir - Submission to top free 700 Directories</v>
          </cell>
        </row>
        <row r="38">
          <cell r="B38" t="str">
            <v>Dir - Submission to free low grade 2000 Directories</v>
          </cell>
        </row>
        <row r="39">
          <cell r="B39" t="str">
            <v>Dir - DMOZ, GoGuide, JoeAnt</v>
          </cell>
        </row>
        <row r="40">
          <cell r="B40" t="str">
            <v>Dir - DMOZ - Regional and Category</v>
          </cell>
        </row>
        <row r="41">
          <cell r="B41" t="str">
            <v>Dir - Yahoo Directory, Business.com, Best of the Web</v>
          </cell>
        </row>
        <row r="42">
          <cell r="B42" t="str">
            <v>Dir - Yahoo Directory</v>
          </cell>
        </row>
        <row r="43">
          <cell r="B43" t="str">
            <v>Dir - Business.com</v>
          </cell>
        </row>
        <row r="44">
          <cell r="B44" t="str">
            <v>Dir - Best of the Web</v>
          </cell>
        </row>
        <row r="45">
          <cell r="B45" t="str">
            <v>Dir - Rubber Stamped,Skaffe,Massive Links,Starting Point,Gimpsy,Web Beacon,Site Snoop</v>
          </cell>
        </row>
        <row r="46">
          <cell r="B46" t="str">
            <v>Dir - Submission to Niche Directories *25</v>
          </cell>
        </row>
        <row r="47">
          <cell r="B47" t="str">
            <v>Dir - Review and LMS update</v>
          </cell>
        </row>
        <row r="49">
          <cell r="B49" t="str">
            <v>Foundation - Facebook Group Bear Trap</v>
          </cell>
        </row>
        <row r="50">
          <cell r="B50" t="str">
            <v>Foundation - Bear Traps For Partner Aquisition</v>
          </cell>
        </row>
        <row r="51">
          <cell r="B51" t="str">
            <v>Foundation - Relevant Forum Links *10</v>
          </cell>
        </row>
        <row r="52">
          <cell r="B52" t="str">
            <v>Foundation - Seed W3 Data</v>
          </cell>
        </row>
        <row r="53">
          <cell r="B53" t="str">
            <v>Foundation - SW - Software Submission Sites</v>
          </cell>
        </row>
        <row r="54">
          <cell r="B54" t="str">
            <v>Foundation - Optimisation of Existing Links &amp; Citations</v>
          </cell>
        </row>
        <row r="55">
          <cell r="B55" t="str">
            <v>Foundation - Set Up 3 Approriate SMM Accounts</v>
          </cell>
        </row>
        <row r="56">
          <cell r="B56" t="str">
            <v>Foundation - 3* Article Sub to SMM Accounts</v>
          </cell>
        </row>
        <row r="57">
          <cell r="B57" t="str">
            <v>Foundation - Warm Up Pages</v>
          </cell>
        </row>
        <row r="58">
          <cell r="B58" t="str">
            <v>Foundation - Reusable Transient Links - 2* Crucible AS</v>
          </cell>
        </row>
        <row r="59">
          <cell r="B59" t="str">
            <v>Foundation - Create  A Survey</v>
          </cell>
        </row>
        <row r="60">
          <cell r="B60" t="str">
            <v>Foundation - Launch A Survey</v>
          </cell>
        </row>
        <row r="61">
          <cell r="B61" t="str">
            <v>Foundation - The Accidental Hero for Product Launch</v>
          </cell>
        </row>
        <row r="62">
          <cell r="B62" t="str">
            <v>Foundation - The Existant yet Non Existant Page</v>
          </cell>
        </row>
        <row r="64">
          <cell r="B64" t="str">
            <v>Blogs - 20 Do Follow Blog Links</v>
          </cell>
        </row>
        <row r="65">
          <cell r="B65" t="str">
            <v>Blogs - Sponsored Reviews</v>
          </cell>
        </row>
        <row r="66">
          <cell r="B66" t="str">
            <v>Blogs - 1 Blog Champion</v>
          </cell>
        </row>
        <row r="67">
          <cell r="B67" t="str">
            <v>Blogs - Submission to Top 5 Blog Directories</v>
          </cell>
        </row>
        <row r="68">
          <cell r="B68" t="str">
            <v>Blogs - RSS Submission</v>
          </cell>
        </row>
        <row r="69">
          <cell r="B69" t="str">
            <v>Blogs - Review</v>
          </cell>
        </row>
        <row r="71">
          <cell r="B71" t="str">
            <v>PR- using free  PR Sites</v>
          </cell>
        </row>
        <row r="72">
          <cell r="B72" t="str">
            <v>PR * PRNewswire  (month 1)</v>
          </cell>
        </row>
        <row r="73">
          <cell r="B73" t="str">
            <v>PR * PRNewswire  (month 2)</v>
          </cell>
        </row>
        <row r="74">
          <cell r="B74" t="str">
            <v>PR * PRNewswire  (month 3)</v>
          </cell>
        </row>
        <row r="75">
          <cell r="B75" t="str">
            <v>PR * PRNewswire  (month 4)</v>
          </cell>
        </row>
        <row r="76">
          <cell r="B76" t="str">
            <v>PR * PRNewswire  (month 5)</v>
          </cell>
        </row>
        <row r="77">
          <cell r="B77" t="str">
            <v>PR * PRNewswire  (month 6)</v>
          </cell>
        </row>
        <row r="78">
          <cell r="B78" t="str">
            <v>PR * BusinessWire</v>
          </cell>
        </row>
        <row r="79">
          <cell r="B79" t="str">
            <v xml:space="preserve">PR *  MarketWire </v>
          </cell>
        </row>
        <row r="80">
          <cell r="B80" t="str">
            <v>PR * PRWeb</v>
          </cell>
        </row>
        <row r="81">
          <cell r="B81" t="str">
            <v>PR * PR.com</v>
          </cell>
        </row>
        <row r="82">
          <cell r="B82" t="str">
            <v>PR * Globenewswire.com</v>
          </cell>
        </row>
        <row r="83">
          <cell r="B83" t="str">
            <v>PR Onslaught using Business Wire</v>
          </cell>
        </row>
        <row r="84">
          <cell r="B84" t="str">
            <v>PR/LC - 10 Merry Methods to our Press Releases</v>
          </cell>
        </row>
        <row r="85">
          <cell r="B85" t="str">
            <v>PR - Provide PR company with Bioler Plate to use</v>
          </cell>
        </row>
        <row r="87">
          <cell r="B87" t="str">
            <v>PR - 5 Advertorials In Tradional Media</v>
          </cell>
        </row>
        <row r="88">
          <cell r="B88" t="str">
            <v>PR - Leveraging Clients PR thru MM</v>
          </cell>
        </row>
        <row r="89">
          <cell r="B89" t="str">
            <v>PR - Online PR Training</v>
          </cell>
        </row>
        <row r="90">
          <cell r="B90" t="str">
            <v>PR - Appoint Journalist</v>
          </cell>
        </row>
        <row r="91">
          <cell r="B91" t="str">
            <v>PR - 3 Article Subs to 10 PR Links (30 arts)</v>
          </cell>
        </row>
        <row r="92">
          <cell r="B92" t="str">
            <v>PR - SB to 10 PR Links</v>
          </cell>
        </row>
        <row r="93">
          <cell r="B93" t="str">
            <v>PR - Forum Links 10 PR Links</v>
          </cell>
        </row>
        <row r="94">
          <cell r="B94" t="str">
            <v>PR - Integrate with PRPrecision.com</v>
          </cell>
        </row>
        <row r="95">
          <cell r="B95" t="str">
            <v>PR - Standardise Templates, Media Room, Process</v>
          </cell>
        </row>
        <row r="97">
          <cell r="B97" t="str">
            <v>LB - On site Link Bait</v>
          </cell>
        </row>
        <row r="98">
          <cell r="B98" t="str">
            <v>LB - Link Bait Submission to 100 SB accounts</v>
          </cell>
        </row>
        <row r="99">
          <cell r="B99" t="str">
            <v>LB - Video Search Site Uploads *5</v>
          </cell>
        </row>
        <row r="100">
          <cell r="B100" t="str">
            <v>LB - Buy 121 Digg Votes</v>
          </cell>
        </row>
        <row r="101">
          <cell r="B101" t="str">
            <v>LB - Seed Forums etc</v>
          </cell>
        </row>
        <row r="103">
          <cell r="B103" t="str">
            <v>SMM - Direct Submission to 100 top SB accounts</v>
          </cell>
        </row>
        <row r="104">
          <cell r="B104" t="str">
            <v>SMM- Direct Submission to pligg SB accounts</v>
          </cell>
        </row>
        <row r="105">
          <cell r="B105" t="str">
            <v>SMM - Direct Submission to scuttle SB accounts</v>
          </cell>
        </row>
        <row r="106">
          <cell r="B106" t="str">
            <v>SMM - tynt.com</v>
          </cell>
        </row>
        <row r="107">
          <cell r="B107" t="str">
            <v>SMM - Vouchers</v>
          </cell>
        </row>
        <row r="108">
          <cell r="B108" t="str">
            <v>SMM - Promoting Twitter Presense</v>
          </cell>
        </row>
        <row r="109">
          <cell r="B109" t="str">
            <v>SMM - Promoting Facebook Presense</v>
          </cell>
        </row>
        <row r="110">
          <cell r="B110" t="str">
            <v>SMM - Promoting LinkedIn Presense</v>
          </cell>
        </row>
        <row r="111">
          <cell r="B111" t="str">
            <v>SMM - Recommend add bookmarking options to target page</v>
          </cell>
        </row>
        <row r="113">
          <cell r="B113" t="str">
            <v xml:space="preserve">Organic - Submission to relevant review sites </v>
          </cell>
        </row>
        <row r="114">
          <cell r="B114" t="str">
            <v>Organic  - Video Search Strategy</v>
          </cell>
        </row>
        <row r="116">
          <cell r="B116" t="str">
            <v>AU - 1 Edu Blog Posts</v>
          </cell>
        </row>
        <row r="117">
          <cell r="B117" t="str">
            <v>AU - 1 Offer, Service, Deal or Other for ac.uks + gov.uks</v>
          </cell>
        </row>
        <row r="118">
          <cell r="B118" t="str">
            <v>AU - 1 MM for edu ac.uks + gov.uks</v>
          </cell>
        </row>
        <row r="119">
          <cell r="B119" t="str">
            <v>Au  - Wikipedia</v>
          </cell>
        </row>
        <row r="120">
          <cell r="B120" t="str">
            <v>AU - ac.uk gov forums</v>
          </cell>
        </row>
        <row r="121">
          <cell r="B121" t="str">
            <v>AU - Links of top 500 Sites</v>
          </cell>
        </row>
        <row r="123">
          <cell r="B123" t="str">
            <v>AS - 1 Article Set Per Term Using Crucible</v>
          </cell>
        </row>
        <row r="124">
          <cell r="B124" t="str">
            <v>AS - 1 Article To Top 5 Article Directories</v>
          </cell>
        </row>
        <row r="125">
          <cell r="B125" t="str">
            <v>AS - 1 Article Sets To Each Pressure Point</v>
          </cell>
        </row>
        <row r="126">
          <cell r="B126" t="str">
            <v>AS - 1 Article Set To Supporting off site Pages</v>
          </cell>
        </row>
        <row r="127">
          <cell r="B127" t="str">
            <v>AS - 10 sets using Manish (300 Submissions)</v>
          </cell>
        </row>
        <row r="128">
          <cell r="B128" t="str">
            <v>AS - 10 set usings Saby (300 submissions)</v>
          </cell>
        </row>
        <row r="129">
          <cell r="B129" t="str">
            <v>AS - 1 Constant Content Article Set Per Term Using Crucible</v>
          </cell>
        </row>
        <row r="130">
          <cell r="B130" t="str">
            <v>AS - 1 set using SubmitEdge (1000) (month 1)</v>
          </cell>
        </row>
        <row r="131">
          <cell r="B131" t="str">
            <v>AS - 1 set using SubmitEdge (1000) (month 2)</v>
          </cell>
        </row>
        <row r="132">
          <cell r="B132" t="str">
            <v>AS - 1 set using SubmitEdge (1000) (month 3)</v>
          </cell>
        </row>
        <row r="133">
          <cell r="B133" t="str">
            <v>AS - 1 set using SubmitEdge (1000)  (month 4)</v>
          </cell>
        </row>
        <row r="134">
          <cell r="B134" t="str">
            <v>AS - 1 set using SubmitEdge (1000)  (month 5)</v>
          </cell>
        </row>
        <row r="135">
          <cell r="B135" t="str">
            <v>AS - 1 set using SubmitEdge (1000)  (month 6)</v>
          </cell>
        </row>
        <row r="136">
          <cell r="B136" t="str">
            <v>AS - 1 set using SubmitEdge (1000)  (month 7)</v>
          </cell>
        </row>
        <row r="138">
          <cell r="B138" t="str">
            <v>Domain Acquisition - 1 Domain Aquisition For Core Site</v>
          </cell>
        </row>
        <row r="139">
          <cell r="B139" t="str">
            <v>Domain Acquisition - Drop catch for secondary linking (month 1)</v>
          </cell>
        </row>
        <row r="140">
          <cell r="B140" t="str">
            <v>Domain Acquisition - Drop catch for secondary linking (month 2)</v>
          </cell>
        </row>
        <row r="141">
          <cell r="B141" t="str">
            <v>Domain Acquisition - Drop catch for secondary linking (month 3)</v>
          </cell>
        </row>
        <row r="142">
          <cell r="B142" t="str">
            <v>Domain Acquisition - Drop catch for secondary linking (month 4)</v>
          </cell>
        </row>
        <row r="143">
          <cell r="B143" t="str">
            <v>Domain Acquisition - Drop catch for secondary linking (month 5)</v>
          </cell>
        </row>
        <row r="144">
          <cell r="B144" t="str">
            <v>Domain Acquisition - Drop catch for secondary linking (month 6)</v>
          </cell>
        </row>
        <row r="145">
          <cell r="B145" t="str">
            <v>Domain Acquisition - Drop catch for secondary linking (month 7)</v>
          </cell>
        </row>
        <row r="147">
          <cell r="B147" t="str">
            <v>Tenancy  -1*Secure Dynamic LC Banner Inventory</v>
          </cell>
        </row>
        <row r="148">
          <cell r="B148" t="str">
            <v>Tenancy  -1*Secure Static LC Banner Inventory</v>
          </cell>
        </row>
        <row r="149">
          <cell r="B149" t="str">
            <v>Tenancy - 1*Secure Article Partners</v>
          </cell>
        </row>
        <row r="150">
          <cell r="B150" t="str">
            <v>Tenancy  -1*Secure Content Contribution</v>
          </cell>
        </row>
        <row r="151">
          <cell r="B151" t="str">
            <v>Tenancy  -1*Secure Newsroom</v>
          </cell>
        </row>
        <row r="152">
          <cell r="B152" t="str">
            <v>Tenancy  -Article Creation</v>
          </cell>
        </row>
        <row r="153">
          <cell r="B153" t="str">
            <v>Tenancy  -Article Set Creation</v>
          </cell>
        </row>
        <row r="154">
          <cell r="B154" t="str">
            <v>Tenancy - 1 Banner Creation</v>
          </cell>
        </row>
        <row r="155">
          <cell r="B155" t="str">
            <v>Tenancy - 1 RSS Widget Creations</v>
          </cell>
        </row>
        <row r="156">
          <cell r="B156" t="str">
            <v>Tenancy - 1 Flash Widget Creations</v>
          </cell>
        </row>
        <row r="157">
          <cell r="B157" t="str">
            <v>Tenancy - APP Widget Creations</v>
          </cell>
        </row>
        <row r="158">
          <cell r="B158" t="str">
            <v>Domain Hosting</v>
          </cell>
        </row>
        <row r="159">
          <cell r="B159" t="str">
            <v xml:space="preserve">Proxies </v>
          </cell>
        </row>
        <row r="160">
          <cell r="B160" t="str">
            <v>Tenancy - Video Banner Creations</v>
          </cell>
        </row>
        <row r="161">
          <cell r="B161" t="str">
            <v>Tenancy - Poll Widget Creations</v>
          </cell>
        </row>
        <row r="162">
          <cell r="B162" t="str">
            <v>Tenancy - Survey Widget Creations</v>
          </cell>
        </row>
        <row r="163">
          <cell r="B163" t="str">
            <v>Tenancy -Brainking.com</v>
          </cell>
        </row>
        <row r="164">
          <cell r="B164" t="str">
            <v>Tenancy - 5 Video Embeds on Partners Sites</v>
          </cell>
        </row>
        <row r="165">
          <cell r="B165" t="str">
            <v>Tenancy - 100 link rental - Brokered</v>
          </cell>
        </row>
        <row r="166">
          <cell r="B166" t="str">
            <v>Tenancy  - Optimisation of Existing Links</v>
          </cell>
        </row>
        <row r="167">
          <cell r="B167" t="str">
            <v>Tenancy - TLA</v>
          </cell>
        </row>
        <row r="169">
          <cell r="B169" t="str">
            <v>Adhoc - Report Competitors</v>
          </cell>
        </row>
        <row r="171">
          <cell r="B171" t="str">
            <v>Secondary Linking - Social Bookmarks</v>
          </cell>
        </row>
        <row r="172">
          <cell r="B172" t="str">
            <v>Secondary Linking - 100 Social Bookmarks Account Creation</v>
          </cell>
        </row>
        <row r="173">
          <cell r="B173" t="str">
            <v>Secondary Linking - Pligg</v>
          </cell>
        </row>
        <row r="174">
          <cell r="B174" t="str">
            <v>Secondary Linking - Scuttle</v>
          </cell>
        </row>
        <row r="175">
          <cell r="B175" t="str">
            <v>Secondary Linking - PHP Dug</v>
          </cell>
        </row>
        <row r="176">
          <cell r="B176" t="str">
            <v>Secondary Linking - Article Submissions (Month 1)</v>
          </cell>
        </row>
        <row r="177">
          <cell r="B177" t="str">
            <v>Secondary Linking - Article Submissions (Month 2)</v>
          </cell>
        </row>
        <row r="178">
          <cell r="B178" t="str">
            <v>Secondary Linking - Article Submissions (Month 3)</v>
          </cell>
        </row>
        <row r="179">
          <cell r="B179" t="str">
            <v>Secondary Linking - Article Submissions (Month 4)</v>
          </cell>
        </row>
        <row r="180">
          <cell r="B180" t="str">
            <v>Secondary Linking - Article Submissions (Month 5)</v>
          </cell>
        </row>
        <row r="181">
          <cell r="B181" t="str">
            <v>Secondary Linking - Article Submissions (Month 6)</v>
          </cell>
        </row>
        <row r="182">
          <cell r="B182" t="str">
            <v>Secondary Linking - Article Submissions (Month 7)</v>
          </cell>
        </row>
        <row r="184">
          <cell r="B184" t="str">
            <v>LANGUAGE - Submission to Foreign PR Sites</v>
          </cell>
        </row>
        <row r="185">
          <cell r="B185" t="str">
            <v>LANGUAGE - Submission to Foreign AS Sites</v>
          </cell>
        </row>
        <row r="186">
          <cell r="B186" t="str">
            <v>LANGUAGE - Submission to Foreign SMM Sites</v>
          </cell>
        </row>
        <row r="187">
          <cell r="B187" t="str">
            <v>LANGUAGE - Reviews on 5 - GEO Blogs</v>
          </cell>
        </row>
        <row r="188">
          <cell r="B188" t="str">
            <v>LANGUAGE - Submission to 400 French Directories</v>
          </cell>
        </row>
        <row r="189">
          <cell r="B189" t="str">
            <v>LANGUAGE - Submission to 300 Spanish Directories</v>
          </cell>
        </row>
        <row r="190">
          <cell r="B190" t="str">
            <v>LANGUAGE - Submission to 250 German Directories</v>
          </cell>
        </row>
        <row r="192">
          <cell r="B192" t="str">
            <v>BRAND - Select Friendly Target URLs</v>
          </cell>
        </row>
        <row r="193">
          <cell r="B193" t="str">
            <v>BRAND  - Dir Subs for 1 Friendly HomePage</v>
          </cell>
        </row>
        <row r="194">
          <cell r="B194" t="str">
            <v>BRAND  - SB Subs to 1 Friendly URL</v>
          </cell>
        </row>
        <row r="195">
          <cell r="B195" t="str">
            <v>BRAND  - AS Subs to Friendly URLs</v>
          </cell>
        </row>
        <row r="196">
          <cell r="B196" t="str">
            <v>BRAND  - Forum link to Friendly URLs</v>
          </cell>
        </row>
        <row r="197">
          <cell r="B197" t="str">
            <v>BRAND - Free PR to Friendly URLs</v>
          </cell>
        </row>
        <row r="198">
          <cell r="B198" t="str">
            <v>BRAND  - PR Wire to Friendly URLs</v>
          </cell>
        </row>
        <row r="199">
          <cell r="B199" t="str">
            <v>BRAND - EDU Links to Friendly URLs</v>
          </cell>
        </row>
        <row r="201">
          <cell r="B201" t="str">
            <v>Content - Draft Press Release</v>
          </cell>
        </row>
        <row r="202">
          <cell r="B202" t="str">
            <v>Content - Constant Content</v>
          </cell>
        </row>
        <row r="203">
          <cell r="B203" t="str">
            <v>Content - Adfero</v>
          </cell>
        </row>
        <row r="204">
          <cell r="B204" t="str">
            <v>Content - Adfero Termination Liability</v>
          </cell>
        </row>
        <row r="206">
          <cell r="B206" t="str">
            <v>LOCALISATION - .co.uk links</v>
          </cell>
        </row>
        <row r="207">
          <cell r="B207" t="str">
            <v>LOCALISATION  - https://www.google.com/local/add/</v>
          </cell>
        </row>
        <row r="208">
          <cell r="B208" t="str">
            <v>LOCALISATION  - http://local.yahoo.com/</v>
          </cell>
        </row>
        <row r="209">
          <cell r="B209" t="str">
            <v>LOCALISATION  - Other Local Directories</v>
          </cell>
        </row>
        <row r="211">
          <cell r="B211" t="str">
            <v>RESIGNATIONS - Newsreach</v>
          </cell>
        </row>
        <row r="212">
          <cell r="B212" t="str">
            <v>RESIGNATIONS - Tamar</v>
          </cell>
        </row>
        <row r="213">
          <cell r="B213" t="str">
            <v>RESIGNATIONS - ukonlinegames.com</v>
          </cell>
        </row>
        <row r="214">
          <cell r="B214" t="str">
            <v>RESIGNATIONS - prnewswire.com</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Dept Data Dump"/>
      <sheetName val="Manual_Driver_Dump"/>
      <sheetName val="Maintenance"/>
      <sheetName val="CHPP"/>
      <sheetName val="Production"/>
      <sheetName val="Lookup"/>
      <sheetName val="Pivot"/>
      <sheetName val="Weekly Dump"/>
    </sheetNames>
    <sheetDataSet>
      <sheetData sheetId="0"/>
      <sheetData sheetId="1"/>
      <sheetData sheetId="2"/>
      <sheetData sheetId="3">
        <row r="93">
          <cell r="AY93" t="str">
            <v>Target</v>
          </cell>
          <cell r="AZ93" t="str">
            <v>MOP</v>
          </cell>
          <cell r="BA93" t="str">
            <v>Budget</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Ethereum Classic">
      <a:dk1>
        <a:sysClr val="windowText" lastClr="000000"/>
      </a:dk1>
      <a:lt1>
        <a:sysClr val="window" lastClr="FFFFFF"/>
      </a:lt1>
      <a:dk2>
        <a:srgbClr val="44546A"/>
      </a:dk2>
      <a:lt2>
        <a:srgbClr val="E7E6E6"/>
      </a:lt2>
      <a:accent1>
        <a:srgbClr val="33FF99"/>
      </a:accent1>
      <a:accent2>
        <a:srgbClr val="131313"/>
      </a:accent2>
      <a:accent3>
        <a:srgbClr val="121820"/>
      </a:accent3>
      <a:accent4>
        <a:srgbClr val="FFED00"/>
      </a:accent4>
      <a:accent5>
        <a:srgbClr val="34FFF4"/>
      </a:accent5>
      <a:accent6>
        <a:srgbClr val="FD025D"/>
      </a:accent6>
      <a:hlink>
        <a:srgbClr val="0563C1"/>
      </a:hlink>
      <a:folHlink>
        <a:srgbClr val="954F72"/>
      </a:folHlink>
    </a:clrScheme>
    <a:fontScheme name="ETC open sans">
      <a:majorFont>
        <a:latin typeface="Merriweather BOLD"/>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F3AB9-5C89-454D-ABE5-3C131D8CC193}">
  <dimension ref="A1:Y94"/>
  <sheetViews>
    <sheetView showGridLines="0" tabSelected="1" topLeftCell="F70" zoomScale="130" zoomScaleNormal="130" workbookViewId="0">
      <selection activeCell="G2" sqref="G2"/>
    </sheetView>
  </sheetViews>
  <sheetFormatPr defaultColWidth="8.77734375" defaultRowHeight="15" x14ac:dyDescent="0.3"/>
  <cols>
    <col min="1" max="1" width="14.44140625" style="20" hidden="1" customWidth="1"/>
    <col min="2" max="2" width="10.44140625" style="20" hidden="1" customWidth="1"/>
    <col min="3" max="5" width="0" style="20" hidden="1" customWidth="1"/>
    <col min="6" max="6" width="9.33203125" style="20" customWidth="1"/>
    <col min="7" max="7" width="53.109375" style="20" customWidth="1"/>
    <col min="8" max="8" width="8.77734375" style="20"/>
    <col min="9" max="20" width="11.77734375" style="20" customWidth="1"/>
    <col min="21" max="21" width="12.77734375" style="20" customWidth="1"/>
    <col min="22" max="16384" width="8.77734375" style="20"/>
  </cols>
  <sheetData>
    <row r="1" spans="1:21" x14ac:dyDescent="0.3">
      <c r="G1" s="138" t="s">
        <v>629</v>
      </c>
    </row>
    <row r="3" spans="1:21" x14ac:dyDescent="0.3">
      <c r="G3" s="138"/>
      <c r="H3" s="138"/>
      <c r="I3" s="234"/>
      <c r="J3" s="138"/>
      <c r="K3" s="138"/>
      <c r="L3" s="138"/>
      <c r="M3" s="138"/>
      <c r="N3" s="138"/>
      <c r="O3" s="138"/>
      <c r="P3" s="138"/>
      <c r="Q3" s="138"/>
      <c r="R3" s="138"/>
      <c r="S3" s="138"/>
      <c r="T3" s="138"/>
      <c r="U3" s="138"/>
    </row>
    <row r="5" spans="1:21" x14ac:dyDescent="0.3">
      <c r="G5" s="20" t="s">
        <v>583</v>
      </c>
    </row>
    <row r="6" spans="1:21" x14ac:dyDescent="0.3">
      <c r="E6" s="228"/>
      <c r="I6" s="230" t="s">
        <v>187</v>
      </c>
      <c r="J6" s="230" t="s">
        <v>188</v>
      </c>
      <c r="K6" s="230" t="s">
        <v>32</v>
      </c>
      <c r="L6" s="230" t="s">
        <v>33</v>
      </c>
      <c r="M6" s="230" t="s">
        <v>7</v>
      </c>
      <c r="N6" s="230" t="s">
        <v>34</v>
      </c>
      <c r="O6" s="230" t="s">
        <v>9</v>
      </c>
      <c r="P6" s="230" t="s">
        <v>35</v>
      </c>
      <c r="Q6" s="230" t="s">
        <v>189</v>
      </c>
      <c r="R6" s="230" t="s">
        <v>190</v>
      </c>
      <c r="S6" s="230" t="s">
        <v>191</v>
      </c>
      <c r="T6" s="230" t="s">
        <v>192</v>
      </c>
    </row>
    <row r="7" spans="1:21" s="136" customFormat="1" x14ac:dyDescent="0.3">
      <c r="A7" s="123" t="s">
        <v>434</v>
      </c>
      <c r="B7" s="123" t="s">
        <v>435</v>
      </c>
      <c r="C7" s="123"/>
      <c r="D7" s="123"/>
      <c r="E7" s="123"/>
      <c r="G7" s="132" t="s">
        <v>50</v>
      </c>
      <c r="H7" s="133"/>
      <c r="I7" s="231">
        <v>44927</v>
      </c>
      <c r="J7" s="231">
        <v>44958</v>
      </c>
      <c r="K7" s="231">
        <v>44986</v>
      </c>
      <c r="L7" s="231">
        <v>45017</v>
      </c>
      <c r="M7" s="231">
        <v>45047</v>
      </c>
      <c r="N7" s="231">
        <v>45078</v>
      </c>
      <c r="O7" s="231">
        <v>45108</v>
      </c>
      <c r="P7" s="231">
        <v>45139</v>
      </c>
      <c r="Q7" s="231">
        <v>45170</v>
      </c>
      <c r="R7" s="231">
        <v>45200</v>
      </c>
      <c r="S7" s="231">
        <v>45231</v>
      </c>
      <c r="T7" s="231">
        <v>45261</v>
      </c>
      <c r="U7" s="137" t="s">
        <v>1</v>
      </c>
    </row>
    <row r="8" spans="1:21" s="116" customFormat="1" x14ac:dyDescent="0.3">
      <c r="G8" s="117"/>
      <c r="H8" s="118"/>
      <c r="I8" s="119"/>
      <c r="J8" s="119"/>
      <c r="K8" s="119"/>
      <c r="L8" s="119"/>
      <c r="M8" s="119"/>
      <c r="N8" s="119"/>
      <c r="O8" s="119"/>
      <c r="P8" s="119"/>
      <c r="Q8" s="119"/>
      <c r="R8" s="119"/>
      <c r="S8" s="119"/>
      <c r="T8" s="119"/>
      <c r="U8" s="125"/>
    </row>
    <row r="9" spans="1:21" s="116" customFormat="1" x14ac:dyDescent="0.3">
      <c r="G9" s="22" t="s">
        <v>114</v>
      </c>
      <c r="H9" s="118"/>
      <c r="I9" s="24"/>
      <c r="J9" s="24"/>
      <c r="K9" s="24"/>
      <c r="L9" s="24"/>
      <c r="M9" s="24"/>
      <c r="N9" s="24"/>
      <c r="O9" s="24"/>
      <c r="P9" s="24"/>
      <c r="Q9" s="24"/>
      <c r="R9" s="24"/>
      <c r="S9" s="24"/>
      <c r="T9" s="24"/>
      <c r="U9" s="125"/>
    </row>
    <row r="10" spans="1:21" s="120" customFormat="1" ht="16.5" x14ac:dyDescent="0.3">
      <c r="A10" s="120">
        <v>9</v>
      </c>
      <c r="B10" s="188" t="s">
        <v>208</v>
      </c>
      <c r="C10" s="120" t="str">
        <f>CONCATENATE(B10,A10)</f>
        <v>009</v>
      </c>
      <c r="D10" s="120" t="s">
        <v>88</v>
      </c>
      <c r="E10" t="s">
        <v>383</v>
      </c>
      <c r="G10" s="126" t="s">
        <v>101</v>
      </c>
      <c r="H10" s="121"/>
      <c r="I10" s="229"/>
      <c r="J10" s="229"/>
      <c r="K10" s="229"/>
      <c r="L10" s="229"/>
      <c r="M10" s="229"/>
      <c r="N10" s="229"/>
      <c r="O10" s="229"/>
      <c r="P10" s="229"/>
      <c r="Q10" s="229"/>
      <c r="R10" s="229"/>
      <c r="S10" s="229"/>
      <c r="T10" s="229"/>
      <c r="U10" s="224">
        <f>SUM(I10:T10)</f>
        <v>0</v>
      </c>
    </row>
    <row r="11" spans="1:21" s="120" customFormat="1" ht="16.5" x14ac:dyDescent="0.3">
      <c r="A11" s="120">
        <v>9</v>
      </c>
      <c r="B11" s="188" t="s">
        <v>208</v>
      </c>
      <c r="C11" s="120" t="str">
        <f t="shared" ref="C11:C64" si="0">CONCATENATE(B11,A11)</f>
        <v>009</v>
      </c>
      <c r="D11" s="120" t="s">
        <v>88</v>
      </c>
      <c r="E11" t="s">
        <v>387</v>
      </c>
      <c r="G11" s="126" t="s">
        <v>53</v>
      </c>
      <c r="H11" s="121"/>
      <c r="I11" s="24"/>
      <c r="J11" s="24"/>
      <c r="K11" s="24"/>
      <c r="L11" s="24"/>
      <c r="M11" s="24"/>
      <c r="N11" s="24"/>
      <c r="O11" s="24"/>
      <c r="P11" s="24"/>
      <c r="Q11" s="24"/>
      <c r="R11" s="24"/>
      <c r="S11" s="24"/>
      <c r="T11" s="24"/>
      <c r="U11" s="224">
        <f t="shared" ref="U11:U14" si="1">SUM(I11:T11)</f>
        <v>0</v>
      </c>
    </row>
    <row r="12" spans="1:21" s="120" customFormat="1" ht="16.5" x14ac:dyDescent="0.3">
      <c r="A12" s="120">
        <v>9</v>
      </c>
      <c r="B12" s="188" t="s">
        <v>208</v>
      </c>
      <c r="C12" s="120" t="str">
        <f t="shared" si="0"/>
        <v>009</v>
      </c>
      <c r="D12" s="120" t="s">
        <v>88</v>
      </c>
      <c r="E12" t="s">
        <v>385</v>
      </c>
      <c r="G12" s="126" t="s">
        <v>115</v>
      </c>
      <c r="H12" s="121"/>
      <c r="I12" s="24"/>
      <c r="J12" s="24"/>
      <c r="K12" s="24"/>
      <c r="L12" s="24"/>
      <c r="M12" s="24"/>
      <c r="N12" s="24"/>
      <c r="O12" s="24"/>
      <c r="P12" s="24"/>
      <c r="Q12" s="24"/>
      <c r="R12" s="24"/>
      <c r="S12" s="24"/>
      <c r="T12" s="24"/>
      <c r="U12" s="224">
        <f t="shared" si="1"/>
        <v>0</v>
      </c>
    </row>
    <row r="13" spans="1:21" s="123" customFormat="1" ht="16.5" x14ac:dyDescent="0.3">
      <c r="A13" s="120">
        <v>9</v>
      </c>
      <c r="B13" s="188" t="s">
        <v>208</v>
      </c>
      <c r="C13" s="120" t="str">
        <f t="shared" si="0"/>
        <v>009</v>
      </c>
      <c r="D13" s="120" t="s">
        <v>88</v>
      </c>
      <c r="E13" t="s">
        <v>389</v>
      </c>
      <c r="G13" s="126" t="s">
        <v>395</v>
      </c>
      <c r="I13" s="24"/>
      <c r="J13" s="24"/>
      <c r="K13" s="24"/>
      <c r="L13" s="24"/>
      <c r="M13" s="24"/>
      <c r="N13" s="24"/>
      <c r="O13" s="24"/>
      <c r="P13" s="24"/>
      <c r="Q13" s="24"/>
      <c r="R13" s="24"/>
      <c r="S13" s="24"/>
      <c r="T13" s="24"/>
      <c r="U13" s="224">
        <f t="shared" si="1"/>
        <v>0</v>
      </c>
    </row>
    <row r="14" spans="1:21" s="123" customFormat="1" ht="16.5" x14ac:dyDescent="0.3">
      <c r="A14" s="120">
        <v>9</v>
      </c>
      <c r="B14" s="188" t="s">
        <v>208</v>
      </c>
      <c r="C14" s="120" t="str">
        <f t="shared" si="0"/>
        <v>009</v>
      </c>
      <c r="D14" s="120" t="s">
        <v>88</v>
      </c>
      <c r="E14" t="s">
        <v>393</v>
      </c>
      <c r="G14" s="126" t="s">
        <v>116</v>
      </c>
      <c r="U14" s="224">
        <f t="shared" si="1"/>
        <v>0</v>
      </c>
    </row>
    <row r="15" spans="1:21" s="123" customFormat="1" ht="15.75" thickBot="1" x14ac:dyDescent="0.35">
      <c r="A15" s="120"/>
      <c r="B15" s="120"/>
      <c r="C15" s="120" t="str">
        <f t="shared" si="0"/>
        <v/>
      </c>
      <c r="D15" s="120"/>
      <c r="E15" s="120"/>
      <c r="G15" s="127" t="s">
        <v>112</v>
      </c>
      <c r="H15" s="128"/>
      <c r="I15" s="129">
        <f>SUM(I10:I14)</f>
        <v>0</v>
      </c>
      <c r="J15" s="129">
        <f t="shared" ref="J15:T15" si="2">SUM(J10:J14)</f>
        <v>0</v>
      </c>
      <c r="K15" s="129">
        <f t="shared" si="2"/>
        <v>0</v>
      </c>
      <c r="L15" s="129">
        <f t="shared" si="2"/>
        <v>0</v>
      </c>
      <c r="M15" s="129">
        <f t="shared" si="2"/>
        <v>0</v>
      </c>
      <c r="N15" s="129">
        <f t="shared" si="2"/>
        <v>0</v>
      </c>
      <c r="O15" s="129">
        <f t="shared" si="2"/>
        <v>0</v>
      </c>
      <c r="P15" s="129">
        <f t="shared" si="2"/>
        <v>0</v>
      </c>
      <c r="Q15" s="129">
        <f t="shared" si="2"/>
        <v>0</v>
      </c>
      <c r="R15" s="129">
        <f t="shared" si="2"/>
        <v>0</v>
      </c>
      <c r="S15" s="129">
        <f t="shared" si="2"/>
        <v>0</v>
      </c>
      <c r="T15" s="129">
        <f t="shared" si="2"/>
        <v>0</v>
      </c>
      <c r="U15" s="29">
        <f>SUM(U10:U14)</f>
        <v>0</v>
      </c>
    </row>
    <row r="16" spans="1:21" s="123" customFormat="1" ht="15.75" thickTop="1" x14ac:dyDescent="0.3">
      <c r="A16" s="120"/>
      <c r="B16" s="120"/>
      <c r="C16" s="120" t="str">
        <f t="shared" si="0"/>
        <v/>
      </c>
      <c r="D16" s="120"/>
      <c r="E16" s="120"/>
      <c r="G16" s="124"/>
      <c r="U16" s="125"/>
    </row>
    <row r="17" spans="1:21" x14ac:dyDescent="0.3">
      <c r="A17" s="120"/>
      <c r="B17" s="120"/>
      <c r="C17" s="120" t="str">
        <f t="shared" si="0"/>
        <v/>
      </c>
      <c r="D17" s="120"/>
      <c r="E17" s="120"/>
      <c r="G17" s="22" t="s">
        <v>36</v>
      </c>
      <c r="U17" s="21"/>
    </row>
    <row r="18" spans="1:21" ht="16.5" x14ac:dyDescent="0.3">
      <c r="A18" s="120">
        <v>2</v>
      </c>
      <c r="B18" s="188" t="s">
        <v>204</v>
      </c>
      <c r="C18" s="120" t="str">
        <f t="shared" si="0"/>
        <v>012</v>
      </c>
      <c r="D18" s="120" t="s">
        <v>225</v>
      </c>
      <c r="E18" t="s">
        <v>271</v>
      </c>
      <c r="G18" s="23" t="s">
        <v>587</v>
      </c>
      <c r="I18" s="24">
        <v>18116.666666666668</v>
      </c>
      <c r="J18" s="24">
        <v>18116.666666666668</v>
      </c>
      <c r="K18" s="24">
        <v>18116.666666666668</v>
      </c>
      <c r="L18" s="24">
        <v>18116.666666666668</v>
      </c>
      <c r="M18" s="24">
        <v>18116.666666666668</v>
      </c>
      <c r="N18" s="24">
        <v>18116.666666666668</v>
      </c>
      <c r="O18" s="24">
        <v>18116.666666666668</v>
      </c>
      <c r="P18" s="24">
        <v>18116.666666666668</v>
      </c>
      <c r="Q18" s="24">
        <v>18116.666666666668</v>
      </c>
      <c r="R18" s="24">
        <v>18116.666666666668</v>
      </c>
      <c r="S18" s="24">
        <v>18116.666666666668</v>
      </c>
      <c r="T18" s="24">
        <v>18116.666666666668</v>
      </c>
      <c r="U18" s="25">
        <f>SUM(I18:T18)</f>
        <v>217399.99999999997</v>
      </c>
    </row>
    <row r="19" spans="1:21" ht="16.5" x14ac:dyDescent="0.3">
      <c r="A19" s="120">
        <v>2</v>
      </c>
      <c r="B19" s="188" t="s">
        <v>210</v>
      </c>
      <c r="C19" s="120" t="str">
        <f t="shared" si="0"/>
        <v>032</v>
      </c>
      <c r="D19" s="120" t="s">
        <v>225</v>
      </c>
      <c r="E19" t="s">
        <v>325</v>
      </c>
      <c r="G19" s="23" t="s">
        <v>614</v>
      </c>
      <c r="I19" s="24">
        <v>43480</v>
      </c>
      <c r="J19" s="24">
        <v>43480</v>
      </c>
      <c r="K19" s="24">
        <v>43480</v>
      </c>
      <c r="L19" s="24">
        <v>43480</v>
      </c>
      <c r="M19" s="24">
        <v>43480</v>
      </c>
      <c r="N19" s="24">
        <v>43480</v>
      </c>
      <c r="O19" s="24">
        <v>43480</v>
      </c>
      <c r="P19" s="24">
        <v>43480</v>
      </c>
      <c r="Q19" s="24">
        <v>43480</v>
      </c>
      <c r="R19" s="24">
        <v>43480</v>
      </c>
      <c r="S19" s="24">
        <v>43480</v>
      </c>
      <c r="T19" s="24">
        <v>43480</v>
      </c>
      <c r="U19" s="25">
        <f>SUM(I19:T19)</f>
        <v>521760</v>
      </c>
    </row>
    <row r="20" spans="1:21" ht="16.5" x14ac:dyDescent="0.3">
      <c r="A20" s="120">
        <v>2</v>
      </c>
      <c r="B20" s="188" t="s">
        <v>214</v>
      </c>
      <c r="C20" s="120" t="str">
        <f t="shared" si="0"/>
        <v>072</v>
      </c>
      <c r="D20" s="120" t="s">
        <v>225</v>
      </c>
      <c r="E20" t="s">
        <v>357</v>
      </c>
      <c r="G20" s="23" t="s">
        <v>585</v>
      </c>
      <c r="I20" s="24">
        <v>5435</v>
      </c>
      <c r="J20" s="24">
        <v>5435</v>
      </c>
      <c r="K20" s="24">
        <v>5435</v>
      </c>
      <c r="L20" s="24">
        <v>5435</v>
      </c>
      <c r="M20" s="24">
        <v>5435</v>
      </c>
      <c r="N20" s="24">
        <v>5435</v>
      </c>
      <c r="O20" s="24">
        <v>5435</v>
      </c>
      <c r="P20" s="24">
        <v>5435</v>
      </c>
      <c r="Q20" s="24">
        <v>5435</v>
      </c>
      <c r="R20" s="24">
        <v>5435</v>
      </c>
      <c r="S20" s="24">
        <v>5435</v>
      </c>
      <c r="T20" s="24">
        <v>5435</v>
      </c>
      <c r="U20" s="25">
        <f>SUM(I20:T20)</f>
        <v>65220</v>
      </c>
    </row>
    <row r="21" spans="1:21" ht="16.5" x14ac:dyDescent="0.3">
      <c r="A21" s="120">
        <v>2</v>
      </c>
      <c r="B21" s="188" t="s">
        <v>209</v>
      </c>
      <c r="C21" s="120" t="str">
        <f t="shared" si="0"/>
        <v>022</v>
      </c>
      <c r="D21" s="120"/>
      <c r="E21" t="s">
        <v>602</v>
      </c>
      <c r="G21" s="23" t="s">
        <v>586</v>
      </c>
      <c r="I21" s="24">
        <v>20522</v>
      </c>
      <c r="J21" s="24">
        <v>20522</v>
      </c>
      <c r="K21" s="24">
        <v>20522</v>
      </c>
      <c r="L21" s="24">
        <v>20522</v>
      </c>
      <c r="M21" s="24">
        <v>20522</v>
      </c>
      <c r="N21" s="24">
        <v>20522</v>
      </c>
      <c r="O21" s="24">
        <v>20522</v>
      </c>
      <c r="P21" s="24">
        <v>20522</v>
      </c>
      <c r="Q21" s="24">
        <v>20522</v>
      </c>
      <c r="R21" s="24">
        <v>20522</v>
      </c>
      <c r="S21" s="24">
        <v>20522</v>
      </c>
      <c r="T21" s="24">
        <v>20522</v>
      </c>
      <c r="U21" s="25">
        <f t="shared" ref="U21:U24" si="3">SUM(I21:T21)</f>
        <v>246264</v>
      </c>
    </row>
    <row r="22" spans="1:21" ht="16.5" x14ac:dyDescent="0.3">
      <c r="A22" s="120">
        <v>2</v>
      </c>
      <c r="B22" s="188" t="s">
        <v>210</v>
      </c>
      <c r="C22" s="120" t="str">
        <f t="shared" si="0"/>
        <v>032</v>
      </c>
      <c r="D22" s="120"/>
      <c r="E22" t="s">
        <v>325</v>
      </c>
      <c r="G22" s="23" t="s">
        <v>615</v>
      </c>
      <c r="I22" s="24">
        <v>3500</v>
      </c>
      <c r="J22" s="24">
        <v>3500</v>
      </c>
      <c r="K22" s="24">
        <v>3500</v>
      </c>
      <c r="L22" s="24">
        <v>3500</v>
      </c>
      <c r="M22" s="24">
        <v>3500</v>
      </c>
      <c r="N22" s="24">
        <v>3500</v>
      </c>
      <c r="O22" s="24">
        <v>3500</v>
      </c>
      <c r="P22" s="24">
        <v>3500</v>
      </c>
      <c r="Q22" s="24">
        <v>3500</v>
      </c>
      <c r="R22" s="24">
        <v>3500</v>
      </c>
      <c r="S22" s="24">
        <v>3500</v>
      </c>
      <c r="T22" s="24">
        <v>3500</v>
      </c>
      <c r="U22" s="25">
        <f t="shared" si="3"/>
        <v>42000</v>
      </c>
    </row>
    <row r="23" spans="1:21" ht="16.5" x14ac:dyDescent="0.3">
      <c r="A23" s="120"/>
      <c r="B23" s="188"/>
      <c r="C23" s="120"/>
      <c r="D23" s="120"/>
      <c r="E23"/>
      <c r="G23" s="23"/>
      <c r="I23" s="24"/>
      <c r="J23" s="24"/>
      <c r="K23" s="24"/>
      <c r="L23" s="24"/>
      <c r="M23" s="24"/>
      <c r="N23" s="24"/>
      <c r="O23" s="24"/>
      <c r="P23" s="24"/>
      <c r="Q23" s="24"/>
      <c r="R23" s="24"/>
      <c r="S23" s="24"/>
      <c r="T23" s="24"/>
      <c r="U23" s="25">
        <f t="shared" si="3"/>
        <v>0</v>
      </c>
    </row>
    <row r="24" spans="1:21" ht="16.5" x14ac:dyDescent="0.3">
      <c r="A24" s="120"/>
      <c r="B24" s="188"/>
      <c r="C24" s="120"/>
      <c r="D24" s="120"/>
      <c r="E24"/>
      <c r="G24" s="23" t="s">
        <v>610</v>
      </c>
      <c r="I24" s="24"/>
      <c r="J24" s="24"/>
      <c r="K24" s="24"/>
      <c r="L24" s="24"/>
      <c r="M24" s="24"/>
      <c r="N24" s="24"/>
      <c r="O24" s="24"/>
      <c r="P24" s="24"/>
      <c r="Q24" s="24"/>
      <c r="R24" s="24"/>
      <c r="S24" s="24"/>
      <c r="T24" s="24"/>
      <c r="U24" s="25">
        <f t="shared" si="3"/>
        <v>0</v>
      </c>
    </row>
    <row r="25" spans="1:21" x14ac:dyDescent="0.3">
      <c r="A25" s="120">
        <v>4</v>
      </c>
      <c r="B25" s="188" t="s">
        <v>204</v>
      </c>
      <c r="C25" s="120" t="str">
        <f t="shared" si="0"/>
        <v>014</v>
      </c>
      <c r="D25" s="120" t="s">
        <v>225</v>
      </c>
      <c r="E25" s="120" t="s">
        <v>601</v>
      </c>
      <c r="G25" s="23" t="s">
        <v>599</v>
      </c>
      <c r="I25" s="24">
        <v>3500</v>
      </c>
      <c r="J25" s="24">
        <v>3500</v>
      </c>
      <c r="K25" s="24">
        <v>3500</v>
      </c>
      <c r="L25" s="24">
        <v>3500</v>
      </c>
      <c r="M25" s="24">
        <v>3500</v>
      </c>
      <c r="N25" s="24">
        <v>3500</v>
      </c>
      <c r="O25" s="24">
        <v>3500</v>
      </c>
      <c r="P25" s="24">
        <v>3500</v>
      </c>
      <c r="Q25" s="24">
        <v>3500</v>
      </c>
      <c r="R25" s="24">
        <v>3500</v>
      </c>
      <c r="S25" s="24">
        <v>3500</v>
      </c>
      <c r="T25" s="24">
        <v>3500</v>
      </c>
      <c r="U25" s="25">
        <f>SUM(I25:T25)</f>
        <v>42000</v>
      </c>
    </row>
    <row r="26" spans="1:21" ht="15.75" thickBot="1" x14ac:dyDescent="0.35">
      <c r="A26" s="120"/>
      <c r="B26" s="120"/>
      <c r="C26" s="120" t="str">
        <f t="shared" si="0"/>
        <v/>
      </c>
      <c r="D26" s="120"/>
      <c r="E26" s="120"/>
      <c r="G26" s="26" t="s">
        <v>1</v>
      </c>
      <c r="H26" s="27"/>
      <c r="I26" s="28">
        <f>SUM(I18:I25)</f>
        <v>94553.666666666672</v>
      </c>
      <c r="J26" s="28">
        <f t="shared" ref="J26:T26" si="4">SUM(J18:J25)</f>
        <v>94553.666666666672</v>
      </c>
      <c r="K26" s="28">
        <f t="shared" si="4"/>
        <v>94553.666666666672</v>
      </c>
      <c r="L26" s="28">
        <f t="shared" si="4"/>
        <v>94553.666666666672</v>
      </c>
      <c r="M26" s="28">
        <f t="shared" si="4"/>
        <v>94553.666666666672</v>
      </c>
      <c r="N26" s="28">
        <f t="shared" si="4"/>
        <v>94553.666666666672</v>
      </c>
      <c r="O26" s="28">
        <f t="shared" si="4"/>
        <v>94553.666666666672</v>
      </c>
      <c r="P26" s="28">
        <f t="shared" si="4"/>
        <v>94553.666666666672</v>
      </c>
      <c r="Q26" s="28">
        <f t="shared" si="4"/>
        <v>94553.666666666672</v>
      </c>
      <c r="R26" s="28">
        <f t="shared" si="4"/>
        <v>94553.666666666672</v>
      </c>
      <c r="S26" s="28">
        <f t="shared" si="4"/>
        <v>94553.666666666672</v>
      </c>
      <c r="T26" s="28">
        <f t="shared" si="4"/>
        <v>94553.666666666672</v>
      </c>
      <c r="U26" s="29">
        <f>SUM(U18:U25)</f>
        <v>1134644</v>
      </c>
    </row>
    <row r="27" spans="1:21" ht="15.75" thickTop="1" x14ac:dyDescent="0.3">
      <c r="A27" s="120"/>
      <c r="B27" s="120"/>
      <c r="C27" s="120" t="str">
        <f t="shared" si="0"/>
        <v/>
      </c>
      <c r="D27" s="120"/>
      <c r="E27" s="120"/>
      <c r="G27" s="22" t="s">
        <v>31</v>
      </c>
      <c r="U27" s="30"/>
    </row>
    <row r="28" spans="1:21" ht="16.5" x14ac:dyDescent="0.3">
      <c r="A28" s="120">
        <v>6</v>
      </c>
      <c r="B28" s="188" t="s">
        <v>214</v>
      </c>
      <c r="C28" s="120" t="str">
        <f t="shared" si="0"/>
        <v>076</v>
      </c>
      <c r="D28" s="120" t="s">
        <v>31</v>
      </c>
      <c r="E28" t="s">
        <v>361</v>
      </c>
      <c r="G28" s="23" t="s">
        <v>40</v>
      </c>
      <c r="I28" s="24"/>
      <c r="J28" s="24"/>
      <c r="K28" s="24">
        <v>10000</v>
      </c>
      <c r="L28" s="24"/>
      <c r="M28" s="24"/>
      <c r="N28" s="24"/>
      <c r="O28" s="24"/>
      <c r="P28" s="24"/>
      <c r="Q28" s="24"/>
      <c r="R28" s="24"/>
      <c r="S28" s="24">
        <v>25000</v>
      </c>
      <c r="T28" s="24"/>
      <c r="U28" s="25">
        <f>SUM(I28:T28)</f>
        <v>35000</v>
      </c>
    </row>
    <row r="29" spans="1:21" ht="16.5" x14ac:dyDescent="0.3">
      <c r="A29" s="120">
        <v>6</v>
      </c>
      <c r="B29" s="188" t="s">
        <v>204</v>
      </c>
      <c r="C29" s="120" t="str">
        <f t="shared" si="0"/>
        <v>016</v>
      </c>
      <c r="D29" s="120" t="s">
        <v>31</v>
      </c>
      <c r="E29" t="s">
        <v>291</v>
      </c>
      <c r="G29" s="23" t="s">
        <v>48</v>
      </c>
      <c r="I29" s="24"/>
      <c r="J29" s="24"/>
      <c r="K29" s="24">
        <v>500</v>
      </c>
      <c r="L29" s="24"/>
      <c r="M29" s="24"/>
      <c r="N29" s="24">
        <v>500</v>
      </c>
      <c r="O29" s="24"/>
      <c r="P29" s="24"/>
      <c r="Q29" s="24"/>
      <c r="R29" s="24">
        <v>500</v>
      </c>
      <c r="S29" s="24"/>
      <c r="T29" s="24">
        <v>5000</v>
      </c>
      <c r="U29" s="25">
        <f>SUM(I29:T29)</f>
        <v>6500</v>
      </c>
    </row>
    <row r="30" spans="1:21" ht="16.5" x14ac:dyDescent="0.3">
      <c r="A30" s="120">
        <v>6</v>
      </c>
      <c r="B30" s="188" t="s">
        <v>204</v>
      </c>
      <c r="C30" s="120" t="str">
        <f t="shared" si="0"/>
        <v>016</v>
      </c>
      <c r="D30" s="120" t="s">
        <v>31</v>
      </c>
      <c r="E30" t="s">
        <v>291</v>
      </c>
      <c r="G30" s="23" t="s">
        <v>49</v>
      </c>
      <c r="I30" s="24"/>
      <c r="J30" s="24"/>
      <c r="K30" s="24"/>
      <c r="L30" s="24"/>
      <c r="M30" s="24"/>
      <c r="N30" s="24"/>
      <c r="O30" s="24"/>
      <c r="P30" s="24"/>
      <c r="Q30" s="24"/>
      <c r="R30" s="24"/>
      <c r="S30" s="24"/>
      <c r="T30" s="24"/>
      <c r="U30" s="25">
        <f>SUM(I30:T30)</f>
        <v>0</v>
      </c>
    </row>
    <row r="31" spans="1:21" ht="16.5" x14ac:dyDescent="0.3">
      <c r="A31" s="120">
        <v>6</v>
      </c>
      <c r="B31" s="188" t="s">
        <v>204</v>
      </c>
      <c r="C31" s="120" t="str">
        <f t="shared" si="0"/>
        <v>016</v>
      </c>
      <c r="D31" s="120" t="s">
        <v>31</v>
      </c>
      <c r="E31" t="s">
        <v>291</v>
      </c>
      <c r="F31" s="31">
        <v>0.1</v>
      </c>
      <c r="G31" s="32" t="str">
        <f>"Contingency"&amp;" "&amp;"at"&amp;" "&amp;(F31*100)&amp;"%"</f>
        <v>Contingency at 10%</v>
      </c>
      <c r="H31" s="33"/>
      <c r="I31" s="34">
        <f>SUM(I28:I30)*$F$31</f>
        <v>0</v>
      </c>
      <c r="J31" s="34">
        <f t="shared" ref="J31:T31" si="5">SUM(J28:J30)*$F$31</f>
        <v>0</v>
      </c>
      <c r="K31" s="34">
        <f t="shared" si="5"/>
        <v>1050</v>
      </c>
      <c r="L31" s="34">
        <f t="shared" si="5"/>
        <v>0</v>
      </c>
      <c r="M31" s="34">
        <f t="shared" si="5"/>
        <v>0</v>
      </c>
      <c r="N31" s="34">
        <f t="shared" si="5"/>
        <v>50</v>
      </c>
      <c r="O31" s="34">
        <f t="shared" si="5"/>
        <v>0</v>
      </c>
      <c r="P31" s="34">
        <f t="shared" si="5"/>
        <v>0</v>
      </c>
      <c r="Q31" s="34">
        <f t="shared" si="5"/>
        <v>0</v>
      </c>
      <c r="R31" s="34">
        <f t="shared" si="5"/>
        <v>50</v>
      </c>
      <c r="S31" s="34">
        <f t="shared" si="5"/>
        <v>2500</v>
      </c>
      <c r="T31" s="34">
        <f t="shared" si="5"/>
        <v>500</v>
      </c>
      <c r="U31" s="35">
        <f>SUM(I31:T31)</f>
        <v>4150</v>
      </c>
    </row>
    <row r="32" spans="1:21" ht="15.75" thickBot="1" x14ac:dyDescent="0.35">
      <c r="A32" s="120"/>
      <c r="B32" s="120"/>
      <c r="C32" s="120" t="str">
        <f t="shared" si="0"/>
        <v/>
      </c>
      <c r="D32" s="120"/>
      <c r="E32" s="120"/>
      <c r="G32" s="26" t="s">
        <v>1</v>
      </c>
      <c r="H32" s="27"/>
      <c r="I32" s="28">
        <f>SUM(I28:I31)</f>
        <v>0</v>
      </c>
      <c r="J32" s="28">
        <f t="shared" ref="J32:T32" si="6">SUM(J28:J31)</f>
        <v>0</v>
      </c>
      <c r="K32" s="28">
        <f t="shared" si="6"/>
        <v>11550</v>
      </c>
      <c r="L32" s="28">
        <f t="shared" si="6"/>
        <v>0</v>
      </c>
      <c r="M32" s="28">
        <f t="shared" si="6"/>
        <v>0</v>
      </c>
      <c r="N32" s="28">
        <f t="shared" si="6"/>
        <v>550</v>
      </c>
      <c r="O32" s="28">
        <f t="shared" si="6"/>
        <v>0</v>
      </c>
      <c r="P32" s="28">
        <f t="shared" si="6"/>
        <v>0</v>
      </c>
      <c r="Q32" s="28">
        <f t="shared" si="6"/>
        <v>0</v>
      </c>
      <c r="R32" s="28">
        <f t="shared" si="6"/>
        <v>550</v>
      </c>
      <c r="S32" s="28">
        <f t="shared" si="6"/>
        <v>27500</v>
      </c>
      <c r="T32" s="28">
        <f t="shared" si="6"/>
        <v>5500</v>
      </c>
      <c r="U32" s="29">
        <f>SUM(U28:U31)</f>
        <v>45650</v>
      </c>
    </row>
    <row r="33" spans="1:21" ht="15.75" thickTop="1" x14ac:dyDescent="0.3">
      <c r="A33" s="120"/>
      <c r="B33" s="120"/>
      <c r="C33" s="120" t="str">
        <f t="shared" si="0"/>
        <v/>
      </c>
      <c r="D33" s="120"/>
      <c r="E33" s="120"/>
      <c r="G33" s="22" t="s">
        <v>618</v>
      </c>
      <c r="U33" s="30"/>
    </row>
    <row r="34" spans="1:21" ht="16.5" x14ac:dyDescent="0.3">
      <c r="A34" s="120">
        <v>4</v>
      </c>
      <c r="B34" s="188" t="s">
        <v>204</v>
      </c>
      <c r="C34" s="120" t="str">
        <f t="shared" si="0"/>
        <v>014</v>
      </c>
      <c r="D34" s="120" t="s">
        <v>236</v>
      </c>
      <c r="E34" t="s">
        <v>287</v>
      </c>
      <c r="G34" s="23" t="s">
        <v>630</v>
      </c>
      <c r="I34" s="24">
        <v>1500</v>
      </c>
      <c r="J34" s="24">
        <v>1500</v>
      </c>
      <c r="K34" s="24">
        <v>1500</v>
      </c>
      <c r="L34" s="24">
        <v>1500</v>
      </c>
      <c r="M34" s="24">
        <v>1500</v>
      </c>
      <c r="N34" s="24">
        <v>1500</v>
      </c>
      <c r="O34" s="24">
        <v>1500</v>
      </c>
      <c r="P34" s="24">
        <v>1500</v>
      </c>
      <c r="Q34" s="24">
        <v>1500</v>
      </c>
      <c r="R34" s="24">
        <v>1500</v>
      </c>
      <c r="S34" s="24">
        <v>1500</v>
      </c>
      <c r="T34" s="24">
        <v>1500</v>
      </c>
      <c r="U34" s="25">
        <f>SUM(I34:T34)</f>
        <v>18000</v>
      </c>
    </row>
    <row r="35" spans="1:21" ht="16.5" x14ac:dyDescent="0.3">
      <c r="A35" s="120">
        <v>3</v>
      </c>
      <c r="B35" s="188" t="s">
        <v>204</v>
      </c>
      <c r="C35" s="120" t="str">
        <f t="shared" si="0"/>
        <v>013</v>
      </c>
      <c r="D35" s="120" t="s">
        <v>230</v>
      </c>
      <c r="E35" t="s">
        <v>277</v>
      </c>
      <c r="G35" s="23" t="s">
        <v>619</v>
      </c>
      <c r="I35" s="24">
        <v>1000</v>
      </c>
      <c r="J35" s="24">
        <v>1000</v>
      </c>
      <c r="K35" s="24">
        <v>1000</v>
      </c>
      <c r="L35" s="24">
        <v>1000</v>
      </c>
      <c r="M35" s="24">
        <v>1000</v>
      </c>
      <c r="N35" s="24">
        <v>1000</v>
      </c>
      <c r="O35" s="24">
        <v>1000</v>
      </c>
      <c r="P35" s="24">
        <v>1000</v>
      </c>
      <c r="Q35" s="24">
        <v>1000</v>
      </c>
      <c r="R35" s="24">
        <v>1000</v>
      </c>
      <c r="S35" s="24">
        <v>1000</v>
      </c>
      <c r="T35" s="24">
        <v>1000</v>
      </c>
      <c r="U35" s="25">
        <f t="shared" ref="U35:U42" si="7">SUM(I35:T35)</f>
        <v>12000</v>
      </c>
    </row>
    <row r="36" spans="1:21" ht="16.5" x14ac:dyDescent="0.3">
      <c r="A36" s="120"/>
      <c r="B36" s="188"/>
      <c r="C36" s="120"/>
      <c r="D36" s="120"/>
      <c r="E36"/>
      <c r="G36" s="23" t="s">
        <v>620</v>
      </c>
      <c r="I36" s="24"/>
      <c r="J36" s="24"/>
      <c r="K36" s="24"/>
      <c r="L36" s="24">
        <v>1000</v>
      </c>
      <c r="M36" s="24"/>
      <c r="N36" s="24"/>
      <c r="O36" s="24"/>
      <c r="P36" s="24"/>
      <c r="Q36" s="24">
        <v>1000</v>
      </c>
      <c r="R36" s="24"/>
      <c r="S36" s="24">
        <v>1000</v>
      </c>
      <c r="T36" s="24"/>
      <c r="U36" s="25">
        <f t="shared" si="7"/>
        <v>3000</v>
      </c>
    </row>
    <row r="37" spans="1:21" ht="16.5" x14ac:dyDescent="0.3">
      <c r="A37" s="120">
        <v>3</v>
      </c>
      <c r="B37" s="188" t="s">
        <v>214</v>
      </c>
      <c r="C37" s="120" t="str">
        <f t="shared" si="0"/>
        <v>073</v>
      </c>
      <c r="D37" s="120" t="s">
        <v>230</v>
      </c>
      <c r="E37" t="s">
        <v>359</v>
      </c>
      <c r="G37" s="23" t="s">
        <v>193</v>
      </c>
      <c r="I37" s="24">
        <v>125</v>
      </c>
      <c r="J37" s="24">
        <v>125</v>
      </c>
      <c r="K37" s="24">
        <v>125</v>
      </c>
      <c r="L37" s="24">
        <v>125</v>
      </c>
      <c r="M37" s="24">
        <v>125</v>
      </c>
      <c r="N37" s="24">
        <v>125</v>
      </c>
      <c r="O37" s="24">
        <v>125</v>
      </c>
      <c r="P37" s="24">
        <v>125</v>
      </c>
      <c r="Q37" s="24">
        <v>125</v>
      </c>
      <c r="R37" s="24">
        <v>125</v>
      </c>
      <c r="S37" s="24">
        <v>125</v>
      </c>
      <c r="T37" s="24">
        <v>125</v>
      </c>
      <c r="U37" s="25">
        <f t="shared" si="7"/>
        <v>1500</v>
      </c>
    </row>
    <row r="38" spans="1:21" ht="16.5" x14ac:dyDescent="0.3">
      <c r="A38" s="120">
        <v>3</v>
      </c>
      <c r="B38" s="188" t="s">
        <v>204</v>
      </c>
      <c r="C38" s="120" t="str">
        <f t="shared" si="0"/>
        <v>013</v>
      </c>
      <c r="D38" s="120" t="s">
        <v>230</v>
      </c>
      <c r="E38" t="s">
        <v>273</v>
      </c>
      <c r="G38" s="23" t="s">
        <v>195</v>
      </c>
      <c r="I38" s="24">
        <v>500</v>
      </c>
      <c r="J38" s="24">
        <v>500</v>
      </c>
      <c r="K38" s="24">
        <v>500</v>
      </c>
      <c r="L38" s="24">
        <v>500</v>
      </c>
      <c r="M38" s="24">
        <v>500</v>
      </c>
      <c r="N38" s="24">
        <v>500</v>
      </c>
      <c r="O38" s="24">
        <v>500</v>
      </c>
      <c r="P38" s="24">
        <v>500</v>
      </c>
      <c r="Q38" s="24">
        <v>500</v>
      </c>
      <c r="R38" s="24">
        <v>500</v>
      </c>
      <c r="S38" s="24">
        <v>500</v>
      </c>
      <c r="T38" s="24">
        <v>500</v>
      </c>
      <c r="U38" s="25">
        <f t="shared" si="7"/>
        <v>6000</v>
      </c>
    </row>
    <row r="39" spans="1:21" ht="16.5" x14ac:dyDescent="0.3">
      <c r="A39" s="120"/>
      <c r="B39" s="188"/>
      <c r="C39" s="120"/>
      <c r="D39" s="120"/>
      <c r="E39"/>
      <c r="G39" s="23" t="s">
        <v>611</v>
      </c>
      <c r="I39" s="24"/>
      <c r="J39" s="24"/>
      <c r="K39" s="24"/>
      <c r="L39" s="24"/>
      <c r="M39" s="24"/>
      <c r="N39" s="24">
        <v>5000</v>
      </c>
      <c r="O39" s="24"/>
      <c r="P39" s="24"/>
      <c r="Q39" s="24">
        <v>5000</v>
      </c>
      <c r="R39" s="24"/>
      <c r="S39" s="24"/>
      <c r="T39" s="24"/>
      <c r="U39" s="25">
        <f t="shared" si="7"/>
        <v>10000</v>
      </c>
    </row>
    <row r="40" spans="1:21" ht="16.5" x14ac:dyDescent="0.3">
      <c r="A40" s="120">
        <v>4</v>
      </c>
      <c r="B40" s="188" t="s">
        <v>204</v>
      </c>
      <c r="C40" s="120" t="str">
        <f t="shared" si="0"/>
        <v>014</v>
      </c>
      <c r="D40" s="120" t="s">
        <v>236</v>
      </c>
      <c r="E40" t="s">
        <v>285</v>
      </c>
      <c r="G40" s="23" t="s">
        <v>45</v>
      </c>
      <c r="I40" s="24">
        <v>250</v>
      </c>
      <c r="J40" s="24">
        <v>250</v>
      </c>
      <c r="K40" s="24">
        <v>250</v>
      </c>
      <c r="L40" s="24">
        <v>250</v>
      </c>
      <c r="M40" s="24">
        <v>250</v>
      </c>
      <c r="N40" s="24">
        <v>250</v>
      </c>
      <c r="O40" s="24">
        <v>250</v>
      </c>
      <c r="P40" s="24">
        <v>250</v>
      </c>
      <c r="Q40" s="24">
        <v>250</v>
      </c>
      <c r="R40" s="24">
        <v>250</v>
      </c>
      <c r="S40" s="24">
        <v>250</v>
      </c>
      <c r="T40" s="24">
        <v>250</v>
      </c>
      <c r="U40" s="25">
        <f t="shared" si="7"/>
        <v>3000</v>
      </c>
    </row>
    <row r="41" spans="1:21" ht="16.5" x14ac:dyDescent="0.3">
      <c r="A41" s="120">
        <v>4</v>
      </c>
      <c r="B41" s="188" t="s">
        <v>204</v>
      </c>
      <c r="C41" s="120" t="str">
        <f t="shared" si="0"/>
        <v>014</v>
      </c>
      <c r="D41" s="120" t="s">
        <v>236</v>
      </c>
      <c r="E41" t="s">
        <v>289</v>
      </c>
      <c r="G41" s="23" t="s">
        <v>46</v>
      </c>
      <c r="I41" s="24">
        <v>250</v>
      </c>
      <c r="J41" s="24">
        <v>250</v>
      </c>
      <c r="K41" s="24">
        <v>250</v>
      </c>
      <c r="L41" s="24">
        <v>250</v>
      </c>
      <c r="M41" s="24">
        <v>250</v>
      </c>
      <c r="N41" s="24">
        <v>250</v>
      </c>
      <c r="O41" s="24">
        <v>250</v>
      </c>
      <c r="P41" s="24">
        <v>250</v>
      </c>
      <c r="Q41" s="24">
        <v>250</v>
      </c>
      <c r="R41" s="24">
        <v>250</v>
      </c>
      <c r="S41" s="24">
        <v>250</v>
      </c>
      <c r="T41" s="24">
        <v>250</v>
      </c>
      <c r="U41" s="25">
        <f t="shared" si="7"/>
        <v>3000</v>
      </c>
    </row>
    <row r="42" spans="1:21" ht="16.5" x14ac:dyDescent="0.3">
      <c r="A42" s="120">
        <v>4</v>
      </c>
      <c r="B42" s="188" t="s">
        <v>204</v>
      </c>
      <c r="C42" s="120" t="str">
        <f t="shared" si="0"/>
        <v>014</v>
      </c>
      <c r="D42" s="120" t="s">
        <v>236</v>
      </c>
      <c r="E42" t="s">
        <v>289</v>
      </c>
      <c r="F42" s="31">
        <v>0</v>
      </c>
      <c r="G42" s="32" t="str">
        <f>"Contingency"&amp;" "&amp;"at"&amp;" "&amp;(F42*100)&amp;"%"</f>
        <v>Contingency at 0%</v>
      </c>
      <c r="H42" s="33"/>
      <c r="I42" s="34">
        <f t="shared" ref="I42:T42" si="8">SUM(I34:I41)*$F$42</f>
        <v>0</v>
      </c>
      <c r="J42" s="34">
        <f t="shared" si="8"/>
        <v>0</v>
      </c>
      <c r="K42" s="34">
        <f t="shared" si="8"/>
        <v>0</v>
      </c>
      <c r="L42" s="34">
        <f t="shared" si="8"/>
        <v>0</v>
      </c>
      <c r="M42" s="34">
        <f t="shared" si="8"/>
        <v>0</v>
      </c>
      <c r="N42" s="34">
        <f t="shared" si="8"/>
        <v>0</v>
      </c>
      <c r="O42" s="34">
        <f t="shared" si="8"/>
        <v>0</v>
      </c>
      <c r="P42" s="34">
        <f t="shared" si="8"/>
        <v>0</v>
      </c>
      <c r="Q42" s="34">
        <f t="shared" si="8"/>
        <v>0</v>
      </c>
      <c r="R42" s="34">
        <f t="shared" si="8"/>
        <v>0</v>
      </c>
      <c r="S42" s="34">
        <f t="shared" si="8"/>
        <v>0</v>
      </c>
      <c r="T42" s="34">
        <f t="shared" si="8"/>
        <v>0</v>
      </c>
      <c r="U42" s="35">
        <f t="shared" si="7"/>
        <v>0</v>
      </c>
    </row>
    <row r="43" spans="1:21" ht="15.75" thickBot="1" x14ac:dyDescent="0.35">
      <c r="A43" s="120"/>
      <c r="B43" s="120"/>
      <c r="C43" s="120" t="str">
        <f t="shared" si="0"/>
        <v/>
      </c>
      <c r="D43" s="120"/>
      <c r="E43" s="120"/>
      <c r="G43" s="26" t="s">
        <v>1</v>
      </c>
      <c r="H43" s="27"/>
      <c r="I43" s="28">
        <f>SUM(I34:I42)</f>
        <v>3625</v>
      </c>
      <c r="J43" s="28">
        <f t="shared" ref="J43:T43" si="9">SUM(J34:J42)</f>
        <v>3625</v>
      </c>
      <c r="K43" s="28">
        <f t="shared" si="9"/>
        <v>3625</v>
      </c>
      <c r="L43" s="28">
        <f t="shared" si="9"/>
        <v>4625</v>
      </c>
      <c r="M43" s="28">
        <f t="shared" si="9"/>
        <v>3625</v>
      </c>
      <c r="N43" s="28">
        <f t="shared" si="9"/>
        <v>8625</v>
      </c>
      <c r="O43" s="28">
        <f t="shared" si="9"/>
        <v>3625</v>
      </c>
      <c r="P43" s="28">
        <f t="shared" si="9"/>
        <v>3625</v>
      </c>
      <c r="Q43" s="28">
        <f t="shared" si="9"/>
        <v>9625</v>
      </c>
      <c r="R43" s="28">
        <f t="shared" si="9"/>
        <v>3625</v>
      </c>
      <c r="S43" s="28">
        <f t="shared" si="9"/>
        <v>4625</v>
      </c>
      <c r="T43" s="28">
        <f t="shared" si="9"/>
        <v>3625</v>
      </c>
      <c r="U43" s="29">
        <f>SUM(U34:U42)</f>
        <v>56500</v>
      </c>
    </row>
    <row r="44" spans="1:21" ht="15.75" thickTop="1" x14ac:dyDescent="0.3">
      <c r="A44" s="120"/>
      <c r="B44" s="120"/>
      <c r="C44" s="120" t="str">
        <f t="shared" si="0"/>
        <v/>
      </c>
      <c r="D44" s="120"/>
      <c r="E44" s="120"/>
      <c r="G44" s="22" t="s">
        <v>621</v>
      </c>
      <c r="I44" s="24"/>
      <c r="J44" s="24"/>
      <c r="K44" s="24"/>
      <c r="L44" s="24"/>
      <c r="M44" s="24"/>
      <c r="N44" s="24"/>
      <c r="O44" s="24"/>
      <c r="P44" s="24"/>
      <c r="Q44" s="24"/>
      <c r="R44" s="24"/>
      <c r="S44" s="24"/>
      <c r="T44" s="24"/>
      <c r="U44" s="30"/>
    </row>
    <row r="45" spans="1:21" ht="16.5" x14ac:dyDescent="0.3">
      <c r="A45" s="120">
        <v>3</v>
      </c>
      <c r="B45" s="188" t="s">
        <v>211</v>
      </c>
      <c r="C45" s="120" t="str">
        <f t="shared" si="0"/>
        <v>043</v>
      </c>
      <c r="D45" s="120" t="s">
        <v>230</v>
      </c>
      <c r="E45" t="s">
        <v>335</v>
      </c>
      <c r="G45" s="23"/>
      <c r="I45" s="24"/>
      <c r="J45" s="24"/>
      <c r="K45" s="24"/>
      <c r="L45" s="24"/>
      <c r="M45" s="24"/>
      <c r="N45" s="24"/>
      <c r="O45" s="24"/>
      <c r="P45" s="24"/>
      <c r="Q45" s="24"/>
      <c r="R45" s="24"/>
      <c r="S45" s="24"/>
      <c r="T45" s="24"/>
      <c r="U45" s="25">
        <f>SUM(I45:T45)</f>
        <v>0</v>
      </c>
    </row>
    <row r="46" spans="1:21" ht="16.5" x14ac:dyDescent="0.3">
      <c r="A46" s="120">
        <v>3</v>
      </c>
      <c r="B46" s="188" t="s">
        <v>211</v>
      </c>
      <c r="C46" s="120" t="str">
        <f t="shared" si="0"/>
        <v>043</v>
      </c>
      <c r="D46" s="120" t="s">
        <v>230</v>
      </c>
      <c r="E46" t="s">
        <v>337</v>
      </c>
      <c r="G46" s="23" t="s">
        <v>233</v>
      </c>
      <c r="I46" s="24">
        <v>10000</v>
      </c>
      <c r="J46" s="24">
        <v>10000</v>
      </c>
      <c r="K46" s="24">
        <v>10000</v>
      </c>
      <c r="L46" s="24">
        <v>10000</v>
      </c>
      <c r="M46" s="24">
        <v>10000</v>
      </c>
      <c r="N46" s="24">
        <v>10000</v>
      </c>
      <c r="O46" s="24">
        <v>10000</v>
      </c>
      <c r="P46" s="24">
        <v>10000</v>
      </c>
      <c r="Q46" s="24">
        <v>10000</v>
      </c>
      <c r="R46" s="24">
        <v>10000</v>
      </c>
      <c r="S46" s="24">
        <v>10000</v>
      </c>
      <c r="T46" s="24">
        <v>10000</v>
      </c>
      <c r="U46" s="25">
        <f t="shared" ref="U46:U47" si="10">SUM(I46:T46)</f>
        <v>120000</v>
      </c>
    </row>
    <row r="47" spans="1:21" ht="16.5" x14ac:dyDescent="0.3">
      <c r="A47" s="120">
        <v>3</v>
      </c>
      <c r="B47" s="188" t="s">
        <v>212</v>
      </c>
      <c r="C47" s="120" t="str">
        <f t="shared" si="0"/>
        <v>053</v>
      </c>
      <c r="D47" s="120" t="s">
        <v>230</v>
      </c>
      <c r="E47" t="s">
        <v>343</v>
      </c>
      <c r="G47" s="23"/>
      <c r="I47" s="24"/>
      <c r="J47" s="24"/>
      <c r="K47" s="24"/>
      <c r="L47" s="24"/>
      <c r="M47" s="24"/>
      <c r="N47" s="24"/>
      <c r="O47" s="24"/>
      <c r="P47" s="24"/>
      <c r="Q47" s="24"/>
      <c r="R47" s="24"/>
      <c r="S47" s="24"/>
      <c r="T47" s="24"/>
      <c r="U47" s="25">
        <f t="shared" si="10"/>
        <v>0</v>
      </c>
    </row>
    <row r="48" spans="1:21" ht="16.5" x14ac:dyDescent="0.3">
      <c r="A48" s="120">
        <v>7</v>
      </c>
      <c r="B48" s="188" t="s">
        <v>211</v>
      </c>
      <c r="C48" s="120" t="str">
        <f t="shared" si="0"/>
        <v>047</v>
      </c>
      <c r="D48" s="120" t="s">
        <v>248</v>
      </c>
      <c r="E48" t="s">
        <v>341</v>
      </c>
      <c r="G48" s="23" t="s">
        <v>46</v>
      </c>
      <c r="I48" s="233"/>
      <c r="J48" s="233"/>
      <c r="K48" s="233"/>
      <c r="L48" s="233"/>
      <c r="M48" s="233"/>
      <c r="N48" s="233"/>
      <c r="O48" s="233"/>
      <c r="P48" s="233"/>
      <c r="Q48" s="233"/>
      <c r="R48" s="233"/>
      <c r="S48" s="233"/>
      <c r="T48" s="233"/>
      <c r="U48" s="25">
        <f t="shared" ref="U48:U52" si="11">SUM(I48:T48)</f>
        <v>0</v>
      </c>
    </row>
    <row r="49" spans="1:21" ht="16.5" x14ac:dyDescent="0.3">
      <c r="A49" s="120">
        <v>7</v>
      </c>
      <c r="B49" s="188" t="s">
        <v>212</v>
      </c>
      <c r="C49" s="120" t="str">
        <f t="shared" si="0"/>
        <v>057</v>
      </c>
      <c r="D49" s="120" t="s">
        <v>248</v>
      </c>
      <c r="E49" t="s">
        <v>349</v>
      </c>
      <c r="G49" s="23"/>
      <c r="I49" s="233"/>
      <c r="J49" s="233"/>
      <c r="K49" s="233"/>
      <c r="L49" s="233"/>
      <c r="M49" s="233"/>
      <c r="N49" s="233"/>
      <c r="O49" s="233"/>
      <c r="P49" s="233"/>
      <c r="Q49" s="233"/>
      <c r="R49" s="233"/>
      <c r="S49" s="233"/>
      <c r="T49" s="233"/>
      <c r="U49" s="25">
        <f t="shared" si="11"/>
        <v>0</v>
      </c>
    </row>
    <row r="50" spans="1:21" ht="16.5" x14ac:dyDescent="0.3">
      <c r="A50" s="120"/>
      <c r="B50" s="120"/>
      <c r="C50" s="120" t="str">
        <f t="shared" si="0"/>
        <v/>
      </c>
      <c r="D50" s="120"/>
      <c r="E50"/>
      <c r="G50" s="23"/>
      <c r="I50" s="233"/>
      <c r="J50" s="233"/>
      <c r="K50" s="233"/>
      <c r="L50" s="233"/>
      <c r="M50" s="233"/>
      <c r="N50" s="233"/>
      <c r="O50" s="233"/>
      <c r="P50" s="233"/>
      <c r="Q50" s="233"/>
      <c r="R50" s="233"/>
      <c r="S50" s="233"/>
      <c r="T50" s="233"/>
      <c r="U50" s="25">
        <f t="shared" si="11"/>
        <v>0</v>
      </c>
    </row>
    <row r="51" spans="1:21" x14ac:dyDescent="0.3">
      <c r="A51" s="120"/>
      <c r="B51" s="120"/>
      <c r="C51" s="120" t="str">
        <f t="shared" si="0"/>
        <v/>
      </c>
      <c r="D51" s="120"/>
      <c r="E51" s="120"/>
      <c r="G51" s="23" t="s">
        <v>611</v>
      </c>
      <c r="I51" s="24"/>
      <c r="J51" s="24"/>
      <c r="K51" s="24">
        <v>4000</v>
      </c>
      <c r="L51" s="24"/>
      <c r="M51" s="24"/>
      <c r="N51" s="24"/>
      <c r="O51" s="24">
        <v>4000</v>
      </c>
      <c r="P51" s="24"/>
      <c r="Q51" s="24"/>
      <c r="R51" s="24"/>
      <c r="S51" s="24"/>
      <c r="T51" s="24">
        <v>4000</v>
      </c>
      <c r="U51" s="25">
        <f t="shared" si="11"/>
        <v>12000</v>
      </c>
    </row>
    <row r="52" spans="1:21" ht="16.5" x14ac:dyDescent="0.3">
      <c r="A52" s="120">
        <v>3</v>
      </c>
      <c r="B52" s="188" t="s">
        <v>211</v>
      </c>
      <c r="C52" s="120" t="str">
        <f t="shared" ref="C52" si="12">CONCATENATE(B52,A52)</f>
        <v>043</v>
      </c>
      <c r="D52" s="120" t="s">
        <v>230</v>
      </c>
      <c r="E52" t="s">
        <v>335</v>
      </c>
      <c r="F52" s="31">
        <v>0.1</v>
      </c>
      <c r="G52" s="32" t="str">
        <f>"Contingency"&amp;" "&amp;"at"&amp;" "&amp;(F52*100)&amp;"%"</f>
        <v>Contingency at 10%</v>
      </c>
      <c r="I52" s="24">
        <f t="shared" ref="I52:T52" si="13">SUM(I45:I51)*$F$52</f>
        <v>1000</v>
      </c>
      <c r="J52" s="24">
        <f t="shared" si="13"/>
        <v>1000</v>
      </c>
      <c r="K52" s="24">
        <f t="shared" si="13"/>
        <v>1400</v>
      </c>
      <c r="L52" s="24">
        <f t="shared" si="13"/>
        <v>1000</v>
      </c>
      <c r="M52" s="24">
        <f t="shared" si="13"/>
        <v>1000</v>
      </c>
      <c r="N52" s="24">
        <f t="shared" si="13"/>
        <v>1000</v>
      </c>
      <c r="O52" s="24">
        <f t="shared" si="13"/>
        <v>1400</v>
      </c>
      <c r="P52" s="24">
        <f t="shared" si="13"/>
        <v>1000</v>
      </c>
      <c r="Q52" s="24">
        <f t="shared" si="13"/>
        <v>1000</v>
      </c>
      <c r="R52" s="24">
        <f t="shared" si="13"/>
        <v>1000</v>
      </c>
      <c r="S52" s="24">
        <f t="shared" si="13"/>
        <v>1000</v>
      </c>
      <c r="T52" s="24">
        <f t="shared" si="13"/>
        <v>1400</v>
      </c>
      <c r="U52" s="25">
        <f t="shared" si="11"/>
        <v>13200</v>
      </c>
    </row>
    <row r="53" spans="1:21" ht="15.75" thickBot="1" x14ac:dyDescent="0.35">
      <c r="A53" s="120"/>
      <c r="B53" s="120"/>
      <c r="C53" s="120" t="str">
        <f t="shared" si="0"/>
        <v/>
      </c>
      <c r="D53" s="120"/>
      <c r="E53" s="120"/>
      <c r="G53" s="26" t="s">
        <v>1</v>
      </c>
      <c r="H53" s="27"/>
      <c r="I53" s="28">
        <f t="shared" ref="I53:U53" si="14">SUM(I45:I52)</f>
        <v>11000</v>
      </c>
      <c r="J53" s="28">
        <f t="shared" si="14"/>
        <v>11000</v>
      </c>
      <c r="K53" s="28">
        <f t="shared" si="14"/>
        <v>15400</v>
      </c>
      <c r="L53" s="28">
        <f t="shared" si="14"/>
        <v>11000</v>
      </c>
      <c r="M53" s="28">
        <f t="shared" si="14"/>
        <v>11000</v>
      </c>
      <c r="N53" s="28">
        <f t="shared" si="14"/>
        <v>11000</v>
      </c>
      <c r="O53" s="28">
        <f t="shared" si="14"/>
        <v>15400</v>
      </c>
      <c r="P53" s="28">
        <f t="shared" si="14"/>
        <v>11000</v>
      </c>
      <c r="Q53" s="28">
        <f t="shared" si="14"/>
        <v>11000</v>
      </c>
      <c r="R53" s="28">
        <f t="shared" si="14"/>
        <v>11000</v>
      </c>
      <c r="S53" s="28">
        <f t="shared" si="14"/>
        <v>11000</v>
      </c>
      <c r="T53" s="28">
        <f t="shared" si="14"/>
        <v>15400</v>
      </c>
      <c r="U53" s="29">
        <f t="shared" si="14"/>
        <v>145200</v>
      </c>
    </row>
    <row r="54" spans="1:21" ht="15.75" thickTop="1" x14ac:dyDescent="0.3">
      <c r="A54" s="120"/>
      <c r="B54" s="120"/>
      <c r="C54" s="120" t="str">
        <f t="shared" si="0"/>
        <v/>
      </c>
      <c r="D54" s="120"/>
      <c r="E54" s="120"/>
      <c r="G54" s="22" t="s">
        <v>58</v>
      </c>
      <c r="U54" s="30"/>
    </row>
    <row r="55" spans="1:21" ht="16.5" x14ac:dyDescent="0.3">
      <c r="A55" s="120">
        <v>1</v>
      </c>
      <c r="B55" s="188" t="s">
        <v>209</v>
      </c>
      <c r="C55" s="120" t="str">
        <f t="shared" si="0"/>
        <v>021</v>
      </c>
      <c r="D55" s="120" t="s">
        <v>30</v>
      </c>
      <c r="E55" t="s">
        <v>313</v>
      </c>
      <c r="G55" s="23" t="s">
        <v>47</v>
      </c>
      <c r="I55" s="24"/>
      <c r="J55" s="24"/>
      <c r="K55" s="24"/>
      <c r="L55" s="24"/>
      <c r="M55" s="24"/>
      <c r="N55" s="24"/>
      <c r="O55" s="24">
        <v>1500</v>
      </c>
      <c r="P55" s="24"/>
      <c r="Q55" s="24">
        <v>3000</v>
      </c>
      <c r="R55" s="24">
        <v>5000</v>
      </c>
      <c r="S55" s="24"/>
      <c r="T55" s="24"/>
      <c r="U55" s="25">
        <f>SUM(I55:T55)</f>
        <v>9500</v>
      </c>
    </row>
    <row r="56" spans="1:21" ht="16.5" x14ac:dyDescent="0.3">
      <c r="A56" s="120">
        <v>1</v>
      </c>
      <c r="B56" s="188" t="s">
        <v>209</v>
      </c>
      <c r="C56" s="120" t="str">
        <f t="shared" si="0"/>
        <v>021</v>
      </c>
      <c r="D56" s="120" t="s">
        <v>30</v>
      </c>
      <c r="E56" t="s">
        <v>301</v>
      </c>
      <c r="G56" s="23" t="s">
        <v>30</v>
      </c>
      <c r="I56" s="24">
        <v>0</v>
      </c>
      <c r="J56" s="24">
        <v>10220</v>
      </c>
      <c r="K56" s="24">
        <v>0</v>
      </c>
      <c r="L56" s="24">
        <v>0</v>
      </c>
      <c r="M56" s="24">
        <v>0</v>
      </c>
      <c r="N56" s="24">
        <v>0</v>
      </c>
      <c r="O56" s="24">
        <v>10980</v>
      </c>
      <c r="P56" s="24">
        <v>4380</v>
      </c>
      <c r="Q56" s="24">
        <v>64420</v>
      </c>
      <c r="R56" s="24">
        <v>20850</v>
      </c>
      <c r="S56" s="24">
        <v>0</v>
      </c>
      <c r="T56" s="24">
        <v>0</v>
      </c>
      <c r="U56" s="25">
        <f t="shared" ref="U56:U65" si="15">SUM(I56:T56)</f>
        <v>110850</v>
      </c>
    </row>
    <row r="57" spans="1:21" ht="16.5" hidden="1" x14ac:dyDescent="0.3">
      <c r="A57" s="120">
        <v>1</v>
      </c>
      <c r="B57" s="188" t="s">
        <v>209</v>
      </c>
      <c r="C57" s="120" t="str">
        <f t="shared" si="0"/>
        <v>021</v>
      </c>
      <c r="D57" s="120" t="s">
        <v>30</v>
      </c>
      <c r="E57" t="s">
        <v>303</v>
      </c>
      <c r="G57" s="23" t="s">
        <v>221</v>
      </c>
      <c r="I57" s="24"/>
      <c r="J57" s="24"/>
      <c r="K57" s="24"/>
      <c r="L57" s="24"/>
      <c r="M57" s="24"/>
      <c r="N57" s="24"/>
      <c r="O57" s="24"/>
      <c r="P57" s="24"/>
      <c r="Q57" s="24"/>
      <c r="R57" s="24"/>
      <c r="S57" s="24"/>
      <c r="T57" s="24"/>
      <c r="U57" s="25">
        <f t="shared" si="15"/>
        <v>0</v>
      </c>
    </row>
    <row r="58" spans="1:21" ht="16.5" hidden="1" x14ac:dyDescent="0.3">
      <c r="A58" s="120">
        <v>1</v>
      </c>
      <c r="B58" s="188" t="s">
        <v>209</v>
      </c>
      <c r="C58" s="120" t="str">
        <f t="shared" si="0"/>
        <v>021</v>
      </c>
      <c r="D58" s="120" t="s">
        <v>30</v>
      </c>
      <c r="E58" t="s">
        <v>305</v>
      </c>
      <c r="G58" s="23" t="s">
        <v>397</v>
      </c>
      <c r="I58" s="24"/>
      <c r="J58" s="24"/>
      <c r="K58" s="24"/>
      <c r="L58" s="24"/>
      <c r="M58" s="24"/>
      <c r="N58" s="24"/>
      <c r="O58" s="24"/>
      <c r="P58" s="24"/>
      <c r="Q58" s="24"/>
      <c r="R58" s="24"/>
      <c r="S58" s="24"/>
      <c r="T58" s="24"/>
      <c r="U58" s="25">
        <f t="shared" si="15"/>
        <v>0</v>
      </c>
    </row>
    <row r="59" spans="1:21" ht="16.5" hidden="1" x14ac:dyDescent="0.3">
      <c r="A59" s="120">
        <v>1</v>
      </c>
      <c r="B59" s="188" t="s">
        <v>209</v>
      </c>
      <c r="C59" s="120" t="str">
        <f t="shared" si="0"/>
        <v>021</v>
      </c>
      <c r="D59" s="120" t="s">
        <v>30</v>
      </c>
      <c r="E59" t="s">
        <v>307</v>
      </c>
      <c r="G59" s="23" t="s">
        <v>396</v>
      </c>
      <c r="I59" s="24"/>
      <c r="J59" s="24"/>
      <c r="K59" s="24"/>
      <c r="L59" s="24"/>
      <c r="M59" s="24"/>
      <c r="N59" s="24"/>
      <c r="O59" s="24"/>
      <c r="P59" s="24"/>
      <c r="Q59" s="24"/>
      <c r="R59" s="24"/>
      <c r="S59" s="24"/>
      <c r="T59" s="24"/>
      <c r="U59" s="25">
        <f t="shared" si="15"/>
        <v>0</v>
      </c>
    </row>
    <row r="60" spans="1:21" ht="16.5" hidden="1" x14ac:dyDescent="0.3">
      <c r="A60" s="120">
        <v>1</v>
      </c>
      <c r="B60" s="188" t="s">
        <v>209</v>
      </c>
      <c r="C60" s="120" t="str">
        <f t="shared" si="0"/>
        <v>021</v>
      </c>
      <c r="D60" s="120" t="s">
        <v>30</v>
      </c>
      <c r="E60" t="s">
        <v>309</v>
      </c>
      <c r="G60" s="23" t="s">
        <v>223</v>
      </c>
      <c r="I60" s="24"/>
      <c r="J60" s="24"/>
      <c r="K60" s="24"/>
      <c r="L60" s="24"/>
      <c r="M60" s="24"/>
      <c r="N60" s="24"/>
      <c r="O60" s="24"/>
      <c r="P60" s="24"/>
      <c r="Q60" s="24"/>
      <c r="R60" s="24"/>
      <c r="S60" s="24"/>
      <c r="T60" s="24"/>
      <c r="U60" s="25">
        <f t="shared" si="15"/>
        <v>0</v>
      </c>
    </row>
    <row r="61" spans="1:21" ht="16.5" x14ac:dyDescent="0.3">
      <c r="A61" s="120">
        <v>5</v>
      </c>
      <c r="B61" s="188" t="s">
        <v>209</v>
      </c>
      <c r="C61" s="120" t="str">
        <f t="shared" si="0"/>
        <v>025</v>
      </c>
      <c r="D61" s="120" t="s">
        <v>243</v>
      </c>
      <c r="E61" t="s">
        <v>315</v>
      </c>
      <c r="G61" s="23" t="s">
        <v>53</v>
      </c>
      <c r="I61" s="24"/>
      <c r="J61" s="24"/>
      <c r="K61" s="24"/>
      <c r="L61" s="24"/>
      <c r="M61" s="24"/>
      <c r="N61" s="24"/>
      <c r="O61" s="24"/>
      <c r="P61" s="24"/>
      <c r="Q61" s="24"/>
      <c r="R61" s="24"/>
      <c r="S61" s="24"/>
      <c r="T61" s="24"/>
      <c r="U61" s="25">
        <f t="shared" si="15"/>
        <v>0</v>
      </c>
    </row>
    <row r="62" spans="1:21" ht="16.5" x14ac:dyDescent="0.3">
      <c r="A62" s="120">
        <v>5</v>
      </c>
      <c r="B62" s="188" t="s">
        <v>209</v>
      </c>
      <c r="C62" s="120" t="str">
        <f t="shared" si="0"/>
        <v>025</v>
      </c>
      <c r="D62" s="120" t="s">
        <v>243</v>
      </c>
      <c r="E62" t="s">
        <v>401</v>
      </c>
      <c r="G62" s="23" t="s">
        <v>398</v>
      </c>
      <c r="I62" s="24">
        <v>125</v>
      </c>
      <c r="J62" s="24">
        <v>125</v>
      </c>
      <c r="K62" s="24">
        <v>125</v>
      </c>
      <c r="L62" s="24">
        <v>125</v>
      </c>
      <c r="M62" s="24">
        <v>125</v>
      </c>
      <c r="N62" s="24">
        <v>125</v>
      </c>
      <c r="O62" s="24">
        <v>125</v>
      </c>
      <c r="P62" s="24">
        <v>125</v>
      </c>
      <c r="Q62" s="24">
        <v>125</v>
      </c>
      <c r="R62" s="24">
        <v>125</v>
      </c>
      <c r="S62" s="24">
        <v>125</v>
      </c>
      <c r="T62" s="24">
        <v>125</v>
      </c>
      <c r="U62" s="25">
        <f t="shared" si="15"/>
        <v>1500</v>
      </c>
    </row>
    <row r="63" spans="1:21" ht="16.5" x14ac:dyDescent="0.3">
      <c r="A63" s="120">
        <v>5</v>
      </c>
      <c r="B63" s="188" t="s">
        <v>209</v>
      </c>
      <c r="C63" s="120" t="str">
        <f t="shared" si="0"/>
        <v>025</v>
      </c>
      <c r="D63" s="120" t="s">
        <v>243</v>
      </c>
      <c r="E63" t="s">
        <v>402</v>
      </c>
      <c r="G63" s="23" t="s">
        <v>399</v>
      </c>
      <c r="I63" s="24"/>
      <c r="J63" s="24"/>
      <c r="K63" s="24"/>
      <c r="L63" s="24">
        <v>1500</v>
      </c>
      <c r="M63" s="24"/>
      <c r="N63" s="24"/>
      <c r="O63" s="24">
        <v>500</v>
      </c>
      <c r="P63" s="24"/>
      <c r="Q63" s="24"/>
      <c r="R63" s="24">
        <v>500</v>
      </c>
      <c r="S63" s="24"/>
      <c r="T63" s="24">
        <v>500</v>
      </c>
      <c r="U63" s="25">
        <f t="shared" si="15"/>
        <v>3000</v>
      </c>
    </row>
    <row r="64" spans="1:21" ht="16.5" x14ac:dyDescent="0.3">
      <c r="A64" s="120">
        <v>5</v>
      </c>
      <c r="B64" s="188" t="s">
        <v>209</v>
      </c>
      <c r="C64" s="120" t="str">
        <f t="shared" si="0"/>
        <v>025</v>
      </c>
      <c r="D64" s="120" t="s">
        <v>243</v>
      </c>
      <c r="E64" t="s">
        <v>402</v>
      </c>
      <c r="G64" s="23" t="s">
        <v>46</v>
      </c>
      <c r="I64" s="24"/>
      <c r="J64" s="24"/>
      <c r="K64" s="24"/>
      <c r="L64" s="24"/>
      <c r="M64" s="24"/>
      <c r="N64" s="24"/>
      <c r="O64" s="24"/>
      <c r="P64" s="24"/>
      <c r="Q64" s="24"/>
      <c r="R64" s="24"/>
      <c r="S64" s="24"/>
      <c r="T64" s="24"/>
      <c r="U64" s="25">
        <f t="shared" si="15"/>
        <v>0</v>
      </c>
    </row>
    <row r="65" spans="1:22" ht="16.5" x14ac:dyDescent="0.3">
      <c r="A65" s="120">
        <v>5</v>
      </c>
      <c r="B65" s="188" t="s">
        <v>209</v>
      </c>
      <c r="C65" s="120" t="str">
        <f t="shared" ref="C65" si="16">CONCATENATE(B65,A65)</f>
        <v>025</v>
      </c>
      <c r="D65" s="120" t="s">
        <v>243</v>
      </c>
      <c r="E65" t="s">
        <v>402</v>
      </c>
      <c r="F65" s="31">
        <v>0.1</v>
      </c>
      <c r="G65" s="32" t="str">
        <f>"Contingency"&amp;" "&amp;"at"&amp;" "&amp;(F65*100)&amp;"%"</f>
        <v>Contingency at 10%</v>
      </c>
      <c r="H65" s="33"/>
      <c r="I65" s="34">
        <v>12.5</v>
      </c>
      <c r="J65" s="34">
        <v>1034.5</v>
      </c>
      <c r="K65" s="34">
        <v>12.5</v>
      </c>
      <c r="L65" s="34">
        <v>162.5</v>
      </c>
      <c r="M65" s="34">
        <v>12.5</v>
      </c>
      <c r="N65" s="34">
        <v>12.5</v>
      </c>
      <c r="O65" s="34">
        <v>1310.5</v>
      </c>
      <c r="P65" s="34">
        <v>450.5</v>
      </c>
      <c r="Q65" s="34">
        <v>6754.5</v>
      </c>
      <c r="R65" s="34">
        <v>2647.5</v>
      </c>
      <c r="S65" s="34">
        <v>12.5</v>
      </c>
      <c r="T65" s="34">
        <v>62.5</v>
      </c>
      <c r="U65" s="25">
        <f t="shared" si="15"/>
        <v>12485</v>
      </c>
    </row>
    <row r="66" spans="1:22" ht="15.75" thickBot="1" x14ac:dyDescent="0.35">
      <c r="A66" s="120"/>
      <c r="B66" s="120"/>
      <c r="C66" s="120"/>
      <c r="D66" s="120"/>
      <c r="E66" s="120"/>
      <c r="G66" s="26" t="s">
        <v>1</v>
      </c>
      <c r="H66" s="27"/>
      <c r="I66" s="28">
        <f t="shared" ref="I66:T66" si="17">SUM(I55:I65)</f>
        <v>137.5</v>
      </c>
      <c r="J66" s="28">
        <f t="shared" si="17"/>
        <v>11379.5</v>
      </c>
      <c r="K66" s="28">
        <f t="shared" si="17"/>
        <v>137.5</v>
      </c>
      <c r="L66" s="28">
        <f t="shared" si="17"/>
        <v>1787.5</v>
      </c>
      <c r="M66" s="28">
        <f t="shared" si="17"/>
        <v>137.5</v>
      </c>
      <c r="N66" s="28">
        <f t="shared" si="17"/>
        <v>137.5</v>
      </c>
      <c r="O66" s="28">
        <f t="shared" si="17"/>
        <v>14415.5</v>
      </c>
      <c r="P66" s="28">
        <f t="shared" si="17"/>
        <v>4955.5</v>
      </c>
      <c r="Q66" s="28">
        <f t="shared" si="17"/>
        <v>74299.5</v>
      </c>
      <c r="R66" s="28">
        <f t="shared" si="17"/>
        <v>29122.5</v>
      </c>
      <c r="S66" s="28">
        <f t="shared" si="17"/>
        <v>137.5</v>
      </c>
      <c r="T66" s="28">
        <f t="shared" si="17"/>
        <v>687.5</v>
      </c>
      <c r="U66" s="29">
        <f>SUM(U55:U65)</f>
        <v>137335</v>
      </c>
    </row>
    <row r="67" spans="1:22" ht="17.25" thickTop="1" x14ac:dyDescent="0.3">
      <c r="A67" s="120"/>
      <c r="B67" s="188"/>
      <c r="C67" s="120"/>
      <c r="D67" s="120"/>
      <c r="E67"/>
      <c r="G67" s="22" t="s">
        <v>617</v>
      </c>
      <c r="I67" s="24"/>
      <c r="J67" s="24"/>
      <c r="K67" s="24"/>
      <c r="L67" s="24"/>
      <c r="M67" s="24"/>
      <c r="N67" s="24"/>
      <c r="O67" s="24"/>
      <c r="P67" s="24"/>
      <c r="Q67" s="24"/>
      <c r="R67" s="24"/>
      <c r="S67" s="24"/>
      <c r="T67" s="24"/>
      <c r="U67" s="25"/>
    </row>
    <row r="68" spans="1:22" x14ac:dyDescent="0.3">
      <c r="A68" s="120"/>
      <c r="B68" s="120"/>
      <c r="C68" s="120"/>
      <c r="D68" s="120"/>
      <c r="E68" s="120"/>
      <c r="G68" s="23" t="s">
        <v>248</v>
      </c>
      <c r="L68" s="24"/>
      <c r="N68" s="24">
        <v>250000</v>
      </c>
      <c r="U68" s="25">
        <f>SUM(I68:T68)</f>
        <v>250000</v>
      </c>
    </row>
    <row r="69" spans="1:22" ht="16.5" x14ac:dyDescent="0.3">
      <c r="A69" s="120"/>
      <c r="B69" s="188"/>
      <c r="C69" s="120"/>
      <c r="D69" s="120"/>
      <c r="E69"/>
      <c r="G69" s="23" t="s">
        <v>622</v>
      </c>
      <c r="I69" s="24">
        <v>5000</v>
      </c>
      <c r="J69" s="24">
        <v>5000</v>
      </c>
      <c r="K69" s="24">
        <v>5000</v>
      </c>
      <c r="L69" s="24">
        <v>5000</v>
      </c>
      <c r="M69" s="24">
        <v>1000</v>
      </c>
      <c r="N69" s="24">
        <v>1000</v>
      </c>
      <c r="O69" s="24">
        <v>1000</v>
      </c>
      <c r="P69" s="24">
        <v>1000</v>
      </c>
      <c r="Q69" s="24">
        <v>1000</v>
      </c>
      <c r="R69" s="24">
        <v>1000</v>
      </c>
      <c r="S69" s="24">
        <v>1000</v>
      </c>
      <c r="T69" s="24">
        <v>1000</v>
      </c>
      <c r="U69" s="25">
        <f t="shared" ref="U69:U82" si="18">SUM(I69:T69)</f>
        <v>28000</v>
      </c>
    </row>
    <row r="70" spans="1:22" ht="16.5" x14ac:dyDescent="0.3">
      <c r="A70" s="120"/>
      <c r="B70" s="188"/>
      <c r="C70" s="120"/>
      <c r="D70" s="120"/>
      <c r="E70"/>
      <c r="G70" s="23" t="s">
        <v>623</v>
      </c>
      <c r="I70" s="24"/>
      <c r="J70" s="24"/>
      <c r="K70" s="24"/>
      <c r="L70" s="24"/>
      <c r="M70" s="24"/>
      <c r="N70" s="24"/>
      <c r="O70" s="24"/>
      <c r="P70" s="24"/>
      <c r="Q70" s="24"/>
      <c r="R70" s="24"/>
      <c r="S70" s="24"/>
      <c r="T70" s="24"/>
      <c r="U70" s="25">
        <f t="shared" si="18"/>
        <v>0</v>
      </c>
    </row>
    <row r="71" spans="1:22" ht="16.5" x14ac:dyDescent="0.3">
      <c r="A71" s="120"/>
      <c r="B71" s="188"/>
      <c r="C71" s="120"/>
      <c r="D71" s="120"/>
      <c r="E71"/>
      <c r="G71" s="23"/>
      <c r="I71" s="24"/>
      <c r="J71" s="24"/>
      <c r="K71" s="24"/>
      <c r="L71" s="24"/>
      <c r="M71" s="24"/>
      <c r="N71" s="24"/>
      <c r="O71" s="24"/>
      <c r="P71" s="24"/>
      <c r="Q71" s="24"/>
      <c r="R71" s="24"/>
      <c r="S71" s="24"/>
      <c r="T71" s="24"/>
      <c r="U71" s="25">
        <f t="shared" si="18"/>
        <v>0</v>
      </c>
    </row>
    <row r="72" spans="1:22" ht="16.5" x14ac:dyDescent="0.3">
      <c r="A72" s="120"/>
      <c r="B72" s="188"/>
      <c r="C72" s="120"/>
      <c r="D72" s="120"/>
      <c r="E72"/>
      <c r="G72" s="23"/>
      <c r="I72" s="24"/>
      <c r="J72" s="24"/>
      <c r="K72" s="24"/>
      <c r="L72" s="24"/>
      <c r="M72" s="24"/>
      <c r="N72" s="24"/>
      <c r="O72" s="24"/>
      <c r="P72" s="24"/>
      <c r="Q72" s="24"/>
      <c r="R72" s="24"/>
      <c r="S72" s="24"/>
      <c r="T72" s="24"/>
      <c r="U72" s="25">
        <f t="shared" si="18"/>
        <v>0</v>
      </c>
    </row>
    <row r="73" spans="1:22" ht="17.25" thickBot="1" x14ac:dyDescent="0.35">
      <c r="A73" s="120"/>
      <c r="B73" s="188"/>
      <c r="C73" s="120"/>
      <c r="D73" s="120"/>
      <c r="E73"/>
      <c r="G73" s="26" t="s">
        <v>1</v>
      </c>
      <c r="H73" s="27"/>
      <c r="I73" s="28">
        <f>SUM(I68:I72)</f>
        <v>5000</v>
      </c>
      <c r="J73" s="28">
        <f t="shared" ref="J73:T73" si="19">SUM(J68:J72)</f>
        <v>5000</v>
      </c>
      <c r="K73" s="28">
        <f t="shared" si="19"/>
        <v>5000</v>
      </c>
      <c r="L73" s="28">
        <f t="shared" si="19"/>
        <v>5000</v>
      </c>
      <c r="M73" s="28">
        <f t="shared" si="19"/>
        <v>1000</v>
      </c>
      <c r="N73" s="28">
        <f t="shared" si="19"/>
        <v>251000</v>
      </c>
      <c r="O73" s="28">
        <f t="shared" si="19"/>
        <v>1000</v>
      </c>
      <c r="P73" s="28">
        <f t="shared" si="19"/>
        <v>1000</v>
      </c>
      <c r="Q73" s="28">
        <f t="shared" si="19"/>
        <v>1000</v>
      </c>
      <c r="R73" s="28">
        <f t="shared" si="19"/>
        <v>1000</v>
      </c>
      <c r="S73" s="28">
        <f t="shared" si="19"/>
        <v>1000</v>
      </c>
      <c r="T73" s="28">
        <f t="shared" si="19"/>
        <v>1000</v>
      </c>
      <c r="U73" s="29">
        <f>SUM(U68:U72)</f>
        <v>278000</v>
      </c>
    </row>
    <row r="74" spans="1:22" ht="17.25" thickTop="1" x14ac:dyDescent="0.3">
      <c r="A74" s="120"/>
      <c r="B74" s="188"/>
      <c r="C74" s="120"/>
      <c r="D74" s="120"/>
      <c r="E74"/>
      <c r="G74" s="23"/>
      <c r="I74" s="24"/>
      <c r="J74" s="24"/>
      <c r="K74" s="24"/>
      <c r="L74" s="24"/>
      <c r="M74" s="24"/>
      <c r="N74" s="24"/>
      <c r="O74" s="24"/>
      <c r="P74" s="24"/>
      <c r="Q74" s="24"/>
      <c r="R74" s="24"/>
      <c r="S74" s="24"/>
      <c r="T74" s="24"/>
      <c r="U74" s="30"/>
    </row>
    <row r="75" spans="1:22" x14ac:dyDescent="0.3">
      <c r="A75" s="120"/>
      <c r="B75" s="120"/>
      <c r="C75" s="120"/>
      <c r="D75" s="120"/>
      <c r="E75" s="120"/>
      <c r="G75" s="22" t="s">
        <v>616</v>
      </c>
      <c r="U75" s="30"/>
    </row>
    <row r="76" spans="1:22" ht="16.5" x14ac:dyDescent="0.3">
      <c r="A76" s="120"/>
      <c r="B76" s="188"/>
      <c r="C76" s="120"/>
      <c r="D76" s="120"/>
      <c r="E76"/>
      <c r="G76" s="23" t="s">
        <v>118</v>
      </c>
      <c r="M76" s="24">
        <v>-100000</v>
      </c>
      <c r="U76" s="25">
        <f t="shared" si="18"/>
        <v>-100000</v>
      </c>
    </row>
    <row r="77" spans="1:22" ht="16.5" x14ac:dyDescent="0.3">
      <c r="A77" s="120"/>
      <c r="B77" s="188"/>
      <c r="C77" s="120"/>
      <c r="D77" s="120"/>
      <c r="E77"/>
      <c r="G77" s="23" t="s">
        <v>624</v>
      </c>
      <c r="M77" s="24">
        <f>150000/2</f>
        <v>75000</v>
      </c>
      <c r="U77" s="25">
        <f t="shared" si="18"/>
        <v>75000</v>
      </c>
    </row>
    <row r="78" spans="1:22" ht="16.5" x14ac:dyDescent="0.3">
      <c r="A78" s="120"/>
      <c r="B78" s="188"/>
      <c r="C78" s="120"/>
      <c r="D78" s="120"/>
      <c r="E78"/>
      <c r="G78" s="23" t="s">
        <v>625</v>
      </c>
      <c r="M78" s="24">
        <f>50000/2</f>
        <v>25000</v>
      </c>
      <c r="U78" s="25">
        <f t="shared" si="18"/>
        <v>25000</v>
      </c>
    </row>
    <row r="79" spans="1:22" ht="16.5" x14ac:dyDescent="0.3">
      <c r="A79" s="120"/>
      <c r="B79" s="188"/>
      <c r="C79" s="120"/>
      <c r="D79" s="120"/>
      <c r="E79"/>
      <c r="G79" s="23" t="s">
        <v>626</v>
      </c>
      <c r="M79" s="24">
        <f>50000/2</f>
        <v>25000</v>
      </c>
      <c r="U79" s="25">
        <f t="shared" si="18"/>
        <v>25000</v>
      </c>
      <c r="V79" s="20" t="s">
        <v>627</v>
      </c>
    </row>
    <row r="80" spans="1:22" ht="16.5" x14ac:dyDescent="0.3">
      <c r="A80" s="120"/>
      <c r="B80" s="188"/>
      <c r="C80" s="120"/>
      <c r="D80" s="120"/>
      <c r="E80"/>
      <c r="G80" s="23" t="s">
        <v>628</v>
      </c>
      <c r="M80" s="24">
        <v>10000</v>
      </c>
      <c r="U80" s="25">
        <f t="shared" si="18"/>
        <v>10000</v>
      </c>
    </row>
    <row r="81" spans="1:25" ht="16.5" x14ac:dyDescent="0.3">
      <c r="A81" s="120"/>
      <c r="B81" s="188"/>
      <c r="C81" s="120"/>
      <c r="D81" s="120"/>
      <c r="E81"/>
      <c r="G81" s="23" t="s">
        <v>46</v>
      </c>
      <c r="M81" s="24">
        <v>25000</v>
      </c>
      <c r="U81" s="25">
        <f t="shared" si="18"/>
        <v>25000</v>
      </c>
    </row>
    <row r="82" spans="1:25" ht="16.5" x14ac:dyDescent="0.3">
      <c r="A82" s="120"/>
      <c r="B82" s="188"/>
      <c r="C82" s="120"/>
      <c r="D82" s="120"/>
      <c r="E82"/>
      <c r="F82" s="31"/>
      <c r="G82" s="32"/>
      <c r="I82" s="24"/>
      <c r="J82" s="24"/>
      <c r="K82" s="24"/>
      <c r="L82" s="24"/>
      <c r="M82" s="24"/>
      <c r="N82" s="24"/>
      <c r="O82" s="24"/>
      <c r="P82" s="24"/>
      <c r="Q82" s="24"/>
      <c r="R82" s="24"/>
      <c r="S82" s="24"/>
      <c r="T82" s="24"/>
      <c r="U82" s="25">
        <f t="shared" si="18"/>
        <v>0</v>
      </c>
    </row>
    <row r="83" spans="1:25" ht="15.75" thickBot="1" x14ac:dyDescent="0.35">
      <c r="A83" s="120"/>
      <c r="B83" s="120"/>
      <c r="C83" s="120"/>
      <c r="D83" s="120"/>
      <c r="E83" s="120"/>
      <c r="G83" s="26" t="s">
        <v>1</v>
      </c>
      <c r="H83" s="27"/>
      <c r="I83" s="28">
        <f>SUM(I76:I82)</f>
        <v>0</v>
      </c>
      <c r="J83" s="28">
        <f t="shared" ref="J83:T83" si="20">SUM(J76:J82)</f>
        <v>0</v>
      </c>
      <c r="K83" s="28">
        <f t="shared" si="20"/>
        <v>0</v>
      </c>
      <c r="L83" s="28">
        <f t="shared" si="20"/>
        <v>0</v>
      </c>
      <c r="M83" s="28">
        <f t="shared" si="20"/>
        <v>60000</v>
      </c>
      <c r="N83" s="28">
        <f t="shared" si="20"/>
        <v>0</v>
      </c>
      <c r="O83" s="28">
        <f t="shared" si="20"/>
        <v>0</v>
      </c>
      <c r="P83" s="28">
        <f t="shared" si="20"/>
        <v>0</v>
      </c>
      <c r="Q83" s="28">
        <f t="shared" si="20"/>
        <v>0</v>
      </c>
      <c r="R83" s="28">
        <f t="shared" si="20"/>
        <v>0</v>
      </c>
      <c r="S83" s="28">
        <f t="shared" si="20"/>
        <v>0</v>
      </c>
      <c r="T83" s="28">
        <f t="shared" si="20"/>
        <v>0</v>
      </c>
      <c r="U83" s="29">
        <f>SUM(U76:U82)</f>
        <v>60000</v>
      </c>
    </row>
    <row r="84" spans="1:25" ht="15.75" thickTop="1" x14ac:dyDescent="0.3">
      <c r="A84" s="120"/>
      <c r="B84" s="120"/>
      <c r="C84" s="120"/>
      <c r="D84" s="120"/>
      <c r="E84" s="120"/>
      <c r="G84" s="38"/>
      <c r="H84" s="33"/>
      <c r="I84" s="33"/>
      <c r="J84" s="33"/>
      <c r="K84" s="33"/>
      <c r="L84" s="33"/>
      <c r="M84" s="33"/>
      <c r="N84" s="33"/>
      <c r="O84" s="33"/>
      <c r="P84" s="33"/>
      <c r="Q84" s="33"/>
      <c r="R84" s="33"/>
      <c r="S84" s="33"/>
      <c r="T84" s="33"/>
      <c r="U84" s="39"/>
    </row>
    <row r="85" spans="1:25" ht="15.75" thickBot="1" x14ac:dyDescent="0.35">
      <c r="A85" s="120"/>
      <c r="B85" s="120"/>
      <c r="C85" s="120"/>
      <c r="D85" s="120"/>
      <c r="E85" s="120"/>
      <c r="G85" s="127" t="s">
        <v>113</v>
      </c>
      <c r="H85" s="128"/>
      <c r="I85" s="129">
        <f>I26+I32+I43+I53+I66+I73+I83</f>
        <v>114316.16666666667</v>
      </c>
      <c r="J85" s="129">
        <f t="shared" ref="J85:T85" si="21">J26+J32+J43+J53+J66+J73+J83</f>
        <v>125558.16666666667</v>
      </c>
      <c r="K85" s="129">
        <f t="shared" si="21"/>
        <v>130266.16666666667</v>
      </c>
      <c r="L85" s="129">
        <f t="shared" si="21"/>
        <v>116966.16666666667</v>
      </c>
      <c r="M85" s="129">
        <f t="shared" si="21"/>
        <v>170316.16666666669</v>
      </c>
      <c r="N85" s="129">
        <f t="shared" si="21"/>
        <v>365866.16666666669</v>
      </c>
      <c r="O85" s="129">
        <f t="shared" si="21"/>
        <v>128994.16666666667</v>
      </c>
      <c r="P85" s="129">
        <f t="shared" si="21"/>
        <v>115134.16666666667</v>
      </c>
      <c r="Q85" s="129">
        <f t="shared" si="21"/>
        <v>190478.16666666669</v>
      </c>
      <c r="R85" s="129">
        <f t="shared" si="21"/>
        <v>139851.16666666669</v>
      </c>
      <c r="S85" s="129">
        <f t="shared" si="21"/>
        <v>138816.16666666669</v>
      </c>
      <c r="T85" s="129">
        <f t="shared" si="21"/>
        <v>120766.16666666667</v>
      </c>
      <c r="U85" s="40">
        <f>SUM(I85:T85)</f>
        <v>1857329.0000000005</v>
      </c>
      <c r="V85" s="225"/>
    </row>
    <row r="86" spans="1:25" ht="15.75" thickTop="1" x14ac:dyDescent="0.3">
      <c r="A86" s="120"/>
      <c r="B86" s="120"/>
      <c r="C86" s="120"/>
      <c r="D86" s="120"/>
      <c r="E86" s="120"/>
    </row>
    <row r="87" spans="1:25" ht="15.75" thickBot="1" x14ac:dyDescent="0.35">
      <c r="A87" s="120"/>
      <c r="B87" s="120"/>
      <c r="C87" s="120"/>
      <c r="D87" s="120"/>
      <c r="E87" s="120"/>
      <c r="G87" s="127" t="s">
        <v>613</v>
      </c>
      <c r="H87" s="128"/>
      <c r="I87" s="129">
        <f t="shared" ref="I87:T87" si="22">I15-I85</f>
        <v>-114316.16666666667</v>
      </c>
      <c r="J87" s="129">
        <f t="shared" si="22"/>
        <v>-125558.16666666667</v>
      </c>
      <c r="K87" s="129">
        <f t="shared" si="22"/>
        <v>-130266.16666666667</v>
      </c>
      <c r="L87" s="129">
        <f t="shared" si="22"/>
        <v>-116966.16666666667</v>
      </c>
      <c r="M87" s="129">
        <f t="shared" si="22"/>
        <v>-170316.16666666669</v>
      </c>
      <c r="N87" s="129">
        <f t="shared" si="22"/>
        <v>-365866.16666666669</v>
      </c>
      <c r="O87" s="129">
        <f t="shared" si="22"/>
        <v>-128994.16666666667</v>
      </c>
      <c r="P87" s="129">
        <f t="shared" si="22"/>
        <v>-115134.16666666667</v>
      </c>
      <c r="Q87" s="129">
        <f t="shared" si="22"/>
        <v>-190478.16666666669</v>
      </c>
      <c r="R87" s="129">
        <f t="shared" si="22"/>
        <v>-139851.16666666669</v>
      </c>
      <c r="S87" s="129">
        <f t="shared" si="22"/>
        <v>-138816.16666666669</v>
      </c>
      <c r="T87" s="129">
        <f t="shared" si="22"/>
        <v>-120766.16666666667</v>
      </c>
      <c r="U87" s="40">
        <f>SUM(I87:T87)</f>
        <v>-1857329.0000000005</v>
      </c>
      <c r="V87" s="225"/>
    </row>
    <row r="88" spans="1:25" ht="16.5" thickTop="1" thickBot="1" x14ac:dyDescent="0.35">
      <c r="A88" s="120"/>
      <c r="B88" s="120"/>
      <c r="C88" s="120"/>
      <c r="D88" s="120"/>
      <c r="E88" s="120"/>
    </row>
    <row r="89" spans="1:25" x14ac:dyDescent="0.3">
      <c r="A89" s="120"/>
      <c r="B89" s="120"/>
      <c r="C89" s="120"/>
      <c r="D89" s="120"/>
      <c r="E89" s="120"/>
      <c r="V89" s="236" t="s">
        <v>612</v>
      </c>
      <c r="W89" s="237"/>
      <c r="X89" s="237"/>
      <c r="Y89" s="238"/>
    </row>
    <row r="90" spans="1:25" ht="38.25" customHeight="1" x14ac:dyDescent="0.3">
      <c r="A90" s="120"/>
      <c r="B90" s="120"/>
      <c r="C90" s="120"/>
      <c r="D90" s="120"/>
      <c r="E90" s="120"/>
      <c r="V90" s="239"/>
      <c r="W90" s="240"/>
      <c r="X90" s="240"/>
      <c r="Y90" s="241"/>
    </row>
    <row r="91" spans="1:25" ht="15.75" thickBot="1" x14ac:dyDescent="0.35">
      <c r="A91" s="120"/>
      <c r="B91" s="120"/>
      <c r="C91" s="120"/>
      <c r="D91" s="120"/>
      <c r="E91" s="120"/>
      <c r="V91" s="242"/>
      <c r="W91" s="243"/>
      <c r="X91" s="243"/>
      <c r="Y91" s="244"/>
    </row>
    <row r="92" spans="1:25" x14ac:dyDescent="0.3">
      <c r="A92" s="120"/>
      <c r="B92" s="120"/>
      <c r="C92" s="120"/>
      <c r="D92" s="120"/>
      <c r="E92" s="120"/>
    </row>
    <row r="94" spans="1:25" x14ac:dyDescent="0.3">
      <c r="F94" s="138"/>
    </row>
  </sheetData>
  <mergeCells count="1">
    <mergeCell ref="V89:Y91"/>
  </mergeCells>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992A-EF10-4400-9E09-6C0DAF9CF5C4}">
  <sheetPr>
    <tabColor rgb="FF00B0F0"/>
  </sheetPr>
  <dimension ref="A1:Y72"/>
  <sheetViews>
    <sheetView topLeftCell="D1" workbookViewId="0">
      <selection activeCell="O28" sqref="O28"/>
    </sheetView>
  </sheetViews>
  <sheetFormatPr defaultColWidth="7.109375" defaultRowHeight="12.75" x14ac:dyDescent="0.2"/>
  <cols>
    <col min="1" max="1" width="7.109375" style="199"/>
    <col min="2" max="2" width="35.109375" style="199" customWidth="1"/>
    <col min="3" max="3" width="19.109375" style="199" customWidth="1"/>
    <col min="4" max="4" width="9.77734375" style="199" customWidth="1"/>
    <col min="5" max="5" width="10.44140625" style="199" customWidth="1"/>
    <col min="6" max="14" width="8.109375" style="199" customWidth="1"/>
    <col min="15" max="15" width="9.77734375" style="199" customWidth="1"/>
    <col min="16" max="16" width="8.109375" style="199" customWidth="1"/>
    <col min="17" max="17" width="8.44140625" style="199" customWidth="1"/>
    <col min="18" max="18" width="7.77734375" style="199" customWidth="1"/>
    <col min="19" max="19" width="8.33203125" style="199" customWidth="1"/>
    <col min="20" max="20" width="9.109375" style="199" customWidth="1"/>
    <col min="21" max="22" width="9" style="199" customWidth="1"/>
    <col min="23" max="23" width="8.6640625" style="199" customWidth="1"/>
    <col min="24" max="24" width="8.77734375" style="199" customWidth="1"/>
    <col min="25" max="25" width="10.6640625" style="199" customWidth="1"/>
    <col min="26" max="16384" width="7.109375" style="199"/>
  </cols>
  <sheetData>
    <row r="1" spans="1:25" ht="16.5" thickBot="1" x14ac:dyDescent="0.3">
      <c r="B1" s="200" t="s">
        <v>203</v>
      </c>
      <c r="D1" s="199" t="s">
        <v>481</v>
      </c>
      <c r="F1" s="199" t="s">
        <v>482</v>
      </c>
      <c r="G1" s="201" t="s">
        <v>483</v>
      </c>
    </row>
    <row r="2" spans="1:25" ht="15.75" x14ac:dyDescent="0.25">
      <c r="B2" s="200" t="s">
        <v>484</v>
      </c>
    </row>
    <row r="3" spans="1:25" x14ac:dyDescent="0.2">
      <c r="B3" s="202"/>
      <c r="C3" s="202"/>
    </row>
    <row r="4" spans="1:25" x14ac:dyDescent="0.2">
      <c r="B4" s="202"/>
      <c r="C4" s="202"/>
    </row>
    <row r="5" spans="1:25" x14ac:dyDescent="0.2">
      <c r="B5" s="202"/>
      <c r="C5" s="202"/>
    </row>
    <row r="6" spans="1:25" x14ac:dyDescent="0.2">
      <c r="B6" s="203" t="s">
        <v>485</v>
      </c>
      <c r="C6" s="204" t="s">
        <v>486</v>
      </c>
      <c r="D6" s="204" t="s">
        <v>486</v>
      </c>
      <c r="E6" s="204" t="s">
        <v>486</v>
      </c>
      <c r="F6" s="204" t="s">
        <v>486</v>
      </c>
      <c r="G6" s="204" t="s">
        <v>486</v>
      </c>
      <c r="H6" s="204" t="s">
        <v>486</v>
      </c>
      <c r="I6" s="204" t="s">
        <v>486</v>
      </c>
      <c r="J6" s="204" t="s">
        <v>486</v>
      </c>
      <c r="K6" s="204" t="s">
        <v>486</v>
      </c>
      <c r="L6" s="204" t="s">
        <v>486</v>
      </c>
      <c r="M6" s="204" t="s">
        <v>486</v>
      </c>
      <c r="N6" s="204" t="s">
        <v>486</v>
      </c>
      <c r="O6" s="192" t="s">
        <v>487</v>
      </c>
      <c r="P6" s="192" t="s">
        <v>487</v>
      </c>
      <c r="Q6" s="192" t="s">
        <v>487</v>
      </c>
      <c r="R6" s="192" t="s">
        <v>487</v>
      </c>
      <c r="S6" s="192" t="s">
        <v>487</v>
      </c>
      <c r="T6" s="192" t="s">
        <v>487</v>
      </c>
      <c r="U6" s="192" t="s">
        <v>487</v>
      </c>
      <c r="V6" s="192" t="s">
        <v>487</v>
      </c>
      <c r="W6" s="192" t="s">
        <v>487</v>
      </c>
      <c r="X6" s="204" t="s">
        <v>1</v>
      </c>
      <c r="Y6" s="204" t="s">
        <v>488</v>
      </c>
    </row>
    <row r="7" spans="1:25" x14ac:dyDescent="0.2">
      <c r="B7" s="202" t="s">
        <v>485</v>
      </c>
      <c r="C7" s="204" t="s">
        <v>489</v>
      </c>
      <c r="D7" s="204" t="s">
        <v>489</v>
      </c>
      <c r="E7" s="204" t="s">
        <v>489</v>
      </c>
      <c r="F7" s="204" t="s">
        <v>489</v>
      </c>
      <c r="G7" s="204" t="s">
        <v>489</v>
      </c>
      <c r="H7" s="204" t="s">
        <v>489</v>
      </c>
      <c r="I7" s="204" t="s">
        <v>489</v>
      </c>
      <c r="J7" s="204" t="s">
        <v>489</v>
      </c>
      <c r="K7" s="204" t="s">
        <v>489</v>
      </c>
      <c r="L7" s="204" t="s">
        <v>489</v>
      </c>
      <c r="M7" s="204" t="s">
        <v>489</v>
      </c>
      <c r="N7" s="204" t="s">
        <v>489</v>
      </c>
      <c r="O7" s="192" t="s">
        <v>489</v>
      </c>
      <c r="P7" s="192" t="s">
        <v>489</v>
      </c>
      <c r="Q7" s="192" t="s">
        <v>489</v>
      </c>
      <c r="R7" s="192" t="s">
        <v>489</v>
      </c>
      <c r="S7" s="192" t="s">
        <v>489</v>
      </c>
      <c r="T7" s="192" t="s">
        <v>489</v>
      </c>
      <c r="U7" s="192" t="s">
        <v>489</v>
      </c>
      <c r="V7" s="192" t="s">
        <v>489</v>
      </c>
      <c r="W7" s="192" t="s">
        <v>489</v>
      </c>
      <c r="X7" s="204" t="s">
        <v>490</v>
      </c>
      <c r="Y7" s="204"/>
    </row>
    <row r="8" spans="1:25" x14ac:dyDescent="0.2">
      <c r="B8" s="202" t="s">
        <v>485</v>
      </c>
      <c r="C8" s="190" t="s">
        <v>437</v>
      </c>
      <c r="D8" s="190" t="s">
        <v>438</v>
      </c>
      <c r="E8" s="190" t="s">
        <v>439</v>
      </c>
      <c r="F8" s="190" t="s">
        <v>440</v>
      </c>
      <c r="G8" s="190" t="s">
        <v>441</v>
      </c>
      <c r="H8" s="190" t="s">
        <v>442</v>
      </c>
      <c r="I8" s="190" t="s">
        <v>443</v>
      </c>
      <c r="J8" s="190" t="s">
        <v>444</v>
      </c>
      <c r="K8" s="190" t="s">
        <v>445</v>
      </c>
      <c r="L8" s="190" t="s">
        <v>446</v>
      </c>
      <c r="M8" s="190" t="s">
        <v>447</v>
      </c>
      <c r="N8" s="190" t="s">
        <v>448</v>
      </c>
      <c r="O8" s="191" t="s">
        <v>449</v>
      </c>
      <c r="P8" s="191" t="s">
        <v>450</v>
      </c>
      <c r="Q8" s="191" t="s">
        <v>451</v>
      </c>
      <c r="R8" s="191" t="s">
        <v>452</v>
      </c>
      <c r="S8" s="191" t="s">
        <v>453</v>
      </c>
      <c r="T8" s="191" t="s">
        <v>454</v>
      </c>
      <c r="U8" s="191" t="s">
        <v>455</v>
      </c>
      <c r="V8" s="191" t="s">
        <v>456</v>
      </c>
      <c r="W8" s="191" t="s">
        <v>457</v>
      </c>
      <c r="X8" s="190"/>
      <c r="Y8" s="190"/>
    </row>
    <row r="9" spans="1:25" x14ac:dyDescent="0.2">
      <c r="B9" s="205" t="s">
        <v>485</v>
      </c>
      <c r="C9" s="206" t="s">
        <v>485</v>
      </c>
      <c r="D9" s="206" t="s">
        <v>485</v>
      </c>
      <c r="E9" s="206" t="s">
        <v>485</v>
      </c>
      <c r="F9" s="206" t="s">
        <v>485</v>
      </c>
      <c r="G9" s="206" t="s">
        <v>485</v>
      </c>
      <c r="H9" s="206" t="s">
        <v>485</v>
      </c>
      <c r="I9" s="206" t="s">
        <v>485</v>
      </c>
      <c r="J9" s="206" t="s">
        <v>485</v>
      </c>
      <c r="K9" s="206" t="s">
        <v>485</v>
      </c>
      <c r="L9" s="206" t="s">
        <v>485</v>
      </c>
      <c r="M9" s="206" t="s">
        <v>485</v>
      </c>
      <c r="N9" s="206" t="s">
        <v>485</v>
      </c>
    </row>
    <row r="10" spans="1:25" x14ac:dyDescent="0.2">
      <c r="B10" s="207" t="s">
        <v>491</v>
      </c>
      <c r="C10" s="207" t="s">
        <v>492</v>
      </c>
      <c r="D10" s="207" t="s">
        <v>492</v>
      </c>
      <c r="E10" s="207" t="s">
        <v>492</v>
      </c>
      <c r="F10" s="207" t="s">
        <v>492</v>
      </c>
      <c r="G10" s="207" t="s">
        <v>492</v>
      </c>
      <c r="H10" s="207" t="s">
        <v>492</v>
      </c>
      <c r="I10" s="207" t="s">
        <v>492</v>
      </c>
      <c r="J10" s="207" t="s">
        <v>492</v>
      </c>
      <c r="K10" s="207" t="s">
        <v>492</v>
      </c>
      <c r="L10" s="207" t="s">
        <v>492</v>
      </c>
      <c r="M10" s="207" t="s">
        <v>492</v>
      </c>
      <c r="N10" s="207" t="s">
        <v>492</v>
      </c>
    </row>
    <row r="11" spans="1:25" x14ac:dyDescent="0.2">
      <c r="B11" s="202" t="s">
        <v>493</v>
      </c>
      <c r="C11" s="202" t="s">
        <v>494</v>
      </c>
      <c r="D11" s="202" t="s">
        <v>494</v>
      </c>
      <c r="E11" s="202" t="s">
        <v>494</v>
      </c>
      <c r="F11" s="202" t="s">
        <v>494</v>
      </c>
      <c r="G11" s="202" t="s">
        <v>494</v>
      </c>
      <c r="H11" s="202" t="s">
        <v>494</v>
      </c>
      <c r="I11" s="202" t="s">
        <v>494</v>
      </c>
      <c r="J11" s="202" t="s">
        <v>494</v>
      </c>
      <c r="K11" s="202" t="s">
        <v>494</v>
      </c>
      <c r="L11" s="202" t="s">
        <v>494</v>
      </c>
      <c r="M11" s="202" t="s">
        <v>494</v>
      </c>
      <c r="N11" s="202" t="s">
        <v>494</v>
      </c>
    </row>
    <row r="12" spans="1:25" x14ac:dyDescent="0.2">
      <c r="B12" s="202" t="s">
        <v>495</v>
      </c>
      <c r="C12" s="202" t="s">
        <v>496</v>
      </c>
      <c r="D12" s="202" t="s">
        <v>496</v>
      </c>
      <c r="E12" s="202" t="s">
        <v>496</v>
      </c>
      <c r="F12" s="202" t="s">
        <v>496</v>
      </c>
      <c r="G12" s="202" t="s">
        <v>496</v>
      </c>
      <c r="H12" s="202" t="s">
        <v>496</v>
      </c>
      <c r="I12" s="202" t="s">
        <v>496</v>
      </c>
      <c r="J12" s="202" t="s">
        <v>496</v>
      </c>
      <c r="K12" s="202" t="s">
        <v>496</v>
      </c>
      <c r="L12" s="202" t="s">
        <v>496</v>
      </c>
      <c r="M12" s="202" t="s">
        <v>496</v>
      </c>
      <c r="N12" s="202" t="s">
        <v>496</v>
      </c>
    </row>
    <row r="13" spans="1:25" x14ac:dyDescent="0.2">
      <c r="B13" s="202" t="s">
        <v>497</v>
      </c>
      <c r="C13" s="202" t="s">
        <v>498</v>
      </c>
      <c r="D13" s="202" t="s">
        <v>498</v>
      </c>
      <c r="E13" s="202" t="s">
        <v>498</v>
      </c>
      <c r="F13" s="202" t="s">
        <v>498</v>
      </c>
      <c r="G13" s="202" t="s">
        <v>498</v>
      </c>
      <c r="H13" s="202" t="s">
        <v>498</v>
      </c>
      <c r="I13" s="202" t="s">
        <v>498</v>
      </c>
      <c r="J13" s="202" t="s">
        <v>498</v>
      </c>
      <c r="K13" s="202" t="s">
        <v>498</v>
      </c>
      <c r="L13" s="202" t="s">
        <v>498</v>
      </c>
      <c r="M13" s="202" t="s">
        <v>498</v>
      </c>
      <c r="N13" s="202" t="s">
        <v>498</v>
      </c>
    </row>
    <row r="14" spans="1:25" x14ac:dyDescent="0.2">
      <c r="A14" s="199">
        <v>300</v>
      </c>
      <c r="B14" s="202" t="s">
        <v>499</v>
      </c>
      <c r="C14" s="208">
        <v>0</v>
      </c>
      <c r="D14" s="208">
        <v>600</v>
      </c>
      <c r="E14" s="208">
        <v>0</v>
      </c>
      <c r="F14" s="208">
        <v>0</v>
      </c>
      <c r="G14" s="208">
        <v>0</v>
      </c>
      <c r="H14" s="208">
        <v>0</v>
      </c>
      <c r="I14" s="208">
        <v>0</v>
      </c>
      <c r="J14" s="208">
        <v>0</v>
      </c>
      <c r="K14" s="208">
        <v>0</v>
      </c>
      <c r="L14" s="208">
        <v>0</v>
      </c>
      <c r="M14" s="208">
        <v>0</v>
      </c>
      <c r="N14" s="208">
        <v>0</v>
      </c>
      <c r="O14" s="208" t="e">
        <v>#VALUE!</v>
      </c>
      <c r="P14" s="208" t="e">
        <v>#VALUE!</v>
      </c>
      <c r="Q14" s="208" t="e">
        <v>#VALUE!</v>
      </c>
      <c r="R14" s="208" t="e">
        <v>#VALUE!</v>
      </c>
      <c r="S14" s="208" t="e">
        <v>#VALUE!</v>
      </c>
      <c r="T14" s="208" t="e">
        <v>#VALUE!</v>
      </c>
      <c r="U14" s="208" t="e">
        <v>#VALUE!</v>
      </c>
      <c r="V14" s="208" t="e">
        <v>#VALUE!</v>
      </c>
      <c r="W14" s="208" t="e">
        <v>#VALUE!</v>
      </c>
      <c r="X14" s="209" t="e">
        <f>SUM(C14:W14)</f>
        <v>#VALUE!</v>
      </c>
      <c r="Y14" s="209" t="e">
        <f>SUM(L14:W14)</f>
        <v>#VALUE!</v>
      </c>
    </row>
    <row r="15" spans="1:25" x14ac:dyDescent="0.2">
      <c r="B15" s="202" t="s">
        <v>500</v>
      </c>
      <c r="C15" s="210">
        <v>0</v>
      </c>
      <c r="D15" s="210">
        <v>600</v>
      </c>
      <c r="E15" s="210">
        <v>0</v>
      </c>
      <c r="F15" s="210">
        <v>0</v>
      </c>
      <c r="G15" s="210">
        <v>0</v>
      </c>
      <c r="H15" s="210">
        <v>0</v>
      </c>
      <c r="I15" s="210">
        <v>0</v>
      </c>
      <c r="J15" s="210">
        <v>0</v>
      </c>
      <c r="K15" s="210">
        <v>0</v>
      </c>
      <c r="L15" s="210">
        <v>0</v>
      </c>
      <c r="M15" s="210">
        <v>0</v>
      </c>
      <c r="N15" s="210">
        <v>0</v>
      </c>
      <c r="O15" s="210" t="e">
        <f>O14</f>
        <v>#VALUE!</v>
      </c>
      <c r="P15" s="210" t="e">
        <f t="shared" ref="P15:W15" si="0">P14</f>
        <v>#VALUE!</v>
      </c>
      <c r="Q15" s="210" t="e">
        <f t="shared" si="0"/>
        <v>#VALUE!</v>
      </c>
      <c r="R15" s="210" t="e">
        <f t="shared" si="0"/>
        <v>#VALUE!</v>
      </c>
      <c r="S15" s="210" t="e">
        <f t="shared" si="0"/>
        <v>#VALUE!</v>
      </c>
      <c r="T15" s="210" t="e">
        <f t="shared" si="0"/>
        <v>#VALUE!</v>
      </c>
      <c r="U15" s="210" t="e">
        <f t="shared" si="0"/>
        <v>#VALUE!</v>
      </c>
      <c r="V15" s="210" t="e">
        <f t="shared" si="0"/>
        <v>#VALUE!</v>
      </c>
      <c r="W15" s="210" t="e">
        <f t="shared" si="0"/>
        <v>#VALUE!</v>
      </c>
      <c r="X15" s="211" t="e">
        <f t="shared" ref="X15:X52" si="1">SUM(C15:W15)</f>
        <v>#VALUE!</v>
      </c>
      <c r="Y15" s="211" t="e">
        <f t="shared" ref="Y15:Y52" si="2">SUM(L15:W15)</f>
        <v>#VALUE!</v>
      </c>
    </row>
    <row r="16" spans="1:25" x14ac:dyDescent="0.2">
      <c r="B16" s="202" t="s">
        <v>501</v>
      </c>
      <c r="C16" s="202" t="s">
        <v>498</v>
      </c>
      <c r="D16" s="202" t="s">
        <v>498</v>
      </c>
      <c r="E16" s="202" t="s">
        <v>498</v>
      </c>
      <c r="F16" s="202" t="s">
        <v>498</v>
      </c>
      <c r="G16" s="202" t="s">
        <v>498</v>
      </c>
      <c r="H16" s="202" t="s">
        <v>498</v>
      </c>
      <c r="I16" s="202" t="s">
        <v>498</v>
      </c>
      <c r="J16" s="202" t="s">
        <v>498</v>
      </c>
      <c r="K16" s="202" t="s">
        <v>498</v>
      </c>
      <c r="L16" s="202" t="s">
        <v>498</v>
      </c>
      <c r="M16" s="202" t="s">
        <v>498</v>
      </c>
      <c r="N16" s="202" t="s">
        <v>498</v>
      </c>
      <c r="O16" s="202"/>
      <c r="P16" s="202"/>
      <c r="Q16" s="202"/>
      <c r="R16" s="202"/>
      <c r="S16" s="202"/>
      <c r="T16" s="202"/>
      <c r="U16" s="202"/>
      <c r="V16" s="202"/>
      <c r="W16" s="202"/>
      <c r="X16" s="207"/>
      <c r="Y16" s="207"/>
    </row>
    <row r="17" spans="1:25" x14ac:dyDescent="0.2">
      <c r="A17" s="199">
        <v>400</v>
      </c>
      <c r="B17" s="202" t="s">
        <v>502</v>
      </c>
      <c r="C17" s="208">
        <v>0</v>
      </c>
      <c r="D17" s="208">
        <v>1400</v>
      </c>
      <c r="E17" s="208">
        <v>0</v>
      </c>
      <c r="F17" s="208">
        <v>0</v>
      </c>
      <c r="G17" s="208">
        <v>0</v>
      </c>
      <c r="H17" s="208">
        <v>0</v>
      </c>
      <c r="I17" s="208">
        <v>0</v>
      </c>
      <c r="J17" s="208">
        <v>0</v>
      </c>
      <c r="K17" s="208">
        <v>0</v>
      </c>
      <c r="L17" s="208">
        <v>0</v>
      </c>
      <c r="M17" s="208">
        <v>0</v>
      </c>
      <c r="N17" s="208">
        <v>0</v>
      </c>
      <c r="O17" s="208" t="e">
        <v>#VALUE!</v>
      </c>
      <c r="P17" s="208" t="e">
        <v>#VALUE!</v>
      </c>
      <c r="Q17" s="208" t="e">
        <v>#VALUE!</v>
      </c>
      <c r="R17" s="208" t="e">
        <v>#VALUE!</v>
      </c>
      <c r="S17" s="208" t="e">
        <v>#VALUE!</v>
      </c>
      <c r="T17" s="208" t="e">
        <v>#VALUE!</v>
      </c>
      <c r="U17" s="208" t="e">
        <v>#VALUE!</v>
      </c>
      <c r="V17" s="208" t="e">
        <v>#VALUE!</v>
      </c>
      <c r="W17" s="208" t="e">
        <v>#VALUE!</v>
      </c>
      <c r="X17" s="209" t="e">
        <f t="shared" si="1"/>
        <v>#VALUE!</v>
      </c>
      <c r="Y17" s="209" t="e">
        <f t="shared" si="2"/>
        <v>#VALUE!</v>
      </c>
    </row>
    <row r="18" spans="1:25" x14ac:dyDescent="0.2">
      <c r="A18" s="199">
        <v>100</v>
      </c>
      <c r="B18" s="202" t="s">
        <v>503</v>
      </c>
      <c r="C18" s="208">
        <v>95</v>
      </c>
      <c r="D18" s="208">
        <v>258.54000000000002</v>
      </c>
      <c r="E18" s="208">
        <v>95</v>
      </c>
      <c r="F18" s="208">
        <v>95</v>
      </c>
      <c r="G18" s="208">
        <v>95</v>
      </c>
      <c r="H18" s="208">
        <v>95</v>
      </c>
      <c r="I18" s="208">
        <v>95</v>
      </c>
      <c r="J18" s="208">
        <v>95</v>
      </c>
      <c r="K18" s="208">
        <v>95</v>
      </c>
      <c r="L18" s="208">
        <v>95</v>
      </c>
      <c r="M18" s="208">
        <v>190</v>
      </c>
      <c r="N18" s="208">
        <v>0</v>
      </c>
      <c r="O18" s="208" t="e">
        <v>#VALUE!</v>
      </c>
      <c r="P18" s="208" t="e">
        <v>#VALUE!</v>
      </c>
      <c r="Q18" s="208" t="e">
        <v>#VALUE!</v>
      </c>
      <c r="R18" s="208" t="e">
        <v>#VALUE!</v>
      </c>
      <c r="S18" s="208" t="e">
        <v>#VALUE!</v>
      </c>
      <c r="T18" s="208" t="e">
        <v>#VALUE!</v>
      </c>
      <c r="U18" s="208" t="e">
        <v>#VALUE!</v>
      </c>
      <c r="V18" s="208" t="e">
        <v>#VALUE!</v>
      </c>
      <c r="W18" s="208" t="e">
        <v>#VALUE!</v>
      </c>
      <c r="X18" s="209" t="e">
        <f t="shared" si="1"/>
        <v>#VALUE!</v>
      </c>
      <c r="Y18" s="209" t="e">
        <f t="shared" si="2"/>
        <v>#VALUE!</v>
      </c>
    </row>
    <row r="19" spans="1:25" x14ac:dyDescent="0.2">
      <c r="A19" s="199">
        <v>200</v>
      </c>
      <c r="B19" s="202" t="s">
        <v>504</v>
      </c>
      <c r="C19" s="208">
        <v>15000</v>
      </c>
      <c r="D19" s="208">
        <v>11500</v>
      </c>
      <c r="E19" s="208">
        <v>3203.98</v>
      </c>
      <c r="F19" s="208">
        <v>21442.14</v>
      </c>
      <c r="G19" s="208">
        <v>39114.03</v>
      </c>
      <c r="H19" s="208">
        <v>1810.18</v>
      </c>
      <c r="I19" s="208">
        <v>11617.07</v>
      </c>
      <c r="J19" s="208">
        <v>34729.24</v>
      </c>
      <c r="K19" s="208">
        <v>41710.9</v>
      </c>
      <c r="L19" s="208">
        <v>20928.91</v>
      </c>
      <c r="M19" s="208">
        <v>14583.33</v>
      </c>
      <c r="N19" s="208">
        <v>75077</v>
      </c>
      <c r="O19" s="208" t="e">
        <v>#VALUE!</v>
      </c>
      <c r="P19" s="208" t="e">
        <v>#VALUE!</v>
      </c>
      <c r="Q19" s="208" t="e">
        <v>#VALUE!</v>
      </c>
      <c r="R19" s="208" t="e">
        <v>#VALUE!</v>
      </c>
      <c r="S19" s="208" t="e">
        <v>#VALUE!</v>
      </c>
      <c r="T19" s="208" t="e">
        <v>#VALUE!</v>
      </c>
      <c r="U19" s="208" t="e">
        <v>#VALUE!</v>
      </c>
      <c r="V19" s="208" t="e">
        <v>#VALUE!</v>
      </c>
      <c r="W19" s="208" t="e">
        <v>#VALUE!</v>
      </c>
      <c r="X19" s="209" t="e">
        <f t="shared" si="1"/>
        <v>#VALUE!</v>
      </c>
      <c r="Y19" s="209" t="e">
        <f t="shared" si="2"/>
        <v>#VALUE!</v>
      </c>
    </row>
    <row r="20" spans="1:25" x14ac:dyDescent="0.2">
      <c r="B20" s="202" t="s">
        <v>505</v>
      </c>
      <c r="C20" s="210">
        <v>15095</v>
      </c>
      <c r="D20" s="210">
        <v>13158.54</v>
      </c>
      <c r="E20" s="210">
        <v>3298.98</v>
      </c>
      <c r="F20" s="210">
        <v>21537.14</v>
      </c>
      <c r="G20" s="210">
        <v>39209.03</v>
      </c>
      <c r="H20" s="210">
        <v>1905.18</v>
      </c>
      <c r="I20" s="210">
        <v>11712.07</v>
      </c>
      <c r="J20" s="210">
        <v>34824.239999999998</v>
      </c>
      <c r="K20" s="210">
        <v>41805.9</v>
      </c>
      <c r="L20" s="210">
        <v>21023.91</v>
      </c>
      <c r="M20" s="210">
        <v>14773.33</v>
      </c>
      <c r="N20" s="210">
        <v>75077</v>
      </c>
      <c r="O20" s="210" t="e">
        <f>SUM(O17:O19)</f>
        <v>#VALUE!</v>
      </c>
      <c r="P20" s="210" t="e">
        <f t="shared" ref="P20:W20" si="3">SUM(P17:P19)</f>
        <v>#VALUE!</v>
      </c>
      <c r="Q20" s="210" t="e">
        <f t="shared" si="3"/>
        <v>#VALUE!</v>
      </c>
      <c r="R20" s="210" t="e">
        <f t="shared" si="3"/>
        <v>#VALUE!</v>
      </c>
      <c r="S20" s="210" t="e">
        <f t="shared" si="3"/>
        <v>#VALUE!</v>
      </c>
      <c r="T20" s="210" t="e">
        <f t="shared" si="3"/>
        <v>#VALUE!</v>
      </c>
      <c r="U20" s="210" t="e">
        <f t="shared" si="3"/>
        <v>#VALUE!</v>
      </c>
      <c r="V20" s="210" t="e">
        <f t="shared" si="3"/>
        <v>#VALUE!</v>
      </c>
      <c r="W20" s="210" t="e">
        <f t="shared" si="3"/>
        <v>#VALUE!</v>
      </c>
      <c r="X20" s="211" t="e">
        <f t="shared" si="1"/>
        <v>#VALUE!</v>
      </c>
      <c r="Y20" s="211" t="e">
        <f t="shared" si="2"/>
        <v>#VALUE!</v>
      </c>
    </row>
    <row r="21" spans="1:25" x14ac:dyDescent="0.2">
      <c r="B21" s="202" t="s">
        <v>506</v>
      </c>
      <c r="C21" s="210">
        <v>15095</v>
      </c>
      <c r="D21" s="210">
        <v>13758.54</v>
      </c>
      <c r="E21" s="210">
        <v>3298.98</v>
      </c>
      <c r="F21" s="210">
        <v>21537.14</v>
      </c>
      <c r="G21" s="210">
        <v>39209.03</v>
      </c>
      <c r="H21" s="210">
        <v>1905.18</v>
      </c>
      <c r="I21" s="210">
        <v>11712.07</v>
      </c>
      <c r="J21" s="210">
        <v>34824.239999999998</v>
      </c>
      <c r="K21" s="210">
        <v>41805.9</v>
      </c>
      <c r="L21" s="210">
        <v>21023.91</v>
      </c>
      <c r="M21" s="210">
        <v>14773.33</v>
      </c>
      <c r="N21" s="210">
        <v>75077</v>
      </c>
      <c r="O21" s="210" t="e">
        <f>O15+O20</f>
        <v>#VALUE!</v>
      </c>
      <c r="P21" s="210" t="e">
        <f t="shared" ref="P21:W21" si="4">P15+P20</f>
        <v>#VALUE!</v>
      </c>
      <c r="Q21" s="210" t="e">
        <f t="shared" si="4"/>
        <v>#VALUE!</v>
      </c>
      <c r="R21" s="210" t="e">
        <f t="shared" si="4"/>
        <v>#VALUE!</v>
      </c>
      <c r="S21" s="210" t="e">
        <f t="shared" si="4"/>
        <v>#VALUE!</v>
      </c>
      <c r="T21" s="210" t="e">
        <f t="shared" si="4"/>
        <v>#VALUE!</v>
      </c>
      <c r="U21" s="210" t="e">
        <f t="shared" si="4"/>
        <v>#VALUE!</v>
      </c>
      <c r="V21" s="210" t="e">
        <f t="shared" si="4"/>
        <v>#VALUE!</v>
      </c>
      <c r="W21" s="210" t="e">
        <f t="shared" si="4"/>
        <v>#VALUE!</v>
      </c>
      <c r="X21" s="211" t="e">
        <f t="shared" si="1"/>
        <v>#VALUE!</v>
      </c>
      <c r="Y21" s="211" t="e">
        <f t="shared" si="2"/>
        <v>#VALUE!</v>
      </c>
    </row>
    <row r="22" spans="1:25" x14ac:dyDescent="0.2">
      <c r="B22" s="202" t="s">
        <v>507</v>
      </c>
      <c r="C22" s="202" t="s">
        <v>496</v>
      </c>
      <c r="D22" s="202" t="s">
        <v>496</v>
      </c>
      <c r="E22" s="202" t="s">
        <v>496</v>
      </c>
      <c r="F22" s="202" t="s">
        <v>496</v>
      </c>
      <c r="G22" s="202" t="s">
        <v>496</v>
      </c>
      <c r="H22" s="202" t="s">
        <v>496</v>
      </c>
      <c r="I22" s="202" t="s">
        <v>496</v>
      </c>
      <c r="J22" s="202" t="s">
        <v>496</v>
      </c>
      <c r="K22" s="202" t="s">
        <v>496</v>
      </c>
      <c r="L22" s="202" t="s">
        <v>496</v>
      </c>
      <c r="M22" s="202" t="s">
        <v>496</v>
      </c>
      <c r="N22" s="202" t="s">
        <v>496</v>
      </c>
      <c r="O22" s="202"/>
      <c r="P22" s="202"/>
      <c r="Q22" s="202"/>
      <c r="R22" s="202"/>
      <c r="S22" s="202"/>
      <c r="T22" s="202"/>
      <c r="U22" s="202"/>
      <c r="V22" s="202"/>
      <c r="W22" s="202"/>
      <c r="X22" s="207"/>
      <c r="Y22" s="207"/>
    </row>
    <row r="23" spans="1:25" x14ac:dyDescent="0.2">
      <c r="B23" s="202" t="s">
        <v>508</v>
      </c>
      <c r="C23" s="202" t="s">
        <v>498</v>
      </c>
      <c r="D23" s="202" t="s">
        <v>498</v>
      </c>
      <c r="E23" s="202" t="s">
        <v>498</v>
      </c>
      <c r="F23" s="202" t="s">
        <v>498</v>
      </c>
      <c r="G23" s="202" t="s">
        <v>498</v>
      </c>
      <c r="H23" s="202" t="s">
        <v>498</v>
      </c>
      <c r="I23" s="202" t="s">
        <v>498</v>
      </c>
      <c r="J23" s="202" t="s">
        <v>498</v>
      </c>
      <c r="K23" s="202" t="s">
        <v>498</v>
      </c>
      <c r="L23" s="202" t="s">
        <v>498</v>
      </c>
      <c r="M23" s="202" t="s">
        <v>498</v>
      </c>
      <c r="N23" s="202" t="s">
        <v>498</v>
      </c>
      <c r="O23" s="202"/>
      <c r="P23" s="202"/>
      <c r="Q23" s="202"/>
      <c r="R23" s="202"/>
      <c r="S23" s="202"/>
      <c r="T23" s="202"/>
      <c r="U23" s="202"/>
      <c r="V23" s="202"/>
      <c r="W23" s="202"/>
      <c r="X23" s="207"/>
      <c r="Y23" s="207"/>
    </row>
    <row r="24" spans="1:25" x14ac:dyDescent="0.2">
      <c r="A24" s="199">
        <v>1000</v>
      </c>
      <c r="B24" s="202" t="s">
        <v>509</v>
      </c>
      <c r="C24" s="208">
        <v>0</v>
      </c>
      <c r="D24" s="208">
        <v>0</v>
      </c>
      <c r="E24" s="208">
        <v>0</v>
      </c>
      <c r="F24" s="208">
        <v>0</v>
      </c>
      <c r="G24" s="208">
        <v>90</v>
      </c>
      <c r="H24" s="208">
        <v>80</v>
      </c>
      <c r="I24" s="208">
        <v>30</v>
      </c>
      <c r="J24" s="208">
        <v>10</v>
      </c>
      <c r="K24" s="208">
        <v>0</v>
      </c>
      <c r="L24" s="208">
        <v>0</v>
      </c>
      <c r="M24" s="208">
        <v>30</v>
      </c>
      <c r="N24" s="208">
        <v>10</v>
      </c>
      <c r="O24" s="208" t="e">
        <v>#VALUE!</v>
      </c>
      <c r="P24" s="208" t="e">
        <v>#VALUE!</v>
      </c>
      <c r="Q24" s="208" t="e">
        <v>#VALUE!</v>
      </c>
      <c r="R24" s="208" t="e">
        <v>#VALUE!</v>
      </c>
      <c r="S24" s="208" t="e">
        <v>#VALUE!</v>
      </c>
      <c r="T24" s="208" t="e">
        <v>#VALUE!</v>
      </c>
      <c r="U24" s="208" t="e">
        <v>#VALUE!</v>
      </c>
      <c r="V24" s="208" t="e">
        <v>#VALUE!</v>
      </c>
      <c r="W24" s="208" t="e">
        <v>#VALUE!</v>
      </c>
      <c r="X24" s="209" t="e">
        <f t="shared" si="1"/>
        <v>#VALUE!</v>
      </c>
      <c r="Y24" s="209" t="e">
        <f t="shared" si="2"/>
        <v>#VALUE!</v>
      </c>
    </row>
    <row r="25" spans="1:25" x14ac:dyDescent="0.2">
      <c r="B25" s="202" t="s">
        <v>510</v>
      </c>
      <c r="C25" s="208">
        <v>0</v>
      </c>
      <c r="D25" s="208">
        <v>300</v>
      </c>
      <c r="E25" s="208">
        <v>0</v>
      </c>
      <c r="F25" s="208">
        <v>0</v>
      </c>
      <c r="G25" s="208">
        <v>0</v>
      </c>
      <c r="H25" s="208">
        <v>0</v>
      </c>
      <c r="I25" s="208">
        <v>0</v>
      </c>
      <c r="J25" s="208">
        <v>0</v>
      </c>
      <c r="K25" s="208">
        <v>0</v>
      </c>
      <c r="L25" s="208">
        <v>0</v>
      </c>
      <c r="M25" s="208">
        <v>225</v>
      </c>
      <c r="N25" s="208">
        <v>0</v>
      </c>
      <c r="O25" s="208" t="e">
        <v>#VALUE!</v>
      </c>
      <c r="P25" s="208" t="e">
        <v>#VALUE!</v>
      </c>
      <c r="Q25" s="208" t="e">
        <v>#VALUE!</v>
      </c>
      <c r="R25" s="208" t="e">
        <v>#VALUE!</v>
      </c>
      <c r="S25" s="208" t="e">
        <v>#VALUE!</v>
      </c>
      <c r="T25" s="208" t="e">
        <v>#VALUE!</v>
      </c>
      <c r="U25" s="208" t="e">
        <v>#VALUE!</v>
      </c>
      <c r="V25" s="208" t="e">
        <v>#VALUE!</v>
      </c>
      <c r="W25" s="208" t="e">
        <v>#VALUE!</v>
      </c>
      <c r="X25" s="209" t="e">
        <f t="shared" si="1"/>
        <v>#VALUE!</v>
      </c>
      <c r="Y25" s="209" t="e">
        <f t="shared" si="2"/>
        <v>#VALUE!</v>
      </c>
    </row>
    <row r="26" spans="1:25" x14ac:dyDescent="0.2">
      <c r="B26" s="202" t="s">
        <v>511</v>
      </c>
      <c r="C26" s="210">
        <v>0</v>
      </c>
      <c r="D26" s="210">
        <v>300</v>
      </c>
      <c r="E26" s="210">
        <v>0</v>
      </c>
      <c r="F26" s="210">
        <v>0</v>
      </c>
      <c r="G26" s="210">
        <v>90</v>
      </c>
      <c r="H26" s="210">
        <v>80</v>
      </c>
      <c r="I26" s="210">
        <v>30</v>
      </c>
      <c r="J26" s="210">
        <v>10</v>
      </c>
      <c r="K26" s="210">
        <v>0</v>
      </c>
      <c r="L26" s="210">
        <v>0</v>
      </c>
      <c r="M26" s="210">
        <v>255</v>
      </c>
      <c r="N26" s="210">
        <v>10</v>
      </c>
      <c r="O26" s="210" t="e">
        <f>SUM(O24:O25)</f>
        <v>#VALUE!</v>
      </c>
      <c r="P26" s="210" t="e">
        <f t="shared" ref="P26:W26" si="5">SUM(P24:P25)</f>
        <v>#VALUE!</v>
      </c>
      <c r="Q26" s="210" t="e">
        <f t="shared" si="5"/>
        <v>#VALUE!</v>
      </c>
      <c r="R26" s="210" t="e">
        <f t="shared" si="5"/>
        <v>#VALUE!</v>
      </c>
      <c r="S26" s="210" t="e">
        <f t="shared" si="5"/>
        <v>#VALUE!</v>
      </c>
      <c r="T26" s="210" t="e">
        <f t="shared" si="5"/>
        <v>#VALUE!</v>
      </c>
      <c r="U26" s="210" t="e">
        <f t="shared" si="5"/>
        <v>#VALUE!</v>
      </c>
      <c r="V26" s="210" t="e">
        <f t="shared" si="5"/>
        <v>#VALUE!</v>
      </c>
      <c r="W26" s="210" t="e">
        <f t="shared" si="5"/>
        <v>#VALUE!</v>
      </c>
      <c r="X26" s="211" t="e">
        <f t="shared" si="1"/>
        <v>#VALUE!</v>
      </c>
      <c r="Y26" s="211" t="e">
        <f t="shared" si="2"/>
        <v>#VALUE!</v>
      </c>
    </row>
    <row r="27" spans="1:25" x14ac:dyDescent="0.2">
      <c r="B27" s="202" t="s">
        <v>512</v>
      </c>
      <c r="C27" s="210">
        <v>0</v>
      </c>
      <c r="D27" s="210">
        <v>300</v>
      </c>
      <c r="E27" s="210">
        <v>0</v>
      </c>
      <c r="F27" s="210">
        <v>0</v>
      </c>
      <c r="G27" s="210">
        <v>90</v>
      </c>
      <c r="H27" s="210">
        <v>80</v>
      </c>
      <c r="I27" s="210">
        <v>30</v>
      </c>
      <c r="J27" s="210">
        <v>10</v>
      </c>
      <c r="K27" s="210">
        <v>0</v>
      </c>
      <c r="L27" s="210">
        <v>0</v>
      </c>
      <c r="M27" s="210">
        <v>255</v>
      </c>
      <c r="N27" s="210">
        <v>10</v>
      </c>
      <c r="O27" s="210" t="e">
        <f>O26</f>
        <v>#VALUE!</v>
      </c>
      <c r="P27" s="210" t="e">
        <f t="shared" ref="P27:W27" si="6">P26</f>
        <v>#VALUE!</v>
      </c>
      <c r="Q27" s="210" t="e">
        <f t="shared" si="6"/>
        <v>#VALUE!</v>
      </c>
      <c r="R27" s="210" t="e">
        <f t="shared" si="6"/>
        <v>#VALUE!</v>
      </c>
      <c r="S27" s="210" t="e">
        <f t="shared" si="6"/>
        <v>#VALUE!</v>
      </c>
      <c r="T27" s="210" t="e">
        <f t="shared" si="6"/>
        <v>#VALUE!</v>
      </c>
      <c r="U27" s="210" t="e">
        <f t="shared" si="6"/>
        <v>#VALUE!</v>
      </c>
      <c r="V27" s="210" t="e">
        <f t="shared" si="6"/>
        <v>#VALUE!</v>
      </c>
      <c r="W27" s="210" t="e">
        <f t="shared" si="6"/>
        <v>#VALUE!</v>
      </c>
      <c r="X27" s="211" t="e">
        <f t="shared" si="1"/>
        <v>#VALUE!</v>
      </c>
      <c r="Y27" s="211" t="e">
        <f t="shared" si="2"/>
        <v>#VALUE!</v>
      </c>
    </row>
    <row r="28" spans="1:25" x14ac:dyDescent="0.2">
      <c r="B28" s="202" t="s">
        <v>513</v>
      </c>
      <c r="C28" s="202" t="s">
        <v>496</v>
      </c>
      <c r="D28" s="202" t="s">
        <v>496</v>
      </c>
      <c r="E28" s="202" t="s">
        <v>496</v>
      </c>
      <c r="F28" s="202" t="s">
        <v>496</v>
      </c>
      <c r="G28" s="202" t="s">
        <v>496</v>
      </c>
      <c r="H28" s="202" t="s">
        <v>496</v>
      </c>
      <c r="I28" s="202" t="s">
        <v>496</v>
      </c>
      <c r="J28" s="202" t="s">
        <v>496</v>
      </c>
      <c r="K28" s="202" t="s">
        <v>496</v>
      </c>
      <c r="L28" s="202" t="s">
        <v>496</v>
      </c>
      <c r="M28" s="202" t="s">
        <v>496</v>
      </c>
      <c r="N28" s="202" t="s">
        <v>496</v>
      </c>
      <c r="O28" s="202"/>
      <c r="P28" s="202"/>
      <c r="Q28" s="202"/>
      <c r="R28" s="202"/>
      <c r="S28" s="202"/>
      <c r="T28" s="202"/>
      <c r="U28" s="202"/>
      <c r="V28" s="202"/>
      <c r="W28" s="202"/>
      <c r="X28" s="207"/>
      <c r="Y28" s="207"/>
    </row>
    <row r="29" spans="1:25" x14ac:dyDescent="0.2">
      <c r="B29" s="202" t="s">
        <v>514</v>
      </c>
      <c r="C29" s="202" t="s">
        <v>498</v>
      </c>
      <c r="D29" s="202" t="s">
        <v>498</v>
      </c>
      <c r="E29" s="202" t="s">
        <v>498</v>
      </c>
      <c r="F29" s="202" t="s">
        <v>498</v>
      </c>
      <c r="G29" s="202" t="s">
        <v>498</v>
      </c>
      <c r="H29" s="202" t="s">
        <v>498</v>
      </c>
      <c r="I29" s="202" t="s">
        <v>498</v>
      </c>
      <c r="J29" s="202" t="s">
        <v>498</v>
      </c>
      <c r="K29" s="202" t="s">
        <v>498</v>
      </c>
      <c r="L29" s="202" t="s">
        <v>498</v>
      </c>
      <c r="M29" s="202" t="s">
        <v>498</v>
      </c>
      <c r="N29" s="202" t="s">
        <v>498</v>
      </c>
      <c r="O29" s="202"/>
      <c r="P29" s="202"/>
      <c r="Q29" s="202"/>
      <c r="R29" s="202"/>
      <c r="S29" s="202"/>
      <c r="T29" s="202"/>
      <c r="U29" s="202"/>
      <c r="V29" s="202"/>
      <c r="W29" s="202"/>
      <c r="X29" s="207"/>
      <c r="Y29" s="207"/>
    </row>
    <row r="30" spans="1:25" x14ac:dyDescent="0.2">
      <c r="A30" s="199">
        <v>500</v>
      </c>
      <c r="B30" s="202" t="s">
        <v>515</v>
      </c>
      <c r="C30" s="208">
        <v>0</v>
      </c>
      <c r="D30" s="208">
        <v>0</v>
      </c>
      <c r="E30" s="208">
        <v>0</v>
      </c>
      <c r="F30" s="208">
        <v>29444.720000000001</v>
      </c>
      <c r="G30" s="208">
        <v>4186.29</v>
      </c>
      <c r="H30" s="208">
        <v>9800</v>
      </c>
      <c r="I30" s="208">
        <v>0</v>
      </c>
      <c r="J30" s="208">
        <v>0</v>
      </c>
      <c r="K30" s="208">
        <v>0</v>
      </c>
      <c r="L30" s="208">
        <v>0</v>
      </c>
      <c r="M30" s="208">
        <v>0</v>
      </c>
      <c r="N30" s="208">
        <v>0</v>
      </c>
      <c r="O30" s="208" t="e">
        <v>#VALUE!</v>
      </c>
      <c r="P30" s="208" t="e">
        <v>#VALUE!</v>
      </c>
      <c r="Q30" s="208" t="e">
        <v>#VALUE!</v>
      </c>
      <c r="R30" s="208" t="e">
        <v>#VALUE!</v>
      </c>
      <c r="S30" s="208" t="e">
        <v>#VALUE!</v>
      </c>
      <c r="T30" s="208" t="e">
        <v>#VALUE!</v>
      </c>
      <c r="U30" s="208" t="e">
        <v>#VALUE!</v>
      </c>
      <c r="V30" s="208" t="e">
        <v>#VALUE!</v>
      </c>
      <c r="W30" s="208" t="e">
        <v>#VALUE!</v>
      </c>
      <c r="X30" s="209" t="e">
        <f t="shared" si="1"/>
        <v>#VALUE!</v>
      </c>
      <c r="Y30" s="209" t="e">
        <f t="shared" si="2"/>
        <v>#VALUE!</v>
      </c>
    </row>
    <row r="31" spans="1:25" x14ac:dyDescent="0.2">
      <c r="B31" s="202" t="s">
        <v>516</v>
      </c>
      <c r="C31" s="210">
        <v>0</v>
      </c>
      <c r="D31" s="210">
        <v>0</v>
      </c>
      <c r="E31" s="210">
        <v>0</v>
      </c>
      <c r="F31" s="210">
        <v>29444.720000000001</v>
      </c>
      <c r="G31" s="210">
        <v>4186.29</v>
      </c>
      <c r="H31" s="210">
        <v>9800</v>
      </c>
      <c r="I31" s="210">
        <v>0</v>
      </c>
      <c r="J31" s="210">
        <v>0</v>
      </c>
      <c r="K31" s="210">
        <v>0</v>
      </c>
      <c r="L31" s="210">
        <v>0</v>
      </c>
      <c r="M31" s="210">
        <v>0</v>
      </c>
      <c r="N31" s="210">
        <v>0</v>
      </c>
      <c r="O31" s="210" t="e">
        <f>O30</f>
        <v>#VALUE!</v>
      </c>
      <c r="P31" s="210" t="e">
        <f t="shared" ref="P31:W32" si="7">P30</f>
        <v>#VALUE!</v>
      </c>
      <c r="Q31" s="210" t="e">
        <f t="shared" si="7"/>
        <v>#VALUE!</v>
      </c>
      <c r="R31" s="210" t="e">
        <f t="shared" si="7"/>
        <v>#VALUE!</v>
      </c>
      <c r="S31" s="210" t="e">
        <f t="shared" si="7"/>
        <v>#VALUE!</v>
      </c>
      <c r="T31" s="210" t="e">
        <f t="shared" si="7"/>
        <v>#VALUE!</v>
      </c>
      <c r="U31" s="210" t="e">
        <f t="shared" si="7"/>
        <v>#VALUE!</v>
      </c>
      <c r="V31" s="210" t="e">
        <f t="shared" si="7"/>
        <v>#VALUE!</v>
      </c>
      <c r="W31" s="210" t="e">
        <f t="shared" si="7"/>
        <v>#VALUE!</v>
      </c>
      <c r="X31" s="211" t="e">
        <f t="shared" si="1"/>
        <v>#VALUE!</v>
      </c>
      <c r="Y31" s="211" t="e">
        <f t="shared" si="2"/>
        <v>#VALUE!</v>
      </c>
    </row>
    <row r="32" spans="1:25" x14ac:dyDescent="0.2">
      <c r="B32" s="202" t="s">
        <v>517</v>
      </c>
      <c r="C32" s="210">
        <v>0</v>
      </c>
      <c r="D32" s="210">
        <v>0</v>
      </c>
      <c r="E32" s="210">
        <v>0</v>
      </c>
      <c r="F32" s="210">
        <v>29444.720000000001</v>
      </c>
      <c r="G32" s="210">
        <v>4186.29</v>
      </c>
      <c r="H32" s="210">
        <v>9800</v>
      </c>
      <c r="I32" s="210">
        <v>0</v>
      </c>
      <c r="J32" s="210">
        <v>0</v>
      </c>
      <c r="K32" s="210">
        <v>0</v>
      </c>
      <c r="L32" s="210">
        <v>0</v>
      </c>
      <c r="M32" s="210">
        <v>0</v>
      </c>
      <c r="N32" s="210">
        <v>0</v>
      </c>
      <c r="O32" s="210" t="e">
        <f>O31</f>
        <v>#VALUE!</v>
      </c>
      <c r="P32" s="210" t="e">
        <f t="shared" si="7"/>
        <v>#VALUE!</v>
      </c>
      <c r="Q32" s="210" t="e">
        <f t="shared" si="7"/>
        <v>#VALUE!</v>
      </c>
      <c r="R32" s="210" t="e">
        <f t="shared" si="7"/>
        <v>#VALUE!</v>
      </c>
      <c r="S32" s="210" t="e">
        <f t="shared" si="7"/>
        <v>#VALUE!</v>
      </c>
      <c r="T32" s="210" t="e">
        <f t="shared" si="7"/>
        <v>#VALUE!</v>
      </c>
      <c r="U32" s="210" t="e">
        <f t="shared" si="7"/>
        <v>#VALUE!</v>
      </c>
      <c r="V32" s="210" t="e">
        <f t="shared" si="7"/>
        <v>#VALUE!</v>
      </c>
      <c r="W32" s="210" t="e">
        <f t="shared" si="7"/>
        <v>#VALUE!</v>
      </c>
      <c r="X32" s="211" t="e">
        <f t="shared" si="1"/>
        <v>#VALUE!</v>
      </c>
      <c r="Y32" s="211" t="e">
        <f t="shared" si="2"/>
        <v>#VALUE!</v>
      </c>
    </row>
    <row r="33" spans="1:25" x14ac:dyDescent="0.2">
      <c r="B33" s="202" t="s">
        <v>518</v>
      </c>
      <c r="C33" s="202" t="s">
        <v>496</v>
      </c>
      <c r="D33" s="202" t="s">
        <v>496</v>
      </c>
      <c r="E33" s="202" t="s">
        <v>496</v>
      </c>
      <c r="F33" s="202" t="s">
        <v>496</v>
      </c>
      <c r="G33" s="202" t="s">
        <v>496</v>
      </c>
      <c r="H33" s="202" t="s">
        <v>496</v>
      </c>
      <c r="I33" s="202" t="s">
        <v>496</v>
      </c>
      <c r="J33" s="202" t="s">
        <v>496</v>
      </c>
      <c r="K33" s="202" t="s">
        <v>496</v>
      </c>
      <c r="L33" s="202" t="s">
        <v>496</v>
      </c>
      <c r="M33" s="202" t="s">
        <v>496</v>
      </c>
      <c r="N33" s="202" t="s">
        <v>496</v>
      </c>
      <c r="O33" s="202"/>
      <c r="P33" s="202"/>
      <c r="Q33" s="202"/>
      <c r="R33" s="202"/>
      <c r="S33" s="202"/>
      <c r="T33" s="202"/>
      <c r="U33" s="202"/>
      <c r="V33" s="202"/>
      <c r="W33" s="202"/>
      <c r="X33" s="207"/>
      <c r="Y33" s="207"/>
    </row>
    <row r="34" spans="1:25" x14ac:dyDescent="0.2">
      <c r="B34" s="202" t="s">
        <v>519</v>
      </c>
      <c r="C34" s="202" t="s">
        <v>498</v>
      </c>
      <c r="D34" s="202" t="s">
        <v>498</v>
      </c>
      <c r="E34" s="202" t="s">
        <v>498</v>
      </c>
      <c r="F34" s="202" t="s">
        <v>498</v>
      </c>
      <c r="G34" s="202" t="s">
        <v>498</v>
      </c>
      <c r="H34" s="202" t="s">
        <v>498</v>
      </c>
      <c r="I34" s="202" t="s">
        <v>498</v>
      </c>
      <c r="J34" s="202" t="s">
        <v>498</v>
      </c>
      <c r="K34" s="202" t="s">
        <v>498</v>
      </c>
      <c r="L34" s="202" t="s">
        <v>498</v>
      </c>
      <c r="M34" s="202" t="s">
        <v>498</v>
      </c>
      <c r="N34" s="202" t="s">
        <v>498</v>
      </c>
      <c r="O34" s="202"/>
      <c r="P34" s="202"/>
      <c r="Q34" s="202"/>
      <c r="R34" s="202"/>
      <c r="S34" s="202"/>
      <c r="T34" s="202"/>
      <c r="U34" s="202"/>
      <c r="V34" s="202"/>
      <c r="W34" s="202"/>
      <c r="X34" s="207"/>
      <c r="Y34" s="207"/>
    </row>
    <row r="35" spans="1:25" x14ac:dyDescent="0.2">
      <c r="A35" s="199">
        <v>600</v>
      </c>
      <c r="B35" s="202" t="s">
        <v>520</v>
      </c>
      <c r="C35" s="208">
        <v>170</v>
      </c>
      <c r="D35" s="208">
        <v>10291.82</v>
      </c>
      <c r="E35" s="208">
        <v>21570</v>
      </c>
      <c r="F35" s="208">
        <v>52473.25</v>
      </c>
      <c r="G35" s="208">
        <v>3140</v>
      </c>
      <c r="H35" s="208">
        <v>5820</v>
      </c>
      <c r="I35" s="208">
        <v>-3400</v>
      </c>
      <c r="J35" s="208">
        <v>86947.42</v>
      </c>
      <c r="K35" s="208">
        <v>1928.75</v>
      </c>
      <c r="L35" s="208">
        <v>935</v>
      </c>
      <c r="M35" s="208">
        <v>0</v>
      </c>
      <c r="N35" s="208">
        <v>1290</v>
      </c>
      <c r="O35" s="208" t="e">
        <v>#VALUE!</v>
      </c>
      <c r="P35" s="208" t="e">
        <v>#VALUE!</v>
      </c>
      <c r="Q35" s="208" t="e">
        <v>#VALUE!</v>
      </c>
      <c r="R35" s="208" t="e">
        <v>#VALUE!</v>
      </c>
      <c r="S35" s="208" t="e">
        <v>#VALUE!</v>
      </c>
      <c r="T35" s="208" t="e">
        <v>#VALUE!</v>
      </c>
      <c r="U35" s="208" t="e">
        <v>#VALUE!</v>
      </c>
      <c r="V35" s="208" t="e">
        <v>#VALUE!</v>
      </c>
      <c r="W35" s="208" t="e">
        <v>#VALUE!</v>
      </c>
      <c r="X35" s="209" t="e">
        <f t="shared" si="1"/>
        <v>#VALUE!</v>
      </c>
      <c r="Y35" s="209" t="e">
        <f t="shared" si="2"/>
        <v>#VALUE!</v>
      </c>
    </row>
    <row r="36" spans="1:25" x14ac:dyDescent="0.2">
      <c r="A36" s="199">
        <v>900</v>
      </c>
      <c r="B36" s="202" t="s">
        <v>521</v>
      </c>
      <c r="C36" s="208">
        <v>0</v>
      </c>
      <c r="D36" s="208">
        <v>0</v>
      </c>
      <c r="E36" s="208">
        <v>3000</v>
      </c>
      <c r="F36" s="208">
        <v>30000</v>
      </c>
      <c r="G36" s="208">
        <v>0</v>
      </c>
      <c r="H36" s="208">
        <v>0</v>
      </c>
      <c r="I36" s="208">
        <v>0</v>
      </c>
      <c r="J36" s="208">
        <v>0</v>
      </c>
      <c r="K36" s="208">
        <v>1500</v>
      </c>
      <c r="L36" s="208">
        <v>0</v>
      </c>
      <c r="M36" s="208">
        <v>0</v>
      </c>
      <c r="N36" s="208">
        <v>0</v>
      </c>
      <c r="O36" s="208" t="e">
        <v>#VALUE!</v>
      </c>
      <c r="P36" s="208" t="e">
        <v>#VALUE!</v>
      </c>
      <c r="Q36" s="208" t="e">
        <v>#VALUE!</v>
      </c>
      <c r="R36" s="208" t="e">
        <v>#VALUE!</v>
      </c>
      <c r="S36" s="208" t="e">
        <v>#VALUE!</v>
      </c>
      <c r="T36" s="208" t="e">
        <v>#VALUE!</v>
      </c>
      <c r="U36" s="208" t="e">
        <v>#VALUE!</v>
      </c>
      <c r="V36" s="208" t="e">
        <v>#VALUE!</v>
      </c>
      <c r="W36" s="208" t="e">
        <v>#VALUE!</v>
      </c>
      <c r="X36" s="209" t="e">
        <f t="shared" si="1"/>
        <v>#VALUE!</v>
      </c>
      <c r="Y36" s="209" t="e">
        <f t="shared" si="2"/>
        <v>#VALUE!</v>
      </c>
    </row>
    <row r="37" spans="1:25" x14ac:dyDescent="0.2">
      <c r="A37" s="199">
        <v>700</v>
      </c>
      <c r="B37" s="202" t="s">
        <v>522</v>
      </c>
      <c r="C37" s="208">
        <v>0</v>
      </c>
      <c r="D37" s="208">
        <v>0</v>
      </c>
      <c r="E37" s="208">
        <v>0</v>
      </c>
      <c r="F37" s="208">
        <v>0</v>
      </c>
      <c r="G37" s="208">
        <v>4654.37</v>
      </c>
      <c r="H37" s="208">
        <v>498.46</v>
      </c>
      <c r="I37" s="208">
        <v>0</v>
      </c>
      <c r="J37" s="208">
        <v>0</v>
      </c>
      <c r="K37" s="208">
        <v>0</v>
      </c>
      <c r="L37" s="208">
        <v>0</v>
      </c>
      <c r="M37" s="208">
        <v>0</v>
      </c>
      <c r="N37" s="208">
        <v>0</v>
      </c>
      <c r="O37" s="208" t="e">
        <v>#VALUE!</v>
      </c>
      <c r="P37" s="208" t="e">
        <v>#VALUE!</v>
      </c>
      <c r="Q37" s="208" t="e">
        <v>#VALUE!</v>
      </c>
      <c r="R37" s="208" t="e">
        <v>#VALUE!</v>
      </c>
      <c r="S37" s="208" t="e">
        <v>#VALUE!</v>
      </c>
      <c r="T37" s="208" t="e">
        <v>#VALUE!</v>
      </c>
      <c r="U37" s="208" t="e">
        <v>#VALUE!</v>
      </c>
      <c r="V37" s="208" t="e">
        <v>#VALUE!</v>
      </c>
      <c r="W37" s="208" t="e">
        <v>#VALUE!</v>
      </c>
      <c r="X37" s="209" t="e">
        <f t="shared" si="1"/>
        <v>#VALUE!</v>
      </c>
      <c r="Y37" s="209" t="e">
        <f t="shared" si="2"/>
        <v>#VALUE!</v>
      </c>
    </row>
    <row r="38" spans="1:25" x14ac:dyDescent="0.2">
      <c r="A38" s="199">
        <v>800</v>
      </c>
      <c r="B38" s="202" t="s">
        <v>523</v>
      </c>
      <c r="C38" s="208">
        <v>0</v>
      </c>
      <c r="D38" s="208">
        <v>0</v>
      </c>
      <c r="E38" s="208">
        <v>51647.64</v>
      </c>
      <c r="F38" s="208">
        <v>0</v>
      </c>
      <c r="G38" s="208">
        <v>30916.34</v>
      </c>
      <c r="H38" s="208">
        <v>75277.16</v>
      </c>
      <c r="I38" s="208">
        <v>0</v>
      </c>
      <c r="J38" s="208">
        <v>-7500</v>
      </c>
      <c r="K38" s="208">
        <v>0</v>
      </c>
      <c r="L38" s="208">
        <v>0</v>
      </c>
      <c r="M38" s="208">
        <v>11447.81</v>
      </c>
      <c r="N38" s="208">
        <v>0</v>
      </c>
      <c r="O38" s="208" t="e">
        <v>#VALUE!</v>
      </c>
      <c r="P38" s="208" t="e">
        <v>#VALUE!</v>
      </c>
      <c r="Q38" s="208" t="e">
        <v>#VALUE!</v>
      </c>
      <c r="R38" s="208" t="e">
        <v>#VALUE!</v>
      </c>
      <c r="S38" s="208" t="e">
        <v>#VALUE!</v>
      </c>
      <c r="T38" s="208" t="e">
        <v>#VALUE!</v>
      </c>
      <c r="U38" s="208" t="e">
        <v>#VALUE!</v>
      </c>
      <c r="V38" s="208" t="e">
        <v>#VALUE!</v>
      </c>
      <c r="W38" s="208" t="e">
        <v>#VALUE!</v>
      </c>
      <c r="X38" s="209" t="e">
        <f t="shared" si="1"/>
        <v>#VALUE!</v>
      </c>
      <c r="Y38" s="209" t="e">
        <f t="shared" si="2"/>
        <v>#VALUE!</v>
      </c>
    </row>
    <row r="39" spans="1:25" x14ac:dyDescent="0.2">
      <c r="B39" s="202" t="s">
        <v>524</v>
      </c>
      <c r="C39" s="210">
        <v>170</v>
      </c>
      <c r="D39" s="210">
        <v>10291.82</v>
      </c>
      <c r="E39" s="210">
        <v>76217.64</v>
      </c>
      <c r="F39" s="210">
        <v>82473.25</v>
      </c>
      <c r="G39" s="210">
        <v>38710.71</v>
      </c>
      <c r="H39" s="210">
        <v>81595.62</v>
      </c>
      <c r="I39" s="210">
        <v>-3400</v>
      </c>
      <c r="J39" s="210">
        <v>79447.42</v>
      </c>
      <c r="K39" s="210">
        <v>3428.75</v>
      </c>
      <c r="L39" s="210">
        <v>935</v>
      </c>
      <c r="M39" s="210">
        <v>11447.81</v>
      </c>
      <c r="N39" s="210">
        <v>1290</v>
      </c>
      <c r="O39" s="210" t="e">
        <f>SUM(O35:O38)</f>
        <v>#VALUE!</v>
      </c>
      <c r="P39" s="210" t="e">
        <f t="shared" ref="P39:W39" si="8">SUM(P35:P38)</f>
        <v>#VALUE!</v>
      </c>
      <c r="Q39" s="210" t="e">
        <f t="shared" si="8"/>
        <v>#VALUE!</v>
      </c>
      <c r="R39" s="210" t="e">
        <f t="shared" si="8"/>
        <v>#VALUE!</v>
      </c>
      <c r="S39" s="210" t="e">
        <f t="shared" si="8"/>
        <v>#VALUE!</v>
      </c>
      <c r="T39" s="210" t="e">
        <f t="shared" si="8"/>
        <v>#VALUE!</v>
      </c>
      <c r="U39" s="210" t="e">
        <f t="shared" si="8"/>
        <v>#VALUE!</v>
      </c>
      <c r="V39" s="210" t="e">
        <f t="shared" si="8"/>
        <v>#VALUE!</v>
      </c>
      <c r="W39" s="210" t="e">
        <f t="shared" si="8"/>
        <v>#VALUE!</v>
      </c>
      <c r="X39" s="211" t="e">
        <f t="shared" si="1"/>
        <v>#VALUE!</v>
      </c>
      <c r="Y39" s="211" t="e">
        <f t="shared" si="2"/>
        <v>#VALUE!</v>
      </c>
    </row>
    <row r="40" spans="1:25" x14ac:dyDescent="0.2">
      <c r="B40" s="202" t="s">
        <v>525</v>
      </c>
      <c r="C40" s="210">
        <v>170</v>
      </c>
      <c r="D40" s="210">
        <v>10291.82</v>
      </c>
      <c r="E40" s="210">
        <v>76217.64</v>
      </c>
      <c r="F40" s="210">
        <v>82473.25</v>
      </c>
      <c r="G40" s="210">
        <v>38710.71</v>
      </c>
      <c r="H40" s="210">
        <v>81595.62</v>
      </c>
      <c r="I40" s="210">
        <v>-3400</v>
      </c>
      <c r="J40" s="210">
        <v>79447.42</v>
      </c>
      <c r="K40" s="210">
        <v>3428.75</v>
      </c>
      <c r="L40" s="210">
        <v>935</v>
      </c>
      <c r="M40" s="210">
        <v>11447.81</v>
      </c>
      <c r="N40" s="210">
        <v>1290</v>
      </c>
      <c r="O40" s="210" t="e">
        <f>O39</f>
        <v>#VALUE!</v>
      </c>
      <c r="P40" s="210" t="e">
        <f t="shared" ref="P40:W40" si="9">P39</f>
        <v>#VALUE!</v>
      </c>
      <c r="Q40" s="210" t="e">
        <f t="shared" si="9"/>
        <v>#VALUE!</v>
      </c>
      <c r="R40" s="210" t="e">
        <f t="shared" si="9"/>
        <v>#VALUE!</v>
      </c>
      <c r="S40" s="210" t="e">
        <f t="shared" si="9"/>
        <v>#VALUE!</v>
      </c>
      <c r="T40" s="210" t="e">
        <f t="shared" si="9"/>
        <v>#VALUE!</v>
      </c>
      <c r="U40" s="210" t="e">
        <f t="shared" si="9"/>
        <v>#VALUE!</v>
      </c>
      <c r="V40" s="210" t="e">
        <f t="shared" si="9"/>
        <v>#VALUE!</v>
      </c>
      <c r="W40" s="210" t="e">
        <f t="shared" si="9"/>
        <v>#VALUE!</v>
      </c>
      <c r="X40" s="211" t="e">
        <f t="shared" si="1"/>
        <v>#VALUE!</v>
      </c>
      <c r="Y40" s="211" t="e">
        <f t="shared" si="2"/>
        <v>#VALUE!</v>
      </c>
    </row>
    <row r="41" spans="1:25" x14ac:dyDescent="0.2">
      <c r="B41" s="202" t="s">
        <v>526</v>
      </c>
      <c r="C41" s="210">
        <v>15265</v>
      </c>
      <c r="D41" s="210">
        <v>24350.36</v>
      </c>
      <c r="E41" s="210">
        <v>79516.62</v>
      </c>
      <c r="F41" s="210">
        <v>133455.10999999999</v>
      </c>
      <c r="G41" s="210">
        <v>82196.03</v>
      </c>
      <c r="H41" s="210">
        <v>93380.800000000003</v>
      </c>
      <c r="I41" s="210">
        <v>8342.07</v>
      </c>
      <c r="J41" s="210">
        <v>114281.66</v>
      </c>
      <c r="K41" s="210">
        <v>45234.65</v>
      </c>
      <c r="L41" s="210">
        <v>21958.91</v>
      </c>
      <c r="M41" s="210">
        <v>26476.14</v>
      </c>
      <c r="N41" s="210">
        <v>76377</v>
      </c>
      <c r="O41" s="210" t="e">
        <f>O40+O32+O27+O21</f>
        <v>#VALUE!</v>
      </c>
      <c r="P41" s="210" t="e">
        <f t="shared" ref="P41:W41" si="10">P40+P32+P27+P21</f>
        <v>#VALUE!</v>
      </c>
      <c r="Q41" s="210" t="e">
        <f t="shared" si="10"/>
        <v>#VALUE!</v>
      </c>
      <c r="R41" s="210" t="e">
        <f t="shared" si="10"/>
        <v>#VALUE!</v>
      </c>
      <c r="S41" s="210" t="e">
        <f t="shared" si="10"/>
        <v>#VALUE!</v>
      </c>
      <c r="T41" s="210" t="e">
        <f t="shared" si="10"/>
        <v>#VALUE!</v>
      </c>
      <c r="U41" s="210" t="e">
        <f t="shared" si="10"/>
        <v>#VALUE!</v>
      </c>
      <c r="V41" s="210" t="e">
        <f t="shared" si="10"/>
        <v>#VALUE!</v>
      </c>
      <c r="W41" s="210" t="e">
        <f t="shared" si="10"/>
        <v>#VALUE!</v>
      </c>
      <c r="X41" s="211" t="e">
        <f t="shared" si="1"/>
        <v>#VALUE!</v>
      </c>
      <c r="Y41" s="211" t="e">
        <f t="shared" si="2"/>
        <v>#VALUE!</v>
      </c>
    </row>
    <row r="42" spans="1:25" x14ac:dyDescent="0.2">
      <c r="B42" s="202" t="s">
        <v>527</v>
      </c>
      <c r="C42" s="212">
        <v>-15265</v>
      </c>
      <c r="D42" s="212">
        <v>-24350.36</v>
      </c>
      <c r="E42" s="212">
        <v>-79516.62</v>
      </c>
      <c r="F42" s="212">
        <v>-133455.10999999999</v>
      </c>
      <c r="G42" s="212">
        <v>-82196.03</v>
      </c>
      <c r="H42" s="212">
        <v>-93380.800000000003</v>
      </c>
      <c r="I42" s="212">
        <v>-8342.07</v>
      </c>
      <c r="J42" s="212">
        <v>-114281.66</v>
      </c>
      <c r="K42" s="212">
        <v>-45234.65</v>
      </c>
      <c r="L42" s="212">
        <v>-21958.91</v>
      </c>
      <c r="M42" s="212">
        <v>-26476.14</v>
      </c>
      <c r="N42" s="212">
        <v>-76377</v>
      </c>
      <c r="O42" s="212" t="e">
        <f>-O41</f>
        <v>#VALUE!</v>
      </c>
      <c r="P42" s="212" t="e">
        <f t="shared" ref="P42:W42" si="11">-P41</f>
        <v>#VALUE!</v>
      </c>
      <c r="Q42" s="212" t="e">
        <f t="shared" si="11"/>
        <v>#VALUE!</v>
      </c>
      <c r="R42" s="212" t="e">
        <f t="shared" si="11"/>
        <v>#VALUE!</v>
      </c>
      <c r="S42" s="212" t="e">
        <f t="shared" si="11"/>
        <v>#VALUE!</v>
      </c>
      <c r="T42" s="212" t="e">
        <f t="shared" si="11"/>
        <v>#VALUE!</v>
      </c>
      <c r="U42" s="212" t="e">
        <f t="shared" si="11"/>
        <v>#VALUE!</v>
      </c>
      <c r="V42" s="212" t="e">
        <f t="shared" si="11"/>
        <v>#VALUE!</v>
      </c>
      <c r="W42" s="212" t="e">
        <f t="shared" si="11"/>
        <v>#VALUE!</v>
      </c>
      <c r="X42" s="213" t="e">
        <f t="shared" si="1"/>
        <v>#VALUE!</v>
      </c>
      <c r="Y42" s="213" t="e">
        <f t="shared" si="2"/>
        <v>#VALUE!</v>
      </c>
    </row>
    <row r="43" spans="1:25" x14ac:dyDescent="0.2">
      <c r="B43" s="207" t="s">
        <v>528</v>
      </c>
      <c r="C43" s="214" t="s">
        <v>492</v>
      </c>
      <c r="D43" s="214" t="s">
        <v>492</v>
      </c>
      <c r="E43" s="214" t="s">
        <v>492</v>
      </c>
      <c r="F43" s="214" t="s">
        <v>492</v>
      </c>
      <c r="G43" s="214" t="s">
        <v>492</v>
      </c>
      <c r="H43" s="214" t="s">
        <v>492</v>
      </c>
      <c r="I43" s="214" t="s">
        <v>492</v>
      </c>
      <c r="J43" s="214" t="s">
        <v>492</v>
      </c>
      <c r="K43" s="214" t="s">
        <v>492</v>
      </c>
      <c r="L43" s="214" t="s">
        <v>492</v>
      </c>
      <c r="M43" s="214" t="s">
        <v>492</v>
      </c>
      <c r="N43" s="214" t="s">
        <v>492</v>
      </c>
      <c r="O43" s="214"/>
      <c r="P43" s="214"/>
      <c r="Q43" s="214"/>
      <c r="R43" s="214"/>
      <c r="S43" s="214"/>
      <c r="T43" s="214"/>
      <c r="U43" s="214"/>
      <c r="V43" s="214"/>
      <c r="W43" s="214"/>
      <c r="X43" s="214"/>
      <c r="Y43" s="214"/>
    </row>
    <row r="44" spans="1:25" x14ac:dyDescent="0.2">
      <c r="B44" s="202" t="s">
        <v>529</v>
      </c>
      <c r="C44" s="202" t="s">
        <v>494</v>
      </c>
      <c r="D44" s="202" t="s">
        <v>494</v>
      </c>
      <c r="E44" s="202" t="s">
        <v>494</v>
      </c>
      <c r="F44" s="202" t="s">
        <v>494</v>
      </c>
      <c r="G44" s="202" t="s">
        <v>494</v>
      </c>
      <c r="H44" s="202" t="s">
        <v>494</v>
      </c>
      <c r="I44" s="202" t="s">
        <v>494</v>
      </c>
      <c r="J44" s="202" t="s">
        <v>494</v>
      </c>
      <c r="K44" s="202" t="s">
        <v>494</v>
      </c>
      <c r="L44" s="202" t="s">
        <v>494</v>
      </c>
      <c r="M44" s="202" t="s">
        <v>494</v>
      </c>
      <c r="N44" s="202" t="s">
        <v>494</v>
      </c>
      <c r="O44" s="202"/>
      <c r="P44" s="202"/>
      <c r="Q44" s="202"/>
      <c r="R44" s="202"/>
      <c r="S44" s="202"/>
      <c r="T44" s="202"/>
      <c r="U44" s="202"/>
      <c r="V44" s="202"/>
      <c r="W44" s="202"/>
      <c r="X44" s="207"/>
      <c r="Y44" s="207"/>
    </row>
    <row r="45" spans="1:25" x14ac:dyDescent="0.2">
      <c r="B45" s="202" t="s">
        <v>530</v>
      </c>
      <c r="C45" s="202" t="s">
        <v>496</v>
      </c>
      <c r="D45" s="202" t="s">
        <v>496</v>
      </c>
      <c r="E45" s="202" t="s">
        <v>496</v>
      </c>
      <c r="F45" s="202" t="s">
        <v>496</v>
      </c>
      <c r="G45" s="202" t="s">
        <v>496</v>
      </c>
      <c r="H45" s="202" t="s">
        <v>496</v>
      </c>
      <c r="I45" s="202" t="s">
        <v>496</v>
      </c>
      <c r="J45" s="202" t="s">
        <v>496</v>
      </c>
      <c r="K45" s="202" t="s">
        <v>496</v>
      </c>
      <c r="L45" s="202" t="s">
        <v>496</v>
      </c>
      <c r="M45" s="202" t="s">
        <v>496</v>
      </c>
      <c r="N45" s="202" t="s">
        <v>496</v>
      </c>
      <c r="O45" s="202"/>
      <c r="P45" s="202"/>
      <c r="Q45" s="202"/>
      <c r="R45" s="202"/>
      <c r="S45" s="202"/>
      <c r="T45" s="202"/>
      <c r="U45" s="202"/>
      <c r="V45" s="202"/>
      <c r="W45" s="202"/>
      <c r="X45" s="207"/>
      <c r="Y45" s="207"/>
    </row>
    <row r="46" spans="1:25" x14ac:dyDescent="0.2">
      <c r="B46" s="202" t="s">
        <v>531</v>
      </c>
      <c r="C46" s="208">
        <v>297863.39</v>
      </c>
      <c r="D46" s="208">
        <v>57617.16</v>
      </c>
      <c r="E46" s="208">
        <v>48989.87</v>
      </c>
      <c r="F46" s="208">
        <v>65324.959999999999</v>
      </c>
      <c r="G46" s="208">
        <v>55563.67</v>
      </c>
      <c r="H46" s="208">
        <v>44311.97</v>
      </c>
      <c r="I46" s="208">
        <v>40017.14</v>
      </c>
      <c r="J46" s="208">
        <v>27622.82</v>
      </c>
      <c r="K46" s="208">
        <v>17871.66</v>
      </c>
      <c r="L46" s="208">
        <v>18818.72</v>
      </c>
      <c r="M46" s="208">
        <v>15651.96</v>
      </c>
      <c r="N46" s="208">
        <v>18649.849999999999</v>
      </c>
      <c r="O46" s="208">
        <v>18000</v>
      </c>
      <c r="P46" s="208">
        <v>18000</v>
      </c>
      <c r="Q46" s="208">
        <v>18000</v>
      </c>
      <c r="R46" s="208">
        <v>18000</v>
      </c>
      <c r="S46" s="208">
        <v>18000</v>
      </c>
      <c r="T46" s="208">
        <v>18000</v>
      </c>
      <c r="U46" s="208">
        <v>18000</v>
      </c>
      <c r="V46" s="208">
        <v>18000</v>
      </c>
      <c r="W46" s="208">
        <v>18000</v>
      </c>
      <c r="X46" s="209">
        <f t="shared" si="1"/>
        <v>870303.16999999993</v>
      </c>
      <c r="Y46" s="209">
        <f t="shared" si="2"/>
        <v>215120.53</v>
      </c>
    </row>
    <row r="47" spans="1:25" x14ac:dyDescent="0.2">
      <c r="A47" s="199">
        <v>10</v>
      </c>
      <c r="B47" s="202" t="s">
        <v>532</v>
      </c>
      <c r="C47" s="208">
        <v>0</v>
      </c>
      <c r="D47" s="208">
        <v>250000</v>
      </c>
      <c r="E47" s="208">
        <v>0</v>
      </c>
      <c r="F47" s="208">
        <v>0</v>
      </c>
      <c r="G47" s="208">
        <v>0</v>
      </c>
      <c r="H47" s="208">
        <v>467.8</v>
      </c>
      <c r="I47" s="208">
        <v>0</v>
      </c>
      <c r="J47" s="208">
        <v>143100</v>
      </c>
      <c r="K47" s="208">
        <v>0</v>
      </c>
      <c r="L47" s="208">
        <v>0</v>
      </c>
      <c r="M47" s="208">
        <v>0</v>
      </c>
      <c r="N47" s="208">
        <v>0</v>
      </c>
      <c r="O47" s="208" t="e">
        <v>#VALUE!</v>
      </c>
      <c r="P47" s="208" t="e">
        <v>#VALUE!</v>
      </c>
      <c r="Q47" s="208" t="e">
        <v>#VALUE!</v>
      </c>
      <c r="R47" s="208" t="e">
        <v>#VALUE!</v>
      </c>
      <c r="S47" s="208" t="e">
        <v>#VALUE!</v>
      </c>
      <c r="T47" s="208" t="e">
        <v>#VALUE!</v>
      </c>
      <c r="U47" s="208" t="e">
        <v>#VALUE!</v>
      </c>
      <c r="V47" s="208" t="e">
        <v>#VALUE!</v>
      </c>
      <c r="W47" s="208" t="e">
        <v>#VALUE!</v>
      </c>
      <c r="X47" s="209" t="e">
        <f t="shared" si="1"/>
        <v>#VALUE!</v>
      </c>
      <c r="Y47" s="209" t="e">
        <f t="shared" si="2"/>
        <v>#VALUE!</v>
      </c>
    </row>
    <row r="48" spans="1:25" x14ac:dyDescent="0.2">
      <c r="B48" s="202" t="s">
        <v>533</v>
      </c>
      <c r="C48" s="210">
        <v>297863.39</v>
      </c>
      <c r="D48" s="210">
        <v>307617.15999999997</v>
      </c>
      <c r="E48" s="210">
        <v>48989.87</v>
      </c>
      <c r="F48" s="210">
        <v>65324.959999999999</v>
      </c>
      <c r="G48" s="210">
        <v>55563.67</v>
      </c>
      <c r="H48" s="210">
        <v>44779.77</v>
      </c>
      <c r="I48" s="210">
        <v>40017.14</v>
      </c>
      <c r="J48" s="210">
        <v>170722.82</v>
      </c>
      <c r="K48" s="210">
        <v>17871.66</v>
      </c>
      <c r="L48" s="210">
        <v>18818.72</v>
      </c>
      <c r="M48" s="210">
        <v>15651.96</v>
      </c>
      <c r="N48" s="210">
        <v>18649.849999999999</v>
      </c>
      <c r="O48" s="210" t="e">
        <f>SUM(O46:O47)</f>
        <v>#VALUE!</v>
      </c>
      <c r="P48" s="210" t="e">
        <f t="shared" ref="P48:W48" si="12">SUM(P46:P47)</f>
        <v>#VALUE!</v>
      </c>
      <c r="Q48" s="210" t="e">
        <f t="shared" si="12"/>
        <v>#VALUE!</v>
      </c>
      <c r="R48" s="210" t="e">
        <f t="shared" si="12"/>
        <v>#VALUE!</v>
      </c>
      <c r="S48" s="210" t="e">
        <f t="shared" si="12"/>
        <v>#VALUE!</v>
      </c>
      <c r="T48" s="210" t="e">
        <f t="shared" si="12"/>
        <v>#VALUE!</v>
      </c>
      <c r="U48" s="210" t="e">
        <f t="shared" si="12"/>
        <v>#VALUE!</v>
      </c>
      <c r="V48" s="210" t="e">
        <f t="shared" si="12"/>
        <v>#VALUE!</v>
      </c>
      <c r="W48" s="210" t="e">
        <f t="shared" si="12"/>
        <v>#VALUE!</v>
      </c>
      <c r="X48" s="211" t="e">
        <f t="shared" si="1"/>
        <v>#VALUE!</v>
      </c>
      <c r="Y48" s="211" t="e">
        <f t="shared" si="2"/>
        <v>#VALUE!</v>
      </c>
    </row>
    <row r="49" spans="2:25" x14ac:dyDescent="0.2">
      <c r="B49" s="202" t="s">
        <v>534</v>
      </c>
      <c r="C49" s="210">
        <v>297863.39</v>
      </c>
      <c r="D49" s="210">
        <v>307617.15999999997</v>
      </c>
      <c r="E49" s="210">
        <v>48989.87</v>
      </c>
      <c r="F49" s="210">
        <v>65324.959999999999</v>
      </c>
      <c r="G49" s="210">
        <v>55563.67</v>
      </c>
      <c r="H49" s="210">
        <v>44779.77</v>
      </c>
      <c r="I49" s="210">
        <v>40017.14</v>
      </c>
      <c r="J49" s="210">
        <v>170722.82</v>
      </c>
      <c r="K49" s="210">
        <v>17871.66</v>
      </c>
      <c r="L49" s="210">
        <v>18818.72</v>
      </c>
      <c r="M49" s="210">
        <v>15651.96</v>
      </c>
      <c r="N49" s="210">
        <v>18649.849999999999</v>
      </c>
      <c r="O49" s="210" t="e">
        <f>O48</f>
        <v>#VALUE!</v>
      </c>
      <c r="P49" s="210" t="e">
        <f t="shared" ref="P49:W50" si="13">P48</f>
        <v>#VALUE!</v>
      </c>
      <c r="Q49" s="210" t="e">
        <f t="shared" si="13"/>
        <v>#VALUE!</v>
      </c>
      <c r="R49" s="210" t="e">
        <f t="shared" si="13"/>
        <v>#VALUE!</v>
      </c>
      <c r="S49" s="210" t="e">
        <f t="shared" si="13"/>
        <v>#VALUE!</v>
      </c>
      <c r="T49" s="210" t="e">
        <f t="shared" si="13"/>
        <v>#VALUE!</v>
      </c>
      <c r="U49" s="210" t="e">
        <f t="shared" si="13"/>
        <v>#VALUE!</v>
      </c>
      <c r="V49" s="210" t="e">
        <f t="shared" si="13"/>
        <v>#VALUE!</v>
      </c>
      <c r="W49" s="210" t="e">
        <f t="shared" si="13"/>
        <v>#VALUE!</v>
      </c>
      <c r="X49" s="211" t="e">
        <f t="shared" si="1"/>
        <v>#VALUE!</v>
      </c>
      <c r="Y49" s="211" t="e">
        <f t="shared" si="2"/>
        <v>#VALUE!</v>
      </c>
    </row>
    <row r="50" spans="2:25" x14ac:dyDescent="0.2">
      <c r="B50" s="202" t="s">
        <v>535</v>
      </c>
      <c r="C50" s="212">
        <v>297863.39</v>
      </c>
      <c r="D50" s="212">
        <v>307617.15999999997</v>
      </c>
      <c r="E50" s="212">
        <v>48989.87</v>
      </c>
      <c r="F50" s="212">
        <v>65324.959999999999</v>
      </c>
      <c r="G50" s="212">
        <v>55563.67</v>
      </c>
      <c r="H50" s="212">
        <v>44779.77</v>
      </c>
      <c r="I50" s="212">
        <v>40017.14</v>
      </c>
      <c r="J50" s="212">
        <v>170722.82</v>
      </c>
      <c r="K50" s="212">
        <v>17871.66</v>
      </c>
      <c r="L50" s="212">
        <v>18818.72</v>
      </c>
      <c r="M50" s="212">
        <v>15651.96</v>
      </c>
      <c r="N50" s="212">
        <v>18649.849999999999</v>
      </c>
      <c r="O50" s="212" t="e">
        <f>O49</f>
        <v>#VALUE!</v>
      </c>
      <c r="P50" s="212" t="e">
        <f t="shared" si="13"/>
        <v>#VALUE!</v>
      </c>
      <c r="Q50" s="212" t="e">
        <f t="shared" si="13"/>
        <v>#VALUE!</v>
      </c>
      <c r="R50" s="212" t="e">
        <f t="shared" si="13"/>
        <v>#VALUE!</v>
      </c>
      <c r="S50" s="212" t="e">
        <f t="shared" si="13"/>
        <v>#VALUE!</v>
      </c>
      <c r="T50" s="212" t="e">
        <f t="shared" si="13"/>
        <v>#VALUE!</v>
      </c>
      <c r="U50" s="212" t="e">
        <f t="shared" si="13"/>
        <v>#VALUE!</v>
      </c>
      <c r="V50" s="212" t="e">
        <f t="shared" si="13"/>
        <v>#VALUE!</v>
      </c>
      <c r="W50" s="212" t="e">
        <f t="shared" si="13"/>
        <v>#VALUE!</v>
      </c>
      <c r="X50" s="213" t="e">
        <f t="shared" si="1"/>
        <v>#VALUE!</v>
      </c>
      <c r="Y50" s="213" t="e">
        <f t="shared" si="2"/>
        <v>#VALUE!</v>
      </c>
    </row>
    <row r="51" spans="2:25" x14ac:dyDescent="0.2">
      <c r="B51" s="215" t="s">
        <v>485</v>
      </c>
      <c r="C51" s="215"/>
      <c r="D51" s="215"/>
      <c r="E51" s="215"/>
      <c r="F51" s="215"/>
      <c r="G51" s="215"/>
      <c r="H51" s="215"/>
      <c r="I51" s="215"/>
      <c r="J51" s="215"/>
      <c r="K51" s="215"/>
      <c r="L51" s="215"/>
      <c r="M51" s="215"/>
      <c r="N51" s="215"/>
      <c r="O51" s="215"/>
      <c r="P51" s="215"/>
      <c r="Q51" s="215"/>
      <c r="R51" s="215"/>
      <c r="S51" s="215"/>
      <c r="T51" s="215"/>
      <c r="U51" s="215"/>
      <c r="V51" s="215"/>
      <c r="W51" s="215"/>
      <c r="X51" s="216"/>
      <c r="Y51" s="216"/>
    </row>
    <row r="52" spans="2:25" ht="13.5" thickBot="1" x14ac:dyDescent="0.25">
      <c r="B52" s="207" t="s">
        <v>536</v>
      </c>
      <c r="C52" s="217">
        <v>282598.39</v>
      </c>
      <c r="D52" s="217">
        <v>283266.8</v>
      </c>
      <c r="E52" s="217">
        <v>-30526.75</v>
      </c>
      <c r="F52" s="217">
        <v>-68130.149999999994</v>
      </c>
      <c r="G52" s="217">
        <v>-26632.36</v>
      </c>
      <c r="H52" s="217">
        <v>-48601.03</v>
      </c>
      <c r="I52" s="217">
        <v>31675.07</v>
      </c>
      <c r="J52" s="217">
        <v>56441.16</v>
      </c>
      <c r="K52" s="217">
        <v>-27362.99</v>
      </c>
      <c r="L52" s="217">
        <v>-3140.19</v>
      </c>
      <c r="M52" s="217">
        <v>-10824.18</v>
      </c>
      <c r="N52" s="217">
        <v>-57727.15</v>
      </c>
      <c r="O52" s="217" t="e">
        <f>O42+O50</f>
        <v>#VALUE!</v>
      </c>
      <c r="P52" s="217" t="e">
        <f t="shared" ref="P52:W52" si="14">P42+P50</f>
        <v>#VALUE!</v>
      </c>
      <c r="Q52" s="217" t="e">
        <f t="shared" si="14"/>
        <v>#VALUE!</v>
      </c>
      <c r="R52" s="217" t="e">
        <f t="shared" si="14"/>
        <v>#VALUE!</v>
      </c>
      <c r="S52" s="217" t="e">
        <f t="shared" si="14"/>
        <v>#VALUE!</v>
      </c>
      <c r="T52" s="217" t="e">
        <f t="shared" si="14"/>
        <v>#VALUE!</v>
      </c>
      <c r="U52" s="217" t="e">
        <f t="shared" si="14"/>
        <v>#VALUE!</v>
      </c>
      <c r="V52" s="217" t="e">
        <f t="shared" si="14"/>
        <v>#VALUE!</v>
      </c>
      <c r="W52" s="217" t="e">
        <f t="shared" si="14"/>
        <v>#VALUE!</v>
      </c>
      <c r="X52" s="217" t="e">
        <f t="shared" si="1"/>
        <v>#VALUE!</v>
      </c>
      <c r="Y52" s="217" t="e">
        <f t="shared" si="2"/>
        <v>#VALUE!</v>
      </c>
    </row>
    <row r="53" spans="2:25" ht="13.5" thickTop="1" x14ac:dyDescent="0.2">
      <c r="B53" s="203" t="s">
        <v>485</v>
      </c>
      <c r="X53" s="218"/>
      <c r="Y53" s="218"/>
    </row>
    <row r="54" spans="2:25" x14ac:dyDescent="0.2">
      <c r="B54" s="203" t="s">
        <v>485</v>
      </c>
      <c r="X54" s="218"/>
      <c r="Y54" s="218"/>
    </row>
    <row r="55" spans="2:25" ht="13.5" thickBot="1" x14ac:dyDescent="0.25">
      <c r="B55" s="202" t="s">
        <v>537</v>
      </c>
      <c r="C55" s="217">
        <f>C52+D52</f>
        <v>565865.18999999994</v>
      </c>
      <c r="D55" s="217">
        <f>C55+D52</f>
        <v>849131.99</v>
      </c>
      <c r="E55" s="217">
        <f t="shared" ref="E55:N55" si="15">D55+E52</f>
        <v>818605.24</v>
      </c>
      <c r="F55" s="217">
        <f t="shared" si="15"/>
        <v>750475.09</v>
      </c>
      <c r="G55" s="217">
        <f t="shared" si="15"/>
        <v>723842.73</v>
      </c>
      <c r="H55" s="217">
        <f t="shared" si="15"/>
        <v>675241.7</v>
      </c>
      <c r="I55" s="217">
        <f t="shared" si="15"/>
        <v>706916.7699999999</v>
      </c>
      <c r="J55" s="217">
        <f t="shared" si="15"/>
        <v>763357.92999999993</v>
      </c>
      <c r="K55" s="217">
        <f t="shared" si="15"/>
        <v>735994.94</v>
      </c>
      <c r="L55" s="217">
        <f t="shared" si="15"/>
        <v>732854.75</v>
      </c>
      <c r="M55" s="217">
        <f t="shared" si="15"/>
        <v>722030.57</v>
      </c>
      <c r="N55" s="217">
        <f t="shared" si="15"/>
        <v>664303.41999999993</v>
      </c>
      <c r="O55" s="217" t="e">
        <f>N55+O52</f>
        <v>#VALUE!</v>
      </c>
      <c r="P55" s="217" t="e">
        <f t="shared" ref="P55:W55" si="16">O55+P52</f>
        <v>#VALUE!</v>
      </c>
      <c r="Q55" s="217" t="e">
        <f t="shared" si="16"/>
        <v>#VALUE!</v>
      </c>
      <c r="R55" s="217" t="e">
        <f t="shared" si="16"/>
        <v>#VALUE!</v>
      </c>
      <c r="S55" s="217" t="e">
        <f t="shared" si="16"/>
        <v>#VALUE!</v>
      </c>
      <c r="T55" s="217" t="e">
        <f t="shared" si="16"/>
        <v>#VALUE!</v>
      </c>
      <c r="U55" s="217" t="e">
        <f t="shared" si="16"/>
        <v>#VALUE!</v>
      </c>
      <c r="V55" s="217" t="e">
        <f t="shared" si="16"/>
        <v>#VALUE!</v>
      </c>
      <c r="W55" s="217" t="e">
        <f t="shared" si="16"/>
        <v>#VALUE!</v>
      </c>
      <c r="X55" s="217" t="e">
        <f>W55</f>
        <v>#VALUE!</v>
      </c>
      <c r="Y55" s="217" t="e">
        <f>SUM(L52:W52)</f>
        <v>#VALUE!</v>
      </c>
    </row>
    <row r="56" spans="2:25" ht="13.5" thickTop="1" x14ac:dyDescent="0.2"/>
    <row r="58" spans="2:25" x14ac:dyDescent="0.2">
      <c r="B58" s="207"/>
    </row>
    <row r="59" spans="2:25" x14ac:dyDescent="0.2">
      <c r="L59" s="208"/>
      <c r="M59" s="208"/>
      <c r="N59" s="208"/>
      <c r="O59" s="208"/>
      <c r="P59" s="208"/>
      <c r="Q59" s="208"/>
      <c r="R59" s="208"/>
      <c r="S59" s="208"/>
      <c r="T59" s="208"/>
      <c r="U59" s="208"/>
      <c r="V59" s="208"/>
      <c r="W59" s="208"/>
      <c r="X59" s="208"/>
      <c r="Y59" s="208"/>
    </row>
    <row r="60" spans="2:25" x14ac:dyDescent="0.2">
      <c r="L60" s="208"/>
      <c r="M60" s="208"/>
      <c r="N60" s="208"/>
      <c r="O60" s="208"/>
      <c r="P60" s="208"/>
      <c r="Q60" s="208"/>
      <c r="R60" s="208"/>
      <c r="S60" s="208"/>
      <c r="T60" s="208"/>
      <c r="U60" s="208"/>
      <c r="V60" s="208"/>
      <c r="W60" s="208"/>
      <c r="X60" s="208"/>
      <c r="Y60" s="208"/>
    </row>
    <row r="61" spans="2:25" x14ac:dyDescent="0.2">
      <c r="L61" s="208"/>
      <c r="M61" s="208"/>
      <c r="N61" s="208"/>
      <c r="O61" s="208"/>
      <c r="P61" s="208"/>
      <c r="Q61" s="208"/>
      <c r="R61" s="208"/>
      <c r="S61" s="208"/>
      <c r="T61" s="208"/>
      <c r="U61" s="208"/>
      <c r="V61" s="208"/>
      <c r="W61" s="208"/>
      <c r="X61" s="208"/>
      <c r="Y61" s="208"/>
    </row>
    <row r="62" spans="2:25" x14ac:dyDescent="0.2">
      <c r="L62" s="208"/>
      <c r="M62" s="208"/>
      <c r="N62" s="208"/>
      <c r="O62" s="208"/>
      <c r="P62" s="208"/>
      <c r="Q62" s="208"/>
      <c r="R62" s="208"/>
      <c r="S62" s="208"/>
      <c r="T62" s="208"/>
      <c r="U62" s="208"/>
      <c r="V62" s="208"/>
      <c r="W62" s="208"/>
      <c r="X62" s="208"/>
      <c r="Y62" s="208"/>
    </row>
    <row r="63" spans="2:25" x14ac:dyDescent="0.2">
      <c r="L63" s="208"/>
      <c r="M63" s="208"/>
      <c r="N63" s="208"/>
      <c r="O63" s="208"/>
      <c r="P63" s="208"/>
      <c r="Q63" s="208"/>
      <c r="R63" s="208"/>
      <c r="S63" s="208"/>
      <c r="T63" s="208"/>
      <c r="U63" s="208"/>
      <c r="V63" s="208"/>
      <c r="W63" s="208"/>
      <c r="X63" s="208"/>
      <c r="Y63" s="208"/>
    </row>
    <row r="64" spans="2:25" x14ac:dyDescent="0.2">
      <c r="L64" s="208"/>
      <c r="M64" s="208"/>
      <c r="N64" s="208"/>
      <c r="O64" s="208"/>
      <c r="P64" s="208"/>
      <c r="Q64" s="208"/>
      <c r="R64" s="208"/>
      <c r="S64" s="208"/>
      <c r="T64" s="208"/>
      <c r="U64" s="208"/>
      <c r="V64" s="208"/>
      <c r="W64" s="208"/>
      <c r="X64" s="208"/>
      <c r="Y64" s="208"/>
    </row>
    <row r="65" spans="12:25" x14ac:dyDescent="0.2">
      <c r="L65" s="208"/>
      <c r="M65" s="208"/>
      <c r="N65" s="208"/>
      <c r="O65" s="208"/>
      <c r="P65" s="208"/>
      <c r="Q65" s="208"/>
      <c r="R65" s="208"/>
      <c r="S65" s="208"/>
      <c r="T65" s="208"/>
      <c r="U65" s="208"/>
      <c r="V65" s="208"/>
      <c r="W65" s="208"/>
      <c r="X65" s="208"/>
      <c r="Y65" s="208"/>
    </row>
    <row r="66" spans="12:25" x14ac:dyDescent="0.2">
      <c r="L66" s="208"/>
      <c r="M66" s="208"/>
      <c r="N66" s="208"/>
      <c r="O66" s="208"/>
      <c r="P66" s="208"/>
      <c r="Q66" s="208"/>
      <c r="R66" s="208"/>
      <c r="S66" s="208"/>
      <c r="T66" s="208"/>
      <c r="U66" s="208"/>
      <c r="V66" s="208"/>
      <c r="W66" s="208"/>
      <c r="X66" s="208"/>
      <c r="Y66" s="208"/>
    </row>
    <row r="67" spans="12:25" x14ac:dyDescent="0.2">
      <c r="L67" s="208"/>
      <c r="M67" s="208"/>
      <c r="N67" s="208"/>
      <c r="O67" s="208"/>
      <c r="P67" s="208"/>
      <c r="Q67" s="208"/>
      <c r="R67" s="208"/>
      <c r="S67" s="208"/>
      <c r="T67" s="208"/>
      <c r="U67" s="208"/>
      <c r="V67" s="208"/>
      <c r="W67" s="208"/>
      <c r="X67" s="208"/>
      <c r="Y67" s="208"/>
    </row>
    <row r="68" spans="12:25" x14ac:dyDescent="0.2">
      <c r="L68" s="208"/>
      <c r="M68" s="208"/>
      <c r="N68" s="208"/>
      <c r="O68" s="208"/>
      <c r="P68" s="208"/>
      <c r="Q68" s="208"/>
      <c r="R68" s="208"/>
      <c r="S68" s="208"/>
      <c r="T68" s="208"/>
      <c r="U68" s="208"/>
      <c r="V68" s="208"/>
      <c r="W68" s="208"/>
      <c r="X68" s="208"/>
      <c r="Y68" s="208"/>
    </row>
    <row r="69" spans="12:25" x14ac:dyDescent="0.2">
      <c r="L69" s="208"/>
      <c r="M69" s="208"/>
      <c r="N69" s="208"/>
      <c r="O69" s="208"/>
      <c r="P69" s="208"/>
      <c r="Q69" s="208"/>
      <c r="R69" s="208"/>
      <c r="S69" s="208"/>
      <c r="T69" s="208"/>
      <c r="U69" s="208"/>
      <c r="V69" s="208"/>
      <c r="W69" s="208"/>
      <c r="X69" s="208"/>
      <c r="Y69" s="208"/>
    </row>
    <row r="70" spans="12:25" x14ac:dyDescent="0.2">
      <c r="L70" s="208"/>
      <c r="M70" s="208"/>
      <c r="N70" s="208"/>
      <c r="O70" s="208"/>
      <c r="P70" s="208"/>
      <c r="Q70" s="208"/>
      <c r="R70" s="208"/>
      <c r="S70" s="208"/>
      <c r="T70" s="208"/>
      <c r="U70" s="208"/>
      <c r="V70" s="208"/>
      <c r="W70" s="208"/>
      <c r="X70" s="208"/>
      <c r="Y70" s="208"/>
    </row>
    <row r="71" spans="12:25" x14ac:dyDescent="0.2">
      <c r="L71" s="208"/>
      <c r="M71" s="208"/>
      <c r="N71" s="208"/>
      <c r="O71" s="208"/>
      <c r="P71" s="208"/>
      <c r="Q71" s="208"/>
      <c r="R71" s="208"/>
      <c r="S71" s="208"/>
      <c r="T71" s="208"/>
      <c r="U71" s="208"/>
      <c r="V71" s="208"/>
      <c r="W71" s="208"/>
      <c r="X71" s="208"/>
      <c r="Y71" s="208"/>
    </row>
    <row r="72" spans="12:25" x14ac:dyDescent="0.2">
      <c r="L72" s="208"/>
      <c r="M72" s="208"/>
      <c r="N72" s="208"/>
      <c r="O72" s="208"/>
      <c r="P72" s="208"/>
      <c r="Q72" s="208"/>
      <c r="R72" s="208"/>
      <c r="S72" s="208"/>
      <c r="T72" s="208"/>
      <c r="U72" s="208"/>
      <c r="V72" s="208"/>
      <c r="W72" s="208"/>
      <c r="X72" s="208"/>
      <c r="Y72" s="208"/>
    </row>
  </sheetData>
  <pageMargins left="0.75" right="0.75" top="1" bottom="1" header="0.5" footer="0.5"/>
  <pageSetup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54A6868C-6CCD-4BE2-9316-9C51FF5D1454}">
          <x14:formula1>
            <xm:f>'\Users\bobsummerwill\Library\Containers\com.microsoft.Excel\Data\Documents\C:\Users\aliso\ETC Cooperative Dropbox\ETC Cooperative\Business\Financial\Forecast\[2019 Forecast as at March 31, 2019.xlsx]Forecast Input Sheet'!#REF!</xm:f>
          </x14:formula1>
          <xm:sqref>G1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DECE-4F75-4908-830E-D6C901C3A5B0}">
  <sheetPr>
    <tabColor rgb="FF00B0F0"/>
  </sheetPr>
  <dimension ref="A5:H34"/>
  <sheetViews>
    <sheetView showGridLines="0" topLeftCell="A7" workbookViewId="0">
      <selection activeCell="I21" sqref="I21"/>
    </sheetView>
  </sheetViews>
  <sheetFormatPr defaultColWidth="6.77734375" defaultRowHeight="12.75" x14ac:dyDescent="0.2"/>
  <cols>
    <col min="1" max="1" width="0.33203125" style="162" customWidth="1"/>
    <col min="2" max="2" width="4.44140625" style="162" customWidth="1"/>
    <col min="3" max="3" width="2" style="162" customWidth="1"/>
    <col min="4" max="4" width="29.44140625" style="162" customWidth="1"/>
    <col min="5" max="6" width="14.44140625" style="162" customWidth="1"/>
    <col min="7" max="7" width="13.109375" style="162" customWidth="1"/>
    <col min="8" max="16384" width="6.77734375" style="162"/>
  </cols>
  <sheetData>
    <row r="5" spans="1:8" ht="20.100000000000001" customHeight="1" x14ac:dyDescent="0.2">
      <c r="D5" s="163" t="s">
        <v>407</v>
      </c>
      <c r="E5" s="163"/>
      <c r="F5" s="163"/>
      <c r="G5" s="163"/>
    </row>
    <row r="6" spans="1:8" ht="20.100000000000001" customHeight="1" x14ac:dyDescent="0.2">
      <c r="D6" s="164"/>
      <c r="E6" s="165">
        <v>43738</v>
      </c>
      <c r="F6" s="166">
        <v>43465</v>
      </c>
      <c r="G6" s="166">
        <v>43100</v>
      </c>
      <c r="H6" s="167"/>
    </row>
    <row r="7" spans="1:8" ht="20.100000000000001" customHeight="1" x14ac:dyDescent="0.2">
      <c r="D7" s="164" t="s">
        <v>408</v>
      </c>
      <c r="E7" s="165"/>
      <c r="F7" s="166"/>
      <c r="G7" s="166"/>
      <c r="H7" s="167"/>
    </row>
    <row r="8" spans="1:8" ht="20.100000000000001" customHeight="1" x14ac:dyDescent="0.2">
      <c r="A8" s="162">
        <v>1</v>
      </c>
      <c r="D8" s="168" t="s">
        <v>409</v>
      </c>
      <c r="E8" s="169">
        <v>90300.65</v>
      </c>
      <c r="F8" s="170">
        <v>530268.44999999995</v>
      </c>
      <c r="G8" s="170">
        <v>0</v>
      </c>
      <c r="H8" s="167"/>
    </row>
    <row r="9" spans="1:8" ht="20.100000000000001" customHeight="1" x14ac:dyDescent="0.2">
      <c r="D9" s="168" t="s">
        <v>410</v>
      </c>
      <c r="E9" s="169">
        <v>154363.35999999999</v>
      </c>
      <c r="F9" s="170">
        <v>154363.35999999999</v>
      </c>
      <c r="G9" s="170">
        <v>0</v>
      </c>
      <c r="H9" s="167"/>
    </row>
    <row r="10" spans="1:8" ht="20.100000000000001" customHeight="1" x14ac:dyDescent="0.2">
      <c r="D10" s="168" t="s">
        <v>411</v>
      </c>
      <c r="E10" s="169">
        <v>7057.27</v>
      </c>
      <c r="F10" s="170">
        <v>7057.27</v>
      </c>
      <c r="G10" s="170">
        <v>0</v>
      </c>
      <c r="H10" s="167"/>
    </row>
    <row r="11" spans="1:8" ht="20.100000000000001" customHeight="1" x14ac:dyDescent="0.2">
      <c r="D11" s="168" t="s">
        <v>412</v>
      </c>
      <c r="E11" s="169">
        <v>129984.65</v>
      </c>
      <c r="F11" s="170">
        <v>-6729.03</v>
      </c>
      <c r="G11" s="170">
        <v>371504.67</v>
      </c>
      <c r="H11" s="167"/>
    </row>
    <row r="12" spans="1:8" ht="20.100000000000001" customHeight="1" x14ac:dyDescent="0.2">
      <c r="A12" s="162">
        <v>2</v>
      </c>
      <c r="D12" s="168" t="s">
        <v>413</v>
      </c>
      <c r="E12" s="169">
        <v>119923.2</v>
      </c>
      <c r="F12" s="170">
        <v>0</v>
      </c>
      <c r="G12" s="170">
        <v>0</v>
      </c>
      <c r="H12" s="167"/>
    </row>
    <row r="13" spans="1:8" ht="20.100000000000001" customHeight="1" x14ac:dyDescent="0.2">
      <c r="A13" s="162">
        <v>4</v>
      </c>
      <c r="D13" s="164" t="s">
        <v>414</v>
      </c>
      <c r="E13" s="171">
        <f>SUM(E8:E12)</f>
        <v>501629.12999999995</v>
      </c>
      <c r="F13" s="172">
        <f>SUM(F8:F12)</f>
        <v>684960.04999999993</v>
      </c>
      <c r="G13" s="172">
        <f>SUM(G8:G12)</f>
        <v>371504.67</v>
      </c>
      <c r="H13" s="167"/>
    </row>
    <row r="14" spans="1:8" ht="20.100000000000001" customHeight="1" x14ac:dyDescent="0.2">
      <c r="D14" s="173"/>
      <c r="E14" s="169"/>
      <c r="F14" s="170"/>
      <c r="G14" s="170"/>
      <c r="H14" s="167"/>
    </row>
    <row r="15" spans="1:8" ht="20.100000000000001" customHeight="1" x14ac:dyDescent="0.2">
      <c r="D15" s="164" t="s">
        <v>415</v>
      </c>
      <c r="E15" s="169"/>
      <c r="F15" s="170"/>
      <c r="G15" s="170"/>
      <c r="H15" s="167"/>
    </row>
    <row r="16" spans="1:8" ht="20.100000000000001" customHeight="1" x14ac:dyDescent="0.2">
      <c r="A16" s="162">
        <v>5</v>
      </c>
      <c r="D16" s="168" t="s">
        <v>416</v>
      </c>
      <c r="E16" s="169">
        <v>29919.58</v>
      </c>
      <c r="F16" s="170">
        <v>20305.43</v>
      </c>
      <c r="G16" s="170">
        <v>0</v>
      </c>
      <c r="H16" s="167"/>
    </row>
    <row r="17" spans="1:8" ht="20.100000000000001" customHeight="1" x14ac:dyDescent="0.2">
      <c r="D17" s="168" t="s">
        <v>417</v>
      </c>
      <c r="E17" s="169">
        <v>11120.05</v>
      </c>
      <c r="F17" s="170">
        <v>3022.48</v>
      </c>
      <c r="G17" s="170">
        <v>131864.19</v>
      </c>
      <c r="H17" s="167"/>
    </row>
    <row r="18" spans="1:8" ht="20.100000000000001" customHeight="1" x14ac:dyDescent="0.2">
      <c r="D18" s="174" t="s">
        <v>418</v>
      </c>
      <c r="E18" s="171">
        <f>E16+E17</f>
        <v>41039.630000000005</v>
      </c>
      <c r="F18" s="172">
        <f>F16+F17</f>
        <v>23327.91</v>
      </c>
      <c r="G18" s="172">
        <f>G16+G17</f>
        <v>131864.19</v>
      </c>
      <c r="H18" s="167"/>
    </row>
    <row r="19" spans="1:8" ht="20.100000000000001" customHeight="1" x14ac:dyDescent="0.3">
      <c r="D19" s="168"/>
      <c r="E19" s="175"/>
      <c r="F19" s="176"/>
      <c r="G19" s="176"/>
      <c r="H19" s="167"/>
    </row>
    <row r="20" spans="1:8" ht="20.100000000000001" customHeight="1" x14ac:dyDescent="0.3">
      <c r="D20" s="174" t="s">
        <v>419</v>
      </c>
      <c r="E20" s="175"/>
      <c r="F20" s="176"/>
      <c r="G20" s="176"/>
      <c r="H20" s="167"/>
    </row>
    <row r="21" spans="1:8" ht="20.100000000000001" customHeight="1" x14ac:dyDescent="0.2">
      <c r="D21" s="168" t="s">
        <v>420</v>
      </c>
      <c r="E21" s="169">
        <v>661632.14</v>
      </c>
      <c r="F21" s="170">
        <v>239640.48</v>
      </c>
      <c r="G21" s="170">
        <v>0</v>
      </c>
      <c r="H21" s="177"/>
    </row>
    <row r="22" spans="1:8" ht="20.100000000000001" customHeight="1" x14ac:dyDescent="0.2">
      <c r="D22" s="168" t="s">
        <v>421</v>
      </c>
      <c r="E22" s="169">
        <v>-201042.63999999998</v>
      </c>
      <c r="F22" s="170">
        <v>421991.66000000003</v>
      </c>
      <c r="G22" s="170">
        <v>239640.47999999998</v>
      </c>
      <c r="H22" s="177"/>
    </row>
    <row r="23" spans="1:8" ht="20.100000000000001" customHeight="1" x14ac:dyDescent="0.2">
      <c r="D23" s="174" t="s">
        <v>422</v>
      </c>
      <c r="E23" s="171">
        <f>E21+E22</f>
        <v>460589.5</v>
      </c>
      <c r="F23" s="172">
        <f>F21+F22</f>
        <v>661632.14</v>
      </c>
      <c r="G23" s="172">
        <f>G21+G22</f>
        <v>239640.47999999998</v>
      </c>
      <c r="H23" s="177"/>
    </row>
    <row r="24" spans="1:8" ht="20.100000000000001" customHeight="1" x14ac:dyDescent="0.3">
      <c r="D24" s="178"/>
      <c r="E24" s="175"/>
      <c r="F24" s="176"/>
      <c r="G24" s="176"/>
      <c r="H24" s="167"/>
    </row>
    <row r="25" spans="1:8" ht="20.100000000000001" customHeight="1" x14ac:dyDescent="0.2">
      <c r="A25" s="162">
        <v>6</v>
      </c>
      <c r="D25" s="164" t="s">
        <v>423</v>
      </c>
      <c r="E25" s="171">
        <f>E18+E23</f>
        <v>501629.13</v>
      </c>
      <c r="F25" s="172">
        <f>F18+F23</f>
        <v>684960.05</v>
      </c>
      <c r="G25" s="172">
        <f>G18+G23</f>
        <v>371504.67</v>
      </c>
      <c r="H25" s="167"/>
    </row>
    <row r="26" spans="1:8" ht="20.100000000000001" customHeight="1" x14ac:dyDescent="0.3">
      <c r="D26" s="173"/>
      <c r="E26" s="175"/>
      <c r="F26" s="176"/>
      <c r="G26" s="176"/>
      <c r="H26" s="167"/>
    </row>
    <row r="27" spans="1:8" ht="20.100000000000001" customHeight="1" x14ac:dyDescent="0.2">
      <c r="D27" s="179" t="s">
        <v>424</v>
      </c>
      <c r="E27" s="180">
        <v>75973.171816108486</v>
      </c>
      <c r="F27" s="181">
        <v>81429.927353877982</v>
      </c>
      <c r="G27" s="181">
        <v>0</v>
      </c>
      <c r="H27" s="167"/>
    </row>
    <row r="28" spans="1:8" ht="20.100000000000001" customHeight="1" x14ac:dyDescent="0.2">
      <c r="D28" s="164" t="s">
        <v>425</v>
      </c>
      <c r="E28" s="182">
        <f>E8+E27</f>
        <v>166273.82181610848</v>
      </c>
      <c r="F28" s="183">
        <f t="shared" ref="F28:G28" si="0">F8+F27</f>
        <v>611698.37735387799</v>
      </c>
      <c r="G28" s="183">
        <f t="shared" si="0"/>
        <v>0</v>
      </c>
      <c r="H28" s="167"/>
    </row>
    <row r="29" spans="1:8" x14ac:dyDescent="0.2">
      <c r="E29" s="167"/>
      <c r="F29" s="167"/>
      <c r="G29" s="167"/>
      <c r="H29" s="167"/>
    </row>
    <row r="30" spans="1:8" ht="14.25" x14ac:dyDescent="0.2">
      <c r="C30" s="184">
        <v>1</v>
      </c>
      <c r="D30" s="185" t="s">
        <v>426</v>
      </c>
      <c r="E30" s="167"/>
      <c r="F30" s="167"/>
      <c r="G30" s="167"/>
      <c r="H30" s="167"/>
    </row>
    <row r="31" spans="1:8" ht="14.25" x14ac:dyDescent="0.2">
      <c r="C31" s="184">
        <v>2</v>
      </c>
      <c r="D31" s="185" t="s">
        <v>427</v>
      </c>
      <c r="E31" s="167"/>
      <c r="F31" s="167"/>
      <c r="G31" s="167"/>
      <c r="H31" s="167"/>
    </row>
    <row r="32" spans="1:8" ht="14.25" x14ac:dyDescent="0.2">
      <c r="C32" s="184">
        <v>3</v>
      </c>
      <c r="D32" s="185" t="s">
        <v>428</v>
      </c>
      <c r="E32" s="167"/>
      <c r="F32" s="167"/>
      <c r="G32" s="167"/>
      <c r="H32" s="167"/>
    </row>
    <row r="33" spans="3:8" ht="14.25" x14ac:dyDescent="0.2">
      <c r="C33" s="184"/>
      <c r="D33" s="185"/>
      <c r="E33" s="167"/>
      <c r="F33" s="167"/>
      <c r="G33" s="167"/>
      <c r="H33" s="167"/>
    </row>
    <row r="34" spans="3:8" ht="14.25" x14ac:dyDescent="0.2">
      <c r="C34" s="184"/>
      <c r="D34" s="185"/>
      <c r="E34" s="167"/>
      <c r="F34" s="167"/>
      <c r="G34" s="167"/>
      <c r="H34" s="16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7B194-B6F8-4C2E-9EF0-BC4103504B77}">
  <dimension ref="A1:J32"/>
  <sheetViews>
    <sheetView topLeftCell="A10" workbookViewId="0">
      <selection activeCell="E35" sqref="E35"/>
    </sheetView>
  </sheetViews>
  <sheetFormatPr defaultColWidth="8.77734375" defaultRowHeight="16.5" x14ac:dyDescent="0.3"/>
  <cols>
    <col min="1" max="1" width="24.109375" customWidth="1"/>
    <col min="2" max="2" width="14.77734375" customWidth="1"/>
    <col min="3" max="3" width="11.109375" customWidth="1"/>
    <col min="4" max="4" width="13.33203125" customWidth="1"/>
    <col min="7" max="7" width="12.77734375" customWidth="1"/>
    <col min="10" max="10" width="13.33203125" customWidth="1"/>
  </cols>
  <sheetData>
    <row r="1" spans="1:10" ht="17.25" thickBot="1" x14ac:dyDescent="0.35">
      <c r="A1" s="41" t="s">
        <v>64</v>
      </c>
      <c r="B1" s="41" t="s">
        <v>66</v>
      </c>
    </row>
    <row r="2" spans="1:10" ht="17.25" thickBot="1" x14ac:dyDescent="0.35">
      <c r="A2" s="42" t="s">
        <v>77</v>
      </c>
      <c r="B2" s="43">
        <v>0</v>
      </c>
    </row>
    <row r="3" spans="1:10" ht="17.25" thickBot="1" x14ac:dyDescent="0.35">
      <c r="A3" s="42" t="s">
        <v>65</v>
      </c>
      <c r="B3" s="43">
        <v>0.1</v>
      </c>
    </row>
    <row r="4" spans="1:10" ht="17.25" thickBot="1" x14ac:dyDescent="0.35">
      <c r="A4" s="42" t="s">
        <v>78</v>
      </c>
      <c r="B4" s="43">
        <v>0.25</v>
      </c>
    </row>
    <row r="6" spans="1:10" x14ac:dyDescent="0.3">
      <c r="A6" s="41" t="s">
        <v>79</v>
      </c>
      <c r="B6" s="44">
        <v>9446000</v>
      </c>
      <c r="C6" s="45" t="s">
        <v>80</v>
      </c>
    </row>
    <row r="7" spans="1:10" x14ac:dyDescent="0.3">
      <c r="B7" s="46">
        <f>1%/12</f>
        <v>8.3333333333333339E-4</v>
      </c>
      <c r="C7" t="s">
        <v>108</v>
      </c>
    </row>
    <row r="8" spans="1:10" ht="17.25" thickBot="1" x14ac:dyDescent="0.35">
      <c r="B8" s="46"/>
    </row>
    <row r="9" spans="1:10" ht="17.25" thickBot="1" x14ac:dyDescent="0.35">
      <c r="A9" s="263" t="s">
        <v>105</v>
      </c>
      <c r="B9" s="264"/>
      <c r="C9" s="264"/>
      <c r="D9" s="264"/>
      <c r="E9" s="264"/>
      <c r="F9" s="264"/>
      <c r="G9" s="264"/>
      <c r="H9" s="264"/>
      <c r="I9" s="264"/>
      <c r="J9" s="265"/>
    </row>
    <row r="11" spans="1:10" x14ac:dyDescent="0.3">
      <c r="B11" t="s">
        <v>104</v>
      </c>
      <c r="C11" s="262" t="s">
        <v>70</v>
      </c>
      <c r="D11" s="262"/>
      <c r="F11" s="262" t="s">
        <v>65</v>
      </c>
      <c r="G11" s="262"/>
      <c r="I11" s="262" t="s">
        <v>78</v>
      </c>
      <c r="J11" s="262"/>
    </row>
    <row r="13" spans="1:10" x14ac:dyDescent="0.3">
      <c r="A13" t="s">
        <v>81</v>
      </c>
      <c r="B13" s="47">
        <v>4.5</v>
      </c>
      <c r="C13" s="48" t="s">
        <v>111</v>
      </c>
      <c r="D13" s="48" t="s">
        <v>110</v>
      </c>
      <c r="F13" s="48" t="s">
        <v>111</v>
      </c>
      <c r="G13" s="48" t="s">
        <v>110</v>
      </c>
      <c r="I13" s="48" t="s">
        <v>111</v>
      </c>
      <c r="J13" s="48" t="s">
        <v>110</v>
      </c>
    </row>
    <row r="14" spans="1:10" x14ac:dyDescent="0.3">
      <c r="B14" s="49"/>
    </row>
    <row r="15" spans="1:10" x14ac:dyDescent="0.3">
      <c r="A15" t="s">
        <v>71</v>
      </c>
      <c r="B15" s="50">
        <f>B13*50%</f>
        <v>2.25</v>
      </c>
      <c r="C15" s="144">
        <f>75%/3</f>
        <v>0.25</v>
      </c>
      <c r="D15" s="51">
        <f>B15*C15</f>
        <v>0.5625</v>
      </c>
      <c r="F15" s="144">
        <f>25%/3</f>
        <v>8.3333333333333329E-2</v>
      </c>
      <c r="G15" s="51">
        <f>F15*B15</f>
        <v>0.1875</v>
      </c>
      <c r="I15" s="51">
        <f>B15*0%</f>
        <v>0</v>
      </c>
      <c r="J15">
        <f>B15*I15</f>
        <v>0</v>
      </c>
    </row>
    <row r="16" spans="1:10" x14ac:dyDescent="0.3">
      <c r="A16" t="s">
        <v>72</v>
      </c>
      <c r="B16" s="50">
        <f>B13*75%</f>
        <v>3.375</v>
      </c>
      <c r="C16" s="144">
        <f>75%/3</f>
        <v>0.25</v>
      </c>
      <c r="D16" s="51">
        <f t="shared" ref="D16:D25" si="0">B16*C16</f>
        <v>0.84375</v>
      </c>
      <c r="F16" s="144">
        <f>25%/3</f>
        <v>8.3333333333333329E-2</v>
      </c>
      <c r="G16" s="51">
        <f t="shared" ref="G16:G25" si="1">F16*B16</f>
        <v>0.28125</v>
      </c>
      <c r="J16">
        <f t="shared" ref="J16:J25" si="2">B16*I16</f>
        <v>0</v>
      </c>
    </row>
    <row r="17" spans="1:10" x14ac:dyDescent="0.3">
      <c r="A17" t="s">
        <v>73</v>
      </c>
      <c r="B17" s="50">
        <f>B13*100%</f>
        <v>4.5</v>
      </c>
      <c r="C17" s="144">
        <f>75%/3</f>
        <v>0.25</v>
      </c>
      <c r="D17" s="51">
        <f t="shared" si="0"/>
        <v>1.125</v>
      </c>
      <c r="F17" s="144">
        <f>25%/3</f>
        <v>8.3333333333333329E-2</v>
      </c>
      <c r="G17" s="51">
        <f t="shared" si="1"/>
        <v>0.375</v>
      </c>
      <c r="J17">
        <f t="shared" si="2"/>
        <v>0</v>
      </c>
    </row>
    <row r="18" spans="1:10" x14ac:dyDescent="0.3">
      <c r="B18" s="50"/>
      <c r="C18" s="144"/>
      <c r="D18" s="51">
        <f t="shared" si="0"/>
        <v>0</v>
      </c>
      <c r="F18" s="144"/>
      <c r="G18" s="51">
        <f t="shared" si="1"/>
        <v>0</v>
      </c>
      <c r="J18">
        <f t="shared" si="2"/>
        <v>0</v>
      </c>
    </row>
    <row r="19" spans="1:10" x14ac:dyDescent="0.3">
      <c r="A19" t="s">
        <v>67</v>
      </c>
      <c r="B19" s="50">
        <f>B13*1.1</f>
        <v>4.95</v>
      </c>
      <c r="C19" s="144">
        <f>25%/3</f>
        <v>8.3333333333333329E-2</v>
      </c>
      <c r="D19" s="51">
        <f t="shared" si="0"/>
        <v>0.41249999999999998</v>
      </c>
      <c r="F19" s="144">
        <f>65%/3</f>
        <v>0.21666666666666667</v>
      </c>
      <c r="G19" s="51">
        <f t="shared" si="1"/>
        <v>1.0725</v>
      </c>
      <c r="I19">
        <f>50%/3</f>
        <v>0.16666666666666666</v>
      </c>
      <c r="J19">
        <f t="shared" si="2"/>
        <v>0.82499999999999996</v>
      </c>
    </row>
    <row r="20" spans="1:10" x14ac:dyDescent="0.3">
      <c r="A20" t="s">
        <v>68</v>
      </c>
      <c r="B20" s="50">
        <f>B13*1.25</f>
        <v>5.625</v>
      </c>
      <c r="C20" s="144">
        <f>25%/3</f>
        <v>8.3333333333333329E-2</v>
      </c>
      <c r="D20" s="51">
        <f t="shared" si="0"/>
        <v>0.46875</v>
      </c>
      <c r="F20" s="144">
        <f>65%/3</f>
        <v>0.21666666666666667</v>
      </c>
      <c r="G20" s="51">
        <f t="shared" si="1"/>
        <v>1.21875</v>
      </c>
      <c r="I20">
        <f>50%/3</f>
        <v>0.16666666666666666</v>
      </c>
      <c r="J20">
        <f t="shared" si="2"/>
        <v>0.9375</v>
      </c>
    </row>
    <row r="21" spans="1:10" x14ac:dyDescent="0.3">
      <c r="A21" t="s">
        <v>69</v>
      </c>
      <c r="B21" s="50">
        <f>B13*(150%)</f>
        <v>6.75</v>
      </c>
      <c r="C21" s="144">
        <f>25%/3</f>
        <v>8.3333333333333329E-2</v>
      </c>
      <c r="D21" s="51">
        <f t="shared" si="0"/>
        <v>0.5625</v>
      </c>
      <c r="F21" s="144">
        <f>65%/3</f>
        <v>0.21666666666666667</v>
      </c>
      <c r="G21" s="51">
        <f t="shared" si="1"/>
        <v>1.4625000000000001</v>
      </c>
      <c r="I21">
        <f>50%/3</f>
        <v>0.16666666666666666</v>
      </c>
      <c r="J21">
        <f t="shared" si="2"/>
        <v>1.125</v>
      </c>
    </row>
    <row r="22" spans="1:10" x14ac:dyDescent="0.3">
      <c r="B22" s="50"/>
      <c r="C22" s="144"/>
      <c r="D22" s="51">
        <f t="shared" si="0"/>
        <v>0</v>
      </c>
      <c r="F22" s="144"/>
      <c r="G22" s="51">
        <f t="shared" si="1"/>
        <v>0</v>
      </c>
      <c r="J22">
        <f t="shared" si="2"/>
        <v>0</v>
      </c>
    </row>
    <row r="23" spans="1:10" x14ac:dyDescent="0.3">
      <c r="A23" t="s">
        <v>74</v>
      </c>
      <c r="B23" s="50">
        <f>B13*2</f>
        <v>9</v>
      </c>
      <c r="C23" s="144">
        <v>0</v>
      </c>
      <c r="D23" s="51">
        <f t="shared" si="0"/>
        <v>0</v>
      </c>
      <c r="F23" s="144">
        <f>10%/3</f>
        <v>3.3333333333333333E-2</v>
      </c>
      <c r="G23" s="51">
        <f t="shared" si="1"/>
        <v>0.3</v>
      </c>
      <c r="I23">
        <f>50%/3</f>
        <v>0.16666666666666666</v>
      </c>
      <c r="J23">
        <f t="shared" si="2"/>
        <v>1.5</v>
      </c>
    </row>
    <row r="24" spans="1:10" x14ac:dyDescent="0.3">
      <c r="A24" t="s">
        <v>75</v>
      </c>
      <c r="B24" s="50">
        <f>B13*2.25</f>
        <v>10.125</v>
      </c>
      <c r="C24" s="144">
        <v>0</v>
      </c>
      <c r="D24" s="51">
        <f t="shared" si="0"/>
        <v>0</v>
      </c>
      <c r="F24" s="144">
        <f>10%/3</f>
        <v>3.3333333333333333E-2</v>
      </c>
      <c r="G24" s="51">
        <f t="shared" si="1"/>
        <v>0.33750000000000002</v>
      </c>
      <c r="I24">
        <f>50%/3</f>
        <v>0.16666666666666666</v>
      </c>
      <c r="J24">
        <f t="shared" si="2"/>
        <v>1.6875</v>
      </c>
    </row>
    <row r="25" spans="1:10" x14ac:dyDescent="0.3">
      <c r="A25" t="s">
        <v>76</v>
      </c>
      <c r="B25" s="50">
        <f>B13*2.5</f>
        <v>11.25</v>
      </c>
      <c r="C25">
        <v>0</v>
      </c>
      <c r="D25" s="51">
        <f t="shared" si="0"/>
        <v>0</v>
      </c>
      <c r="F25" s="144">
        <f>10%/3</f>
        <v>3.3333333333333333E-2</v>
      </c>
      <c r="G25" s="51">
        <f t="shared" si="1"/>
        <v>0.375</v>
      </c>
      <c r="I25">
        <f>50%/3</f>
        <v>0.16666666666666666</v>
      </c>
      <c r="J25">
        <f t="shared" si="2"/>
        <v>1.875</v>
      </c>
    </row>
    <row r="26" spans="1:10" x14ac:dyDescent="0.3">
      <c r="B26" s="52"/>
    </row>
    <row r="27" spans="1:10" ht="17.25" thickBot="1" x14ac:dyDescent="0.35">
      <c r="A27" s="53" t="s">
        <v>106</v>
      </c>
      <c r="B27" s="53"/>
      <c r="C27" s="53"/>
      <c r="D27" s="54">
        <f>SUM(D15:D25)</f>
        <v>3.9750000000000001</v>
      </c>
      <c r="E27" s="53"/>
      <c r="F27" s="53"/>
      <c r="G27" s="54">
        <f>SUM(G15:G25)</f>
        <v>5.61</v>
      </c>
      <c r="H27" s="53"/>
      <c r="I27" s="53"/>
      <c r="J27" s="54">
        <f>SUM(J15:J25)</f>
        <v>7.95</v>
      </c>
    </row>
    <row r="28" spans="1:10" ht="17.25" thickTop="1" x14ac:dyDescent="0.3">
      <c r="B28" s="46"/>
    </row>
    <row r="29" spans="1:10" x14ac:dyDescent="0.3">
      <c r="A29" t="s">
        <v>107</v>
      </c>
    </row>
    <row r="31" spans="1:10" ht="17.25" thickBot="1" x14ac:dyDescent="0.35">
      <c r="A31" s="55" t="s">
        <v>109</v>
      </c>
      <c r="B31" s="56"/>
      <c r="C31" s="56"/>
      <c r="D31" s="57">
        <f>D27*$B$6*$B$7</f>
        <v>31289.875000000004</v>
      </c>
      <c r="E31" s="57"/>
      <c r="F31" s="57"/>
      <c r="G31" s="57">
        <f>G27*$B$6*$B$7</f>
        <v>44160.05</v>
      </c>
      <c r="H31" s="57"/>
      <c r="I31" s="57"/>
      <c r="J31" s="57">
        <f>J27*$B$6*$B$7</f>
        <v>62579.750000000007</v>
      </c>
    </row>
    <row r="32" spans="1:10" ht="17.25" thickTop="1" x14ac:dyDescent="0.3"/>
  </sheetData>
  <mergeCells count="4">
    <mergeCell ref="C11:D11"/>
    <mergeCell ref="F11:G11"/>
    <mergeCell ref="I11:J11"/>
    <mergeCell ref="A9:J9"/>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B720-C86F-4F29-B4F7-1AC5C155AB6B}">
  <dimension ref="A3:E100"/>
  <sheetViews>
    <sheetView topLeftCell="A28" workbookViewId="0">
      <selection activeCell="G27" sqref="G27:I34"/>
    </sheetView>
  </sheetViews>
  <sheetFormatPr defaultColWidth="8.77734375" defaultRowHeight="16.5" x14ac:dyDescent="0.3"/>
  <cols>
    <col min="2" max="2" width="40" customWidth="1"/>
    <col min="3" max="3" width="13.44140625" customWidth="1"/>
    <col min="4" max="4" width="11" customWidth="1"/>
  </cols>
  <sheetData>
    <row r="3" spans="1:4" x14ac:dyDescent="0.3">
      <c r="A3" t="s">
        <v>199</v>
      </c>
    </row>
    <row r="6" spans="1:4" x14ac:dyDescent="0.3">
      <c r="B6" s="41" t="s">
        <v>200</v>
      </c>
      <c r="C6" t="s">
        <v>201</v>
      </c>
      <c r="D6" t="s">
        <v>202</v>
      </c>
    </row>
    <row r="7" spans="1:4" x14ac:dyDescent="0.3">
      <c r="B7" t="s">
        <v>203</v>
      </c>
      <c r="C7" s="158" t="s">
        <v>204</v>
      </c>
      <c r="D7" t="s">
        <v>205</v>
      </c>
    </row>
    <row r="10" spans="1:4" x14ac:dyDescent="0.3">
      <c r="A10" t="s">
        <v>206</v>
      </c>
    </row>
    <row r="11" spans="1:4" ht="18" x14ac:dyDescent="0.35">
      <c r="B11" s="159"/>
      <c r="C11" s="160"/>
    </row>
    <row r="12" spans="1:4" ht="18" x14ac:dyDescent="0.35">
      <c r="B12" s="159" t="s">
        <v>207</v>
      </c>
      <c r="C12" s="160"/>
    </row>
    <row r="13" spans="1:4" x14ac:dyDescent="0.3">
      <c r="B13" t="s">
        <v>88</v>
      </c>
      <c r="C13" s="158" t="s">
        <v>208</v>
      </c>
    </row>
    <row r="14" spans="1:4" x14ac:dyDescent="0.3">
      <c r="B14" t="s">
        <v>197</v>
      </c>
      <c r="C14" s="158" t="s">
        <v>204</v>
      </c>
    </row>
    <row r="15" spans="1:4" x14ac:dyDescent="0.3">
      <c r="B15" t="s">
        <v>198</v>
      </c>
      <c r="C15" s="158" t="s">
        <v>209</v>
      </c>
    </row>
    <row r="16" spans="1:4" x14ac:dyDescent="0.3">
      <c r="B16" t="s">
        <v>135</v>
      </c>
      <c r="C16" s="158" t="s">
        <v>210</v>
      </c>
    </row>
    <row r="17" spans="1:3" x14ac:dyDescent="0.3">
      <c r="B17" t="s">
        <v>140</v>
      </c>
      <c r="C17" s="158" t="s">
        <v>211</v>
      </c>
    </row>
    <row r="18" spans="1:3" x14ac:dyDescent="0.3">
      <c r="B18" t="s">
        <v>52</v>
      </c>
      <c r="C18" s="158" t="s">
        <v>212</v>
      </c>
    </row>
    <row r="19" spans="1:3" x14ac:dyDescent="0.3">
      <c r="B19" t="s">
        <v>154</v>
      </c>
      <c r="C19" s="158" t="s">
        <v>213</v>
      </c>
    </row>
    <row r="20" spans="1:3" x14ac:dyDescent="0.3">
      <c r="B20" t="s">
        <v>171</v>
      </c>
      <c r="C20" s="158" t="s">
        <v>214</v>
      </c>
    </row>
    <row r="21" spans="1:3" x14ac:dyDescent="0.3">
      <c r="B21" s="158" t="s">
        <v>55</v>
      </c>
      <c r="C21" s="158" t="s">
        <v>215</v>
      </c>
    </row>
    <row r="22" spans="1:3" x14ac:dyDescent="0.3">
      <c r="B22" s="158"/>
    </row>
    <row r="23" spans="1:3" x14ac:dyDescent="0.3">
      <c r="B23" s="158"/>
    </row>
    <row r="24" spans="1:3" x14ac:dyDescent="0.3">
      <c r="A24" t="s">
        <v>434</v>
      </c>
    </row>
    <row r="25" spans="1:3" ht="18" x14ac:dyDescent="0.35">
      <c r="B25" s="159"/>
      <c r="C25" s="160"/>
    </row>
    <row r="26" spans="1:3" ht="18" x14ac:dyDescent="0.35">
      <c r="B26" s="159" t="s">
        <v>207</v>
      </c>
      <c r="C26" s="160"/>
    </row>
    <row r="27" spans="1:3" x14ac:dyDescent="0.3">
      <c r="B27" t="s">
        <v>432</v>
      </c>
      <c r="C27" s="158">
        <v>1</v>
      </c>
    </row>
    <row r="28" spans="1:3" x14ac:dyDescent="0.3">
      <c r="B28" t="s">
        <v>225</v>
      </c>
      <c r="C28" s="158">
        <v>2</v>
      </c>
    </row>
    <row r="29" spans="1:3" x14ac:dyDescent="0.3">
      <c r="B29" t="s">
        <v>230</v>
      </c>
      <c r="C29" s="158">
        <v>3</v>
      </c>
    </row>
    <row r="30" spans="1:3" x14ac:dyDescent="0.3">
      <c r="B30" t="s">
        <v>236</v>
      </c>
      <c r="C30" s="158">
        <v>4</v>
      </c>
    </row>
    <row r="31" spans="1:3" x14ac:dyDescent="0.3">
      <c r="B31" t="s">
        <v>243</v>
      </c>
      <c r="C31" s="158">
        <v>5</v>
      </c>
    </row>
    <row r="32" spans="1:3" x14ac:dyDescent="0.3">
      <c r="B32" t="s">
        <v>31</v>
      </c>
      <c r="C32" s="158">
        <v>6</v>
      </c>
    </row>
    <row r="33" spans="1:4" x14ac:dyDescent="0.3">
      <c r="B33" t="s">
        <v>248</v>
      </c>
      <c r="C33" s="158">
        <v>7</v>
      </c>
    </row>
    <row r="34" spans="1:4" x14ac:dyDescent="0.3">
      <c r="B34" t="s">
        <v>46</v>
      </c>
      <c r="C34" s="158">
        <v>8</v>
      </c>
    </row>
    <row r="35" spans="1:4" x14ac:dyDescent="0.3">
      <c r="B35" s="158" t="s">
        <v>88</v>
      </c>
      <c r="C35" s="158">
        <v>9</v>
      </c>
    </row>
    <row r="38" spans="1:4" x14ac:dyDescent="0.3">
      <c r="A38" t="s">
        <v>216</v>
      </c>
    </row>
    <row r="39" spans="1:4" ht="36" x14ac:dyDescent="0.35">
      <c r="B39" s="159" t="s">
        <v>217</v>
      </c>
      <c r="C39" s="160" t="s">
        <v>218</v>
      </c>
      <c r="D39" s="160" t="s">
        <v>219</v>
      </c>
    </row>
    <row r="40" spans="1:4" x14ac:dyDescent="0.3">
      <c r="B40" t="s">
        <v>220</v>
      </c>
      <c r="C40">
        <v>1000</v>
      </c>
      <c r="D40" t="s">
        <v>30</v>
      </c>
    </row>
    <row r="41" spans="1:4" x14ac:dyDescent="0.3">
      <c r="B41" t="s">
        <v>221</v>
      </c>
      <c r="C41">
        <v>1001</v>
      </c>
      <c r="D41" t="s">
        <v>30</v>
      </c>
    </row>
    <row r="42" spans="1:4" x14ac:dyDescent="0.3">
      <c r="B42" t="s">
        <v>222</v>
      </c>
      <c r="C42">
        <v>1002</v>
      </c>
      <c r="D42" t="s">
        <v>30</v>
      </c>
    </row>
    <row r="43" spans="1:4" x14ac:dyDescent="0.3">
      <c r="B43" t="s">
        <v>186</v>
      </c>
      <c r="C43">
        <v>1003</v>
      </c>
      <c r="D43" t="s">
        <v>30</v>
      </c>
    </row>
    <row r="44" spans="1:4" x14ac:dyDescent="0.3">
      <c r="B44" t="s">
        <v>223</v>
      </c>
      <c r="C44">
        <v>1004</v>
      </c>
      <c r="D44" t="s">
        <v>30</v>
      </c>
    </row>
    <row r="47" spans="1:4" ht="36" x14ac:dyDescent="0.35">
      <c r="B47" s="159" t="s">
        <v>217</v>
      </c>
      <c r="C47" s="160" t="s">
        <v>218</v>
      </c>
      <c r="D47" s="160" t="s">
        <v>219</v>
      </c>
    </row>
    <row r="48" spans="1:4" x14ac:dyDescent="0.3">
      <c r="B48" t="s">
        <v>224</v>
      </c>
      <c r="C48">
        <v>1100</v>
      </c>
      <c r="D48" t="s">
        <v>225</v>
      </c>
    </row>
    <row r="49" spans="2:5" x14ac:dyDescent="0.3">
      <c r="B49" t="s">
        <v>226</v>
      </c>
      <c r="C49">
        <v>1101</v>
      </c>
      <c r="D49" t="s">
        <v>225</v>
      </c>
    </row>
    <row r="50" spans="2:5" x14ac:dyDescent="0.3">
      <c r="B50" t="s">
        <v>227</v>
      </c>
      <c r="C50">
        <v>1102</v>
      </c>
      <c r="D50" t="s">
        <v>225</v>
      </c>
    </row>
    <row r="51" spans="2:5" x14ac:dyDescent="0.3">
      <c r="B51" t="s">
        <v>228</v>
      </c>
      <c r="C51">
        <v>1103</v>
      </c>
      <c r="D51" t="s">
        <v>225</v>
      </c>
    </row>
    <row r="54" spans="2:5" ht="36" x14ac:dyDescent="0.35">
      <c r="B54" s="159" t="s">
        <v>217</v>
      </c>
      <c r="C54" s="160" t="s">
        <v>218</v>
      </c>
      <c r="D54" s="160" t="s">
        <v>219</v>
      </c>
    </row>
    <row r="55" spans="2:5" x14ac:dyDescent="0.3">
      <c r="B55" t="s">
        <v>229</v>
      </c>
      <c r="C55">
        <v>1200</v>
      </c>
      <c r="D55" t="s">
        <v>230</v>
      </c>
      <c r="E55" t="s">
        <v>231</v>
      </c>
    </row>
    <row r="56" spans="2:5" x14ac:dyDescent="0.3">
      <c r="B56" t="s">
        <v>232</v>
      </c>
      <c r="C56">
        <v>1201</v>
      </c>
      <c r="D56" t="s">
        <v>230</v>
      </c>
    </row>
    <row r="57" spans="2:5" x14ac:dyDescent="0.3">
      <c r="B57" t="s">
        <v>233</v>
      </c>
      <c r="C57">
        <v>1202</v>
      </c>
      <c r="D57" t="s">
        <v>230</v>
      </c>
      <c r="E57" t="s">
        <v>234</v>
      </c>
    </row>
    <row r="63" spans="2:5" ht="36" x14ac:dyDescent="0.35">
      <c r="B63" s="159" t="s">
        <v>217</v>
      </c>
      <c r="C63" s="160" t="s">
        <v>218</v>
      </c>
      <c r="D63" s="160" t="s">
        <v>219</v>
      </c>
    </row>
    <row r="64" spans="2:5" x14ac:dyDescent="0.3">
      <c r="B64" t="s">
        <v>235</v>
      </c>
      <c r="C64">
        <v>1300</v>
      </c>
      <c r="D64" t="s">
        <v>236</v>
      </c>
    </row>
    <row r="65" spans="2:4" x14ac:dyDescent="0.3">
      <c r="B65" t="s">
        <v>237</v>
      </c>
      <c r="C65">
        <v>1301</v>
      </c>
      <c r="D65" t="s">
        <v>236</v>
      </c>
    </row>
    <row r="66" spans="2:4" x14ac:dyDescent="0.3">
      <c r="B66" t="s">
        <v>238</v>
      </c>
      <c r="C66">
        <v>1302</v>
      </c>
      <c r="D66" t="s">
        <v>236</v>
      </c>
    </row>
    <row r="67" spans="2:4" x14ac:dyDescent="0.3">
      <c r="B67" t="s">
        <v>239</v>
      </c>
      <c r="C67">
        <v>1303</v>
      </c>
      <c r="D67" t="s">
        <v>236</v>
      </c>
    </row>
    <row r="68" spans="2:4" x14ac:dyDescent="0.3">
      <c r="B68" t="s">
        <v>240</v>
      </c>
      <c r="C68">
        <v>1304</v>
      </c>
      <c r="D68" t="s">
        <v>236</v>
      </c>
    </row>
    <row r="69" spans="2:4" x14ac:dyDescent="0.3">
      <c r="B69" t="s">
        <v>241</v>
      </c>
      <c r="C69">
        <v>1305</v>
      </c>
      <c r="D69" t="s">
        <v>236</v>
      </c>
    </row>
    <row r="70" spans="2:4" x14ac:dyDescent="0.3">
      <c r="B70" s="41"/>
    </row>
    <row r="71" spans="2:4" ht="36" x14ac:dyDescent="0.35">
      <c r="B71" s="159" t="s">
        <v>217</v>
      </c>
      <c r="C71" s="160" t="s">
        <v>218</v>
      </c>
      <c r="D71" s="160" t="s">
        <v>219</v>
      </c>
    </row>
    <row r="72" spans="2:4" x14ac:dyDescent="0.3">
      <c r="B72" t="s">
        <v>242</v>
      </c>
      <c r="C72">
        <v>1400</v>
      </c>
      <c r="D72" t="s">
        <v>243</v>
      </c>
    </row>
    <row r="73" spans="2:4" x14ac:dyDescent="0.3">
      <c r="B73" t="s">
        <v>53</v>
      </c>
      <c r="C73">
        <v>1401</v>
      </c>
      <c r="D73" t="s">
        <v>243</v>
      </c>
    </row>
    <row r="74" spans="2:4" x14ac:dyDescent="0.3">
      <c r="B74" t="s">
        <v>244</v>
      </c>
      <c r="C74">
        <v>1402</v>
      </c>
      <c r="D74" t="s">
        <v>243</v>
      </c>
    </row>
    <row r="75" spans="2:4" x14ac:dyDescent="0.3">
      <c r="B75" t="s">
        <v>245</v>
      </c>
      <c r="C75">
        <v>1403</v>
      </c>
      <c r="D75" t="s">
        <v>243</v>
      </c>
    </row>
    <row r="76" spans="2:4" x14ac:dyDescent="0.3">
      <c r="B76" t="s">
        <v>161</v>
      </c>
      <c r="C76">
        <v>1404</v>
      </c>
      <c r="D76" t="s">
        <v>243</v>
      </c>
    </row>
    <row r="77" spans="2:4" x14ac:dyDescent="0.3">
      <c r="B77" t="s">
        <v>398</v>
      </c>
      <c r="C77">
        <v>1405</v>
      </c>
      <c r="D77" t="s">
        <v>243</v>
      </c>
    </row>
    <row r="78" spans="2:4" x14ac:dyDescent="0.3">
      <c r="B78" t="s">
        <v>406</v>
      </c>
      <c r="C78">
        <v>1406</v>
      </c>
      <c r="D78" t="s">
        <v>243</v>
      </c>
    </row>
    <row r="79" spans="2:4" x14ac:dyDescent="0.3">
      <c r="B79" t="s">
        <v>46</v>
      </c>
      <c r="C79">
        <v>1407</v>
      </c>
      <c r="D79" t="s">
        <v>243</v>
      </c>
    </row>
    <row r="81" spans="1:4" ht="36" x14ac:dyDescent="0.35">
      <c r="B81" s="159" t="s">
        <v>217</v>
      </c>
      <c r="C81" s="160" t="s">
        <v>218</v>
      </c>
      <c r="D81" s="160" t="s">
        <v>219</v>
      </c>
    </row>
    <row r="82" spans="1:4" x14ac:dyDescent="0.3">
      <c r="B82" t="s">
        <v>246</v>
      </c>
      <c r="C82">
        <v>1500</v>
      </c>
      <c r="D82" t="s">
        <v>31</v>
      </c>
    </row>
    <row r="83" spans="1:4" x14ac:dyDescent="0.3">
      <c r="B83" t="s">
        <v>247</v>
      </c>
      <c r="C83">
        <v>1501</v>
      </c>
      <c r="D83" t="s">
        <v>31</v>
      </c>
    </row>
    <row r="84" spans="1:4" x14ac:dyDescent="0.3">
      <c r="B84" t="s">
        <v>248</v>
      </c>
      <c r="C84">
        <v>1502</v>
      </c>
      <c r="D84" t="s">
        <v>248</v>
      </c>
    </row>
    <row r="87" spans="1:4" ht="36" x14ac:dyDescent="0.35">
      <c r="B87" s="159" t="s">
        <v>217</v>
      </c>
      <c r="C87" s="160" t="s">
        <v>218</v>
      </c>
      <c r="D87" s="160" t="s">
        <v>219</v>
      </c>
    </row>
    <row r="88" spans="1:4" x14ac:dyDescent="0.3">
      <c r="B88" t="s">
        <v>249</v>
      </c>
      <c r="C88">
        <v>1600</v>
      </c>
      <c r="D88" t="s">
        <v>46</v>
      </c>
    </row>
    <row r="89" spans="1:4" x14ac:dyDescent="0.3">
      <c r="B89" t="s">
        <v>250</v>
      </c>
      <c r="C89">
        <v>1601</v>
      </c>
      <c r="D89" t="s">
        <v>46</v>
      </c>
    </row>
    <row r="90" spans="1:4" x14ac:dyDescent="0.3">
      <c r="B90" t="s">
        <v>251</v>
      </c>
      <c r="C90">
        <v>1602</v>
      </c>
      <c r="D90" t="s">
        <v>46</v>
      </c>
    </row>
    <row r="91" spans="1:4" x14ac:dyDescent="0.3">
      <c r="B91" t="s">
        <v>252</v>
      </c>
      <c r="C91">
        <v>1603</v>
      </c>
      <c r="D91" t="s">
        <v>46</v>
      </c>
    </row>
    <row r="92" spans="1:4" x14ac:dyDescent="0.3">
      <c r="B92" t="s">
        <v>253</v>
      </c>
      <c r="C92">
        <v>1604</v>
      </c>
      <c r="D92" t="s">
        <v>46</v>
      </c>
    </row>
    <row r="94" spans="1:4" ht="36" x14ac:dyDescent="0.35">
      <c r="A94" t="s">
        <v>88</v>
      </c>
      <c r="B94" s="159" t="s">
        <v>217</v>
      </c>
      <c r="C94" s="160" t="s">
        <v>218</v>
      </c>
      <c r="D94" s="160" t="s">
        <v>219</v>
      </c>
    </row>
    <row r="95" spans="1:4" x14ac:dyDescent="0.3">
      <c r="B95" t="s">
        <v>101</v>
      </c>
      <c r="C95">
        <v>5000</v>
      </c>
      <c r="D95" t="s">
        <v>88</v>
      </c>
    </row>
    <row r="96" spans="1:4" x14ac:dyDescent="0.3">
      <c r="B96" t="s">
        <v>115</v>
      </c>
      <c r="C96">
        <v>5001</v>
      </c>
      <c r="D96" t="s">
        <v>88</v>
      </c>
    </row>
    <row r="97" spans="2:4" x14ac:dyDescent="0.3">
      <c r="B97" t="s">
        <v>118</v>
      </c>
      <c r="C97">
        <v>5002</v>
      </c>
      <c r="D97" t="s">
        <v>88</v>
      </c>
    </row>
    <row r="98" spans="2:4" x14ac:dyDescent="0.3">
      <c r="B98" t="s">
        <v>254</v>
      </c>
      <c r="C98">
        <v>5003</v>
      </c>
      <c r="D98" t="s">
        <v>88</v>
      </c>
    </row>
    <row r="99" spans="2:4" x14ac:dyDescent="0.3">
      <c r="B99" t="s">
        <v>255</v>
      </c>
      <c r="C99">
        <v>5004</v>
      </c>
      <c r="D99" t="s">
        <v>88</v>
      </c>
    </row>
    <row r="100" spans="2:4" x14ac:dyDescent="0.3">
      <c r="B100" t="s">
        <v>46</v>
      </c>
      <c r="C100">
        <v>5005</v>
      </c>
      <c r="D100" t="s">
        <v>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C9190-D31B-4408-B39D-1874F2AB9A7D}">
  <dimension ref="A6:J87"/>
  <sheetViews>
    <sheetView workbookViewId="0">
      <selection activeCell="F60" sqref="F60"/>
    </sheetView>
  </sheetViews>
  <sheetFormatPr defaultColWidth="8.77734375" defaultRowHeight="16.5" x14ac:dyDescent="0.3"/>
  <cols>
    <col min="2" max="2" width="11.44140625" customWidth="1"/>
    <col min="3" max="3" width="27.44140625" customWidth="1"/>
    <col min="4" max="4" width="11.33203125" customWidth="1"/>
    <col min="5" max="5" width="16.77734375" customWidth="1"/>
    <col min="6" max="7" width="10.44140625" customWidth="1"/>
    <col min="8" max="8" width="54.77734375" customWidth="1"/>
    <col min="9" max="9" width="11.33203125" customWidth="1"/>
  </cols>
  <sheetData>
    <row r="6" spans="1:10" x14ac:dyDescent="0.3">
      <c r="B6" s="161" t="s">
        <v>256</v>
      </c>
      <c r="C6" s="161" t="s">
        <v>257</v>
      </c>
      <c r="D6" s="161" t="s">
        <v>258</v>
      </c>
      <c r="E6" s="161" t="s">
        <v>259</v>
      </c>
      <c r="F6" s="161" t="s">
        <v>260</v>
      </c>
      <c r="G6" s="161" t="s">
        <v>219</v>
      </c>
      <c r="H6" s="161" t="s">
        <v>259</v>
      </c>
    </row>
    <row r="8" spans="1:10" x14ac:dyDescent="0.3">
      <c r="A8" s="158" t="s">
        <v>204</v>
      </c>
      <c r="B8" s="158" t="s">
        <v>204</v>
      </c>
      <c r="C8" t="str">
        <f>INDEX('Highlevel Master COA'!$B$13:$B$36,MATCH(COA!$B8,'Highlevel Master COA'!$C$13:$C$36,0))</f>
        <v>Overhead &amp; Management</v>
      </c>
      <c r="D8">
        <v>1000</v>
      </c>
      <c r="E8" t="str">
        <f>INDEX('Highlevel Master COA'!$B:$B,MATCH(COA!$D8,'Highlevel Master COA'!$C:$C,0))</f>
        <v>Travel-Flights</v>
      </c>
      <c r="F8" t="str">
        <f>CONCATENATE(A8,"-",B8,"-",D8)</f>
        <v>01-01-1000</v>
      </c>
      <c r="G8" t="str">
        <f>INDEX('Highlevel Master COA'!$D:$D,MATCH(COA!$D8,'Highlevel Master COA'!$C:$C,0))</f>
        <v>Travel</v>
      </c>
      <c r="H8" t="str">
        <f>CONCATENATE(C8,"-",E8)</f>
        <v>Overhead &amp; Management-Travel-Flights</v>
      </c>
      <c r="I8" t="s">
        <v>261</v>
      </c>
      <c r="J8" t="s">
        <v>262</v>
      </c>
    </row>
    <row r="9" spans="1:10" x14ac:dyDescent="0.3">
      <c r="A9" s="158" t="s">
        <v>204</v>
      </c>
      <c r="B9" s="158" t="s">
        <v>204</v>
      </c>
      <c r="C9" t="str">
        <f>INDEX('Highlevel Master COA'!$B$13:$B$36,MATCH(COA!$B9,'Highlevel Master COA'!$C$13:$C$36,0))</f>
        <v>Overhead &amp; Management</v>
      </c>
      <c r="D9">
        <v>1001</v>
      </c>
      <c r="E9" t="str">
        <f>INDEX('Highlevel Master COA'!$B:$B,MATCH(COA!$D9,'Highlevel Master COA'!$C:$C,0))</f>
        <v>Travel-Hotels</v>
      </c>
      <c r="F9" t="str">
        <f t="shared" ref="F9:F79" si="0">CONCATENATE(A9,"-",B9,"-",D9)</f>
        <v>01-01-1001</v>
      </c>
      <c r="G9" t="str">
        <f>INDEX('Highlevel Master COA'!$D:$D,MATCH(COA!$D9,'Highlevel Master COA'!$C:$C,0))</f>
        <v>Travel</v>
      </c>
      <c r="H9" t="str">
        <f t="shared" ref="H9:H44" si="1">CONCATENATE(C9,"-",E9)</f>
        <v>Overhead &amp; Management-Travel-Hotels</v>
      </c>
      <c r="I9" t="s">
        <v>263</v>
      </c>
      <c r="J9" t="s">
        <v>264</v>
      </c>
    </row>
    <row r="10" spans="1:10" x14ac:dyDescent="0.3">
      <c r="A10" s="158" t="s">
        <v>204</v>
      </c>
      <c r="B10" s="158" t="s">
        <v>204</v>
      </c>
      <c r="C10" t="str">
        <f>INDEX('Highlevel Master COA'!$B$13:$B$36,MATCH(COA!$B10,'Highlevel Master COA'!$C$13:$C$36,0))</f>
        <v>Overhead &amp; Management</v>
      </c>
      <c r="D10">
        <v>1002</v>
      </c>
      <c r="E10" t="str">
        <f>INDEX('Highlevel Master COA'!$B:$B,MATCH(COA!$D10,'Highlevel Master COA'!$C:$C,0))</f>
        <v>Meal &amp; Entertainment</v>
      </c>
      <c r="F10" t="str">
        <f t="shared" si="0"/>
        <v>01-01-1002</v>
      </c>
      <c r="G10" t="str">
        <f>INDEX('Highlevel Master COA'!$D:$D,MATCH(COA!$D10,'Highlevel Master COA'!$C:$C,0))</f>
        <v>Travel</v>
      </c>
      <c r="H10" t="str">
        <f t="shared" si="1"/>
        <v>Overhead &amp; Management-Meal &amp; Entertainment</v>
      </c>
      <c r="I10" t="s">
        <v>265</v>
      </c>
      <c r="J10" t="s">
        <v>266</v>
      </c>
    </row>
    <row r="11" spans="1:10" x14ac:dyDescent="0.3">
      <c r="A11" s="158" t="s">
        <v>204</v>
      </c>
      <c r="B11" s="158" t="s">
        <v>204</v>
      </c>
      <c r="C11" t="str">
        <f>INDEX('Highlevel Master COA'!$B$13:$B$36,MATCH(COA!$B11,'Highlevel Master COA'!$C$13:$C$36,0))</f>
        <v>Overhead &amp; Management</v>
      </c>
      <c r="D11">
        <v>1003</v>
      </c>
      <c r="E11" t="str">
        <f>INDEX('Highlevel Master COA'!$B:$B,MATCH(COA!$D11,'Highlevel Master COA'!$C:$C,0))</f>
        <v>Transportation</v>
      </c>
      <c r="F11" t="str">
        <f t="shared" si="0"/>
        <v>01-01-1003</v>
      </c>
      <c r="G11" t="str">
        <f>INDEX('Highlevel Master COA'!$D:$D,MATCH(COA!$D11,'Highlevel Master COA'!$C:$C,0))</f>
        <v>Travel</v>
      </c>
      <c r="H11" t="str">
        <f t="shared" si="1"/>
        <v>Overhead &amp; Management-Transportation</v>
      </c>
      <c r="I11" t="s">
        <v>267</v>
      </c>
      <c r="J11" t="s">
        <v>268</v>
      </c>
    </row>
    <row r="12" spans="1:10" x14ac:dyDescent="0.3">
      <c r="A12" s="158" t="s">
        <v>204</v>
      </c>
      <c r="B12" s="158" t="s">
        <v>204</v>
      </c>
      <c r="C12" t="str">
        <f>INDEX('Highlevel Master COA'!$B$13:$B$36,MATCH(COA!$B12,'Highlevel Master COA'!$C$13:$C$36,0))</f>
        <v>Overhead &amp; Management</v>
      </c>
      <c r="D12">
        <v>1004</v>
      </c>
      <c r="E12" t="str">
        <f>INDEX('Highlevel Master COA'!$B:$B,MATCH(COA!$D12,'Highlevel Master COA'!$C:$C,0))</f>
        <v>Travel-Other</v>
      </c>
      <c r="F12" t="str">
        <f t="shared" si="0"/>
        <v>01-01-1004</v>
      </c>
      <c r="G12" t="str">
        <f>INDEX('Highlevel Master COA'!$D:$D,MATCH(COA!$D12,'Highlevel Master COA'!$C:$C,0))</f>
        <v>Travel</v>
      </c>
      <c r="H12" t="str">
        <f t="shared" si="1"/>
        <v>Overhead &amp; Management-Travel-Other</v>
      </c>
      <c r="I12" t="s">
        <v>269</v>
      </c>
      <c r="J12" t="s">
        <v>270</v>
      </c>
    </row>
    <row r="13" spans="1:10" x14ac:dyDescent="0.3">
      <c r="A13" s="158" t="s">
        <v>204</v>
      </c>
      <c r="B13" s="158" t="s">
        <v>204</v>
      </c>
      <c r="C13" t="str">
        <f>INDEX('Highlevel Master COA'!$B$13:$B$36,MATCH(COA!$B13,'Highlevel Master COA'!$C$13:$C$36,0))</f>
        <v>Overhead &amp; Management</v>
      </c>
      <c r="D13">
        <v>1100</v>
      </c>
      <c r="E13" t="str">
        <f>INDEX('Highlevel Master COA'!$B:$B,MATCH(COA!$D13,'Highlevel Master COA'!$C:$C,0))</f>
        <v>Contract Wages (Staff)</v>
      </c>
      <c r="F13" t="str">
        <f t="shared" si="0"/>
        <v>01-01-1100</v>
      </c>
      <c r="G13" t="str">
        <f>INDEX('Highlevel Master COA'!$D:$D,MATCH(COA!$D13,'Highlevel Master COA'!$C:$C,0))</f>
        <v>Wages</v>
      </c>
      <c r="H13" t="str">
        <f t="shared" si="1"/>
        <v>Overhead &amp; Management-Contract Wages (Staff)</v>
      </c>
      <c r="I13" t="s">
        <v>271</v>
      </c>
      <c r="J13" t="s">
        <v>272</v>
      </c>
    </row>
    <row r="14" spans="1:10" x14ac:dyDescent="0.3">
      <c r="A14" s="158" t="s">
        <v>204</v>
      </c>
      <c r="B14" s="158" t="s">
        <v>204</v>
      </c>
      <c r="C14" t="str">
        <f>INDEX('Highlevel Master COA'!$B$13:$B$36,MATCH(COA!$B14,'Highlevel Master COA'!$C$13:$C$36,0))</f>
        <v>Overhead &amp; Management</v>
      </c>
      <c r="D14">
        <v>1200</v>
      </c>
      <c r="E14" t="str">
        <f>INDEX('Highlevel Master COA'!$B:$B,MATCH(COA!$D14,'Highlevel Master COA'!$C:$C,0))</f>
        <v>Software</v>
      </c>
      <c r="F14" t="str">
        <f t="shared" si="0"/>
        <v>01-01-1200</v>
      </c>
      <c r="G14" t="str">
        <f>INDEX('Highlevel Master COA'!$D:$D,MATCH(COA!$D14,'Highlevel Master COA'!$C:$C,0))</f>
        <v>Tech</v>
      </c>
      <c r="H14" t="str">
        <f t="shared" si="1"/>
        <v>Overhead &amp; Management-Software</v>
      </c>
      <c r="I14" t="s">
        <v>273</v>
      </c>
      <c r="J14" t="s">
        <v>274</v>
      </c>
    </row>
    <row r="15" spans="1:10" x14ac:dyDescent="0.3">
      <c r="A15" s="158" t="s">
        <v>204</v>
      </c>
      <c r="B15" s="158" t="s">
        <v>204</v>
      </c>
      <c r="C15" t="str">
        <f>INDEX('Highlevel Master COA'!$B$13:$B$36,MATCH(COA!$B15,'Highlevel Master COA'!$C$13:$C$36,0))</f>
        <v>Overhead &amp; Management</v>
      </c>
      <c r="D15">
        <v>1201</v>
      </c>
      <c r="E15" t="str">
        <f>INDEX('Highlevel Master COA'!$B:$B,MATCH(COA!$D15,'Highlevel Master COA'!$C:$C,0))</f>
        <v>Hardware</v>
      </c>
      <c r="F15" t="str">
        <f t="shared" si="0"/>
        <v>01-01-1201</v>
      </c>
      <c r="G15" t="str">
        <f>INDEX('Highlevel Master COA'!$D:$D,MATCH(COA!$D15,'Highlevel Master COA'!$C:$C,0))</f>
        <v>Tech</v>
      </c>
      <c r="H15" t="str">
        <f t="shared" si="1"/>
        <v>Overhead &amp; Management-Hardware</v>
      </c>
      <c r="I15" t="s">
        <v>275</v>
      </c>
      <c r="J15" t="s">
        <v>276</v>
      </c>
    </row>
    <row r="16" spans="1:10" x14ac:dyDescent="0.3">
      <c r="A16" s="158" t="s">
        <v>204</v>
      </c>
      <c r="B16" s="158" t="s">
        <v>204</v>
      </c>
      <c r="C16" t="str">
        <f>INDEX('Highlevel Master COA'!$B$13:$B$36,MATCH(COA!$B16,'Highlevel Master COA'!$C$13:$C$36,0))</f>
        <v>Overhead &amp; Management</v>
      </c>
      <c r="D16">
        <v>1202</v>
      </c>
      <c r="E16" t="str">
        <f>INDEX('Highlevel Master COA'!$B:$B,MATCH(COA!$D16,'Highlevel Master COA'!$C:$C,0))</f>
        <v>Hosted Services</v>
      </c>
      <c r="F16" t="str">
        <f t="shared" si="0"/>
        <v>01-01-1202</v>
      </c>
      <c r="G16" t="str">
        <f>INDEX('Highlevel Master COA'!$D:$D,MATCH(COA!$D16,'Highlevel Master COA'!$C:$C,0))</f>
        <v>Tech</v>
      </c>
      <c r="H16" t="str">
        <f t="shared" si="1"/>
        <v>Overhead &amp; Management-Hosted Services</v>
      </c>
      <c r="I16" t="s">
        <v>277</v>
      </c>
      <c r="J16" t="s">
        <v>278</v>
      </c>
    </row>
    <row r="17" spans="1:10" x14ac:dyDescent="0.3">
      <c r="A17" s="158" t="s">
        <v>204</v>
      </c>
      <c r="B17" s="158" t="s">
        <v>204</v>
      </c>
      <c r="C17" t="str">
        <f>INDEX('Highlevel Master COA'!$B$13:$B$36,MATCH(COA!$B17,'Highlevel Master COA'!$C$13:$C$36,0))</f>
        <v>Overhead &amp; Management</v>
      </c>
      <c r="D17">
        <v>1300</v>
      </c>
      <c r="E17" t="str">
        <f>INDEX('Highlevel Master COA'!$B:$B,MATCH(COA!$D17,'Highlevel Master COA'!$C:$C,0))</f>
        <v>Office Expenses</v>
      </c>
      <c r="F17" t="str">
        <f t="shared" si="0"/>
        <v>01-01-1300</v>
      </c>
      <c r="G17" t="str">
        <f>INDEX('Highlevel Master COA'!$D:$D,MATCH(COA!$D17,'Highlevel Master COA'!$C:$C,0))</f>
        <v>G&amp;A</v>
      </c>
      <c r="H17" t="str">
        <f t="shared" si="1"/>
        <v>Overhead &amp; Management-Office Expenses</v>
      </c>
      <c r="I17" t="s">
        <v>279</v>
      </c>
      <c r="J17" t="s">
        <v>280</v>
      </c>
    </row>
    <row r="18" spans="1:10" x14ac:dyDescent="0.3">
      <c r="A18" s="158" t="s">
        <v>204</v>
      </c>
      <c r="B18" s="158" t="s">
        <v>204</v>
      </c>
      <c r="C18" t="str">
        <f>INDEX('Highlevel Master COA'!$B$13:$B$36,MATCH(COA!$B18,'Highlevel Master COA'!$C$13:$C$36,0))</f>
        <v>Overhead &amp; Management</v>
      </c>
      <c r="D18">
        <v>1301</v>
      </c>
      <c r="E18" t="str">
        <f>INDEX('Highlevel Master COA'!$B:$B,MATCH(COA!$D18,'Highlevel Master COA'!$C:$C,0))</f>
        <v>Membership &amp; Dues</v>
      </c>
      <c r="F18" t="str">
        <f t="shared" si="0"/>
        <v>01-01-1301</v>
      </c>
      <c r="G18" t="str">
        <f>INDEX('Highlevel Master COA'!$D:$D,MATCH(COA!$D18,'Highlevel Master COA'!$C:$C,0))</f>
        <v>G&amp;A</v>
      </c>
      <c r="H18" t="str">
        <f t="shared" si="1"/>
        <v>Overhead &amp; Management-Membership &amp; Dues</v>
      </c>
      <c r="I18" t="s">
        <v>281</v>
      </c>
      <c r="J18" t="s">
        <v>282</v>
      </c>
    </row>
    <row r="19" spans="1:10" x14ac:dyDescent="0.3">
      <c r="A19" s="158" t="s">
        <v>204</v>
      </c>
      <c r="B19" s="158" t="s">
        <v>204</v>
      </c>
      <c r="C19" t="str">
        <f>INDEX('Highlevel Master COA'!$B$13:$B$36,MATCH(COA!$B19,'Highlevel Master COA'!$C$13:$C$36,0))</f>
        <v>Overhead &amp; Management</v>
      </c>
      <c r="D19">
        <v>1302</v>
      </c>
      <c r="E19" t="str">
        <f>INDEX('Highlevel Master COA'!$B:$B,MATCH(COA!$D19,'Highlevel Master COA'!$C:$C,0))</f>
        <v>Shipping &amp; Postage</v>
      </c>
      <c r="F19" t="str">
        <f t="shared" si="0"/>
        <v>01-01-1302</v>
      </c>
      <c r="G19" t="str">
        <f>INDEX('Highlevel Master COA'!$D:$D,MATCH(COA!$D19,'Highlevel Master COA'!$C:$C,0))</f>
        <v>G&amp;A</v>
      </c>
      <c r="H19" t="str">
        <f t="shared" si="1"/>
        <v>Overhead &amp; Management-Shipping &amp; Postage</v>
      </c>
      <c r="I19" t="s">
        <v>283</v>
      </c>
      <c r="J19" t="s">
        <v>284</v>
      </c>
    </row>
    <row r="20" spans="1:10" x14ac:dyDescent="0.3">
      <c r="A20" s="158" t="s">
        <v>204</v>
      </c>
      <c r="B20" s="158" t="s">
        <v>204</v>
      </c>
      <c r="C20" t="str">
        <f>INDEX('Highlevel Master COA'!$B$13:$B$36,MATCH(COA!$B20,'Highlevel Master COA'!$C$13:$C$36,0))</f>
        <v>Overhead &amp; Management</v>
      </c>
      <c r="D20">
        <v>1303</v>
      </c>
      <c r="E20" t="str">
        <f>INDEX('Highlevel Master COA'!$B:$B,MATCH(COA!$D20,'Highlevel Master COA'!$C:$C,0))</f>
        <v>Bank Charges</v>
      </c>
      <c r="F20" t="str">
        <f t="shared" si="0"/>
        <v>01-01-1303</v>
      </c>
      <c r="G20" t="str">
        <f>INDEX('Highlevel Master COA'!$D:$D,MATCH(COA!$D20,'Highlevel Master COA'!$C:$C,0))</f>
        <v>G&amp;A</v>
      </c>
      <c r="H20" t="str">
        <f t="shared" si="1"/>
        <v>Overhead &amp; Management-Bank Charges</v>
      </c>
      <c r="I20" t="s">
        <v>285</v>
      </c>
      <c r="J20" t="s">
        <v>286</v>
      </c>
    </row>
    <row r="21" spans="1:10" x14ac:dyDescent="0.3">
      <c r="A21" s="158" t="s">
        <v>204</v>
      </c>
      <c r="B21" s="158" t="s">
        <v>204</v>
      </c>
      <c r="C21" t="str">
        <f>INDEX('Highlevel Master COA'!$B$13:$B$36,MATCH(COA!$B21,'Highlevel Master COA'!$C$13:$C$36,0))</f>
        <v>Overhead &amp; Management</v>
      </c>
      <c r="D21">
        <v>1304</v>
      </c>
      <c r="E21" t="str">
        <f>INDEX('Highlevel Master COA'!$B:$B,MATCH(COA!$D21,'Highlevel Master COA'!$C:$C,0))</f>
        <v>Cell Phones</v>
      </c>
      <c r="F21" t="str">
        <f t="shared" si="0"/>
        <v>01-01-1304</v>
      </c>
      <c r="G21" t="str">
        <f>INDEX('Highlevel Master COA'!$D:$D,MATCH(COA!$D21,'Highlevel Master COA'!$C:$C,0))</f>
        <v>G&amp;A</v>
      </c>
      <c r="H21" t="str">
        <f t="shared" si="1"/>
        <v>Overhead &amp; Management-Cell Phones</v>
      </c>
      <c r="I21" t="s">
        <v>287</v>
      </c>
      <c r="J21" t="s">
        <v>288</v>
      </c>
    </row>
    <row r="22" spans="1:10" x14ac:dyDescent="0.3">
      <c r="A22" s="158" t="s">
        <v>204</v>
      </c>
      <c r="B22" s="158" t="s">
        <v>204</v>
      </c>
      <c r="C22" t="str">
        <f>INDEX('Highlevel Master COA'!$B$13:$B$36,MATCH(COA!$B22,'Highlevel Master COA'!$C$13:$C$36,0))</f>
        <v>Overhead &amp; Management</v>
      </c>
      <c r="D22">
        <v>1305</v>
      </c>
      <c r="E22" t="str">
        <f>INDEX('Highlevel Master COA'!$B:$B,MATCH(COA!$D22,'Highlevel Master COA'!$C:$C,0))</f>
        <v>G&amp;A - Other</v>
      </c>
      <c r="F22" t="str">
        <f t="shared" si="0"/>
        <v>01-01-1305</v>
      </c>
      <c r="G22" t="str">
        <f>INDEX('Highlevel Master COA'!$D:$D,MATCH(COA!$D22,'Highlevel Master COA'!$C:$C,0))</f>
        <v>G&amp;A</v>
      </c>
      <c r="H22" t="str">
        <f t="shared" si="1"/>
        <v>Overhead &amp; Management-G&amp;A - Other</v>
      </c>
      <c r="I22" t="s">
        <v>289</v>
      </c>
      <c r="J22" t="s">
        <v>290</v>
      </c>
    </row>
    <row r="23" spans="1:10" x14ac:dyDescent="0.3">
      <c r="A23" s="158" t="s">
        <v>204</v>
      </c>
      <c r="B23" s="158" t="s">
        <v>204</v>
      </c>
      <c r="C23" t="str">
        <f>INDEX('Highlevel Master COA'!$B$13:$B$36,MATCH(COA!$B23,'Highlevel Master COA'!$C$13:$C$36,0))</f>
        <v>Overhead &amp; Management</v>
      </c>
      <c r="D23">
        <v>1500</v>
      </c>
      <c r="E23" t="str">
        <f>INDEX('Highlevel Master COA'!$B:$B,MATCH(COA!$D23,'Highlevel Master COA'!$C:$C,0))</f>
        <v>Professional Service Providers</v>
      </c>
      <c r="F23" t="str">
        <f t="shared" si="0"/>
        <v>01-01-1500</v>
      </c>
      <c r="G23" t="str">
        <f>INDEX('Highlevel Master COA'!$D:$D,MATCH(COA!$D23,'Highlevel Master COA'!$C:$C,0))</f>
        <v>Professional Services</v>
      </c>
      <c r="H23" t="str">
        <f t="shared" si="1"/>
        <v>Overhead &amp; Management-Professional Service Providers</v>
      </c>
      <c r="I23" t="s">
        <v>291</v>
      </c>
      <c r="J23" t="s">
        <v>292</v>
      </c>
    </row>
    <row r="24" spans="1:10" x14ac:dyDescent="0.3">
      <c r="A24" s="158" t="s">
        <v>204</v>
      </c>
      <c r="B24" s="158" t="s">
        <v>204</v>
      </c>
      <c r="C24" t="str">
        <f>INDEX('Highlevel Master COA'!$B$13:$B$36,MATCH(COA!$B24,'Highlevel Master COA'!$C$13:$C$36,0))</f>
        <v>Overhead &amp; Management</v>
      </c>
      <c r="D24">
        <v>1601</v>
      </c>
      <c r="E24" t="str">
        <f>INDEX('Highlevel Master COA'!$B:$B,MATCH(COA!$D24,'Highlevel Master COA'!$C:$C,0))</f>
        <v>Interest Expense</v>
      </c>
      <c r="F24" t="str">
        <f t="shared" si="0"/>
        <v>01-01-1601</v>
      </c>
      <c r="G24" t="str">
        <f>INDEX('Highlevel Master COA'!$D:$D,MATCH(COA!$D24,'Highlevel Master COA'!$C:$C,0))</f>
        <v>Other</v>
      </c>
      <c r="H24" t="str">
        <f t="shared" si="1"/>
        <v>Overhead &amp; Management-Interest Expense</v>
      </c>
      <c r="I24" t="s">
        <v>293</v>
      </c>
      <c r="J24" t="s">
        <v>294</v>
      </c>
    </row>
    <row r="25" spans="1:10" x14ac:dyDescent="0.3">
      <c r="A25" s="158" t="s">
        <v>204</v>
      </c>
      <c r="B25" s="158" t="s">
        <v>204</v>
      </c>
      <c r="C25" t="str">
        <f>INDEX('Highlevel Master COA'!$B$13:$B$36,MATCH(COA!$B25,'Highlevel Master COA'!$C$13:$C$36,0))</f>
        <v>Overhead &amp; Management</v>
      </c>
      <c r="D25">
        <v>1602</v>
      </c>
      <c r="E25" t="str">
        <f>INDEX('Highlevel Master COA'!$B:$B,MATCH(COA!$D25,'Highlevel Master COA'!$C:$C,0))</f>
        <v>Bank Revaluations</v>
      </c>
      <c r="F25" t="str">
        <f t="shared" si="0"/>
        <v>01-01-1602</v>
      </c>
      <c r="G25" t="str">
        <f>INDEX('Highlevel Master COA'!$D:$D,MATCH(COA!$D25,'Highlevel Master COA'!$C:$C,0))</f>
        <v>Other</v>
      </c>
      <c r="H25" t="str">
        <f t="shared" si="1"/>
        <v>Overhead &amp; Management-Bank Revaluations</v>
      </c>
      <c r="I25" t="s">
        <v>295</v>
      </c>
      <c r="J25" t="s">
        <v>296</v>
      </c>
    </row>
    <row r="26" spans="1:10" x14ac:dyDescent="0.3">
      <c r="A26" s="158" t="s">
        <v>204</v>
      </c>
      <c r="B26" s="158" t="s">
        <v>204</v>
      </c>
      <c r="C26" t="str">
        <f>INDEX('Highlevel Master COA'!$B$13:$B$36,MATCH(COA!$B26,'Highlevel Master COA'!$C$13:$C$36,0))</f>
        <v>Overhead &amp; Management</v>
      </c>
      <c r="D26">
        <v>1603</v>
      </c>
      <c r="E26" t="str">
        <f>INDEX('Highlevel Master COA'!$B:$B,MATCH(COA!$D26,'Highlevel Master COA'!$C:$C,0))</f>
        <v>Unrealized Currency Gains</v>
      </c>
      <c r="F26" t="str">
        <f t="shared" si="0"/>
        <v>01-01-1603</v>
      </c>
      <c r="G26" t="str">
        <f>INDEX('Highlevel Master COA'!$D:$D,MATCH(COA!$D26,'Highlevel Master COA'!$C:$C,0))</f>
        <v>Other</v>
      </c>
      <c r="H26" t="str">
        <f t="shared" si="1"/>
        <v>Overhead &amp; Management-Unrealized Currency Gains</v>
      </c>
      <c r="I26" t="s">
        <v>297</v>
      </c>
      <c r="J26" t="s">
        <v>298</v>
      </c>
    </row>
    <row r="27" spans="1:10" x14ac:dyDescent="0.3">
      <c r="A27" s="158" t="s">
        <v>204</v>
      </c>
      <c r="B27" s="158" t="s">
        <v>204</v>
      </c>
      <c r="C27" t="str">
        <f>INDEX('Highlevel Master COA'!$B$13:$B$36,MATCH(COA!$B27,'Highlevel Master COA'!$C$13:$C$36,0))</f>
        <v>Overhead &amp; Management</v>
      </c>
      <c r="D27">
        <v>1604</v>
      </c>
      <c r="E27" t="str">
        <f>INDEX('Highlevel Master COA'!$B:$B,MATCH(COA!$D27,'Highlevel Master COA'!$C:$C,0))</f>
        <v>Realized Currency Gains</v>
      </c>
      <c r="F27" t="str">
        <f t="shared" si="0"/>
        <v>01-01-1604</v>
      </c>
      <c r="G27" t="str">
        <f>INDEX('Highlevel Master COA'!$D:$D,MATCH(COA!$D27,'Highlevel Master COA'!$C:$C,0))</f>
        <v>Other</v>
      </c>
      <c r="H27" t="str">
        <f t="shared" si="1"/>
        <v>Overhead &amp; Management-Realized Currency Gains</v>
      </c>
      <c r="I27" t="s">
        <v>299</v>
      </c>
      <c r="J27" t="s">
        <v>300</v>
      </c>
    </row>
    <row r="28" spans="1:10" x14ac:dyDescent="0.3">
      <c r="A28" s="158" t="s">
        <v>204</v>
      </c>
    </row>
    <row r="29" spans="1:10" x14ac:dyDescent="0.3">
      <c r="A29" s="158" t="s">
        <v>204</v>
      </c>
    </row>
    <row r="30" spans="1:10" x14ac:dyDescent="0.3">
      <c r="A30" s="158" t="s">
        <v>204</v>
      </c>
      <c r="B30" s="158" t="s">
        <v>209</v>
      </c>
      <c r="C30" t="str">
        <f>INDEX('Highlevel Master COA'!$B$13:$B$36,MATCH(COA!$B30,'Highlevel Master COA'!$C$13:$C$36,0))</f>
        <v>Comms &amp; Marketing</v>
      </c>
      <c r="D30">
        <v>1000</v>
      </c>
      <c r="E30" t="str">
        <f>INDEX('Highlevel Master COA'!$B:$B,MATCH(COA!$D30,'Highlevel Master COA'!$C:$C,0))</f>
        <v>Travel-Flights</v>
      </c>
      <c r="F30" t="str">
        <f t="shared" si="0"/>
        <v>01-02-1000</v>
      </c>
      <c r="G30" t="str">
        <f>INDEX('Highlevel Master COA'!$D:$D,MATCH(COA!$D30,'Highlevel Master COA'!$C:$C,0))</f>
        <v>Travel</v>
      </c>
      <c r="H30" t="str">
        <f t="shared" si="1"/>
        <v>Comms &amp; Marketing-Travel-Flights</v>
      </c>
      <c r="I30" t="s">
        <v>301</v>
      </c>
      <c r="J30" t="s">
        <v>302</v>
      </c>
    </row>
    <row r="31" spans="1:10" x14ac:dyDescent="0.3">
      <c r="A31" s="158" t="s">
        <v>204</v>
      </c>
      <c r="B31" s="158" t="s">
        <v>209</v>
      </c>
      <c r="C31" t="str">
        <f>INDEX('Highlevel Master COA'!$B$13:$B$36,MATCH(COA!$B31,'Highlevel Master COA'!$C$13:$C$36,0))</f>
        <v>Comms &amp; Marketing</v>
      </c>
      <c r="D31">
        <v>1001</v>
      </c>
      <c r="E31" t="str">
        <f>INDEX('Highlevel Master COA'!$B:$B,MATCH(COA!$D31,'Highlevel Master COA'!$C:$C,0))</f>
        <v>Travel-Hotels</v>
      </c>
      <c r="F31" t="str">
        <f t="shared" si="0"/>
        <v>01-02-1001</v>
      </c>
      <c r="G31" t="str">
        <f>INDEX('Highlevel Master COA'!$D:$D,MATCH(COA!$D31,'Highlevel Master COA'!$C:$C,0))</f>
        <v>Travel</v>
      </c>
      <c r="H31" t="str">
        <f t="shared" si="1"/>
        <v>Comms &amp; Marketing-Travel-Hotels</v>
      </c>
      <c r="I31" t="s">
        <v>303</v>
      </c>
      <c r="J31" t="s">
        <v>304</v>
      </c>
    </row>
    <row r="32" spans="1:10" x14ac:dyDescent="0.3">
      <c r="A32" s="158" t="s">
        <v>204</v>
      </c>
      <c r="B32" s="158" t="s">
        <v>209</v>
      </c>
      <c r="C32" t="str">
        <f>INDEX('Highlevel Master COA'!$B$13:$B$36,MATCH(COA!$B32,'Highlevel Master COA'!$C$13:$C$36,0))</f>
        <v>Comms &amp; Marketing</v>
      </c>
      <c r="D32">
        <v>1002</v>
      </c>
      <c r="E32" t="str">
        <f>INDEX('Highlevel Master COA'!$B:$B,MATCH(COA!$D32,'Highlevel Master COA'!$C:$C,0))</f>
        <v>Meal &amp; Entertainment</v>
      </c>
      <c r="F32" t="str">
        <f t="shared" si="0"/>
        <v>01-02-1002</v>
      </c>
      <c r="G32" t="str">
        <f>INDEX('Highlevel Master COA'!$D:$D,MATCH(COA!$D32,'Highlevel Master COA'!$C:$C,0))</f>
        <v>Travel</v>
      </c>
      <c r="H32" t="str">
        <f t="shared" si="1"/>
        <v>Comms &amp; Marketing-Meal &amp; Entertainment</v>
      </c>
      <c r="I32" t="s">
        <v>305</v>
      </c>
      <c r="J32" t="s">
        <v>306</v>
      </c>
    </row>
    <row r="33" spans="1:10" x14ac:dyDescent="0.3">
      <c r="A33" s="158" t="s">
        <v>204</v>
      </c>
      <c r="B33" s="158" t="s">
        <v>209</v>
      </c>
      <c r="C33" t="str">
        <f>INDEX('Highlevel Master COA'!$B$13:$B$36,MATCH(COA!$B33,'Highlevel Master COA'!$C$13:$C$36,0))</f>
        <v>Comms &amp; Marketing</v>
      </c>
      <c r="D33">
        <v>1003</v>
      </c>
      <c r="E33" t="str">
        <f>INDEX('Highlevel Master COA'!$B:$B,MATCH(COA!$D33,'Highlevel Master COA'!$C:$C,0))</f>
        <v>Transportation</v>
      </c>
      <c r="F33" t="str">
        <f t="shared" si="0"/>
        <v>01-02-1003</v>
      </c>
      <c r="G33" t="str">
        <f>INDEX('Highlevel Master COA'!$D:$D,MATCH(COA!$D33,'Highlevel Master COA'!$C:$C,0))</f>
        <v>Travel</v>
      </c>
      <c r="H33" t="str">
        <f t="shared" si="1"/>
        <v>Comms &amp; Marketing-Transportation</v>
      </c>
      <c r="I33" t="s">
        <v>307</v>
      </c>
      <c r="J33" t="s">
        <v>308</v>
      </c>
    </row>
    <row r="34" spans="1:10" x14ac:dyDescent="0.3">
      <c r="A34" s="158" t="s">
        <v>204</v>
      </c>
      <c r="B34" s="158" t="s">
        <v>209</v>
      </c>
      <c r="C34" t="str">
        <f>INDEX('Highlevel Master COA'!$B$13:$B$36,MATCH(COA!$B34,'Highlevel Master COA'!$C$13:$C$36,0))</f>
        <v>Comms &amp; Marketing</v>
      </c>
      <c r="D34">
        <v>1004</v>
      </c>
      <c r="E34" t="str">
        <f>INDEX('Highlevel Master COA'!$B:$B,MATCH(COA!$D34,'Highlevel Master COA'!$C:$C,0))</f>
        <v>Travel-Other</v>
      </c>
      <c r="F34" t="str">
        <f t="shared" si="0"/>
        <v>01-02-1004</v>
      </c>
      <c r="G34" t="str">
        <f>INDEX('Highlevel Master COA'!$D:$D,MATCH(COA!$D34,'Highlevel Master COA'!$C:$C,0))</f>
        <v>Travel</v>
      </c>
      <c r="H34" t="str">
        <f t="shared" si="1"/>
        <v>Comms &amp; Marketing-Travel-Other</v>
      </c>
      <c r="I34" t="s">
        <v>309</v>
      </c>
      <c r="J34" t="s">
        <v>310</v>
      </c>
    </row>
    <row r="35" spans="1:10" x14ac:dyDescent="0.3">
      <c r="A35" s="158" t="s">
        <v>204</v>
      </c>
      <c r="B35" s="158" t="s">
        <v>209</v>
      </c>
      <c r="C35" t="str">
        <f>INDEX('Highlevel Master COA'!$B$13:$B$36,MATCH(COA!$B35,'Highlevel Master COA'!$C$13:$C$36,0))</f>
        <v>Comms &amp; Marketing</v>
      </c>
      <c r="D35">
        <v>1200</v>
      </c>
      <c r="E35" t="str">
        <f>INDEX('Highlevel Master COA'!$B:$B,MATCH(COA!$D35,'Highlevel Master COA'!$C:$C,0))</f>
        <v>Software</v>
      </c>
      <c r="F35" t="str">
        <f t="shared" si="0"/>
        <v>01-02-1200</v>
      </c>
      <c r="G35" t="str">
        <f>INDEX('Highlevel Master COA'!$D:$D,MATCH(COA!$D35,'Highlevel Master COA'!$C:$C,0))</f>
        <v>Tech</v>
      </c>
      <c r="H35" t="str">
        <f t="shared" si="1"/>
        <v>Comms &amp; Marketing-Software</v>
      </c>
      <c r="I35" t="s">
        <v>311</v>
      </c>
      <c r="J35" t="s">
        <v>312</v>
      </c>
    </row>
    <row r="36" spans="1:10" x14ac:dyDescent="0.3">
      <c r="A36" s="158" t="s">
        <v>204</v>
      </c>
      <c r="B36" s="158" t="s">
        <v>209</v>
      </c>
      <c r="C36" t="str">
        <f>INDEX('Highlevel Master COA'!$B$13:$B$36,MATCH(COA!$B36,'Highlevel Master COA'!$C$13:$C$36,0))</f>
        <v>Comms &amp; Marketing</v>
      </c>
      <c r="D36">
        <v>1400</v>
      </c>
      <c r="E36" t="str">
        <f>INDEX('Highlevel Master COA'!$B:$B,MATCH(COA!$D36,'Highlevel Master COA'!$C:$C,0))</f>
        <v>Conferences</v>
      </c>
      <c r="F36" t="str">
        <f t="shared" si="0"/>
        <v>01-02-1400</v>
      </c>
      <c r="G36" t="str">
        <f>INDEX('Highlevel Master COA'!$D:$D,MATCH(COA!$D36,'Highlevel Master COA'!$C:$C,0))</f>
        <v>Marketing</v>
      </c>
      <c r="H36" t="str">
        <f t="shared" si="1"/>
        <v>Comms &amp; Marketing-Conferences</v>
      </c>
      <c r="I36" t="s">
        <v>313</v>
      </c>
      <c r="J36" t="s">
        <v>314</v>
      </c>
    </row>
    <row r="37" spans="1:10" x14ac:dyDescent="0.3">
      <c r="A37" s="158" t="s">
        <v>204</v>
      </c>
      <c r="B37" s="158" t="s">
        <v>209</v>
      </c>
      <c r="C37" t="str">
        <f>INDEX('Highlevel Master COA'!$B$13:$B$36,MATCH(COA!$B37,'Highlevel Master COA'!$C$13:$C$36,0))</f>
        <v>Comms &amp; Marketing</v>
      </c>
      <c r="D37">
        <v>1401</v>
      </c>
      <c r="E37" t="str">
        <f>INDEX('Highlevel Master COA'!$B:$B,MATCH(COA!$D37,'Highlevel Master COA'!$C:$C,0))</f>
        <v>Sponsorship</v>
      </c>
      <c r="F37" t="str">
        <f t="shared" si="0"/>
        <v>01-02-1401</v>
      </c>
      <c r="G37" t="str">
        <f>INDEX('Highlevel Master COA'!$D:$D,MATCH(COA!$D37,'Highlevel Master COA'!$C:$C,0))</f>
        <v>Marketing</v>
      </c>
      <c r="H37" t="str">
        <f t="shared" si="1"/>
        <v>Comms &amp; Marketing-Sponsorship</v>
      </c>
      <c r="I37" t="s">
        <v>315</v>
      </c>
      <c r="J37" t="s">
        <v>316</v>
      </c>
    </row>
    <row r="38" spans="1:10" x14ac:dyDescent="0.3">
      <c r="A38" s="158" t="s">
        <v>204</v>
      </c>
      <c r="B38" s="158" t="s">
        <v>209</v>
      </c>
      <c r="C38" t="str">
        <f>INDEX('Highlevel Master COA'!$B$13:$B$36,MATCH(COA!$B38,'Highlevel Master COA'!$C$13:$C$36,0))</f>
        <v>Comms &amp; Marketing</v>
      </c>
      <c r="D38">
        <v>1402</v>
      </c>
      <c r="E38" t="str">
        <f>INDEX('Highlevel Master COA'!$B:$B,MATCH(COA!$D38,'Highlevel Master COA'!$C:$C,0))</f>
        <v>Advertising</v>
      </c>
      <c r="F38" t="str">
        <f t="shared" si="0"/>
        <v>01-02-1402</v>
      </c>
      <c r="G38" t="str">
        <f>INDEX('Highlevel Master COA'!$D:$D,MATCH(COA!$D38,'Highlevel Master COA'!$C:$C,0))</f>
        <v>Marketing</v>
      </c>
      <c r="H38" t="str">
        <f t="shared" si="1"/>
        <v>Comms &amp; Marketing-Advertising</v>
      </c>
      <c r="I38" t="s">
        <v>317</v>
      </c>
      <c r="J38" t="s">
        <v>318</v>
      </c>
    </row>
    <row r="39" spans="1:10" x14ac:dyDescent="0.3">
      <c r="A39" s="158" t="s">
        <v>204</v>
      </c>
      <c r="B39" s="158" t="s">
        <v>209</v>
      </c>
      <c r="C39" t="str">
        <f>INDEX('Highlevel Master COA'!$B$13:$B$36,MATCH(COA!$B39,'Highlevel Master COA'!$C$13:$C$36,0))</f>
        <v>Comms &amp; Marketing</v>
      </c>
      <c r="D39">
        <v>1403</v>
      </c>
      <c r="E39" t="str">
        <f>INDEX('Highlevel Master COA'!$B:$B,MATCH(COA!$D39,'Highlevel Master COA'!$C:$C,0))</f>
        <v>Swag</v>
      </c>
      <c r="F39" t="str">
        <f t="shared" si="0"/>
        <v>01-02-1403</v>
      </c>
      <c r="G39" t="str">
        <f>INDEX('Highlevel Master COA'!$D:$D,MATCH(COA!$D39,'Highlevel Master COA'!$C:$C,0))</f>
        <v>Marketing</v>
      </c>
      <c r="H39" t="str">
        <f t="shared" si="1"/>
        <v>Comms &amp; Marketing-Swag</v>
      </c>
      <c r="I39" t="s">
        <v>319</v>
      </c>
      <c r="J39" t="s">
        <v>320</v>
      </c>
    </row>
    <row r="40" spans="1:10" x14ac:dyDescent="0.3">
      <c r="A40" s="158" t="s">
        <v>204</v>
      </c>
      <c r="B40" s="158" t="s">
        <v>209</v>
      </c>
      <c r="C40" t="str">
        <f>INDEX('Highlevel Master COA'!$B$13:$B$36,MATCH(COA!$B40,'Highlevel Master COA'!$C$13:$C$36,0))</f>
        <v>Comms &amp; Marketing</v>
      </c>
      <c r="D40">
        <v>1404</v>
      </c>
      <c r="E40" t="str">
        <f>INDEX('Highlevel Master COA'!$B:$B,MATCH(COA!$D40,'Highlevel Master COA'!$C:$C,0))</f>
        <v>Transparency</v>
      </c>
      <c r="F40" t="str">
        <f t="shared" ref="F40:F42" si="2">CONCATENATE(A40,"-",B40,"-",D40)</f>
        <v>01-02-1404</v>
      </c>
      <c r="G40" t="str">
        <f>INDEX('Highlevel Master COA'!$D:$D,MATCH(COA!$D40,'Highlevel Master COA'!$C:$C,0))</f>
        <v>Marketing</v>
      </c>
      <c r="H40" t="str">
        <f t="shared" ref="H40:H42" si="3">CONCATENATE(C40,"-",E40)</f>
        <v>Comms &amp; Marketing-Transparency</v>
      </c>
      <c r="I40" t="s">
        <v>400</v>
      </c>
      <c r="J40" t="s">
        <v>403</v>
      </c>
    </row>
    <row r="41" spans="1:10" x14ac:dyDescent="0.3">
      <c r="A41" s="158" t="s">
        <v>204</v>
      </c>
      <c r="B41" s="158" t="s">
        <v>209</v>
      </c>
      <c r="C41" t="str">
        <f>INDEX('Highlevel Master COA'!$B$13:$B$36,MATCH(COA!$B41,'Highlevel Master COA'!$C$13:$C$36,0))</f>
        <v>Comms &amp; Marketing</v>
      </c>
      <c r="D41">
        <v>1405</v>
      </c>
      <c r="E41" t="str">
        <f>INDEX('Highlevel Master COA'!$B:$B,MATCH(COA!$D41,'Highlevel Master COA'!$C:$C,0))</f>
        <v>Website</v>
      </c>
      <c r="F41" t="str">
        <f t="shared" si="2"/>
        <v>01-02-1405</v>
      </c>
      <c r="G41" t="str">
        <f>INDEX('Highlevel Master COA'!$D:$D,MATCH(COA!$D41,'Highlevel Master COA'!$C:$C,0))</f>
        <v>Marketing</v>
      </c>
      <c r="H41" t="str">
        <f t="shared" si="3"/>
        <v>Comms &amp; Marketing-Website</v>
      </c>
      <c r="I41" t="s">
        <v>401</v>
      </c>
      <c r="J41" t="s">
        <v>404</v>
      </c>
    </row>
    <row r="42" spans="1:10" x14ac:dyDescent="0.3">
      <c r="A42" s="158" t="s">
        <v>204</v>
      </c>
      <c r="B42" s="158" t="s">
        <v>209</v>
      </c>
      <c r="C42" t="str">
        <f>INDEX('Highlevel Master COA'!$B$13:$B$36,MATCH(COA!$B42,'Highlevel Master COA'!$C$13:$C$36,0))</f>
        <v>Comms &amp; Marketing</v>
      </c>
      <c r="D42">
        <v>1406</v>
      </c>
      <c r="E42" t="str">
        <f>INDEX('Highlevel Master COA'!$B:$B,MATCH(COA!$D42,'Highlevel Master COA'!$C:$C,0))</f>
        <v>Presentations, logos, etc</v>
      </c>
      <c r="F42" t="str">
        <f t="shared" si="2"/>
        <v>01-02-1406</v>
      </c>
      <c r="G42" t="str">
        <f>INDEX('Highlevel Master COA'!$D:$D,MATCH(COA!$D42,'Highlevel Master COA'!$C:$C,0))</f>
        <v>Marketing</v>
      </c>
      <c r="H42" t="str">
        <f t="shared" si="3"/>
        <v>Comms &amp; Marketing-Presentations, logos, etc</v>
      </c>
      <c r="I42" t="s">
        <v>402</v>
      </c>
      <c r="J42" t="s">
        <v>405</v>
      </c>
    </row>
    <row r="43" spans="1:10" x14ac:dyDescent="0.3">
      <c r="A43" s="158" t="s">
        <v>204</v>
      </c>
      <c r="B43" s="158" t="s">
        <v>209</v>
      </c>
      <c r="C43" t="str">
        <f>INDEX('Highlevel Master COA'!$B$13:$B$36,MATCH(COA!$B43,'Highlevel Master COA'!$C$13:$C$36,0))</f>
        <v>Comms &amp; Marketing</v>
      </c>
      <c r="D43">
        <v>1500</v>
      </c>
      <c r="E43" t="str">
        <f>INDEX('Highlevel Master COA'!$B:$B,MATCH(COA!$D43,'Highlevel Master COA'!$C:$C,0))</f>
        <v>Professional Service Providers</v>
      </c>
      <c r="F43" t="str">
        <f t="shared" si="0"/>
        <v>01-02-1500</v>
      </c>
      <c r="G43" t="str">
        <f>INDEX('Highlevel Master COA'!$D:$D,MATCH(COA!$D43,'Highlevel Master COA'!$C:$C,0))</f>
        <v>Professional Services</v>
      </c>
      <c r="H43" t="str">
        <f t="shared" si="1"/>
        <v>Comms &amp; Marketing-Professional Service Providers</v>
      </c>
      <c r="I43" t="s">
        <v>321</v>
      </c>
      <c r="J43" t="s">
        <v>322</v>
      </c>
    </row>
    <row r="44" spans="1:10" x14ac:dyDescent="0.3">
      <c r="A44" s="158" t="s">
        <v>204</v>
      </c>
      <c r="B44" s="158" t="s">
        <v>209</v>
      </c>
      <c r="C44" t="str">
        <f>INDEX('Highlevel Master COA'!$B$13:$B$36,MATCH(COA!$B44,'Highlevel Master COA'!$C$13:$C$36,0))</f>
        <v>Comms &amp; Marketing</v>
      </c>
      <c r="D44">
        <v>1501</v>
      </c>
      <c r="E44" t="str">
        <f>INDEX('Highlevel Master COA'!$B:$B,MATCH(COA!$D44,'Highlevel Master COA'!$C:$C,0))</f>
        <v>Contractors</v>
      </c>
      <c r="F44" t="str">
        <f t="shared" si="0"/>
        <v>01-02-1501</v>
      </c>
      <c r="G44" t="str">
        <f>INDEX('Highlevel Master COA'!$D:$D,MATCH(COA!$D44,'Highlevel Master COA'!$C:$C,0))</f>
        <v>Professional Services</v>
      </c>
      <c r="H44" t="str">
        <f t="shared" si="1"/>
        <v>Comms &amp; Marketing-Contractors</v>
      </c>
      <c r="I44" t="s">
        <v>323</v>
      </c>
      <c r="J44" t="s">
        <v>324</v>
      </c>
    </row>
    <row r="45" spans="1:10" x14ac:dyDescent="0.3">
      <c r="A45" s="158"/>
    </row>
    <row r="46" spans="1:10" x14ac:dyDescent="0.3">
      <c r="A46" s="158" t="s">
        <v>204</v>
      </c>
      <c r="B46" s="158" t="s">
        <v>210</v>
      </c>
      <c r="C46" t="str">
        <f>INDEX('Highlevel Master COA'!$B$13:$B$36,MATCH(COA!$B46,'Highlevel Master COA'!$C$13:$C$36,0))</f>
        <v>Development</v>
      </c>
      <c r="D46">
        <v>1100</v>
      </c>
      <c r="E46" t="str">
        <f>INDEX('Highlevel Master COA'!$B:$B,MATCH(COA!$D46,'Highlevel Master COA'!$C:$C,0))</f>
        <v>Contract Wages (Staff)</v>
      </c>
      <c r="F46" t="str">
        <f t="shared" si="0"/>
        <v>01-03-1100</v>
      </c>
      <c r="G46" t="str">
        <f>INDEX('Highlevel Master COA'!$D:$D,MATCH(COA!$D46,'Highlevel Master COA'!$C:$C,0))</f>
        <v>Wages</v>
      </c>
      <c r="H46" t="str">
        <f>CONCATENATE(C46,"-",E46)</f>
        <v>Development-Contract Wages (Staff)</v>
      </c>
      <c r="I46" t="s">
        <v>325</v>
      </c>
      <c r="J46" t="s">
        <v>326</v>
      </c>
    </row>
    <row r="47" spans="1:10" x14ac:dyDescent="0.3">
      <c r="A47" s="158" t="s">
        <v>204</v>
      </c>
      <c r="B47" s="158" t="s">
        <v>210</v>
      </c>
      <c r="C47" t="str">
        <f>INDEX('Highlevel Master COA'!$B$13:$B$36,MATCH(COA!$B47,'Highlevel Master COA'!$C$13:$C$36,0))</f>
        <v>Development</v>
      </c>
      <c r="D47">
        <v>1202</v>
      </c>
      <c r="E47" t="str">
        <f>INDEX('Highlevel Master COA'!$B:$B,MATCH(COA!$D47,'Highlevel Master COA'!$C:$C,0))</f>
        <v>Hosted Services</v>
      </c>
      <c r="F47" t="str">
        <f t="shared" si="0"/>
        <v>01-03-1202</v>
      </c>
      <c r="G47" t="str">
        <f>INDEX('Highlevel Master COA'!$D:$D,MATCH(COA!$D47,'Highlevel Master COA'!$C:$C,0))</f>
        <v>Tech</v>
      </c>
      <c r="H47" t="str">
        <f>CONCATENATE(C47,"-",E47)</f>
        <v>Development-Hosted Services</v>
      </c>
      <c r="I47" t="s">
        <v>327</v>
      </c>
      <c r="J47" t="s">
        <v>328</v>
      </c>
    </row>
    <row r="48" spans="1:10" x14ac:dyDescent="0.3">
      <c r="A48" s="158" t="s">
        <v>204</v>
      </c>
      <c r="B48" s="158" t="s">
        <v>210</v>
      </c>
      <c r="C48" t="str">
        <f>INDEX('Highlevel Master COA'!$B$13:$B$36,MATCH(COA!$B48,'Highlevel Master COA'!$C$13:$C$36,0))</f>
        <v>Development</v>
      </c>
      <c r="D48">
        <v>1500</v>
      </c>
      <c r="E48" t="str">
        <f>INDEX('Highlevel Master COA'!$B:$B,MATCH(COA!$D48,'Highlevel Master COA'!$C:$C,0))</f>
        <v>Professional Service Providers</v>
      </c>
      <c r="F48" t="str">
        <f t="shared" si="0"/>
        <v>01-03-1500</v>
      </c>
      <c r="G48" t="str">
        <f>INDEX('Highlevel Master COA'!$D:$D,MATCH(COA!$D48,'Highlevel Master COA'!$C:$C,0))</f>
        <v>Professional Services</v>
      </c>
      <c r="H48" t="str">
        <f>CONCATENATE(C48,"-",E48)</f>
        <v>Development-Professional Service Providers</v>
      </c>
      <c r="I48" t="s">
        <v>329</v>
      </c>
      <c r="J48" t="s">
        <v>330</v>
      </c>
    </row>
    <row r="49" spans="1:10" x14ac:dyDescent="0.3">
      <c r="A49" s="158" t="s">
        <v>204</v>
      </c>
      <c r="B49" s="158" t="s">
        <v>210</v>
      </c>
      <c r="C49" t="str">
        <f>INDEX('Highlevel Master COA'!$B$13:$B$36,MATCH(COA!$B49,'Highlevel Master COA'!$C$13:$C$36,0))</f>
        <v>Development</v>
      </c>
      <c r="D49">
        <v>1501</v>
      </c>
      <c r="E49" t="str">
        <f>INDEX('Highlevel Master COA'!$B:$B,MATCH(COA!$D49,'Highlevel Master COA'!$C:$C,0))</f>
        <v>Contractors</v>
      </c>
      <c r="F49" t="str">
        <f t="shared" si="0"/>
        <v>01-03-1501</v>
      </c>
      <c r="G49" t="str">
        <f>INDEX('Highlevel Master COA'!$D:$D,MATCH(COA!$D49,'Highlevel Master COA'!$C:$C,0))</f>
        <v>Professional Services</v>
      </c>
      <c r="H49" t="str">
        <f>CONCATENATE(C49,"-",E49)</f>
        <v>Development-Contractors</v>
      </c>
      <c r="I49" t="s">
        <v>331</v>
      </c>
      <c r="J49" t="s">
        <v>332</v>
      </c>
    </row>
    <row r="50" spans="1:10" x14ac:dyDescent="0.3">
      <c r="A50" s="158" t="s">
        <v>204</v>
      </c>
      <c r="B50" s="158" t="s">
        <v>210</v>
      </c>
      <c r="C50" t="str">
        <f>INDEX('Highlevel Master COA'!$B$13:$B$36,MATCH(COA!$B50,'Highlevel Master COA'!$C$13:$C$36,0))</f>
        <v>Development</v>
      </c>
      <c r="D50">
        <v>1502</v>
      </c>
      <c r="E50" t="str">
        <f>INDEX('Highlevel Master COA'!$B:$B,MATCH(COA!$D50,'Highlevel Master COA'!$C:$C,0))</f>
        <v>Grants</v>
      </c>
      <c r="F50" t="str">
        <f t="shared" si="0"/>
        <v>01-03-1502</v>
      </c>
      <c r="G50" t="str">
        <f>INDEX('Highlevel Master COA'!$D:$D,MATCH(COA!$D50,'Highlevel Master COA'!$C:$C,0))</f>
        <v>Grants</v>
      </c>
      <c r="H50" t="str">
        <f>CONCATENATE(C50,"-",E50)</f>
        <v>Development-Grants</v>
      </c>
      <c r="I50" t="s">
        <v>333</v>
      </c>
      <c r="J50" t="s">
        <v>334</v>
      </c>
    </row>
    <row r="51" spans="1:10" x14ac:dyDescent="0.3">
      <c r="A51" s="158"/>
    </row>
    <row r="52" spans="1:10" x14ac:dyDescent="0.3">
      <c r="A52" s="158" t="s">
        <v>204</v>
      </c>
      <c r="B52" s="158" t="s">
        <v>211</v>
      </c>
      <c r="C52" t="str">
        <f>INDEX('Highlevel Master COA'!$B$13:$B$36,MATCH(COA!$B52,'Highlevel Master COA'!$C$13:$C$36,0))</f>
        <v>Infrastructure</v>
      </c>
      <c r="D52">
        <v>1202</v>
      </c>
      <c r="E52" t="str">
        <f>INDEX('Highlevel Master COA'!$B:$B,MATCH(COA!$D52,'Highlevel Master COA'!$C:$C,0))</f>
        <v>Hosted Services</v>
      </c>
      <c r="F52" t="str">
        <f t="shared" si="0"/>
        <v>01-04-1202</v>
      </c>
      <c r="G52" t="str">
        <f>INDEX('Highlevel Master COA'!$D:$D,MATCH(COA!$D52,'Highlevel Master COA'!$C:$C,0))</f>
        <v>Tech</v>
      </c>
      <c r="H52" t="str">
        <f>CONCATENATE(C52,"-",E52)</f>
        <v>Infrastructure-Hosted Services</v>
      </c>
      <c r="I52" t="s">
        <v>335</v>
      </c>
      <c r="J52" t="s">
        <v>336</v>
      </c>
    </row>
    <row r="53" spans="1:10" x14ac:dyDescent="0.3">
      <c r="A53" s="158" t="s">
        <v>204</v>
      </c>
      <c r="B53" s="158" t="s">
        <v>211</v>
      </c>
      <c r="C53" t="str">
        <f>INDEX('Highlevel Master COA'!$B$13:$B$36,MATCH(COA!$B53,'Highlevel Master COA'!$C$13:$C$36,0))</f>
        <v>Infrastructure</v>
      </c>
      <c r="D53">
        <v>1500</v>
      </c>
      <c r="E53" t="str">
        <f>INDEX('Highlevel Master COA'!$B:$B,MATCH(COA!$D53,'Highlevel Master COA'!$C:$C,0))</f>
        <v>Professional Service Providers</v>
      </c>
      <c r="F53" t="str">
        <f t="shared" si="0"/>
        <v>01-04-1500</v>
      </c>
      <c r="G53" t="str">
        <f>INDEX('Highlevel Master COA'!$D:$D,MATCH(COA!$D53,'Highlevel Master COA'!$C:$C,0))</f>
        <v>Professional Services</v>
      </c>
      <c r="H53" t="str">
        <f>CONCATENATE(C53,"-",E53)</f>
        <v>Infrastructure-Professional Service Providers</v>
      </c>
      <c r="I53" t="s">
        <v>337</v>
      </c>
      <c r="J53" t="s">
        <v>338</v>
      </c>
    </row>
    <row r="54" spans="1:10" x14ac:dyDescent="0.3">
      <c r="A54" s="158" t="s">
        <v>204</v>
      </c>
      <c r="B54" s="158" t="s">
        <v>211</v>
      </c>
      <c r="C54" t="str">
        <f>INDEX('Highlevel Master COA'!$B$13:$B$36,MATCH(COA!$B54,'Highlevel Master COA'!$C$13:$C$36,0))</f>
        <v>Infrastructure</v>
      </c>
      <c r="D54">
        <v>1501</v>
      </c>
      <c r="E54" t="str">
        <f>INDEX('Highlevel Master COA'!$B:$B,MATCH(COA!$D54,'Highlevel Master COA'!$C:$C,0))</f>
        <v>Contractors</v>
      </c>
      <c r="F54" t="str">
        <f t="shared" si="0"/>
        <v>01-04-1501</v>
      </c>
      <c r="G54" t="str">
        <f>INDEX('Highlevel Master COA'!$D:$D,MATCH(COA!$D54,'Highlevel Master COA'!$C:$C,0))</f>
        <v>Professional Services</v>
      </c>
      <c r="H54" t="str">
        <f>CONCATENATE(C54,"-",E54)</f>
        <v>Infrastructure-Contractors</v>
      </c>
      <c r="I54" t="s">
        <v>339</v>
      </c>
      <c r="J54" t="s">
        <v>340</v>
      </c>
    </row>
    <row r="55" spans="1:10" x14ac:dyDescent="0.3">
      <c r="A55" s="158" t="s">
        <v>204</v>
      </c>
      <c r="B55" s="158" t="s">
        <v>211</v>
      </c>
      <c r="C55" t="str">
        <f>INDEX('Highlevel Master COA'!$B$13:$B$36,MATCH(COA!$B55,'Highlevel Master COA'!$C$13:$C$36,0))</f>
        <v>Infrastructure</v>
      </c>
      <c r="D55">
        <v>1502</v>
      </c>
      <c r="E55" t="str">
        <f>INDEX('Highlevel Master COA'!$B:$B,MATCH(COA!$D55,'Highlevel Master COA'!$C:$C,0))</f>
        <v>Grants</v>
      </c>
      <c r="F55" t="str">
        <f t="shared" si="0"/>
        <v>01-04-1502</v>
      </c>
      <c r="G55" t="str">
        <f>INDEX('Highlevel Master COA'!$D:$D,MATCH(COA!$D55,'Highlevel Master COA'!$C:$C,0))</f>
        <v>Grants</v>
      </c>
      <c r="H55" t="str">
        <f>CONCATENATE(C55,"-",E55)</f>
        <v>Infrastructure-Grants</v>
      </c>
      <c r="I55" t="s">
        <v>341</v>
      </c>
      <c r="J55" t="s">
        <v>342</v>
      </c>
    </row>
    <row r="56" spans="1:10" x14ac:dyDescent="0.3">
      <c r="A56" s="158"/>
    </row>
    <row r="57" spans="1:10" x14ac:dyDescent="0.3">
      <c r="A57" s="158" t="s">
        <v>204</v>
      </c>
      <c r="B57" s="158" t="s">
        <v>212</v>
      </c>
      <c r="C57" t="str">
        <f>INDEX('Highlevel Master COA'!$B$13:$B$36,MATCH(COA!$B57,'Highlevel Master COA'!$C$13:$C$36,0))</f>
        <v>Protocol</v>
      </c>
      <c r="D57">
        <v>1202</v>
      </c>
      <c r="E57" t="str">
        <f>INDEX('Highlevel Master COA'!$B:$B,MATCH(COA!$D57,'Highlevel Master COA'!$C:$C,0))</f>
        <v>Hosted Services</v>
      </c>
      <c r="F57" t="str">
        <f t="shared" si="0"/>
        <v>01-05-1202</v>
      </c>
      <c r="G57" t="str">
        <f>INDEX('Highlevel Master COA'!$D:$D,MATCH(COA!$D57,'Highlevel Master COA'!$C:$C,0))</f>
        <v>Tech</v>
      </c>
      <c r="H57" t="str">
        <f>CONCATENATE(C57,"-",E57)</f>
        <v>Protocol-Hosted Services</v>
      </c>
      <c r="I57" t="s">
        <v>343</v>
      </c>
      <c r="J57" t="s">
        <v>344</v>
      </c>
    </row>
    <row r="58" spans="1:10" x14ac:dyDescent="0.3">
      <c r="A58" s="158" t="s">
        <v>204</v>
      </c>
      <c r="B58" s="158" t="s">
        <v>212</v>
      </c>
      <c r="C58" t="str">
        <f>INDEX('Highlevel Master COA'!$B$13:$B$36,MATCH(COA!$B58,'Highlevel Master COA'!$C$13:$C$36,0))</f>
        <v>Protocol</v>
      </c>
      <c r="D58">
        <v>1500</v>
      </c>
      <c r="E58" t="str">
        <f>INDEX('Highlevel Master COA'!$B:$B,MATCH(COA!$D58,'Highlevel Master COA'!$C:$C,0))</f>
        <v>Professional Service Providers</v>
      </c>
      <c r="F58" t="str">
        <f t="shared" si="0"/>
        <v>01-05-1500</v>
      </c>
      <c r="G58" t="str">
        <f>INDEX('Highlevel Master COA'!$D:$D,MATCH(COA!$D58,'Highlevel Master COA'!$C:$C,0))</f>
        <v>Professional Services</v>
      </c>
      <c r="H58" t="str">
        <f>CONCATENATE(C58,"-",E58)</f>
        <v>Protocol-Professional Service Providers</v>
      </c>
      <c r="I58" t="s">
        <v>345</v>
      </c>
      <c r="J58" t="s">
        <v>346</v>
      </c>
    </row>
    <row r="59" spans="1:10" x14ac:dyDescent="0.3">
      <c r="A59" s="158" t="s">
        <v>204</v>
      </c>
      <c r="B59" s="158" t="s">
        <v>212</v>
      </c>
      <c r="C59" t="str">
        <f>INDEX('Highlevel Master COA'!$B$13:$B$36,MATCH(COA!$B59,'Highlevel Master COA'!$C$13:$C$36,0))</f>
        <v>Protocol</v>
      </c>
      <c r="D59">
        <v>1501</v>
      </c>
      <c r="E59" t="str">
        <f>INDEX('Highlevel Master COA'!$B:$B,MATCH(COA!$D59,'Highlevel Master COA'!$C:$C,0))</f>
        <v>Contractors</v>
      </c>
      <c r="F59" t="str">
        <f t="shared" si="0"/>
        <v>01-05-1501</v>
      </c>
      <c r="G59" t="str">
        <f>INDEX('Highlevel Master COA'!$D:$D,MATCH(COA!$D59,'Highlevel Master COA'!$C:$C,0))</f>
        <v>Professional Services</v>
      </c>
      <c r="H59" t="str">
        <f>CONCATENATE(C59,"-",E59)</f>
        <v>Protocol-Contractors</v>
      </c>
      <c r="I59" t="s">
        <v>347</v>
      </c>
      <c r="J59" t="s">
        <v>348</v>
      </c>
    </row>
    <row r="60" spans="1:10" x14ac:dyDescent="0.3">
      <c r="A60" s="158" t="s">
        <v>204</v>
      </c>
      <c r="B60" s="158" t="s">
        <v>212</v>
      </c>
      <c r="C60" t="str">
        <f>INDEX('Highlevel Master COA'!$B$13:$B$36,MATCH(COA!$B60,'Highlevel Master COA'!$C$13:$C$36,0))</f>
        <v>Protocol</v>
      </c>
      <c r="D60">
        <v>1502</v>
      </c>
      <c r="E60" t="str">
        <f>INDEX('Highlevel Master COA'!$B:$B,MATCH(COA!$D60,'Highlevel Master COA'!$C:$C,0))</f>
        <v>Grants</v>
      </c>
      <c r="F60" t="str">
        <f t="shared" si="0"/>
        <v>01-05-1502</v>
      </c>
      <c r="G60" t="str">
        <f>INDEX('Highlevel Master COA'!$D:$D,MATCH(COA!$D60,'Highlevel Master COA'!$C:$C,0))</f>
        <v>Grants</v>
      </c>
      <c r="H60" t="str">
        <f>CONCATENATE(C60,"-",E60)</f>
        <v>Protocol-Grants</v>
      </c>
      <c r="I60" t="s">
        <v>349</v>
      </c>
      <c r="J60" t="s">
        <v>350</v>
      </c>
    </row>
    <row r="61" spans="1:10" x14ac:dyDescent="0.3">
      <c r="A61" s="158"/>
    </row>
    <row r="62" spans="1:10" x14ac:dyDescent="0.3">
      <c r="A62" s="158" t="s">
        <v>204</v>
      </c>
      <c r="B62" s="158" t="s">
        <v>213</v>
      </c>
      <c r="C62" t="str">
        <f>INDEX('Highlevel Master COA'!$B$13:$B$36,MATCH(COA!$B62,'Highlevel Master COA'!$C$13:$C$36,0))</f>
        <v>Partnerships</v>
      </c>
      <c r="D62">
        <v>1500</v>
      </c>
      <c r="E62" t="str">
        <f>INDEX('Highlevel Master COA'!$B:$B,MATCH(COA!$D62,'Highlevel Master COA'!$C:$C,0))</f>
        <v>Professional Service Providers</v>
      </c>
      <c r="F62" t="str">
        <f t="shared" si="0"/>
        <v>01-06-1500</v>
      </c>
      <c r="G62" t="str">
        <f>INDEX('Highlevel Master COA'!$D:$D,MATCH(COA!$D62,'Highlevel Master COA'!$C:$C,0))</f>
        <v>Professional Services</v>
      </c>
      <c r="H62" t="str">
        <f>CONCATENATE(C62,"-",E62)</f>
        <v>Partnerships-Professional Service Providers</v>
      </c>
      <c r="I62" t="s">
        <v>351</v>
      </c>
      <c r="J62" t="s">
        <v>352</v>
      </c>
    </row>
    <row r="63" spans="1:10" x14ac:dyDescent="0.3">
      <c r="A63" s="158" t="s">
        <v>204</v>
      </c>
      <c r="B63" s="158" t="s">
        <v>213</v>
      </c>
      <c r="C63" t="str">
        <f>INDEX('Highlevel Master COA'!$B$13:$B$36,MATCH(COA!$B63,'Highlevel Master COA'!$C$13:$C$36,0))</f>
        <v>Partnerships</v>
      </c>
      <c r="D63">
        <v>1501</v>
      </c>
      <c r="E63" t="str">
        <f>INDEX('Highlevel Master COA'!$B:$B,MATCH(COA!$D63,'Highlevel Master COA'!$C:$C,0))</f>
        <v>Contractors</v>
      </c>
      <c r="F63" t="str">
        <f t="shared" si="0"/>
        <v>01-06-1501</v>
      </c>
      <c r="G63" t="str">
        <f>INDEX('Highlevel Master COA'!$D:$D,MATCH(COA!$D63,'Highlevel Master COA'!$C:$C,0))</f>
        <v>Professional Services</v>
      </c>
      <c r="H63" t="str">
        <f>CONCATENATE(C63,"-",E63)</f>
        <v>Partnerships-Contractors</v>
      </c>
      <c r="I63" t="s">
        <v>353</v>
      </c>
      <c r="J63" t="s">
        <v>354</v>
      </c>
    </row>
    <row r="64" spans="1:10" x14ac:dyDescent="0.3">
      <c r="A64" s="158" t="s">
        <v>204</v>
      </c>
      <c r="B64" s="158" t="s">
        <v>213</v>
      </c>
      <c r="C64" t="str">
        <f>INDEX('Highlevel Master COA'!$B$13:$B$36,MATCH(COA!$B64,'Highlevel Master COA'!$C$13:$C$36,0))</f>
        <v>Partnerships</v>
      </c>
      <c r="D64">
        <v>1502</v>
      </c>
      <c r="E64" t="str">
        <f>INDEX('Highlevel Master COA'!$B:$B,MATCH(COA!$D64,'Highlevel Master COA'!$C:$C,0))</f>
        <v>Grants</v>
      </c>
      <c r="F64" t="str">
        <f t="shared" si="0"/>
        <v>01-06-1502</v>
      </c>
      <c r="G64" t="str">
        <f>INDEX('Highlevel Master COA'!$D:$D,MATCH(COA!$D64,'Highlevel Master COA'!$C:$C,0))</f>
        <v>Grants</v>
      </c>
      <c r="H64" t="str">
        <f>CONCATENATE(C64,"-",E64)</f>
        <v>Partnerships-Grants</v>
      </c>
      <c r="I64" t="s">
        <v>355</v>
      </c>
      <c r="J64" t="s">
        <v>356</v>
      </c>
    </row>
    <row r="65" spans="1:10" x14ac:dyDescent="0.3">
      <c r="A65" s="158"/>
      <c r="B65" s="158"/>
    </row>
    <row r="66" spans="1:10" x14ac:dyDescent="0.3">
      <c r="A66" s="158" t="s">
        <v>204</v>
      </c>
      <c r="B66" s="158" t="s">
        <v>214</v>
      </c>
      <c r="C66" t="str">
        <f>INDEX('Highlevel Master COA'!$B$13:$B$36,MATCH(COA!$B66,'Highlevel Master COA'!$C$13:$C$36,0))</f>
        <v>Finance</v>
      </c>
      <c r="D66">
        <v>1100</v>
      </c>
      <c r="E66" t="str">
        <f>INDEX('Highlevel Master COA'!$B:$B,MATCH(COA!$D66,'Highlevel Master COA'!$C:$C,0))</f>
        <v>Contract Wages (Staff)</v>
      </c>
      <c r="F66" t="str">
        <f t="shared" si="0"/>
        <v>01-07-1100</v>
      </c>
      <c r="G66" t="str">
        <f>INDEX('Highlevel Master COA'!$D:$D,MATCH(COA!$D66,'Highlevel Master COA'!$C:$C,0))</f>
        <v>Wages</v>
      </c>
      <c r="H66" t="str">
        <f>CONCATENATE(C66,"-",E66)</f>
        <v>Finance-Contract Wages (Staff)</v>
      </c>
      <c r="I66" t="s">
        <v>357</v>
      </c>
      <c r="J66" t="s">
        <v>358</v>
      </c>
    </row>
    <row r="67" spans="1:10" x14ac:dyDescent="0.3">
      <c r="A67" s="158" t="s">
        <v>204</v>
      </c>
      <c r="B67" s="158" t="s">
        <v>214</v>
      </c>
      <c r="C67" t="str">
        <f>INDEX('Highlevel Master COA'!$B$13:$B$36,MATCH(COA!$B67,'Highlevel Master COA'!$C$13:$C$36,0))</f>
        <v>Finance</v>
      </c>
      <c r="D67">
        <v>1200</v>
      </c>
      <c r="E67" t="str">
        <f>INDEX('Highlevel Master COA'!$B:$B,MATCH(COA!$D67,'Highlevel Master COA'!$C:$C,0))</f>
        <v>Software</v>
      </c>
      <c r="F67" t="str">
        <f t="shared" si="0"/>
        <v>01-07-1200</v>
      </c>
      <c r="G67" t="str">
        <f>INDEX('Highlevel Master COA'!$D:$D,MATCH(COA!$D67,'Highlevel Master COA'!$C:$C,0))</f>
        <v>Tech</v>
      </c>
      <c r="H67" t="str">
        <f>CONCATENATE(C67,"-",E67)</f>
        <v>Finance-Software</v>
      </c>
      <c r="I67" t="s">
        <v>359</v>
      </c>
      <c r="J67" t="s">
        <v>360</v>
      </c>
    </row>
    <row r="68" spans="1:10" x14ac:dyDescent="0.3">
      <c r="A68" s="158" t="s">
        <v>204</v>
      </c>
      <c r="B68" s="158" t="s">
        <v>214</v>
      </c>
      <c r="C68" t="str">
        <f>INDEX('Highlevel Master COA'!$B$13:$B$36,MATCH(COA!$B68,'Highlevel Master COA'!$C$13:$C$36,0))</f>
        <v>Finance</v>
      </c>
      <c r="D68">
        <v>1500</v>
      </c>
      <c r="E68" t="str">
        <f>INDEX('Highlevel Master COA'!$B:$B,MATCH(COA!$D68,'Highlevel Master COA'!$C:$C,0))</f>
        <v>Professional Service Providers</v>
      </c>
      <c r="F68" t="str">
        <f t="shared" si="0"/>
        <v>01-07-1500</v>
      </c>
      <c r="G68" t="str">
        <f>INDEX('Highlevel Master COA'!$D:$D,MATCH(COA!$D68,'Highlevel Master COA'!$C:$C,0))</f>
        <v>Professional Services</v>
      </c>
      <c r="H68" t="str">
        <f>CONCATENATE(C68,"-",E68)</f>
        <v>Finance-Professional Service Providers</v>
      </c>
      <c r="I68" t="s">
        <v>361</v>
      </c>
      <c r="J68" t="s">
        <v>362</v>
      </c>
    </row>
    <row r="69" spans="1:10" x14ac:dyDescent="0.3">
      <c r="A69" s="158" t="s">
        <v>204</v>
      </c>
      <c r="B69" s="158" t="s">
        <v>214</v>
      </c>
      <c r="C69" t="str">
        <f>INDEX('Highlevel Master COA'!$B$13:$B$36,MATCH(COA!$B69,'Highlevel Master COA'!$C$13:$C$36,0))</f>
        <v>Finance</v>
      </c>
      <c r="D69">
        <v>1501</v>
      </c>
      <c r="E69" t="str">
        <f>INDEX('Highlevel Master COA'!$B:$B,MATCH(COA!$D69,'Highlevel Master COA'!$C:$C,0))</f>
        <v>Contractors</v>
      </c>
      <c r="F69" t="str">
        <f t="shared" si="0"/>
        <v>01-07-1501</v>
      </c>
      <c r="G69" t="str">
        <f>INDEX('Highlevel Master COA'!$D:$D,MATCH(COA!$D69,'Highlevel Master COA'!$C:$C,0))</f>
        <v>Professional Services</v>
      </c>
      <c r="H69" t="str">
        <f>CONCATENATE(C69,"-",E69)</f>
        <v>Finance-Contractors</v>
      </c>
      <c r="I69" t="s">
        <v>363</v>
      </c>
      <c r="J69" t="s">
        <v>364</v>
      </c>
    </row>
    <row r="70" spans="1:10" x14ac:dyDescent="0.3">
      <c r="A70" s="158"/>
      <c r="B70" s="158"/>
    </row>
    <row r="71" spans="1:10" x14ac:dyDescent="0.3">
      <c r="A71" s="158" t="s">
        <v>204</v>
      </c>
      <c r="B71" s="158" t="s">
        <v>215</v>
      </c>
      <c r="C71" t="str">
        <f>INDEX('Highlevel Master COA'!$B$13:$B$36,MATCH(COA!$B71,'Highlevel Master COA'!$C$13:$C$36,0))</f>
        <v>ETC Summit</v>
      </c>
      <c r="D71">
        <v>1000</v>
      </c>
      <c r="E71" t="str">
        <f>INDEX('Highlevel Master COA'!$B:$B,MATCH(COA!$D71,'Highlevel Master COA'!$C:$C,0))</f>
        <v>Travel-Flights</v>
      </c>
      <c r="F71" t="str">
        <f t="shared" si="0"/>
        <v>01-08-1000</v>
      </c>
      <c r="G71" t="str">
        <f>INDEX('Highlevel Master COA'!$D:$D,MATCH(COA!$D71,'Highlevel Master COA'!$C:$C,0))</f>
        <v>Travel</v>
      </c>
      <c r="H71" t="str">
        <f t="shared" ref="H71:H87" si="4">CONCATENATE(C71,"-",E71)</f>
        <v>ETC Summit-Travel-Flights</v>
      </c>
      <c r="I71" t="s">
        <v>365</v>
      </c>
      <c r="J71" t="s">
        <v>366</v>
      </c>
    </row>
    <row r="72" spans="1:10" x14ac:dyDescent="0.3">
      <c r="A72" s="158" t="s">
        <v>204</v>
      </c>
      <c r="B72" s="158" t="s">
        <v>215</v>
      </c>
      <c r="C72" t="str">
        <f>INDEX('Highlevel Master COA'!$B$13:$B$36,MATCH(COA!$B72,'Highlevel Master COA'!$C$13:$C$36,0))</f>
        <v>ETC Summit</v>
      </c>
      <c r="D72">
        <v>1001</v>
      </c>
      <c r="E72" t="str">
        <f>INDEX('Highlevel Master COA'!$B:$B,MATCH(COA!$D72,'Highlevel Master COA'!$C:$C,0))</f>
        <v>Travel-Hotels</v>
      </c>
      <c r="F72" t="str">
        <f t="shared" si="0"/>
        <v>01-08-1001</v>
      </c>
      <c r="G72" t="str">
        <f>INDEX('Highlevel Master COA'!$D:$D,MATCH(COA!$D72,'Highlevel Master COA'!$C:$C,0))</f>
        <v>Travel</v>
      </c>
      <c r="H72" t="str">
        <f t="shared" si="4"/>
        <v>ETC Summit-Travel-Hotels</v>
      </c>
      <c r="I72" t="s">
        <v>367</v>
      </c>
      <c r="J72" t="s">
        <v>368</v>
      </c>
    </row>
    <row r="73" spans="1:10" x14ac:dyDescent="0.3">
      <c r="A73" s="158" t="s">
        <v>204</v>
      </c>
      <c r="B73" s="158" t="s">
        <v>215</v>
      </c>
      <c r="C73" t="str">
        <f>INDEX('Highlevel Master COA'!$B$13:$B$36,MATCH(COA!$B73,'Highlevel Master COA'!$C$13:$C$36,0))</f>
        <v>ETC Summit</v>
      </c>
      <c r="D73">
        <v>1002</v>
      </c>
      <c r="E73" t="str">
        <f>INDEX('Highlevel Master COA'!$B:$B,MATCH(COA!$D73,'Highlevel Master COA'!$C:$C,0))</f>
        <v>Meal &amp; Entertainment</v>
      </c>
      <c r="F73" t="str">
        <f t="shared" si="0"/>
        <v>01-08-1002</v>
      </c>
      <c r="G73" t="str">
        <f>INDEX('Highlevel Master COA'!$D:$D,MATCH(COA!$D73,'Highlevel Master COA'!$C:$C,0))</f>
        <v>Travel</v>
      </c>
      <c r="H73" t="str">
        <f t="shared" si="4"/>
        <v>ETC Summit-Meal &amp; Entertainment</v>
      </c>
      <c r="I73" t="s">
        <v>369</v>
      </c>
      <c r="J73" t="s">
        <v>370</v>
      </c>
    </row>
    <row r="74" spans="1:10" x14ac:dyDescent="0.3">
      <c r="A74" s="158" t="s">
        <v>204</v>
      </c>
      <c r="B74" s="158" t="s">
        <v>215</v>
      </c>
      <c r="C74" t="str">
        <f>INDEX('Highlevel Master COA'!$B$13:$B$36,MATCH(COA!$B74,'Highlevel Master COA'!$C$13:$C$36,0))</f>
        <v>ETC Summit</v>
      </c>
      <c r="D74">
        <v>1003</v>
      </c>
      <c r="E74" t="str">
        <f>INDEX('Highlevel Master COA'!$B:$B,MATCH(COA!$D74,'Highlevel Master COA'!$C:$C,0))</f>
        <v>Transportation</v>
      </c>
      <c r="F74" t="str">
        <f t="shared" si="0"/>
        <v>01-08-1003</v>
      </c>
      <c r="G74" t="str">
        <f>INDEX('Highlevel Master COA'!$D:$D,MATCH(COA!$D74,'Highlevel Master COA'!$C:$C,0))</f>
        <v>Travel</v>
      </c>
      <c r="H74" t="str">
        <f t="shared" si="4"/>
        <v>ETC Summit-Transportation</v>
      </c>
      <c r="I74" t="s">
        <v>371</v>
      </c>
      <c r="J74" t="s">
        <v>372</v>
      </c>
    </row>
    <row r="75" spans="1:10" x14ac:dyDescent="0.3">
      <c r="A75" s="158" t="s">
        <v>204</v>
      </c>
      <c r="B75" s="158" t="s">
        <v>215</v>
      </c>
      <c r="C75" t="str">
        <f>INDEX('Highlevel Master COA'!$B$13:$B$36,MATCH(COA!$B75,'Highlevel Master COA'!$C$13:$C$36,0))</f>
        <v>ETC Summit</v>
      </c>
      <c r="D75">
        <v>1004</v>
      </c>
      <c r="E75" t="str">
        <f>INDEX('Highlevel Master COA'!$B:$B,MATCH(COA!$D75,'Highlevel Master COA'!$C:$C,0))</f>
        <v>Travel-Other</v>
      </c>
      <c r="F75" t="str">
        <f t="shared" si="0"/>
        <v>01-08-1004</v>
      </c>
      <c r="G75" t="str">
        <f>INDEX('Highlevel Master COA'!$D:$D,MATCH(COA!$D75,'Highlevel Master COA'!$C:$C,0))</f>
        <v>Travel</v>
      </c>
      <c r="H75" t="str">
        <f t="shared" si="4"/>
        <v>ETC Summit-Travel-Other</v>
      </c>
      <c r="I75" t="s">
        <v>373</v>
      </c>
      <c r="J75" t="s">
        <v>374</v>
      </c>
    </row>
    <row r="76" spans="1:10" x14ac:dyDescent="0.3">
      <c r="A76" s="158" t="s">
        <v>204</v>
      </c>
      <c r="B76" s="158" t="s">
        <v>215</v>
      </c>
      <c r="C76" t="str">
        <f>INDEX('Highlevel Master COA'!$B$13:$B$36,MATCH(COA!$B76,'Highlevel Master COA'!$C$13:$C$36,0))</f>
        <v>ETC Summit</v>
      </c>
      <c r="D76">
        <v>1400</v>
      </c>
      <c r="E76" t="str">
        <f>INDEX('Highlevel Master COA'!$B:$B,MATCH(COA!$D76,'Highlevel Master COA'!$C:$C,0))</f>
        <v>Conferences</v>
      </c>
      <c r="F76" t="str">
        <f t="shared" si="0"/>
        <v>01-08-1400</v>
      </c>
      <c r="G76" t="str">
        <f>INDEX('Highlevel Master COA'!$D:$D,MATCH(COA!$D76,'Highlevel Master COA'!$C:$C,0))</f>
        <v>Marketing</v>
      </c>
      <c r="H76" t="str">
        <f t="shared" si="4"/>
        <v>ETC Summit-Conferences</v>
      </c>
      <c r="I76" t="s">
        <v>375</v>
      </c>
      <c r="J76" t="s">
        <v>376</v>
      </c>
    </row>
    <row r="77" spans="1:10" x14ac:dyDescent="0.3">
      <c r="A77" s="158" t="s">
        <v>204</v>
      </c>
      <c r="B77" s="158" t="s">
        <v>215</v>
      </c>
      <c r="C77" t="str">
        <f>INDEX('Highlevel Master COA'!$B$13:$B$36,MATCH(COA!$B77,'Highlevel Master COA'!$C$13:$C$36,0))</f>
        <v>ETC Summit</v>
      </c>
      <c r="D77">
        <v>1401</v>
      </c>
      <c r="E77" t="str">
        <f>INDEX('Highlevel Master COA'!$B:$B,MATCH(COA!$D77,'Highlevel Master COA'!$C:$C,0))</f>
        <v>Sponsorship</v>
      </c>
      <c r="F77" t="str">
        <f t="shared" si="0"/>
        <v>01-08-1401</v>
      </c>
      <c r="G77" t="str">
        <f>INDEX('Highlevel Master COA'!$D:$D,MATCH(COA!$D77,'Highlevel Master COA'!$C:$C,0))</f>
        <v>Marketing</v>
      </c>
      <c r="H77" t="str">
        <f t="shared" si="4"/>
        <v>ETC Summit-Sponsorship</v>
      </c>
      <c r="I77" t="s">
        <v>377</v>
      </c>
      <c r="J77" t="s">
        <v>378</v>
      </c>
    </row>
    <row r="78" spans="1:10" x14ac:dyDescent="0.3">
      <c r="A78" s="158" t="s">
        <v>204</v>
      </c>
      <c r="B78" s="158" t="s">
        <v>215</v>
      </c>
      <c r="C78" t="str">
        <f>INDEX('Highlevel Master COA'!$B$13:$B$36,MATCH(COA!$B78,'Highlevel Master COA'!$C$13:$C$36,0))</f>
        <v>ETC Summit</v>
      </c>
      <c r="D78">
        <v>1402</v>
      </c>
      <c r="E78" t="str">
        <f>INDEX('Highlevel Master COA'!$B:$B,MATCH(COA!$D78,'Highlevel Master COA'!$C:$C,0))</f>
        <v>Advertising</v>
      </c>
      <c r="F78" t="str">
        <f t="shared" si="0"/>
        <v>01-08-1402</v>
      </c>
      <c r="G78" t="str">
        <f>INDEX('Highlevel Master COA'!$D:$D,MATCH(COA!$D78,'Highlevel Master COA'!$C:$C,0))</f>
        <v>Marketing</v>
      </c>
      <c r="H78" t="str">
        <f t="shared" si="4"/>
        <v>ETC Summit-Advertising</v>
      </c>
      <c r="I78" t="s">
        <v>379</v>
      </c>
      <c r="J78" t="s">
        <v>380</v>
      </c>
    </row>
    <row r="79" spans="1:10" x14ac:dyDescent="0.3">
      <c r="A79" s="158" t="s">
        <v>204</v>
      </c>
      <c r="B79" s="158" t="s">
        <v>215</v>
      </c>
      <c r="C79" t="str">
        <f>INDEX('Highlevel Master COA'!$B$13:$B$36,MATCH(COA!$B79,'Highlevel Master COA'!$C$13:$C$36,0))</f>
        <v>ETC Summit</v>
      </c>
      <c r="D79">
        <v>1403</v>
      </c>
      <c r="E79" t="str">
        <f>INDEX('Highlevel Master COA'!$B:$B,MATCH(COA!$D79,'Highlevel Master COA'!$C:$C,0))</f>
        <v>Swag</v>
      </c>
      <c r="F79" t="str">
        <f t="shared" si="0"/>
        <v>01-08-1403</v>
      </c>
      <c r="G79" t="str">
        <f>INDEX('Highlevel Master COA'!$D:$D,MATCH(COA!$D79,'Highlevel Master COA'!$C:$C,0))</f>
        <v>Marketing</v>
      </c>
      <c r="H79" t="str">
        <f t="shared" si="4"/>
        <v>ETC Summit-Swag</v>
      </c>
      <c r="I79" t="s">
        <v>381</v>
      </c>
      <c r="J79" t="s">
        <v>382</v>
      </c>
    </row>
    <row r="80" spans="1:10" x14ac:dyDescent="0.3">
      <c r="A80" s="158" t="s">
        <v>204</v>
      </c>
      <c r="B80" s="158" t="s">
        <v>215</v>
      </c>
      <c r="C80" t="str">
        <f>INDEX('Highlevel Master COA'!$B$13:$B$36,MATCH(COA!$B80,'Highlevel Master COA'!$C$13:$C$36,0))</f>
        <v>ETC Summit</v>
      </c>
      <c r="D80">
        <v>1407</v>
      </c>
      <c r="E80" t="str">
        <f>INDEX('Highlevel Master COA'!$B:$B,MATCH(COA!$D80,'Highlevel Master COA'!$C:$C,0))</f>
        <v>Other</v>
      </c>
      <c r="F80" t="str">
        <f t="shared" ref="F80" si="5">CONCATENATE(A80,"-",B80,"-",D80)</f>
        <v>01-08-1407</v>
      </c>
      <c r="G80" t="str">
        <f>INDEX('Highlevel Master COA'!$D:$D,MATCH(COA!$D80,'Highlevel Master COA'!$C:$C,0))</f>
        <v>Marketing</v>
      </c>
      <c r="H80" t="str">
        <f t="shared" ref="H80" si="6">CONCATENATE(C80,"-",E80)</f>
        <v>ETC Summit-Other</v>
      </c>
      <c r="I80" t="s">
        <v>429</v>
      </c>
      <c r="J80" t="s">
        <v>430</v>
      </c>
    </row>
    <row r="82" spans="1:10" x14ac:dyDescent="0.3">
      <c r="A82" s="158" t="s">
        <v>204</v>
      </c>
      <c r="B82" s="158" t="s">
        <v>208</v>
      </c>
      <c r="C82" t="str">
        <f>INDEX('Highlevel Master COA'!$B$13:$B$36,MATCH(COA!$B82,'Highlevel Master COA'!$C$13:$C$36,0))</f>
        <v>Revenue</v>
      </c>
      <c r="D82">
        <v>5000</v>
      </c>
      <c r="E82" t="str">
        <f>INDEX('Highlevel Master COA'!$B:$B,MATCH(COA!$D82,'Highlevel Master COA'!$C:$C,0))</f>
        <v>Grayscale Fees</v>
      </c>
      <c r="F82" t="str">
        <f t="shared" ref="F82:F87" si="7">CONCATENATE(A82,"-",B82,"-",D82)</f>
        <v>01-00-5000</v>
      </c>
      <c r="G82" t="str">
        <f>INDEX('Highlevel Master COA'!$D:$D,MATCH(COA!$D82,'Highlevel Master COA'!$C:$C,0))</f>
        <v>Revenue</v>
      </c>
      <c r="H82" t="str">
        <f t="shared" si="4"/>
        <v>Revenue-Grayscale Fees</v>
      </c>
      <c r="I82" t="s">
        <v>383</v>
      </c>
      <c r="J82" t="s">
        <v>384</v>
      </c>
    </row>
    <row r="83" spans="1:10" x14ac:dyDescent="0.3">
      <c r="A83" s="158" t="s">
        <v>204</v>
      </c>
      <c r="B83" s="158" t="s">
        <v>208</v>
      </c>
      <c r="C83" t="str">
        <f>INDEX('Highlevel Master COA'!$B$13:$B$36,MATCH(COA!$B83,'Highlevel Master COA'!$C$13:$C$36,0))</f>
        <v>Revenue</v>
      </c>
      <c r="D83">
        <v>5001</v>
      </c>
      <c r="E83" t="str">
        <f>INDEX('Highlevel Master COA'!$B:$B,MATCH(COA!$D83,'Highlevel Master COA'!$C:$C,0))</f>
        <v>Donations</v>
      </c>
      <c r="F83" t="str">
        <f t="shared" si="7"/>
        <v>01-00-5001</v>
      </c>
      <c r="G83" t="str">
        <f>INDEX('Highlevel Master COA'!$D:$D,MATCH(COA!$D83,'Highlevel Master COA'!$C:$C,0))</f>
        <v>Revenue</v>
      </c>
      <c r="H83" t="str">
        <f t="shared" si="4"/>
        <v>Revenue-Donations</v>
      </c>
      <c r="I83" t="s">
        <v>385</v>
      </c>
      <c r="J83" t="s">
        <v>386</v>
      </c>
    </row>
    <row r="84" spans="1:10" x14ac:dyDescent="0.3">
      <c r="A84" s="158" t="s">
        <v>204</v>
      </c>
      <c r="B84" s="158" t="s">
        <v>208</v>
      </c>
      <c r="C84" t="str">
        <f>INDEX('Highlevel Master COA'!$B$13:$B$36,MATCH(COA!$B84,'Highlevel Master COA'!$C$13:$C$36,0))</f>
        <v>Revenue</v>
      </c>
      <c r="D84">
        <v>5002</v>
      </c>
      <c r="E84" t="str">
        <f>INDEX('Highlevel Master COA'!$B:$B,MATCH(COA!$D84,'Highlevel Master COA'!$C:$C,0))</f>
        <v>Sponsorships</v>
      </c>
      <c r="F84" t="str">
        <f t="shared" si="7"/>
        <v>01-00-5002</v>
      </c>
      <c r="G84" t="str">
        <f>INDEX('Highlevel Master COA'!$D:$D,MATCH(COA!$D84,'Highlevel Master COA'!$C:$C,0))</f>
        <v>Revenue</v>
      </c>
      <c r="H84" t="str">
        <f t="shared" si="4"/>
        <v>Revenue-Sponsorships</v>
      </c>
      <c r="I84" t="s">
        <v>387</v>
      </c>
      <c r="J84" t="s">
        <v>388</v>
      </c>
    </row>
    <row r="85" spans="1:10" x14ac:dyDescent="0.3">
      <c r="A85" s="158" t="s">
        <v>204</v>
      </c>
      <c r="B85" s="158" t="s">
        <v>208</v>
      </c>
      <c r="C85" t="str">
        <f>INDEX('Highlevel Master COA'!$B$13:$B$36,MATCH(COA!$B85,'Highlevel Master COA'!$C$13:$C$36,0))</f>
        <v>Revenue</v>
      </c>
      <c r="D85">
        <v>5003</v>
      </c>
      <c r="E85" t="str">
        <f>INDEX('Highlevel Master COA'!$B:$B,MATCH(COA!$D85,'Highlevel Master COA'!$C:$C,0))</f>
        <v>Membership Fees</v>
      </c>
      <c r="F85" t="str">
        <f t="shared" si="7"/>
        <v>01-00-5003</v>
      </c>
      <c r="G85" t="str">
        <f>INDEX('Highlevel Master COA'!$D:$D,MATCH(COA!$D85,'Highlevel Master COA'!$C:$C,0))</f>
        <v>Revenue</v>
      </c>
      <c r="H85" t="str">
        <f t="shared" si="4"/>
        <v>Revenue-Membership Fees</v>
      </c>
      <c r="I85" t="s">
        <v>389</v>
      </c>
      <c r="J85" t="s">
        <v>390</v>
      </c>
    </row>
    <row r="86" spans="1:10" x14ac:dyDescent="0.3">
      <c r="A86" s="158" t="s">
        <v>204</v>
      </c>
      <c r="B86" s="158" t="s">
        <v>208</v>
      </c>
      <c r="C86" t="str">
        <f>INDEX('Highlevel Master COA'!$B$13:$B$36,MATCH(COA!$B86,'Highlevel Master COA'!$C$13:$C$36,0))</f>
        <v>Revenue</v>
      </c>
      <c r="D86">
        <v>5004</v>
      </c>
      <c r="E86" t="str">
        <f>INDEX('Highlevel Master COA'!$B:$B,MATCH(COA!$D86,'Highlevel Master COA'!$C:$C,0))</f>
        <v>Interest Income</v>
      </c>
      <c r="F86" t="str">
        <f t="shared" si="7"/>
        <v>01-00-5004</v>
      </c>
      <c r="G86" t="str">
        <f>INDEX('Highlevel Master COA'!$D:$D,MATCH(COA!$D86,'Highlevel Master COA'!$C:$C,0))</f>
        <v>Revenue</v>
      </c>
      <c r="H86" t="str">
        <f t="shared" si="4"/>
        <v>Revenue-Interest Income</v>
      </c>
      <c r="I86" t="s">
        <v>391</v>
      </c>
      <c r="J86" t="s">
        <v>392</v>
      </c>
    </row>
    <row r="87" spans="1:10" x14ac:dyDescent="0.3">
      <c r="A87" s="158" t="s">
        <v>204</v>
      </c>
      <c r="B87" s="158" t="s">
        <v>208</v>
      </c>
      <c r="C87" t="str">
        <f>INDEX('Highlevel Master COA'!$B$13:$B$36,MATCH(COA!$B87,'Highlevel Master COA'!$C$13:$C$36,0))</f>
        <v>Revenue</v>
      </c>
      <c r="D87">
        <v>5005</v>
      </c>
      <c r="E87" t="str">
        <f>INDEX('Highlevel Master COA'!$B:$B,MATCH(COA!$D87,'Highlevel Master COA'!$C:$C,0))</f>
        <v>Other</v>
      </c>
      <c r="F87" t="str">
        <f t="shared" si="7"/>
        <v>01-00-5005</v>
      </c>
      <c r="G87" t="str">
        <f>INDEX('Highlevel Master COA'!$D:$D,MATCH(COA!$D87,'Highlevel Master COA'!$C:$C,0))</f>
        <v>Revenue</v>
      </c>
      <c r="H87" t="str">
        <f t="shared" si="4"/>
        <v>Revenue-Other</v>
      </c>
      <c r="I87" t="s">
        <v>393</v>
      </c>
      <c r="J87" t="s">
        <v>394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BD4E-3880-4C64-803E-E7C445FFD058}">
  <dimension ref="A1:N33"/>
  <sheetViews>
    <sheetView showGridLines="0" workbookViewId="0">
      <selection activeCell="A22" sqref="A22"/>
    </sheetView>
  </sheetViews>
  <sheetFormatPr defaultColWidth="8.77734375" defaultRowHeight="16.5" x14ac:dyDescent="0.3"/>
  <cols>
    <col min="1" max="1" width="34.109375" style="58" customWidth="1"/>
    <col min="2" max="2" width="14.77734375" style="58" customWidth="1"/>
    <col min="3" max="3" width="13.109375" style="58" customWidth="1"/>
    <col min="4" max="4" width="11.6640625" style="58" customWidth="1"/>
    <col min="5" max="5" width="11.77734375" style="58" customWidth="1"/>
    <col min="6" max="6" width="11.44140625" style="58" customWidth="1"/>
    <col min="7" max="7" width="11.6640625" style="58" customWidth="1"/>
    <col min="8" max="8" width="11.77734375" style="58" customWidth="1"/>
    <col min="9" max="9" width="13.109375" style="58" customWidth="1"/>
    <col min="10" max="10" width="12.33203125" style="58" customWidth="1"/>
    <col min="11" max="11" width="11.6640625" style="58" customWidth="1"/>
    <col min="12" max="12" width="11.77734375" style="58" customWidth="1"/>
    <col min="13" max="13" width="11.6640625" style="58" customWidth="1"/>
    <col min="14" max="14" width="12.77734375" style="58" customWidth="1"/>
    <col min="15" max="16384" width="8.77734375" style="58"/>
  </cols>
  <sheetData>
    <row r="1" spans="1:14" ht="20.25" customHeight="1" x14ac:dyDescent="0.3">
      <c r="A1" s="245" t="s">
        <v>51</v>
      </c>
      <c r="B1" s="245"/>
      <c r="C1" s="245"/>
      <c r="D1" s="245"/>
      <c r="E1" s="245"/>
      <c r="F1" s="245"/>
      <c r="G1" s="245"/>
      <c r="H1" s="245"/>
      <c r="I1" s="245"/>
      <c r="J1" s="245"/>
      <c r="K1" s="245"/>
      <c r="L1" s="245"/>
      <c r="M1" s="245"/>
      <c r="N1" s="245"/>
    </row>
    <row r="2" spans="1:14" x14ac:dyDescent="0.3">
      <c r="A2" s="109"/>
      <c r="B2" s="110" t="s">
        <v>0</v>
      </c>
      <c r="C2" s="110" t="s">
        <v>0</v>
      </c>
      <c r="D2" s="110" t="s">
        <v>0</v>
      </c>
      <c r="E2" s="110" t="s">
        <v>0</v>
      </c>
      <c r="F2" s="110" t="s">
        <v>0</v>
      </c>
      <c r="G2" s="110" t="s">
        <v>0</v>
      </c>
      <c r="H2" s="110" t="s">
        <v>0</v>
      </c>
      <c r="I2" s="110" t="s">
        <v>0</v>
      </c>
      <c r="J2" s="110" t="s">
        <v>0</v>
      </c>
      <c r="K2" s="110" t="s">
        <v>0</v>
      </c>
      <c r="L2" s="110" t="s">
        <v>0</v>
      </c>
      <c r="M2" s="110" t="s">
        <v>0</v>
      </c>
      <c r="N2" s="110" t="s">
        <v>0</v>
      </c>
    </row>
    <row r="3" spans="1:14" x14ac:dyDescent="0.3">
      <c r="A3" s="109"/>
      <c r="B3" s="110"/>
      <c r="C3" s="110"/>
      <c r="D3" s="110"/>
      <c r="E3" s="110"/>
      <c r="F3" s="110"/>
      <c r="G3" s="110"/>
      <c r="H3" s="110"/>
      <c r="I3" s="110"/>
      <c r="J3" s="110"/>
      <c r="K3" s="110"/>
      <c r="L3" s="110"/>
      <c r="M3" s="110"/>
      <c r="N3" s="110" t="s">
        <v>1</v>
      </c>
    </row>
    <row r="4" spans="1:14" x14ac:dyDescent="0.3">
      <c r="A4" s="109" t="s">
        <v>2</v>
      </c>
      <c r="B4" s="110" t="s">
        <v>3</v>
      </c>
      <c r="C4" s="110" t="s">
        <v>4</v>
      </c>
      <c r="D4" s="110" t="s">
        <v>5</v>
      </c>
      <c r="E4" s="110" t="s">
        <v>6</v>
      </c>
      <c r="F4" s="110" t="s">
        <v>7</v>
      </c>
      <c r="G4" s="110" t="s">
        <v>8</v>
      </c>
      <c r="H4" s="110" t="s">
        <v>9</v>
      </c>
      <c r="I4" s="110" t="s">
        <v>10</v>
      </c>
      <c r="J4" s="110" t="s">
        <v>11</v>
      </c>
      <c r="K4" s="110" t="s">
        <v>12</v>
      </c>
      <c r="L4" s="110" t="s">
        <v>13</v>
      </c>
      <c r="M4" s="110" t="s">
        <v>14</v>
      </c>
      <c r="N4" s="110" t="s">
        <v>15</v>
      </c>
    </row>
    <row r="5" spans="1:14" x14ac:dyDescent="0.3">
      <c r="A5" s="59"/>
      <c r="B5" s="60"/>
      <c r="C5" s="60"/>
      <c r="D5" s="60"/>
      <c r="E5" s="60"/>
      <c r="F5" s="60"/>
      <c r="G5" s="60"/>
      <c r="H5" s="60"/>
      <c r="I5" s="60"/>
      <c r="J5" s="60"/>
      <c r="K5" s="60"/>
      <c r="L5" s="60"/>
      <c r="M5" s="60"/>
      <c r="N5" s="61"/>
    </row>
    <row r="6" spans="1:14" x14ac:dyDescent="0.3">
      <c r="A6" s="62" t="s">
        <v>114</v>
      </c>
      <c r="B6" s="61"/>
      <c r="C6" s="61"/>
      <c r="D6" s="61"/>
      <c r="E6" s="61"/>
      <c r="F6" s="61"/>
      <c r="G6" s="61"/>
      <c r="H6" s="61"/>
      <c r="I6" s="61"/>
      <c r="J6" s="61"/>
      <c r="K6" s="61"/>
      <c r="L6" s="61"/>
      <c r="M6" s="61"/>
      <c r="N6" s="61"/>
    </row>
    <row r="7" spans="1:14" x14ac:dyDescent="0.3">
      <c r="A7" s="63" t="s">
        <v>101</v>
      </c>
      <c r="B7" s="64">
        <v>2000000</v>
      </c>
      <c r="C7" s="64">
        <v>2000000</v>
      </c>
      <c r="D7" s="64">
        <v>2000000</v>
      </c>
      <c r="E7" s="64">
        <v>2000000</v>
      </c>
      <c r="F7" s="64">
        <v>2000000</v>
      </c>
      <c r="G7" s="64">
        <v>2000000</v>
      </c>
      <c r="H7" s="64">
        <v>2000000</v>
      </c>
      <c r="I7" s="64">
        <v>2000000</v>
      </c>
      <c r="J7" s="64">
        <v>2000000</v>
      </c>
      <c r="K7" s="64">
        <v>2000000</v>
      </c>
      <c r="L7" s="64">
        <v>2000000</v>
      </c>
      <c r="M7" s="64">
        <v>2000000</v>
      </c>
      <c r="N7" s="61">
        <f>SUM(B7:M7)</f>
        <v>24000000</v>
      </c>
    </row>
    <row r="8" spans="1:14" x14ac:dyDescent="0.3">
      <c r="A8" s="63" t="s">
        <v>16</v>
      </c>
      <c r="B8" s="64">
        <v>750000</v>
      </c>
      <c r="C8" s="64">
        <v>750000</v>
      </c>
      <c r="D8" s="64">
        <v>750000</v>
      </c>
      <c r="E8" s="64">
        <v>750000</v>
      </c>
      <c r="F8" s="64">
        <v>750000</v>
      </c>
      <c r="G8" s="64">
        <v>750000</v>
      </c>
      <c r="H8" s="64">
        <v>750000</v>
      </c>
      <c r="I8" s="64">
        <v>750000</v>
      </c>
      <c r="J8" s="64">
        <v>750000</v>
      </c>
      <c r="K8" s="64">
        <v>750000</v>
      </c>
      <c r="L8" s="64">
        <v>750000</v>
      </c>
      <c r="M8" s="64">
        <v>750000</v>
      </c>
      <c r="N8" s="61">
        <f>SUM(B8:M8)</f>
        <v>9000000</v>
      </c>
    </row>
    <row r="9" spans="1:14" x14ac:dyDescent="0.3">
      <c r="A9" s="63" t="s">
        <v>17</v>
      </c>
      <c r="B9" s="64">
        <v>300000</v>
      </c>
      <c r="C9" s="64">
        <v>300000</v>
      </c>
      <c r="D9" s="64">
        <v>300000</v>
      </c>
      <c r="E9" s="64">
        <v>300000</v>
      </c>
      <c r="F9" s="64">
        <v>300000</v>
      </c>
      <c r="G9" s="64">
        <v>300000</v>
      </c>
      <c r="H9" s="64">
        <v>300000</v>
      </c>
      <c r="I9" s="64">
        <v>300000</v>
      </c>
      <c r="J9" s="64">
        <v>300000</v>
      </c>
      <c r="K9" s="64">
        <v>300000</v>
      </c>
      <c r="L9" s="64">
        <v>300000</v>
      </c>
      <c r="M9" s="64">
        <v>300000</v>
      </c>
      <c r="N9" s="61">
        <f>SUM(B9:M9)</f>
        <v>3600000</v>
      </c>
    </row>
    <row r="10" spans="1:14" x14ac:dyDescent="0.3">
      <c r="A10" s="63" t="s">
        <v>18</v>
      </c>
      <c r="B10" s="64">
        <v>500000</v>
      </c>
      <c r="C10" s="64">
        <v>500000</v>
      </c>
      <c r="D10" s="64">
        <v>500000</v>
      </c>
      <c r="E10" s="64">
        <v>500000</v>
      </c>
      <c r="F10" s="64">
        <v>500000</v>
      </c>
      <c r="G10" s="64">
        <v>500000</v>
      </c>
      <c r="H10" s="64">
        <v>500000</v>
      </c>
      <c r="I10" s="64">
        <v>500000</v>
      </c>
      <c r="J10" s="64">
        <v>500000</v>
      </c>
      <c r="K10" s="64">
        <v>500000</v>
      </c>
      <c r="L10" s="64">
        <v>500000</v>
      </c>
      <c r="M10" s="64">
        <v>500000</v>
      </c>
      <c r="N10" s="61">
        <f>SUM(B10:M10)</f>
        <v>6000000</v>
      </c>
    </row>
    <row r="11" spans="1:14" x14ac:dyDescent="0.3">
      <c r="A11" s="65" t="s">
        <v>1</v>
      </c>
      <c r="B11" s="66">
        <f>SUM(B7:B10)</f>
        <v>3550000</v>
      </c>
      <c r="C11" s="66">
        <f t="shared" ref="C11:N11" si="0">SUM(C7:C10)</f>
        <v>3550000</v>
      </c>
      <c r="D11" s="66">
        <f t="shared" si="0"/>
        <v>3550000</v>
      </c>
      <c r="E11" s="66">
        <f t="shared" si="0"/>
        <v>3550000</v>
      </c>
      <c r="F11" s="66">
        <f t="shared" si="0"/>
        <v>3550000</v>
      </c>
      <c r="G11" s="66">
        <f t="shared" si="0"/>
        <v>3550000</v>
      </c>
      <c r="H11" s="66">
        <f t="shared" si="0"/>
        <v>3550000</v>
      </c>
      <c r="I11" s="66">
        <f t="shared" si="0"/>
        <v>3550000</v>
      </c>
      <c r="J11" s="66">
        <f t="shared" si="0"/>
        <v>3550000</v>
      </c>
      <c r="K11" s="66">
        <f t="shared" si="0"/>
        <v>3550000</v>
      </c>
      <c r="L11" s="66">
        <f t="shared" si="0"/>
        <v>3550000</v>
      </c>
      <c r="M11" s="66">
        <f t="shared" si="0"/>
        <v>3550000</v>
      </c>
      <c r="N11" s="66">
        <f t="shared" si="0"/>
        <v>42600000</v>
      </c>
    </row>
    <row r="12" spans="1:14" x14ac:dyDescent="0.3">
      <c r="A12" s="67" t="s">
        <v>103</v>
      </c>
      <c r="B12" s="61"/>
      <c r="C12" s="61"/>
      <c r="D12" s="61"/>
      <c r="E12" s="61"/>
      <c r="F12" s="61"/>
      <c r="G12" s="61"/>
      <c r="H12" s="61"/>
      <c r="I12" s="61"/>
      <c r="J12" s="61"/>
      <c r="K12" s="61"/>
      <c r="L12" s="61"/>
      <c r="M12" s="61"/>
      <c r="N12" s="61"/>
    </row>
    <row r="13" spans="1:14" x14ac:dyDescent="0.3">
      <c r="A13" s="63" t="s">
        <v>29</v>
      </c>
      <c r="B13" s="64">
        <v>-250000</v>
      </c>
      <c r="C13" s="64">
        <v>-250000</v>
      </c>
      <c r="D13" s="64">
        <v>-250000</v>
      </c>
      <c r="E13" s="64">
        <v>-250000</v>
      </c>
      <c r="F13" s="64">
        <v>-250000</v>
      </c>
      <c r="G13" s="64">
        <v>-250000</v>
      </c>
      <c r="H13" s="64">
        <v>-250000</v>
      </c>
      <c r="I13" s="64">
        <v>-250000</v>
      </c>
      <c r="J13" s="64">
        <v>-250000</v>
      </c>
      <c r="K13" s="64">
        <v>-250000</v>
      </c>
      <c r="L13" s="64">
        <v>-250000</v>
      </c>
      <c r="M13" s="64">
        <v>-250000</v>
      </c>
      <c r="N13" s="61">
        <f t="shared" ref="N13:N19" si="1">SUM(B13:M13)</f>
        <v>-3000000</v>
      </c>
    </row>
    <row r="14" spans="1:14" x14ac:dyDescent="0.3">
      <c r="A14" s="63" t="s">
        <v>56</v>
      </c>
      <c r="B14" s="64">
        <v>-250000</v>
      </c>
      <c r="C14" s="64">
        <v>-250000</v>
      </c>
      <c r="D14" s="64">
        <v>-250000</v>
      </c>
      <c r="E14" s="64">
        <v>-250000</v>
      </c>
      <c r="F14" s="64">
        <v>-250000</v>
      </c>
      <c r="G14" s="64">
        <v>-250000</v>
      </c>
      <c r="H14" s="64">
        <v>-250000</v>
      </c>
      <c r="I14" s="64">
        <v>-250000</v>
      </c>
      <c r="J14" s="64">
        <v>-250000</v>
      </c>
      <c r="K14" s="64">
        <v>-250000</v>
      </c>
      <c r="L14" s="64">
        <v>-250000</v>
      </c>
      <c r="M14" s="64">
        <v>-250000</v>
      </c>
      <c r="N14" s="61">
        <f t="shared" si="1"/>
        <v>-3000000</v>
      </c>
    </row>
    <row r="15" spans="1:14" x14ac:dyDescent="0.3">
      <c r="A15" s="63" t="s">
        <v>58</v>
      </c>
      <c r="B15" s="64">
        <v>-250000</v>
      </c>
      <c r="C15" s="64">
        <v>-250000</v>
      </c>
      <c r="D15" s="64">
        <v>-250000</v>
      </c>
      <c r="E15" s="64">
        <v>-250000</v>
      </c>
      <c r="F15" s="64">
        <v>-250000</v>
      </c>
      <c r="G15" s="64">
        <v>-250000</v>
      </c>
      <c r="H15" s="64">
        <v>-250000</v>
      </c>
      <c r="I15" s="64">
        <v>-250000</v>
      </c>
      <c r="J15" s="64">
        <v>-250000</v>
      </c>
      <c r="K15" s="64">
        <v>-250000</v>
      </c>
      <c r="L15" s="64">
        <v>-250000</v>
      </c>
      <c r="M15" s="64">
        <v>-250000</v>
      </c>
      <c r="N15" s="61">
        <f t="shared" si="1"/>
        <v>-3000000</v>
      </c>
    </row>
    <row r="16" spans="1:14" x14ac:dyDescent="0.3">
      <c r="A16" s="63" t="s">
        <v>55</v>
      </c>
      <c r="B16" s="64">
        <v>-250000</v>
      </c>
      <c r="C16" s="64">
        <v>-250000</v>
      </c>
      <c r="D16" s="64">
        <v>-250000</v>
      </c>
      <c r="E16" s="64">
        <v>-250000</v>
      </c>
      <c r="F16" s="64">
        <v>-250000</v>
      </c>
      <c r="G16" s="64">
        <v>-250000</v>
      </c>
      <c r="H16" s="64">
        <v>-250000</v>
      </c>
      <c r="I16" s="64">
        <v>-250000</v>
      </c>
      <c r="J16" s="64">
        <v>-250000</v>
      </c>
      <c r="K16" s="64">
        <v>-250000</v>
      </c>
      <c r="L16" s="64">
        <v>-250000</v>
      </c>
      <c r="M16" s="64">
        <v>-250000</v>
      </c>
      <c r="N16" s="61">
        <f t="shared" si="1"/>
        <v>-3000000</v>
      </c>
    </row>
    <row r="17" spans="1:14" x14ac:dyDescent="0.3">
      <c r="A17" s="63" t="s">
        <v>31</v>
      </c>
      <c r="B17" s="64">
        <v>-250000</v>
      </c>
      <c r="C17" s="64">
        <v>-250000</v>
      </c>
      <c r="D17" s="64">
        <v>-250000</v>
      </c>
      <c r="E17" s="64">
        <v>-250000</v>
      </c>
      <c r="F17" s="64">
        <v>-250000</v>
      </c>
      <c r="G17" s="64">
        <v>-250000</v>
      </c>
      <c r="H17" s="64">
        <v>-250000</v>
      </c>
      <c r="I17" s="64">
        <v>-250000</v>
      </c>
      <c r="J17" s="64">
        <v>-250000</v>
      </c>
      <c r="K17" s="64">
        <v>-250000</v>
      </c>
      <c r="L17" s="64">
        <v>-250000</v>
      </c>
      <c r="M17" s="64">
        <v>-250000</v>
      </c>
      <c r="N17" s="61">
        <f t="shared" si="1"/>
        <v>-3000000</v>
      </c>
    </row>
    <row r="18" spans="1:14" x14ac:dyDescent="0.3">
      <c r="A18" s="63" t="s">
        <v>57</v>
      </c>
      <c r="B18" s="64">
        <v>-250000</v>
      </c>
      <c r="C18" s="64">
        <v>-250000</v>
      </c>
      <c r="D18" s="64">
        <v>-250000</v>
      </c>
      <c r="E18" s="64">
        <v>-250000</v>
      </c>
      <c r="F18" s="64">
        <v>-250000</v>
      </c>
      <c r="G18" s="64">
        <v>-250000</v>
      </c>
      <c r="H18" s="64">
        <v>-250000</v>
      </c>
      <c r="I18" s="64">
        <v>-250000</v>
      </c>
      <c r="J18" s="64">
        <v>-250000</v>
      </c>
      <c r="K18" s="64">
        <v>-250000</v>
      </c>
      <c r="L18" s="64">
        <v>-250000</v>
      </c>
      <c r="M18" s="64">
        <v>-250000</v>
      </c>
      <c r="N18" s="61">
        <f t="shared" si="1"/>
        <v>-3000000</v>
      </c>
    </row>
    <row r="19" spans="1:14" x14ac:dyDescent="0.3">
      <c r="A19" s="63"/>
      <c r="B19" s="64">
        <v>-250000</v>
      </c>
      <c r="C19" s="64">
        <v>-250000</v>
      </c>
      <c r="D19" s="64">
        <v>-250000</v>
      </c>
      <c r="E19" s="64">
        <v>-250000</v>
      </c>
      <c r="F19" s="64">
        <v>-250000</v>
      </c>
      <c r="G19" s="64">
        <v>-250000</v>
      </c>
      <c r="H19" s="64">
        <v>-250000</v>
      </c>
      <c r="I19" s="64">
        <v>-250000</v>
      </c>
      <c r="J19" s="64">
        <v>-250000</v>
      </c>
      <c r="K19" s="64">
        <v>-250000</v>
      </c>
      <c r="L19" s="64">
        <v>-250000</v>
      </c>
      <c r="M19" s="64">
        <v>-250000</v>
      </c>
      <c r="N19" s="61">
        <f t="shared" si="1"/>
        <v>-3000000</v>
      </c>
    </row>
    <row r="20" spans="1:14" x14ac:dyDescent="0.3">
      <c r="A20" s="65" t="s">
        <v>1</v>
      </c>
      <c r="B20" s="68">
        <f t="shared" ref="B20:N20" si="2">SUM(B13:B19)</f>
        <v>-1750000</v>
      </c>
      <c r="C20" s="68">
        <f t="shared" si="2"/>
        <v>-1750000</v>
      </c>
      <c r="D20" s="68">
        <f t="shared" si="2"/>
        <v>-1750000</v>
      </c>
      <c r="E20" s="68">
        <f t="shared" si="2"/>
        <v>-1750000</v>
      </c>
      <c r="F20" s="68">
        <f t="shared" si="2"/>
        <v>-1750000</v>
      </c>
      <c r="G20" s="68">
        <f t="shared" si="2"/>
        <v>-1750000</v>
      </c>
      <c r="H20" s="68">
        <f t="shared" si="2"/>
        <v>-1750000</v>
      </c>
      <c r="I20" s="68">
        <f t="shared" si="2"/>
        <v>-1750000</v>
      </c>
      <c r="J20" s="68">
        <f t="shared" si="2"/>
        <v>-1750000</v>
      </c>
      <c r="K20" s="68">
        <f t="shared" si="2"/>
        <v>-1750000</v>
      </c>
      <c r="L20" s="68">
        <f t="shared" si="2"/>
        <v>-1750000</v>
      </c>
      <c r="M20" s="68">
        <f t="shared" si="2"/>
        <v>-1750000</v>
      </c>
      <c r="N20" s="68">
        <f t="shared" si="2"/>
        <v>-21000000</v>
      </c>
    </row>
    <row r="21" spans="1:14" x14ac:dyDescent="0.3">
      <c r="A21" s="111" t="s">
        <v>89</v>
      </c>
      <c r="B21" s="113">
        <f t="shared" ref="B21:N21" si="3">B11+B20</f>
        <v>1800000</v>
      </c>
      <c r="C21" s="113">
        <f t="shared" si="3"/>
        <v>1800000</v>
      </c>
      <c r="D21" s="113">
        <f t="shared" si="3"/>
        <v>1800000</v>
      </c>
      <c r="E21" s="113">
        <f t="shared" si="3"/>
        <v>1800000</v>
      </c>
      <c r="F21" s="113">
        <f t="shared" si="3"/>
        <v>1800000</v>
      </c>
      <c r="G21" s="113">
        <f t="shared" si="3"/>
        <v>1800000</v>
      </c>
      <c r="H21" s="113">
        <f t="shared" si="3"/>
        <v>1800000</v>
      </c>
      <c r="I21" s="113">
        <f t="shared" si="3"/>
        <v>1800000</v>
      </c>
      <c r="J21" s="113">
        <f t="shared" si="3"/>
        <v>1800000</v>
      </c>
      <c r="K21" s="113">
        <f t="shared" si="3"/>
        <v>1800000</v>
      </c>
      <c r="L21" s="113">
        <f t="shared" si="3"/>
        <v>1800000</v>
      </c>
      <c r="M21" s="113">
        <f t="shared" si="3"/>
        <v>1800000</v>
      </c>
      <c r="N21" s="113">
        <f t="shared" si="3"/>
        <v>21600000</v>
      </c>
    </row>
    <row r="22" spans="1:14" x14ac:dyDescent="0.3">
      <c r="A22" s="63"/>
      <c r="B22" s="61"/>
      <c r="C22" s="61"/>
      <c r="D22" s="61"/>
      <c r="E22" s="61"/>
      <c r="F22" s="61"/>
      <c r="G22" s="61" t="s">
        <v>19</v>
      </c>
      <c r="H22" s="61"/>
      <c r="I22" s="61"/>
      <c r="J22" s="61"/>
      <c r="K22" s="61"/>
      <c r="L22" s="61"/>
      <c r="M22" s="61"/>
      <c r="N22" s="61"/>
    </row>
    <row r="23" spans="1:14" x14ac:dyDescent="0.3">
      <c r="A23" s="67" t="s">
        <v>20</v>
      </c>
      <c r="B23" s="61"/>
      <c r="C23" s="61"/>
      <c r="D23" s="61"/>
      <c r="E23" s="61"/>
      <c r="F23" s="61"/>
      <c r="G23" s="61"/>
      <c r="H23" s="61"/>
      <c r="I23" s="61"/>
      <c r="J23" s="61"/>
      <c r="K23" s="61"/>
      <c r="L23" s="61"/>
      <c r="M23" s="61"/>
      <c r="N23" s="61"/>
    </row>
    <row r="24" spans="1:14" x14ac:dyDescent="0.3">
      <c r="A24" s="63" t="s">
        <v>21</v>
      </c>
      <c r="B24" s="64">
        <v>-200000</v>
      </c>
      <c r="C24" s="64">
        <v>-200000</v>
      </c>
      <c r="D24" s="64">
        <v>-200000</v>
      </c>
      <c r="E24" s="64">
        <v>-200000</v>
      </c>
      <c r="F24" s="64">
        <v>-200000</v>
      </c>
      <c r="G24" s="64">
        <v>-200000</v>
      </c>
      <c r="H24" s="64">
        <v>-200000</v>
      </c>
      <c r="I24" s="64">
        <v>-200000</v>
      </c>
      <c r="J24" s="64">
        <v>-200000</v>
      </c>
      <c r="K24" s="64">
        <v>-200000</v>
      </c>
      <c r="L24" s="64">
        <v>-200000</v>
      </c>
      <c r="M24" s="64">
        <v>-200000</v>
      </c>
      <c r="N24" s="61">
        <f>SUM(B24:M24)</f>
        <v>-2400000</v>
      </c>
    </row>
    <row r="25" spans="1:14" x14ac:dyDescent="0.3">
      <c r="A25" s="63" t="s">
        <v>22</v>
      </c>
      <c r="B25" s="64">
        <v>-200000</v>
      </c>
      <c r="C25" s="64">
        <v>-200000</v>
      </c>
      <c r="D25" s="64">
        <v>-200000</v>
      </c>
      <c r="E25" s="64">
        <v>-200000</v>
      </c>
      <c r="F25" s="64">
        <v>-200000</v>
      </c>
      <c r="G25" s="64">
        <v>-200000</v>
      </c>
      <c r="H25" s="64">
        <v>-200000</v>
      </c>
      <c r="I25" s="64">
        <v>-200000</v>
      </c>
      <c r="J25" s="64">
        <v>-200000</v>
      </c>
      <c r="K25" s="64">
        <v>-200000</v>
      </c>
      <c r="L25" s="64">
        <v>-200000</v>
      </c>
      <c r="M25" s="64">
        <v>-200000</v>
      </c>
      <c r="N25" s="61">
        <f>SUM(B25:M25)</f>
        <v>-2400000</v>
      </c>
    </row>
    <row r="26" spans="1:14" x14ac:dyDescent="0.3">
      <c r="A26" s="111" t="s">
        <v>23</v>
      </c>
      <c r="B26" s="113">
        <f t="shared" ref="B26:N26" si="4">SUM(B24:B25)</f>
        <v>-400000</v>
      </c>
      <c r="C26" s="113">
        <f t="shared" si="4"/>
        <v>-400000</v>
      </c>
      <c r="D26" s="113">
        <f t="shared" si="4"/>
        <v>-400000</v>
      </c>
      <c r="E26" s="113">
        <f t="shared" si="4"/>
        <v>-400000</v>
      </c>
      <c r="F26" s="113">
        <f t="shared" si="4"/>
        <v>-400000</v>
      </c>
      <c r="G26" s="113">
        <f t="shared" si="4"/>
        <v>-400000</v>
      </c>
      <c r="H26" s="113">
        <f t="shared" si="4"/>
        <v>-400000</v>
      </c>
      <c r="I26" s="113">
        <f t="shared" si="4"/>
        <v>-400000</v>
      </c>
      <c r="J26" s="113">
        <f t="shared" si="4"/>
        <v>-400000</v>
      </c>
      <c r="K26" s="113">
        <f t="shared" si="4"/>
        <v>-400000</v>
      </c>
      <c r="L26" s="113">
        <f t="shared" si="4"/>
        <v>-400000</v>
      </c>
      <c r="M26" s="113">
        <f t="shared" si="4"/>
        <v>-400000</v>
      </c>
      <c r="N26" s="113">
        <f t="shared" si="4"/>
        <v>-4800000</v>
      </c>
    </row>
    <row r="27" spans="1:14" x14ac:dyDescent="0.3">
      <c r="A27" s="63"/>
      <c r="B27" s="61"/>
      <c r="C27" s="61"/>
      <c r="D27" s="61"/>
      <c r="E27" s="61"/>
      <c r="F27" s="61"/>
      <c r="G27" s="61"/>
      <c r="H27" s="61"/>
      <c r="I27" s="61"/>
      <c r="J27" s="61"/>
      <c r="K27" s="61"/>
      <c r="L27" s="61"/>
      <c r="M27" s="61"/>
      <c r="N27" s="61"/>
    </row>
    <row r="28" spans="1:14" x14ac:dyDescent="0.3">
      <c r="A28" s="67" t="s">
        <v>24</v>
      </c>
      <c r="B28" s="61"/>
      <c r="C28" s="61"/>
      <c r="D28" s="61"/>
      <c r="E28" s="61"/>
      <c r="F28" s="61"/>
      <c r="G28" s="61"/>
      <c r="H28" s="61"/>
      <c r="I28" s="61"/>
      <c r="J28" s="61"/>
      <c r="K28" s="61"/>
      <c r="L28" s="61"/>
      <c r="M28" s="61"/>
      <c r="N28" s="61"/>
    </row>
    <row r="29" spans="1:14" x14ac:dyDescent="0.3">
      <c r="A29" s="63" t="s">
        <v>25</v>
      </c>
      <c r="B29" s="64">
        <v>0</v>
      </c>
      <c r="C29" s="64">
        <v>0</v>
      </c>
      <c r="D29" s="64">
        <v>0</v>
      </c>
      <c r="E29" s="64">
        <v>0</v>
      </c>
      <c r="F29" s="64">
        <v>0</v>
      </c>
      <c r="G29" s="64">
        <v>0</v>
      </c>
      <c r="H29" s="64">
        <v>0</v>
      </c>
      <c r="I29" s="64">
        <v>0</v>
      </c>
      <c r="J29" s="64">
        <v>0</v>
      </c>
      <c r="K29" s="64">
        <v>0</v>
      </c>
      <c r="L29" s="64">
        <v>0</v>
      </c>
      <c r="M29" s="64">
        <v>0</v>
      </c>
      <c r="N29" s="61">
        <f>SUM(B29:M29)</f>
        <v>0</v>
      </c>
    </row>
    <row r="30" spans="1:14" x14ac:dyDescent="0.3">
      <c r="A30" s="63" t="s">
        <v>26</v>
      </c>
      <c r="B30" s="64">
        <v>0</v>
      </c>
      <c r="C30" s="64">
        <v>0</v>
      </c>
      <c r="D30" s="64">
        <v>0</v>
      </c>
      <c r="E30" s="64">
        <v>0</v>
      </c>
      <c r="F30" s="64">
        <v>0</v>
      </c>
      <c r="G30" s="64">
        <v>0</v>
      </c>
      <c r="H30" s="64">
        <v>0</v>
      </c>
      <c r="I30" s="64">
        <v>0</v>
      </c>
      <c r="J30" s="64">
        <v>0</v>
      </c>
      <c r="K30" s="64">
        <v>0</v>
      </c>
      <c r="L30" s="64">
        <v>0</v>
      </c>
      <c r="M30" s="64">
        <v>0</v>
      </c>
      <c r="N30" s="61">
        <f>SUM(B30:M30)</f>
        <v>0</v>
      </c>
    </row>
    <row r="31" spans="1:14" x14ac:dyDescent="0.3">
      <c r="A31" s="111" t="s">
        <v>27</v>
      </c>
      <c r="B31" s="113">
        <f t="shared" ref="B31:N31" si="5">SUM(B29:B30)</f>
        <v>0</v>
      </c>
      <c r="C31" s="113">
        <f t="shared" si="5"/>
        <v>0</v>
      </c>
      <c r="D31" s="113">
        <f t="shared" si="5"/>
        <v>0</v>
      </c>
      <c r="E31" s="113">
        <f t="shared" si="5"/>
        <v>0</v>
      </c>
      <c r="F31" s="113">
        <f t="shared" si="5"/>
        <v>0</v>
      </c>
      <c r="G31" s="113">
        <f t="shared" si="5"/>
        <v>0</v>
      </c>
      <c r="H31" s="113">
        <f t="shared" si="5"/>
        <v>0</v>
      </c>
      <c r="I31" s="113">
        <f t="shared" si="5"/>
        <v>0</v>
      </c>
      <c r="J31" s="113">
        <f t="shared" si="5"/>
        <v>0</v>
      </c>
      <c r="K31" s="113">
        <f t="shared" si="5"/>
        <v>0</v>
      </c>
      <c r="L31" s="113">
        <f t="shared" si="5"/>
        <v>0</v>
      </c>
      <c r="M31" s="113">
        <f t="shared" si="5"/>
        <v>0</v>
      </c>
      <c r="N31" s="113">
        <f t="shared" si="5"/>
        <v>0</v>
      </c>
    </row>
    <row r="32" spans="1:14" x14ac:dyDescent="0.3">
      <c r="A32" s="69"/>
      <c r="B32" s="61"/>
      <c r="C32" s="61"/>
      <c r="D32" s="61"/>
      <c r="E32" s="61"/>
      <c r="F32" s="61"/>
      <c r="G32" s="61"/>
      <c r="H32" s="61"/>
      <c r="I32" s="61"/>
      <c r="J32" s="61"/>
      <c r="K32" s="61"/>
      <c r="L32" s="61"/>
      <c r="M32" s="61"/>
      <c r="N32" s="61"/>
    </row>
    <row r="33" spans="1:14" s="100" customFormat="1" x14ac:dyDescent="0.3">
      <c r="A33" s="112" t="s">
        <v>28</v>
      </c>
      <c r="B33" s="114">
        <f>B21+B26+B31</f>
        <v>1400000</v>
      </c>
      <c r="C33" s="114">
        <f t="shared" ref="C33:N33" si="6">C21+C26+C31</f>
        <v>1400000</v>
      </c>
      <c r="D33" s="114">
        <f t="shared" si="6"/>
        <v>1400000</v>
      </c>
      <c r="E33" s="114">
        <f t="shared" si="6"/>
        <v>1400000</v>
      </c>
      <c r="F33" s="114">
        <f t="shared" si="6"/>
        <v>1400000</v>
      </c>
      <c r="G33" s="114">
        <f t="shared" si="6"/>
        <v>1400000</v>
      </c>
      <c r="H33" s="114">
        <f t="shared" si="6"/>
        <v>1400000</v>
      </c>
      <c r="I33" s="114">
        <f t="shared" si="6"/>
        <v>1400000</v>
      </c>
      <c r="J33" s="114">
        <f t="shared" si="6"/>
        <v>1400000</v>
      </c>
      <c r="K33" s="114">
        <f t="shared" si="6"/>
        <v>1400000</v>
      </c>
      <c r="L33" s="114">
        <f t="shared" si="6"/>
        <v>1400000</v>
      </c>
      <c r="M33" s="114">
        <f t="shared" si="6"/>
        <v>1400000</v>
      </c>
      <c r="N33" s="114">
        <f t="shared" si="6"/>
        <v>16800000</v>
      </c>
    </row>
  </sheetData>
  <mergeCells count="1">
    <mergeCell ref="A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66A3-3D67-499C-A790-F11CB3E20CE1}">
  <sheetPr codeName="Sheet1">
    <tabColor theme="8" tint="0.79998168889431442"/>
  </sheetPr>
  <dimension ref="B1:ET405"/>
  <sheetViews>
    <sheetView zoomScale="91" zoomScaleNormal="91" workbookViewId="0">
      <pane xSplit="6" topLeftCell="G1" activePane="topRight" state="frozen"/>
      <selection activeCell="A64" sqref="A64"/>
      <selection pane="topRight" activeCell="M5" sqref="M5"/>
    </sheetView>
  </sheetViews>
  <sheetFormatPr defaultColWidth="9.109375" defaultRowHeight="14.25" outlineLevelRow="1" outlineLevelCol="1" x14ac:dyDescent="0.3"/>
  <cols>
    <col min="1" max="1" width="0" style="6" hidden="1" customWidth="1"/>
    <col min="2" max="2" width="2.44140625" style="6" hidden="1" customWidth="1"/>
    <col min="3" max="3" width="1.6640625" style="6" hidden="1" customWidth="1"/>
    <col min="4" max="4" width="3.44140625" style="6" hidden="1" customWidth="1"/>
    <col min="5" max="5" width="2.33203125" style="6" customWidth="1"/>
    <col min="6" max="6" width="22.77734375" style="6" bestFit="1" customWidth="1"/>
    <col min="7" max="7" width="1.6640625" style="1" customWidth="1"/>
    <col min="8" max="8" width="15.77734375" style="6" bestFit="1" customWidth="1"/>
    <col min="9" max="9" width="10" style="6" bestFit="1" customWidth="1"/>
    <col min="10" max="10" width="8.44140625" style="6" bestFit="1" customWidth="1"/>
    <col min="11" max="11" width="8.77734375" style="6" bestFit="1" customWidth="1"/>
    <col min="12" max="12" width="9.77734375" style="6" bestFit="1" customWidth="1"/>
    <col min="13" max="13" width="8.44140625" style="6" bestFit="1" customWidth="1"/>
    <col min="14" max="14" width="8.77734375" style="6" bestFit="1" customWidth="1"/>
    <col min="15" max="15" width="5.77734375" style="6" bestFit="1" customWidth="1"/>
    <col min="16" max="17" width="7.109375" style="6" bestFit="1" customWidth="1"/>
    <col min="18" max="18" width="2.109375" style="6" customWidth="1"/>
    <col min="19" max="20" width="9.33203125" style="6" hidden="1" customWidth="1" outlineLevel="1"/>
    <col min="21" max="21" width="9.44140625" style="6" hidden="1" customWidth="1" outlineLevel="1"/>
    <col min="22" max="30" width="9.33203125" style="6" hidden="1" customWidth="1" outlineLevel="1"/>
    <col min="31" max="31" width="9.33203125" style="6" customWidth="1" collapsed="1"/>
    <col min="32" max="43" width="7.109375" style="6" customWidth="1" outlineLevel="1"/>
    <col min="44" max="44" width="10" style="6" bestFit="1" customWidth="1"/>
    <col min="45" max="45" width="8.44140625" style="6" bestFit="1" customWidth="1"/>
    <col min="46" max="46" width="8.77734375" style="6" bestFit="1" customWidth="1"/>
    <col min="47" max="53" width="5.44140625" style="6" bestFit="1" customWidth="1" outlineLevel="1"/>
    <col min="54" max="54" width="6" style="6" bestFit="1" customWidth="1" outlineLevel="1"/>
    <col min="55" max="58" width="5.44140625" style="6" bestFit="1" customWidth="1" outlineLevel="1"/>
    <col min="59" max="59" width="5.44140625" style="6" bestFit="1" customWidth="1"/>
    <col min="60" max="61" width="7.109375" style="6" bestFit="1" customWidth="1"/>
    <col min="62" max="62" width="2.33203125" style="6" customWidth="1"/>
    <col min="63" max="63" width="7.77734375" style="6" customWidth="1"/>
    <col min="64" max="64" width="2.77734375" style="6" customWidth="1"/>
    <col min="65" max="65" width="8.77734375" style="6" bestFit="1" customWidth="1"/>
    <col min="66" max="103" width="9.109375" style="1"/>
    <col min="104" max="104" width="6" style="1" bestFit="1" customWidth="1"/>
    <col min="105" max="150" width="9.109375" style="1"/>
    <col min="151" max="16384" width="9.109375" style="6"/>
  </cols>
  <sheetData>
    <row r="1" spans="2:150" s="1" customFormat="1" x14ac:dyDescent="0.3">
      <c r="B1" s="81"/>
      <c r="C1" s="81"/>
      <c r="D1" s="81"/>
      <c r="E1" s="81"/>
      <c r="CZ1" s="130" t="s">
        <v>3</v>
      </c>
    </row>
    <row r="2" spans="2:150" s="1" customFormat="1" ht="14.25" customHeight="1" x14ac:dyDescent="0.3">
      <c r="B2" s="81"/>
      <c r="C2" s="81"/>
      <c r="D2" s="81"/>
      <c r="E2" s="81"/>
      <c r="CZ2" s="130" t="s">
        <v>4</v>
      </c>
    </row>
    <row r="3" spans="2:150" s="1" customFormat="1" ht="14.25" customHeight="1" x14ac:dyDescent="0.3">
      <c r="B3" s="81"/>
      <c r="C3" s="81"/>
      <c r="D3" s="81"/>
      <c r="E3" s="81"/>
      <c r="CZ3" s="130" t="s">
        <v>32</v>
      </c>
    </row>
    <row r="4" spans="2:150" s="1" customFormat="1" x14ac:dyDescent="0.3">
      <c r="B4" s="81"/>
      <c r="C4" s="81"/>
      <c r="D4" s="81"/>
      <c r="E4" s="81"/>
      <c r="F4" s="2"/>
      <c r="H4" s="246"/>
      <c r="I4" s="246"/>
      <c r="CZ4" s="130" t="s">
        <v>33</v>
      </c>
    </row>
    <row r="5" spans="2:150" s="1" customFormat="1" x14ac:dyDescent="0.3">
      <c r="B5" s="81"/>
      <c r="C5" s="81"/>
      <c r="D5" s="81"/>
      <c r="E5" s="81"/>
      <c r="F5" s="3"/>
      <c r="CZ5" s="130" t="s">
        <v>7</v>
      </c>
    </row>
    <row r="6" spans="2:150" s="1" customFormat="1" ht="15" thickBot="1" x14ac:dyDescent="0.35">
      <c r="B6" s="81"/>
      <c r="C6" s="81"/>
      <c r="D6" s="81"/>
      <c r="E6" s="81"/>
      <c r="F6" s="2"/>
      <c r="H6" s="106" t="s">
        <v>82</v>
      </c>
      <c r="I6" s="106" t="s">
        <v>12</v>
      </c>
      <c r="L6" s="106" t="s">
        <v>35</v>
      </c>
      <c r="O6" s="106" t="s">
        <v>82</v>
      </c>
      <c r="S6" s="108"/>
      <c r="T6" s="108"/>
      <c r="U6" s="108"/>
      <c r="V6" s="108"/>
      <c r="W6" s="108"/>
      <c r="X6" s="108"/>
      <c r="Y6" s="108"/>
      <c r="Z6" s="108"/>
      <c r="AA6" s="108"/>
      <c r="AB6" s="108"/>
      <c r="AC6" s="108"/>
      <c r="AD6" s="108"/>
      <c r="AE6" s="106" t="s">
        <v>14</v>
      </c>
      <c r="AR6" s="104" t="s">
        <v>14</v>
      </c>
      <c r="BG6" s="141" t="s">
        <v>82</v>
      </c>
      <c r="BI6" s="70"/>
      <c r="BJ6" s="70"/>
      <c r="BK6" s="70"/>
      <c r="BL6" s="70"/>
      <c r="BM6" s="70"/>
      <c r="CZ6" s="130" t="s">
        <v>34</v>
      </c>
    </row>
    <row r="7" spans="2:150" s="1" customFormat="1" x14ac:dyDescent="0.3">
      <c r="B7" s="81"/>
      <c r="C7" s="81"/>
      <c r="D7" s="81"/>
      <c r="E7" s="81"/>
      <c r="F7" s="2"/>
      <c r="H7" s="4"/>
      <c r="I7" s="4"/>
      <c r="L7" s="4"/>
      <c r="O7" s="70"/>
      <c r="P7" s="70"/>
      <c r="Q7" s="70"/>
      <c r="R7" s="70"/>
      <c r="S7" s="71"/>
      <c r="T7" s="71"/>
      <c r="U7" s="71"/>
      <c r="V7" s="71"/>
      <c r="W7" s="71"/>
      <c r="X7" s="71"/>
      <c r="Y7" s="71"/>
      <c r="Z7" s="71"/>
      <c r="AA7" s="71"/>
      <c r="AB7" s="71"/>
      <c r="AC7" s="71"/>
      <c r="AD7" s="71"/>
      <c r="AE7" s="72"/>
      <c r="AF7" s="70"/>
      <c r="AG7" s="70"/>
      <c r="AH7" s="70"/>
      <c r="AI7" s="70"/>
      <c r="AJ7" s="70"/>
      <c r="AK7" s="70"/>
      <c r="AL7" s="70"/>
      <c r="AM7" s="70"/>
      <c r="AN7" s="70"/>
      <c r="AO7" s="70"/>
      <c r="AP7" s="70"/>
      <c r="AQ7" s="70"/>
      <c r="AR7" s="72"/>
      <c r="AS7" s="70"/>
      <c r="AT7" s="70"/>
      <c r="AU7" s="70"/>
      <c r="AV7" s="70"/>
      <c r="AW7" s="70"/>
      <c r="AX7" s="70"/>
      <c r="AY7" s="70"/>
      <c r="AZ7" s="70"/>
      <c r="BA7" s="70"/>
      <c r="BB7" s="70"/>
      <c r="BC7" s="70"/>
      <c r="BD7" s="70"/>
      <c r="BE7" s="70"/>
      <c r="BF7" s="70"/>
      <c r="BG7" s="70"/>
      <c r="BH7" s="70"/>
      <c r="BI7" s="70"/>
      <c r="BJ7" s="70"/>
      <c r="BK7" s="70"/>
      <c r="BL7" s="70"/>
      <c r="BM7" s="70"/>
      <c r="CZ7" s="130" t="s">
        <v>9</v>
      </c>
    </row>
    <row r="8" spans="2:150" s="1" customFormat="1" hidden="1" x14ac:dyDescent="0.3">
      <c r="B8" s="81"/>
      <c r="C8" s="81"/>
      <c r="D8" s="81"/>
      <c r="E8" s="81"/>
      <c r="F8" s="2"/>
      <c r="H8" s="4"/>
      <c r="I8" s="4"/>
      <c r="O8" s="70"/>
      <c r="P8" s="70"/>
      <c r="Q8" s="70"/>
      <c r="R8" s="70"/>
      <c r="S8" s="71" t="str">
        <f>IF(S9&lt;=$AE$9,"yes","no")</f>
        <v>yes</v>
      </c>
      <c r="T8" s="71" t="str">
        <f t="shared" ref="T8:AD8" si="0">IF(T9&lt;=$AE$9,"yes","no")</f>
        <v>yes</v>
      </c>
      <c r="U8" s="71" t="str">
        <f t="shared" si="0"/>
        <v>yes</v>
      </c>
      <c r="V8" s="71" t="str">
        <f t="shared" si="0"/>
        <v>yes</v>
      </c>
      <c r="W8" s="71" t="str">
        <f t="shared" si="0"/>
        <v>yes</v>
      </c>
      <c r="X8" s="71" t="str">
        <f t="shared" si="0"/>
        <v>yes</v>
      </c>
      <c r="Y8" s="71" t="str">
        <f t="shared" si="0"/>
        <v>yes</v>
      </c>
      <c r="Z8" s="71" t="str">
        <f t="shared" si="0"/>
        <v>yes</v>
      </c>
      <c r="AA8" s="71" t="str">
        <f t="shared" si="0"/>
        <v>yes</v>
      </c>
      <c r="AB8" s="71" t="str">
        <f t="shared" si="0"/>
        <v>yes</v>
      </c>
      <c r="AC8" s="71" t="str">
        <f t="shared" si="0"/>
        <v>yes</v>
      </c>
      <c r="AD8" s="71" t="str">
        <f t="shared" si="0"/>
        <v>yes</v>
      </c>
      <c r="AE8" s="70"/>
      <c r="AF8" s="71" t="str">
        <f>IF(AF9&lt;=$AR$9,"yes","no")</f>
        <v>yes</v>
      </c>
      <c r="AG8" s="71" t="str">
        <f t="shared" ref="AG8:AQ8" si="1">IF(AG9&lt;=$AR$9,"yes","no")</f>
        <v>yes</v>
      </c>
      <c r="AH8" s="71" t="str">
        <f t="shared" si="1"/>
        <v>yes</v>
      </c>
      <c r="AI8" s="71" t="str">
        <f t="shared" si="1"/>
        <v>yes</v>
      </c>
      <c r="AJ8" s="71" t="str">
        <f t="shared" si="1"/>
        <v>yes</v>
      </c>
      <c r="AK8" s="71" t="str">
        <f t="shared" si="1"/>
        <v>yes</v>
      </c>
      <c r="AL8" s="71" t="str">
        <f t="shared" si="1"/>
        <v>yes</v>
      </c>
      <c r="AM8" s="71" t="str">
        <f t="shared" si="1"/>
        <v>yes</v>
      </c>
      <c r="AN8" s="71" t="str">
        <f t="shared" si="1"/>
        <v>yes</v>
      </c>
      <c r="AO8" s="71" t="str">
        <f t="shared" si="1"/>
        <v>yes</v>
      </c>
      <c r="AP8" s="71" t="str">
        <f t="shared" si="1"/>
        <v>yes</v>
      </c>
      <c r="AQ8" s="71" t="str">
        <f t="shared" si="1"/>
        <v>yes</v>
      </c>
      <c r="AR8" s="70"/>
      <c r="AS8" s="70"/>
      <c r="AT8" s="70"/>
      <c r="AU8" s="71" t="str">
        <f>IF(AU9&lt;=$BG$9,"yes","no")</f>
        <v>yes</v>
      </c>
      <c r="AV8" s="71" t="str">
        <f t="shared" ref="AV8:BF8" si="2">IF(AV9&lt;=$BG$9,"yes","no")</f>
        <v>yes</v>
      </c>
      <c r="AW8" s="71" t="str">
        <f t="shared" si="2"/>
        <v>yes</v>
      </c>
      <c r="AX8" s="71" t="str">
        <f t="shared" si="2"/>
        <v>yes</v>
      </c>
      <c r="AY8" s="71" t="str">
        <f t="shared" si="2"/>
        <v>yes</v>
      </c>
      <c r="AZ8" s="71" t="str">
        <f t="shared" si="2"/>
        <v>yes</v>
      </c>
      <c r="BA8" s="71" t="str">
        <f t="shared" si="2"/>
        <v>yes</v>
      </c>
      <c r="BB8" s="71" t="str">
        <f t="shared" si="2"/>
        <v>yes</v>
      </c>
      <c r="BC8" s="71" t="str">
        <f t="shared" si="2"/>
        <v>yes</v>
      </c>
      <c r="BD8" s="71" t="str">
        <f t="shared" si="2"/>
        <v>no</v>
      </c>
      <c r="BE8" s="71" t="str">
        <f t="shared" si="2"/>
        <v>no</v>
      </c>
      <c r="BF8" s="71" t="str">
        <f t="shared" si="2"/>
        <v>no</v>
      </c>
      <c r="BG8" s="70"/>
      <c r="BH8" s="70"/>
      <c r="BI8" s="70"/>
      <c r="BJ8" s="70"/>
      <c r="BK8" s="70"/>
      <c r="BL8" s="70"/>
      <c r="BM8" s="70"/>
      <c r="CZ8" s="130" t="s">
        <v>35</v>
      </c>
    </row>
    <row r="9" spans="2:150" s="1" customFormat="1" hidden="1" x14ac:dyDescent="0.3">
      <c r="B9" s="81"/>
      <c r="C9" s="81"/>
      <c r="D9" s="81"/>
      <c r="E9" s="81"/>
      <c r="H9" s="1">
        <f>INDEX($S$9:$AD$9,MATCH(H6,$S$10:$AD$10,0))</f>
        <v>9</v>
      </c>
      <c r="I9" s="1">
        <f>INDEX($AF$9:$AQ$9,MATCH(I6,$AF$10:$AQ$10,0))</f>
        <v>10</v>
      </c>
      <c r="L9" s="1">
        <f>INDEX($S$9:$AD$9,MATCH(L6,$S$10:$AD$10,0))</f>
        <v>8</v>
      </c>
      <c r="O9" s="70">
        <f>INDEX($AU$9:$BF$9,MATCH(O6,$AU$10:$BF$10,0))</f>
        <v>9</v>
      </c>
      <c r="P9" s="70"/>
      <c r="Q9" s="70"/>
      <c r="R9" s="70"/>
      <c r="S9" s="70">
        <v>1</v>
      </c>
      <c r="T9" s="70">
        <v>2</v>
      </c>
      <c r="U9" s="70">
        <v>3</v>
      </c>
      <c r="V9" s="70">
        <v>4</v>
      </c>
      <c r="W9" s="70">
        <v>5</v>
      </c>
      <c r="X9" s="70">
        <v>6</v>
      </c>
      <c r="Y9" s="70">
        <v>7</v>
      </c>
      <c r="Z9" s="70">
        <v>8</v>
      </c>
      <c r="AA9" s="70">
        <v>9</v>
      </c>
      <c r="AB9" s="70">
        <v>10</v>
      </c>
      <c r="AC9" s="70">
        <v>11</v>
      </c>
      <c r="AD9" s="70">
        <v>12</v>
      </c>
      <c r="AE9" s="70">
        <f>INDEX($S$9:$AD$9,MATCH(AE6,$S$10:$AD$10,0))</f>
        <v>12</v>
      </c>
      <c r="AF9" s="70">
        <v>1</v>
      </c>
      <c r="AG9" s="70">
        <v>2</v>
      </c>
      <c r="AH9" s="70">
        <v>3</v>
      </c>
      <c r="AI9" s="70">
        <v>4</v>
      </c>
      <c r="AJ9" s="70">
        <v>5</v>
      </c>
      <c r="AK9" s="70">
        <v>6</v>
      </c>
      <c r="AL9" s="70">
        <v>7</v>
      </c>
      <c r="AM9" s="70">
        <v>8</v>
      </c>
      <c r="AN9" s="70">
        <v>9</v>
      </c>
      <c r="AO9" s="70">
        <v>10</v>
      </c>
      <c r="AP9" s="70">
        <v>11</v>
      </c>
      <c r="AQ9" s="70">
        <v>12</v>
      </c>
      <c r="AR9" s="70">
        <f>INDEX($AF$9:$AQ$9,MATCH(AR6,$AF$10:$AQ$10,0))</f>
        <v>12</v>
      </c>
      <c r="AS9" s="70"/>
      <c r="AT9" s="70"/>
      <c r="AU9" s="70">
        <v>1</v>
      </c>
      <c r="AV9" s="70">
        <v>2</v>
      </c>
      <c r="AW9" s="70">
        <v>3</v>
      </c>
      <c r="AX9" s="70">
        <v>4</v>
      </c>
      <c r="AY9" s="70">
        <v>5</v>
      </c>
      <c r="AZ9" s="70">
        <v>6</v>
      </c>
      <c r="BA9" s="70">
        <v>7</v>
      </c>
      <c r="BB9" s="70">
        <v>8</v>
      </c>
      <c r="BC9" s="70">
        <v>9</v>
      </c>
      <c r="BD9" s="70">
        <v>10</v>
      </c>
      <c r="BE9" s="70">
        <v>11</v>
      </c>
      <c r="BF9" s="70">
        <v>12</v>
      </c>
      <c r="BG9" s="70">
        <f>INDEX($AU$9:$BF$9,MATCH(BG6,$AU$10:$BF$10,0))</f>
        <v>9</v>
      </c>
      <c r="BH9" s="70"/>
      <c r="BI9" s="70"/>
      <c r="BJ9" s="70"/>
      <c r="BK9" s="70"/>
      <c r="BL9" s="70"/>
      <c r="BM9" s="70"/>
      <c r="CZ9" s="130" t="s">
        <v>82</v>
      </c>
    </row>
    <row r="10" spans="2:150" x14ac:dyDescent="0.3">
      <c r="B10" s="81"/>
      <c r="C10" s="81"/>
      <c r="D10" s="81"/>
      <c r="E10" s="81"/>
      <c r="F10" s="256" t="s">
        <v>95</v>
      </c>
      <c r="G10" s="5"/>
      <c r="H10" s="103" t="s">
        <v>83</v>
      </c>
      <c r="I10" s="103" t="s">
        <v>83</v>
      </c>
      <c r="J10" s="103" t="s">
        <v>84</v>
      </c>
      <c r="K10" s="103" t="s">
        <v>84</v>
      </c>
      <c r="L10" s="103" t="s">
        <v>85</v>
      </c>
      <c r="M10" s="103" t="s">
        <v>84</v>
      </c>
      <c r="N10" s="103" t="s">
        <v>84</v>
      </c>
      <c r="O10" s="103" t="s">
        <v>83</v>
      </c>
      <c r="P10" s="103" t="s">
        <v>84</v>
      </c>
      <c r="Q10" s="103" t="s">
        <v>84</v>
      </c>
      <c r="R10" s="103"/>
      <c r="S10" s="103" t="s">
        <v>3</v>
      </c>
      <c r="T10" s="103" t="s">
        <v>4</v>
      </c>
      <c r="U10" s="103" t="s">
        <v>32</v>
      </c>
      <c r="V10" s="103" t="s">
        <v>33</v>
      </c>
      <c r="W10" s="103" t="s">
        <v>7</v>
      </c>
      <c r="X10" s="103" t="s">
        <v>34</v>
      </c>
      <c r="Y10" s="103" t="s">
        <v>9</v>
      </c>
      <c r="Z10" s="103" t="s">
        <v>35</v>
      </c>
      <c r="AA10" s="103" t="s">
        <v>82</v>
      </c>
      <c r="AB10" s="103" t="s">
        <v>12</v>
      </c>
      <c r="AC10" s="103" t="s">
        <v>13</v>
      </c>
      <c r="AD10" s="103" t="s">
        <v>14</v>
      </c>
      <c r="AE10" s="103" t="s">
        <v>86</v>
      </c>
      <c r="AF10" s="103" t="s">
        <v>3</v>
      </c>
      <c r="AG10" s="103" t="s">
        <v>4</v>
      </c>
      <c r="AH10" s="103" t="s">
        <v>32</v>
      </c>
      <c r="AI10" s="103" t="s">
        <v>33</v>
      </c>
      <c r="AJ10" s="103" t="s">
        <v>7</v>
      </c>
      <c r="AK10" s="103" t="s">
        <v>34</v>
      </c>
      <c r="AL10" s="103" t="s">
        <v>9</v>
      </c>
      <c r="AM10" s="103" t="s">
        <v>35</v>
      </c>
      <c r="AN10" s="103" t="s">
        <v>82</v>
      </c>
      <c r="AO10" s="103" t="s">
        <v>12</v>
      </c>
      <c r="AP10" s="103" t="s">
        <v>13</v>
      </c>
      <c r="AQ10" s="103" t="s">
        <v>14</v>
      </c>
      <c r="AR10" s="103" t="s">
        <v>86</v>
      </c>
      <c r="AS10" s="103" t="s">
        <v>84</v>
      </c>
      <c r="AT10" s="103" t="s">
        <v>84</v>
      </c>
      <c r="AU10" s="139" t="s">
        <v>3</v>
      </c>
      <c r="AV10" s="139" t="s">
        <v>4</v>
      </c>
      <c r="AW10" s="139" t="s">
        <v>32</v>
      </c>
      <c r="AX10" s="139" t="s">
        <v>33</v>
      </c>
      <c r="AY10" s="139" t="s">
        <v>7</v>
      </c>
      <c r="AZ10" s="139" t="s">
        <v>34</v>
      </c>
      <c r="BA10" s="139" t="s">
        <v>9</v>
      </c>
      <c r="BB10" s="139" t="s">
        <v>35</v>
      </c>
      <c r="BC10" s="139" t="s">
        <v>82</v>
      </c>
      <c r="BD10" s="139" t="s">
        <v>12</v>
      </c>
      <c r="BE10" s="139" t="s">
        <v>13</v>
      </c>
      <c r="BF10" s="139" t="s">
        <v>14</v>
      </c>
      <c r="BG10" s="139" t="s">
        <v>86</v>
      </c>
      <c r="BH10" s="139" t="s">
        <v>84</v>
      </c>
      <c r="BI10" s="139" t="s">
        <v>84</v>
      </c>
      <c r="BJ10" s="103"/>
      <c r="BK10" s="103" t="s">
        <v>607</v>
      </c>
      <c r="BL10" s="106"/>
      <c r="BM10" s="106"/>
      <c r="CZ10" s="130" t="s">
        <v>12</v>
      </c>
    </row>
    <row r="11" spans="2:150" ht="57.75" thickBot="1" x14ac:dyDescent="0.35">
      <c r="B11" s="81"/>
      <c r="C11" s="81"/>
      <c r="D11" s="81"/>
      <c r="E11" s="81"/>
      <c r="F11" s="257"/>
      <c r="G11" s="7"/>
      <c r="H11" s="104" t="s">
        <v>604</v>
      </c>
      <c r="I11" s="104" t="s">
        <v>600</v>
      </c>
      <c r="J11" s="104" t="s">
        <v>97</v>
      </c>
      <c r="K11" s="104" t="s">
        <v>98</v>
      </c>
      <c r="L11" s="104" t="s">
        <v>604</v>
      </c>
      <c r="M11" s="104" t="s">
        <v>97</v>
      </c>
      <c r="N11" s="104" t="s">
        <v>98</v>
      </c>
      <c r="O11" s="104" t="s">
        <v>96</v>
      </c>
      <c r="P11" s="104" t="s">
        <v>605</v>
      </c>
      <c r="Q11" s="104" t="s">
        <v>606</v>
      </c>
      <c r="R11" s="105"/>
      <c r="S11" s="104" t="s">
        <v>603</v>
      </c>
      <c r="T11" s="104" t="s">
        <v>603</v>
      </c>
      <c r="U11" s="104" t="s">
        <v>603</v>
      </c>
      <c r="V11" s="104" t="s">
        <v>603</v>
      </c>
      <c r="W11" s="104" t="s">
        <v>603</v>
      </c>
      <c r="X11" s="104" t="s">
        <v>603</v>
      </c>
      <c r="Y11" s="104" t="s">
        <v>603</v>
      </c>
      <c r="Z11" s="104" t="s">
        <v>603</v>
      </c>
      <c r="AA11" s="104" t="s">
        <v>603</v>
      </c>
      <c r="AB11" s="104" t="s">
        <v>603</v>
      </c>
      <c r="AC11" s="104" t="s">
        <v>603</v>
      </c>
      <c r="AD11" s="104" t="s">
        <v>603</v>
      </c>
      <c r="AE11" s="104" t="s">
        <v>603</v>
      </c>
      <c r="AF11" s="104" t="s">
        <v>600</v>
      </c>
      <c r="AG11" s="104" t="s">
        <v>600</v>
      </c>
      <c r="AH11" s="104" t="s">
        <v>600</v>
      </c>
      <c r="AI11" s="104" t="s">
        <v>600</v>
      </c>
      <c r="AJ11" s="104" t="s">
        <v>600</v>
      </c>
      <c r="AK11" s="104" t="s">
        <v>600</v>
      </c>
      <c r="AL11" s="104" t="s">
        <v>600</v>
      </c>
      <c r="AM11" s="104" t="s">
        <v>600</v>
      </c>
      <c r="AN11" s="104" t="s">
        <v>600</v>
      </c>
      <c r="AO11" s="104" t="s">
        <v>600</v>
      </c>
      <c r="AP11" s="104" t="s">
        <v>600</v>
      </c>
      <c r="AQ11" s="104" t="s">
        <v>600</v>
      </c>
      <c r="AR11" s="104" t="s">
        <v>600</v>
      </c>
      <c r="AS11" s="104" t="s">
        <v>97</v>
      </c>
      <c r="AT11" s="104" t="s">
        <v>98</v>
      </c>
      <c r="AU11" s="140" t="s">
        <v>96</v>
      </c>
      <c r="AV11" s="140" t="s">
        <v>96</v>
      </c>
      <c r="AW11" s="140" t="s">
        <v>96</v>
      </c>
      <c r="AX11" s="140" t="s">
        <v>96</v>
      </c>
      <c r="AY11" s="140" t="s">
        <v>96</v>
      </c>
      <c r="AZ11" s="140" t="s">
        <v>96</v>
      </c>
      <c r="BA11" s="140" t="s">
        <v>96</v>
      </c>
      <c r="BB11" s="140" t="s">
        <v>96</v>
      </c>
      <c r="BC11" s="140" t="s">
        <v>96</v>
      </c>
      <c r="BD11" s="140" t="s">
        <v>96</v>
      </c>
      <c r="BE11" s="140" t="s">
        <v>96</v>
      </c>
      <c r="BF11" s="140" t="s">
        <v>96</v>
      </c>
      <c r="BG11" s="140" t="s">
        <v>96</v>
      </c>
      <c r="BH11" s="140" t="s">
        <v>605</v>
      </c>
      <c r="BI11" s="140" t="s">
        <v>606</v>
      </c>
      <c r="BJ11" s="105"/>
      <c r="BK11" s="104" t="s">
        <v>0</v>
      </c>
      <c r="BL11" s="107"/>
      <c r="BM11" s="107" t="s">
        <v>99</v>
      </c>
      <c r="CZ11" s="130" t="s">
        <v>13</v>
      </c>
    </row>
    <row r="12" spans="2:150" ht="15" customHeight="1" thickBot="1" x14ac:dyDescent="0.35">
      <c r="B12" s="81"/>
      <c r="C12" s="81"/>
      <c r="D12" s="81"/>
      <c r="E12" s="81"/>
      <c r="F12" s="101" t="s">
        <v>87</v>
      </c>
      <c r="G12" s="99"/>
      <c r="H12" s="258"/>
      <c r="I12" s="259"/>
      <c r="J12" s="259"/>
      <c r="K12" s="259"/>
      <c r="L12" s="259"/>
      <c r="M12" s="259"/>
      <c r="N12" s="259"/>
      <c r="O12" s="259"/>
      <c r="P12" s="259"/>
      <c r="Q12" s="259"/>
      <c r="R12" s="259"/>
      <c r="S12" s="259"/>
      <c r="T12" s="259"/>
      <c r="U12" s="259"/>
      <c r="V12" s="259"/>
      <c r="W12" s="259"/>
      <c r="X12" s="259"/>
      <c r="Y12" s="259"/>
      <c r="Z12" s="259"/>
      <c r="AA12" s="259"/>
      <c r="AB12" s="259"/>
      <c r="AC12" s="259"/>
      <c r="AD12" s="259"/>
      <c r="AE12" s="259"/>
      <c r="AF12" s="259"/>
      <c r="AG12" s="259"/>
      <c r="AH12" s="259"/>
      <c r="AI12" s="259"/>
      <c r="AJ12" s="259"/>
      <c r="AK12" s="259"/>
      <c r="AL12" s="259"/>
      <c r="AM12" s="259"/>
      <c r="AN12" s="259"/>
      <c r="AO12" s="259"/>
      <c r="AP12" s="259"/>
      <c r="AQ12" s="259"/>
      <c r="AR12" s="259"/>
      <c r="AS12" s="259"/>
      <c r="AT12" s="259"/>
      <c r="AU12" s="259"/>
      <c r="AV12" s="259"/>
      <c r="AW12" s="259"/>
      <c r="AX12" s="259"/>
      <c r="AY12" s="259"/>
      <c r="AZ12" s="259"/>
      <c r="BA12" s="259"/>
      <c r="BB12" s="259"/>
      <c r="BC12" s="259"/>
      <c r="BD12" s="259"/>
      <c r="BE12" s="259"/>
      <c r="BF12" s="259"/>
      <c r="BG12" s="259"/>
      <c r="BH12" s="259"/>
      <c r="BI12" s="259"/>
      <c r="BJ12" s="259"/>
      <c r="BK12" s="259"/>
      <c r="BL12" s="102"/>
      <c r="BM12" s="102"/>
      <c r="CZ12" s="130" t="s">
        <v>14</v>
      </c>
    </row>
    <row r="13" spans="2:150" s="81" customFormat="1" ht="18.75" thickBot="1" x14ac:dyDescent="0.4">
      <c r="F13" s="115" t="s">
        <v>88</v>
      </c>
      <c r="G13" s="9"/>
      <c r="H13" s="76">
        <f t="shared" ref="H13:H18" si="3">INDEX($S13:$AD13,MATCH($H$9,$S$9:$AD$9,0))</f>
        <v>0</v>
      </c>
      <c r="I13" s="76">
        <f t="shared" ref="I13:I18" si="4">INDEX($AF13:$AQ13,MATCH($I$9,$AF$9:$AQ$9,0))</f>
        <v>0</v>
      </c>
      <c r="J13" s="76">
        <f>H13-I13</f>
        <v>0</v>
      </c>
      <c r="K13" s="77">
        <f>IFERROR(J13/I13,0)</f>
        <v>0</v>
      </c>
      <c r="L13" s="76">
        <f t="shared" ref="L13:L44" si="5">INDEX($S13:$AD13,MATCH($L$9,$S$9:$AD$9,0))</f>
        <v>0</v>
      </c>
      <c r="M13" s="76">
        <f t="shared" ref="M13" si="6">H13-L13</f>
        <v>0</v>
      </c>
      <c r="N13" s="77">
        <f>IFERROR(M13/L13,0)</f>
        <v>0</v>
      </c>
      <c r="O13" s="76">
        <f>INDEX($AU13:$BF13,MATCH($O$9,$AU$9:$BF$9,0))</f>
        <v>0</v>
      </c>
      <c r="P13" s="76">
        <f>H13-O13</f>
        <v>0</v>
      </c>
      <c r="Q13" s="77">
        <f>IFERROR(P13/O13,0)</f>
        <v>0</v>
      </c>
      <c r="R13" s="92"/>
      <c r="S13" s="76">
        <f>SUM(S14:S19)</f>
        <v>0</v>
      </c>
      <c r="T13" s="76">
        <f>SUM(T14:T19)</f>
        <v>0</v>
      </c>
      <c r="U13" s="76">
        <f>SUM(U14:U19)</f>
        <v>0</v>
      </c>
      <c r="V13" s="76">
        <f t="shared" ref="V13:AD13" si="7">SUM(V14:V19)</f>
        <v>0</v>
      </c>
      <c r="W13" s="76">
        <f t="shared" si="7"/>
        <v>0</v>
      </c>
      <c r="X13" s="76">
        <f t="shared" si="7"/>
        <v>0</v>
      </c>
      <c r="Y13" s="76">
        <f t="shared" si="7"/>
        <v>0</v>
      </c>
      <c r="Z13" s="76">
        <f>SUM(Z14:Z19)</f>
        <v>0</v>
      </c>
      <c r="AA13" s="76">
        <f t="shared" si="7"/>
        <v>0</v>
      </c>
      <c r="AB13" s="76">
        <f t="shared" si="7"/>
        <v>0</v>
      </c>
      <c r="AC13" s="76">
        <f t="shared" si="7"/>
        <v>0</v>
      </c>
      <c r="AD13" s="76">
        <f t="shared" si="7"/>
        <v>0</v>
      </c>
      <c r="AE13" s="76">
        <v>713431.1</v>
      </c>
      <c r="AF13" s="76">
        <f>SUM(AF14:AF19)</f>
        <v>0</v>
      </c>
      <c r="AG13" s="76">
        <f>SUM(AG14:AG19)</f>
        <v>0</v>
      </c>
      <c r="AH13" s="76">
        <f>SUM(AH14:AH19)</f>
        <v>0</v>
      </c>
      <c r="AI13" s="76">
        <f t="shared" ref="AI13:AQ13" si="8">SUM(AI14:AI19)</f>
        <v>0</v>
      </c>
      <c r="AJ13" s="76">
        <f t="shared" si="8"/>
        <v>0</v>
      </c>
      <c r="AK13" s="76">
        <f t="shared" si="8"/>
        <v>0</v>
      </c>
      <c r="AL13" s="76">
        <f t="shared" si="8"/>
        <v>0</v>
      </c>
      <c r="AM13" s="76">
        <f>SUM(AM14:AM19)</f>
        <v>0</v>
      </c>
      <c r="AN13" s="76">
        <f t="shared" si="8"/>
        <v>0</v>
      </c>
      <c r="AO13" s="76">
        <f t="shared" si="8"/>
        <v>0</v>
      </c>
      <c r="AP13" s="76">
        <f t="shared" si="8"/>
        <v>0</v>
      </c>
      <c r="AQ13" s="76">
        <f t="shared" si="8"/>
        <v>0</v>
      </c>
      <c r="AR13" s="76">
        <f>SUMIF($AF$8:$AQ$8,"yes",$AF13:$AQ13)</f>
        <v>0</v>
      </c>
      <c r="AS13" s="76">
        <f>AE13-AR13</f>
        <v>713431.1</v>
      </c>
      <c r="AT13" s="77">
        <f>IFERROR(AS13/AR13,0)</f>
        <v>0</v>
      </c>
      <c r="AU13" s="76">
        <f>SUM(AU14:AU18)</f>
        <v>0</v>
      </c>
      <c r="AV13" s="76">
        <f t="shared" ref="AV13:BF13" si="9">SUM(AV14:AV18)</f>
        <v>0</v>
      </c>
      <c r="AW13" s="76">
        <f t="shared" si="9"/>
        <v>0</v>
      </c>
      <c r="AX13" s="76">
        <f t="shared" si="9"/>
        <v>0</v>
      </c>
      <c r="AY13" s="76">
        <f t="shared" si="9"/>
        <v>0</v>
      </c>
      <c r="AZ13" s="76">
        <f t="shared" si="9"/>
        <v>0</v>
      </c>
      <c r="BA13" s="76">
        <f t="shared" si="9"/>
        <v>0</v>
      </c>
      <c r="BB13" s="76">
        <f t="shared" si="9"/>
        <v>0</v>
      </c>
      <c r="BC13" s="76">
        <f t="shared" si="9"/>
        <v>0</v>
      </c>
      <c r="BD13" s="76">
        <f t="shared" si="9"/>
        <v>0</v>
      </c>
      <c r="BE13" s="76">
        <f t="shared" si="9"/>
        <v>0</v>
      </c>
      <c r="BF13" s="76">
        <f t="shared" si="9"/>
        <v>0</v>
      </c>
      <c r="BG13" s="76">
        <f>SUMIF($AU$8:$BF$8,"yes",$AU13:$BF13)</f>
        <v>0</v>
      </c>
      <c r="BH13" s="76">
        <f>AE13-BG13</f>
        <v>713431.1</v>
      </c>
      <c r="BI13" s="77">
        <f>IFERROR(BH13/BG13,0)</f>
        <v>0</v>
      </c>
      <c r="BJ13" s="93"/>
      <c r="BK13" s="76">
        <f t="shared" ref="BK13" si="10">SUM(BK14:BK19)</f>
        <v>0</v>
      </c>
      <c r="BL13" s="94"/>
      <c r="BM13" s="95"/>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130"/>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row>
    <row r="14" spans="2:150" s="88" customFormat="1" ht="15" hidden="1" outlineLevel="1" thickBot="1" x14ac:dyDescent="0.35">
      <c r="B14" s="187" t="s">
        <v>208</v>
      </c>
      <c r="C14" s="88">
        <v>9</v>
      </c>
      <c r="D14" s="81" t="str">
        <f>CONCATENATE(B14,C14)</f>
        <v>009</v>
      </c>
      <c r="E14" s="81"/>
      <c r="F14" s="10" t="s">
        <v>101</v>
      </c>
      <c r="G14" s="11"/>
      <c r="H14" s="76">
        <f t="shared" si="3"/>
        <v>0</v>
      </c>
      <c r="I14" s="76">
        <f t="shared" si="4"/>
        <v>0</v>
      </c>
      <c r="J14" s="82">
        <f t="shared" ref="J14:J77" si="11">H14-I14</f>
        <v>0</v>
      </c>
      <c r="K14" s="84">
        <f t="shared" ref="K14:K77" si="12">IFERROR(J14/I14,0)</f>
        <v>0</v>
      </c>
      <c r="L14" s="82">
        <f t="shared" si="5"/>
        <v>0</v>
      </c>
      <c r="M14" s="82">
        <f t="shared" ref="M14:M77" si="13">H14-L14</f>
        <v>0</v>
      </c>
      <c r="N14" s="84">
        <f t="shared" ref="N14:N77" si="14">IFERROR(M14/L14,0)</f>
        <v>0</v>
      </c>
      <c r="O14" s="82">
        <f t="shared" ref="O14:O77" si="15">INDEX($AU14:$BF14,MATCH($O$9,$AU$9:$BF$9,0))</f>
        <v>0</v>
      </c>
      <c r="P14" s="82">
        <f t="shared" ref="P14:P77" si="16">H14-O14</f>
        <v>0</v>
      </c>
      <c r="Q14" s="84">
        <f t="shared" ref="Q14:Q77" si="17">IFERROR(P14/O14,0)</f>
        <v>0</v>
      </c>
      <c r="R14" s="96"/>
      <c r="S14" s="82"/>
      <c r="T14" s="82"/>
      <c r="U14" s="82"/>
      <c r="V14" s="82"/>
      <c r="W14" s="82"/>
      <c r="X14" s="82"/>
      <c r="Y14" s="82"/>
      <c r="Z14" s="82"/>
      <c r="AA14" s="82"/>
      <c r="AB14" s="82"/>
      <c r="AC14" s="82"/>
      <c r="AD14" s="82"/>
      <c r="AE14" s="76">
        <v>713431.1</v>
      </c>
      <c r="AF14" s="82">
        <f>SUMIF('2023 Budget Expenses Model'!$C:$C,'Summary by Department &amp; Categor'!$D14,'2023 Budget Expenses Model'!I:I)</f>
        <v>0</v>
      </c>
      <c r="AG14" s="82">
        <f>SUMIF('2023 Budget Expenses Model'!$C:$C,'Summary by Department &amp; Categor'!$D14,'2023 Budget Expenses Model'!J:J)</f>
        <v>0</v>
      </c>
      <c r="AH14" s="82">
        <f>SUMIF('2023 Budget Expenses Model'!$C:$C,'Summary by Department &amp; Categor'!$D14,'2023 Budget Expenses Model'!K:K)</f>
        <v>0</v>
      </c>
      <c r="AI14" s="82">
        <f>SUMIF('2023 Budget Expenses Model'!$C:$C,'Summary by Department &amp; Categor'!$D14,'2023 Budget Expenses Model'!L:L)</f>
        <v>0</v>
      </c>
      <c r="AJ14" s="82">
        <f>SUMIF('2023 Budget Expenses Model'!$C:$C,'Summary by Department &amp; Categor'!$D14,'2023 Budget Expenses Model'!M:M)</f>
        <v>0</v>
      </c>
      <c r="AK14" s="82">
        <f>SUMIF('2023 Budget Expenses Model'!$C:$C,'Summary by Department &amp; Categor'!$D14,'2023 Budget Expenses Model'!N:N)</f>
        <v>0</v>
      </c>
      <c r="AL14" s="82">
        <f>SUMIF('2023 Budget Expenses Model'!$C:$C,'Summary by Department &amp; Categor'!$D14,'2023 Budget Expenses Model'!O:O)</f>
        <v>0</v>
      </c>
      <c r="AM14" s="82">
        <f>SUMIF('2023 Budget Expenses Model'!$C:$C,'Summary by Department &amp; Categor'!$D14,'2023 Budget Expenses Model'!P:P)</f>
        <v>0</v>
      </c>
      <c r="AN14" s="82">
        <f>SUMIF('2023 Budget Expenses Model'!$C:$C,'Summary by Department &amp; Categor'!$D14,'2023 Budget Expenses Model'!Q:Q)</f>
        <v>0</v>
      </c>
      <c r="AO14" s="82">
        <f>SUMIF('2023 Budget Expenses Model'!$C:$C,'Summary by Department &amp; Categor'!$D14,'2023 Budget Expenses Model'!R:R)</f>
        <v>0</v>
      </c>
      <c r="AP14" s="82">
        <f>SUMIF('2023 Budget Expenses Model'!$C:$C,'Summary by Department &amp; Categor'!$D14,'2023 Budget Expenses Model'!S:S)</f>
        <v>0</v>
      </c>
      <c r="AQ14" s="82">
        <f>SUMIF('2023 Budget Expenses Model'!$C:$C,'Summary by Department &amp; Categor'!$D14,'2023 Budget Expenses Model'!T:T)</f>
        <v>0</v>
      </c>
      <c r="AR14" s="82">
        <f t="shared" ref="AR14:AR77" si="18">SUMIF($AF$8:$AQ$8,"yes",$AF14:$AQ14)</f>
        <v>0</v>
      </c>
      <c r="AS14" s="82">
        <f t="shared" ref="AS14:AS77" si="19">AE14-AR14</f>
        <v>713431.1</v>
      </c>
      <c r="AT14" s="84">
        <f t="shared" ref="AT14:AT77" si="20">IFERROR(AS14/AR14,0)</f>
        <v>0</v>
      </c>
      <c r="AU14" s="82"/>
      <c r="AV14" s="82"/>
      <c r="AW14" s="82"/>
      <c r="AX14" s="82"/>
      <c r="AY14" s="82"/>
      <c r="AZ14" s="82"/>
      <c r="BA14" s="82"/>
      <c r="BB14" s="82"/>
      <c r="BC14" s="82"/>
      <c r="BD14" s="82"/>
      <c r="BE14" s="82"/>
      <c r="BF14" s="82"/>
      <c r="BG14" s="82">
        <f t="shared" ref="BG14:BG77" si="21">SUMIF($AU$8:$BF$8,"yes",$AU14:$BF14)</f>
        <v>0</v>
      </c>
      <c r="BH14" s="82">
        <f t="shared" ref="BH14:BH77" si="22">AE14-BG14</f>
        <v>713431.1</v>
      </c>
      <c r="BI14" s="84">
        <f t="shared" ref="BI14:BI77" si="23">IFERROR(BH14/BG14,0)</f>
        <v>0</v>
      </c>
      <c r="BJ14" s="97"/>
      <c r="BK14" s="82">
        <f>SUM(AF14:AQ14)</f>
        <v>0</v>
      </c>
      <c r="BL14" s="98"/>
      <c r="BM14" s="95"/>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row>
    <row r="15" spans="2:150" s="88" customFormat="1" ht="15" hidden="1" outlineLevel="1" thickBot="1" x14ac:dyDescent="0.35">
      <c r="F15" s="10" t="s">
        <v>102</v>
      </c>
      <c r="G15" s="11"/>
      <c r="H15" s="76">
        <f t="shared" si="3"/>
        <v>0</v>
      </c>
      <c r="I15" s="76">
        <f t="shared" si="4"/>
        <v>0</v>
      </c>
      <c r="J15" s="82">
        <f t="shared" si="11"/>
        <v>0</v>
      </c>
      <c r="K15" s="84">
        <f t="shared" si="12"/>
        <v>0</v>
      </c>
      <c r="L15" s="82">
        <f t="shared" si="5"/>
        <v>0</v>
      </c>
      <c r="M15" s="82">
        <f t="shared" si="13"/>
        <v>0</v>
      </c>
      <c r="N15" s="84">
        <f t="shared" si="14"/>
        <v>0</v>
      </c>
      <c r="O15" s="82">
        <f t="shared" si="15"/>
        <v>0</v>
      </c>
      <c r="P15" s="82">
        <f t="shared" si="16"/>
        <v>0</v>
      </c>
      <c r="Q15" s="84">
        <f t="shared" si="17"/>
        <v>0</v>
      </c>
      <c r="R15" s="96"/>
      <c r="S15" s="82"/>
      <c r="T15" s="82"/>
      <c r="U15" s="82"/>
      <c r="V15" s="82"/>
      <c r="W15" s="82"/>
      <c r="X15" s="82"/>
      <c r="Y15" s="82"/>
      <c r="Z15" s="82"/>
      <c r="AA15" s="82"/>
      <c r="AB15" s="82"/>
      <c r="AC15" s="82"/>
      <c r="AD15" s="82"/>
      <c r="AE15" s="76">
        <v>0</v>
      </c>
      <c r="AF15" s="82">
        <f>SUMIF('2023 Budget Expenses Model'!$C:$C,'Summary by Department &amp; Categor'!$D15,'2023 Budget Expenses Model'!I:I)</f>
        <v>0</v>
      </c>
      <c r="AG15" s="82">
        <f>SUMIF('2023 Budget Expenses Model'!$C:$C,'Summary by Department &amp; Categor'!$D15,'2023 Budget Expenses Model'!J:J)</f>
        <v>0</v>
      </c>
      <c r="AH15" s="82">
        <f>SUMIF('2023 Budget Expenses Model'!$C:$C,'Summary by Department &amp; Categor'!$D15,'2023 Budget Expenses Model'!K:K)</f>
        <v>0</v>
      </c>
      <c r="AI15" s="82">
        <f>SUMIF('2023 Budget Expenses Model'!$C:$C,'Summary by Department &amp; Categor'!$D15,'2023 Budget Expenses Model'!L:L)</f>
        <v>0</v>
      </c>
      <c r="AJ15" s="82">
        <f>SUMIF('2023 Budget Expenses Model'!$C:$C,'Summary by Department &amp; Categor'!$D15,'2023 Budget Expenses Model'!M:M)</f>
        <v>0</v>
      </c>
      <c r="AK15" s="82">
        <f>SUMIF('2023 Budget Expenses Model'!$C:$C,'Summary by Department &amp; Categor'!$D15,'2023 Budget Expenses Model'!N:N)</f>
        <v>0</v>
      </c>
      <c r="AL15" s="82">
        <f>SUMIF('2023 Budget Expenses Model'!$C:$C,'Summary by Department &amp; Categor'!$D15,'2023 Budget Expenses Model'!O:O)</f>
        <v>0</v>
      </c>
      <c r="AM15" s="82">
        <f>SUMIF('2023 Budget Expenses Model'!$C:$C,'Summary by Department &amp; Categor'!$D15,'2023 Budget Expenses Model'!P:P)</f>
        <v>0</v>
      </c>
      <c r="AN15" s="82">
        <f>SUMIF('2023 Budget Expenses Model'!$C:$C,'Summary by Department &amp; Categor'!$D15,'2023 Budget Expenses Model'!Q:Q)</f>
        <v>0</v>
      </c>
      <c r="AO15" s="82">
        <f>SUMIF('2023 Budget Expenses Model'!$C:$C,'Summary by Department &amp; Categor'!$D15,'2023 Budget Expenses Model'!R:R)</f>
        <v>0</v>
      </c>
      <c r="AP15" s="82">
        <f>SUMIF('2023 Budget Expenses Model'!$C:$C,'Summary by Department &amp; Categor'!$D15,'2023 Budget Expenses Model'!S:S)</f>
        <v>0</v>
      </c>
      <c r="AQ15" s="82">
        <f>SUMIF('2023 Budget Expenses Model'!$C:$C,'Summary by Department &amp; Categor'!$D15,'2023 Budget Expenses Model'!T:T)</f>
        <v>0</v>
      </c>
      <c r="AR15" s="82">
        <f t="shared" si="18"/>
        <v>0</v>
      </c>
      <c r="AS15" s="82">
        <f t="shared" si="19"/>
        <v>0</v>
      </c>
      <c r="AT15" s="84">
        <f t="shared" si="20"/>
        <v>0</v>
      </c>
      <c r="AU15" s="82"/>
      <c r="AV15" s="82"/>
      <c r="AW15" s="82"/>
      <c r="AX15" s="82"/>
      <c r="AY15" s="82"/>
      <c r="AZ15" s="82"/>
      <c r="BA15" s="82"/>
      <c r="BB15" s="82"/>
      <c r="BC15" s="82"/>
      <c r="BD15" s="82"/>
      <c r="BE15" s="82"/>
      <c r="BF15" s="82"/>
      <c r="BG15" s="82">
        <f t="shared" si="21"/>
        <v>0</v>
      </c>
      <c r="BH15" s="82">
        <f t="shared" si="22"/>
        <v>0</v>
      </c>
      <c r="BI15" s="84">
        <f t="shared" si="23"/>
        <v>0</v>
      </c>
      <c r="BJ15" s="97"/>
      <c r="BK15" s="82">
        <f t="shared" ref="BK15:BK78" si="24">SUM(AF15:AQ15)</f>
        <v>0</v>
      </c>
      <c r="BL15" s="98"/>
      <c r="BM15" s="95"/>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row>
    <row r="16" spans="2:150" s="88" customFormat="1" ht="15" hidden="1" outlineLevel="1" thickBot="1" x14ac:dyDescent="0.35">
      <c r="F16" s="10" t="s">
        <v>117</v>
      </c>
      <c r="G16" s="11"/>
      <c r="H16" s="76">
        <f t="shared" si="3"/>
        <v>0</v>
      </c>
      <c r="I16" s="76">
        <f t="shared" si="4"/>
        <v>0</v>
      </c>
      <c r="J16" s="82">
        <f t="shared" si="11"/>
        <v>0</v>
      </c>
      <c r="K16" s="84">
        <f t="shared" si="12"/>
        <v>0</v>
      </c>
      <c r="L16" s="82">
        <f t="shared" si="5"/>
        <v>0</v>
      </c>
      <c r="M16" s="82">
        <f t="shared" si="13"/>
        <v>0</v>
      </c>
      <c r="N16" s="84">
        <f t="shared" si="14"/>
        <v>0</v>
      </c>
      <c r="O16" s="82">
        <f t="shared" si="15"/>
        <v>0</v>
      </c>
      <c r="P16" s="82">
        <f t="shared" si="16"/>
        <v>0</v>
      </c>
      <c r="Q16" s="84">
        <f t="shared" si="17"/>
        <v>0</v>
      </c>
      <c r="R16" s="96"/>
      <c r="S16" s="82"/>
      <c r="T16" s="82"/>
      <c r="U16" s="82"/>
      <c r="V16" s="82"/>
      <c r="W16" s="82"/>
      <c r="X16" s="82"/>
      <c r="Y16" s="82"/>
      <c r="Z16" s="82"/>
      <c r="AA16" s="82"/>
      <c r="AB16" s="82"/>
      <c r="AC16" s="82"/>
      <c r="AD16" s="82"/>
      <c r="AE16" s="76">
        <v>0</v>
      </c>
      <c r="AF16" s="82">
        <f>SUMIF('2023 Budget Expenses Model'!$C:$C,'Summary by Department &amp; Categor'!$D16,'2023 Budget Expenses Model'!I:I)</f>
        <v>0</v>
      </c>
      <c r="AG16" s="82">
        <f>SUMIF('2023 Budget Expenses Model'!$C:$C,'Summary by Department &amp; Categor'!$D16,'2023 Budget Expenses Model'!J:J)</f>
        <v>0</v>
      </c>
      <c r="AH16" s="82">
        <f>SUMIF('2023 Budget Expenses Model'!$C:$C,'Summary by Department &amp; Categor'!$D16,'2023 Budget Expenses Model'!K:K)</f>
        <v>0</v>
      </c>
      <c r="AI16" s="82">
        <f>SUMIF('2023 Budget Expenses Model'!$C:$C,'Summary by Department &amp; Categor'!$D16,'2023 Budget Expenses Model'!L:L)</f>
        <v>0</v>
      </c>
      <c r="AJ16" s="82">
        <f>SUMIF('2023 Budget Expenses Model'!$C:$C,'Summary by Department &amp; Categor'!$D16,'2023 Budget Expenses Model'!M:M)</f>
        <v>0</v>
      </c>
      <c r="AK16" s="82">
        <f>SUMIF('2023 Budget Expenses Model'!$C:$C,'Summary by Department &amp; Categor'!$D16,'2023 Budget Expenses Model'!N:N)</f>
        <v>0</v>
      </c>
      <c r="AL16" s="82">
        <f>SUMIF('2023 Budget Expenses Model'!$C:$C,'Summary by Department &amp; Categor'!$D16,'2023 Budget Expenses Model'!O:O)</f>
        <v>0</v>
      </c>
      <c r="AM16" s="82">
        <f>SUMIF('2023 Budget Expenses Model'!$C:$C,'Summary by Department &amp; Categor'!$D16,'2023 Budget Expenses Model'!P:P)</f>
        <v>0</v>
      </c>
      <c r="AN16" s="82">
        <f>SUMIF('2023 Budget Expenses Model'!$C:$C,'Summary by Department &amp; Categor'!$D16,'2023 Budget Expenses Model'!Q:Q)</f>
        <v>0</v>
      </c>
      <c r="AO16" s="82">
        <f>SUMIF('2023 Budget Expenses Model'!$C:$C,'Summary by Department &amp; Categor'!$D16,'2023 Budget Expenses Model'!R:R)</f>
        <v>0</v>
      </c>
      <c r="AP16" s="82">
        <f>SUMIF('2023 Budget Expenses Model'!$C:$C,'Summary by Department &amp; Categor'!$D16,'2023 Budget Expenses Model'!S:S)</f>
        <v>0</v>
      </c>
      <c r="AQ16" s="82">
        <f>SUMIF('2023 Budget Expenses Model'!$C:$C,'Summary by Department &amp; Categor'!$D16,'2023 Budget Expenses Model'!T:T)</f>
        <v>0</v>
      </c>
      <c r="AR16" s="82">
        <f t="shared" si="18"/>
        <v>0</v>
      </c>
      <c r="AS16" s="82">
        <f t="shared" si="19"/>
        <v>0</v>
      </c>
      <c r="AT16" s="84">
        <f t="shared" si="20"/>
        <v>0</v>
      </c>
      <c r="AU16" s="82"/>
      <c r="AV16" s="82"/>
      <c r="AW16" s="82"/>
      <c r="AX16" s="82"/>
      <c r="AY16" s="82"/>
      <c r="AZ16" s="82"/>
      <c r="BA16" s="82"/>
      <c r="BB16" s="82"/>
      <c r="BC16" s="82"/>
      <c r="BD16" s="82"/>
      <c r="BE16" s="82"/>
      <c r="BF16" s="82"/>
      <c r="BG16" s="82">
        <f t="shared" si="21"/>
        <v>0</v>
      </c>
      <c r="BH16" s="82">
        <f t="shared" si="22"/>
        <v>0</v>
      </c>
      <c r="BI16" s="84">
        <f t="shared" si="23"/>
        <v>0</v>
      </c>
      <c r="BJ16" s="97"/>
      <c r="BK16" s="82">
        <f t="shared" si="24"/>
        <v>0</v>
      </c>
      <c r="BL16" s="98"/>
      <c r="BM16" s="95"/>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row>
    <row r="17" spans="2:150" s="88" customFormat="1" ht="15" hidden="1" outlineLevel="1" thickBot="1" x14ac:dyDescent="0.35">
      <c r="F17" s="10" t="s">
        <v>118</v>
      </c>
      <c r="G17" s="11"/>
      <c r="H17" s="76">
        <f t="shared" si="3"/>
        <v>0</v>
      </c>
      <c r="I17" s="76">
        <f t="shared" si="4"/>
        <v>0</v>
      </c>
      <c r="J17" s="82">
        <f t="shared" si="11"/>
        <v>0</v>
      </c>
      <c r="K17" s="84">
        <f t="shared" si="12"/>
        <v>0</v>
      </c>
      <c r="L17" s="82">
        <f t="shared" si="5"/>
        <v>0</v>
      </c>
      <c r="M17" s="82">
        <f t="shared" si="13"/>
        <v>0</v>
      </c>
      <c r="N17" s="84">
        <f t="shared" si="14"/>
        <v>0</v>
      </c>
      <c r="O17" s="82">
        <f t="shared" si="15"/>
        <v>0</v>
      </c>
      <c r="P17" s="82">
        <f t="shared" si="16"/>
        <v>0</v>
      </c>
      <c r="Q17" s="84">
        <f t="shared" si="17"/>
        <v>0</v>
      </c>
      <c r="R17" s="96"/>
      <c r="S17" s="82"/>
      <c r="T17" s="82"/>
      <c r="U17" s="82"/>
      <c r="V17" s="82"/>
      <c r="W17" s="82"/>
      <c r="X17" s="82"/>
      <c r="Y17" s="82"/>
      <c r="Z17" s="82"/>
      <c r="AA17" s="82"/>
      <c r="AB17" s="82"/>
      <c r="AC17" s="82"/>
      <c r="AD17" s="82"/>
      <c r="AE17" s="76">
        <v>0</v>
      </c>
      <c r="AF17" s="82">
        <f>SUMIF('2023 Budget Expenses Model'!$C:$C,'Summary by Department &amp; Categor'!$D17,'2023 Budget Expenses Model'!I:I)</f>
        <v>0</v>
      </c>
      <c r="AG17" s="82">
        <f>SUMIF('2023 Budget Expenses Model'!$C:$C,'Summary by Department &amp; Categor'!$D17,'2023 Budget Expenses Model'!J:J)</f>
        <v>0</v>
      </c>
      <c r="AH17" s="82">
        <f>SUMIF('2023 Budget Expenses Model'!$C:$C,'Summary by Department &amp; Categor'!$D17,'2023 Budget Expenses Model'!K:K)</f>
        <v>0</v>
      </c>
      <c r="AI17" s="82">
        <f>SUMIF('2023 Budget Expenses Model'!$C:$C,'Summary by Department &amp; Categor'!$D17,'2023 Budget Expenses Model'!L:L)</f>
        <v>0</v>
      </c>
      <c r="AJ17" s="82">
        <f>SUMIF('2023 Budget Expenses Model'!$C:$C,'Summary by Department &amp; Categor'!$D17,'2023 Budget Expenses Model'!M:M)</f>
        <v>0</v>
      </c>
      <c r="AK17" s="82">
        <f>SUMIF('2023 Budget Expenses Model'!$C:$C,'Summary by Department &amp; Categor'!$D17,'2023 Budget Expenses Model'!N:N)</f>
        <v>0</v>
      </c>
      <c r="AL17" s="82">
        <f>SUMIF('2023 Budget Expenses Model'!$C:$C,'Summary by Department &amp; Categor'!$D17,'2023 Budget Expenses Model'!O:O)</f>
        <v>0</v>
      </c>
      <c r="AM17" s="82">
        <f>SUMIF('2023 Budget Expenses Model'!$C:$C,'Summary by Department &amp; Categor'!$D17,'2023 Budget Expenses Model'!P:P)</f>
        <v>0</v>
      </c>
      <c r="AN17" s="82">
        <f>SUMIF('2023 Budget Expenses Model'!$C:$C,'Summary by Department &amp; Categor'!$D17,'2023 Budget Expenses Model'!Q:Q)</f>
        <v>0</v>
      </c>
      <c r="AO17" s="82">
        <f>SUMIF('2023 Budget Expenses Model'!$C:$C,'Summary by Department &amp; Categor'!$D17,'2023 Budget Expenses Model'!R:R)</f>
        <v>0</v>
      </c>
      <c r="AP17" s="82">
        <f>SUMIF('2023 Budget Expenses Model'!$C:$C,'Summary by Department &amp; Categor'!$D17,'2023 Budget Expenses Model'!S:S)</f>
        <v>0</v>
      </c>
      <c r="AQ17" s="82">
        <f>SUMIF('2023 Budget Expenses Model'!$C:$C,'Summary by Department &amp; Categor'!$D17,'2023 Budget Expenses Model'!T:T)</f>
        <v>0</v>
      </c>
      <c r="AR17" s="82">
        <f t="shared" si="18"/>
        <v>0</v>
      </c>
      <c r="AS17" s="82">
        <f t="shared" si="19"/>
        <v>0</v>
      </c>
      <c r="AT17" s="84">
        <f t="shared" si="20"/>
        <v>0</v>
      </c>
      <c r="AU17" s="82"/>
      <c r="AV17" s="82"/>
      <c r="AW17" s="82"/>
      <c r="AX17" s="82"/>
      <c r="AY17" s="82"/>
      <c r="AZ17" s="82"/>
      <c r="BA17" s="82"/>
      <c r="BB17" s="82"/>
      <c r="BC17" s="82"/>
      <c r="BD17" s="82"/>
      <c r="BE17" s="82"/>
      <c r="BF17" s="82"/>
      <c r="BG17" s="82">
        <f t="shared" si="21"/>
        <v>0</v>
      </c>
      <c r="BH17" s="82">
        <f t="shared" si="22"/>
        <v>0</v>
      </c>
      <c r="BI17" s="84">
        <f t="shared" si="23"/>
        <v>0</v>
      </c>
      <c r="BJ17" s="97"/>
      <c r="BK17" s="82">
        <f t="shared" si="24"/>
        <v>0</v>
      </c>
      <c r="BL17" s="98"/>
      <c r="BM17" s="95"/>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row>
    <row r="18" spans="2:150" s="88" customFormat="1" ht="15" hidden="1" outlineLevel="1" thickBot="1" x14ac:dyDescent="0.35">
      <c r="F18" s="10" t="s">
        <v>46</v>
      </c>
      <c r="G18" s="11"/>
      <c r="H18" s="76">
        <f t="shared" si="3"/>
        <v>0</v>
      </c>
      <c r="I18" s="76">
        <f t="shared" si="4"/>
        <v>0</v>
      </c>
      <c r="J18" s="82">
        <f t="shared" si="11"/>
        <v>0</v>
      </c>
      <c r="K18" s="84">
        <f t="shared" si="12"/>
        <v>0</v>
      </c>
      <c r="L18" s="82">
        <f t="shared" si="5"/>
        <v>0</v>
      </c>
      <c r="M18" s="82">
        <f t="shared" si="13"/>
        <v>0</v>
      </c>
      <c r="N18" s="84">
        <f t="shared" si="14"/>
        <v>0</v>
      </c>
      <c r="O18" s="82">
        <f t="shared" si="15"/>
        <v>0</v>
      </c>
      <c r="P18" s="82">
        <f t="shared" si="16"/>
        <v>0</v>
      </c>
      <c r="Q18" s="84">
        <f t="shared" si="17"/>
        <v>0</v>
      </c>
      <c r="R18" s="96"/>
      <c r="S18" s="82"/>
      <c r="T18" s="82"/>
      <c r="U18" s="82"/>
      <c r="V18" s="82"/>
      <c r="W18" s="82"/>
      <c r="X18" s="82"/>
      <c r="Y18" s="82"/>
      <c r="Z18" s="82"/>
      <c r="AA18" s="82"/>
      <c r="AB18" s="82"/>
      <c r="AC18" s="82"/>
      <c r="AD18" s="82"/>
      <c r="AE18" s="76">
        <v>0</v>
      </c>
      <c r="AF18" s="82">
        <f>SUMIF('2023 Budget Expenses Model'!$C:$C,'Summary by Department &amp; Categor'!$D18,'2023 Budget Expenses Model'!I:I)</f>
        <v>0</v>
      </c>
      <c r="AG18" s="82">
        <f>SUMIF('2023 Budget Expenses Model'!$C:$C,'Summary by Department &amp; Categor'!$D18,'2023 Budget Expenses Model'!J:J)</f>
        <v>0</v>
      </c>
      <c r="AH18" s="82">
        <f>SUMIF('2023 Budget Expenses Model'!$C:$C,'Summary by Department &amp; Categor'!$D18,'2023 Budget Expenses Model'!K:K)</f>
        <v>0</v>
      </c>
      <c r="AI18" s="82">
        <f>SUMIF('2023 Budget Expenses Model'!$C:$C,'Summary by Department &amp; Categor'!$D18,'2023 Budget Expenses Model'!L:L)</f>
        <v>0</v>
      </c>
      <c r="AJ18" s="82">
        <f>SUMIF('2023 Budget Expenses Model'!$C:$C,'Summary by Department &amp; Categor'!$D18,'2023 Budget Expenses Model'!M:M)</f>
        <v>0</v>
      </c>
      <c r="AK18" s="82">
        <f>SUMIF('2023 Budget Expenses Model'!$C:$C,'Summary by Department &amp; Categor'!$D18,'2023 Budget Expenses Model'!N:N)</f>
        <v>0</v>
      </c>
      <c r="AL18" s="82">
        <f>SUMIF('2023 Budget Expenses Model'!$C:$C,'Summary by Department &amp; Categor'!$D18,'2023 Budget Expenses Model'!O:O)</f>
        <v>0</v>
      </c>
      <c r="AM18" s="82">
        <f>SUMIF('2023 Budget Expenses Model'!$C:$C,'Summary by Department &amp; Categor'!$D18,'2023 Budget Expenses Model'!P:P)</f>
        <v>0</v>
      </c>
      <c r="AN18" s="82">
        <f>SUMIF('2023 Budget Expenses Model'!$C:$C,'Summary by Department &amp; Categor'!$D18,'2023 Budget Expenses Model'!Q:Q)</f>
        <v>0</v>
      </c>
      <c r="AO18" s="82">
        <f>SUMIF('2023 Budget Expenses Model'!$C:$C,'Summary by Department &amp; Categor'!$D18,'2023 Budget Expenses Model'!R:R)</f>
        <v>0</v>
      </c>
      <c r="AP18" s="82">
        <f>SUMIF('2023 Budget Expenses Model'!$C:$C,'Summary by Department &amp; Categor'!$D18,'2023 Budget Expenses Model'!S:S)</f>
        <v>0</v>
      </c>
      <c r="AQ18" s="82">
        <f>SUMIF('2023 Budget Expenses Model'!$C:$C,'Summary by Department &amp; Categor'!$D18,'2023 Budget Expenses Model'!T:T)</f>
        <v>0</v>
      </c>
      <c r="AR18" s="82">
        <f t="shared" si="18"/>
        <v>0</v>
      </c>
      <c r="AS18" s="82">
        <f t="shared" si="19"/>
        <v>0</v>
      </c>
      <c r="AT18" s="84">
        <f t="shared" si="20"/>
        <v>0</v>
      </c>
      <c r="AU18" s="82"/>
      <c r="AV18" s="82"/>
      <c r="AW18" s="82"/>
      <c r="AX18" s="82"/>
      <c r="AY18" s="82"/>
      <c r="AZ18" s="82"/>
      <c r="BA18" s="82"/>
      <c r="BB18" s="82"/>
      <c r="BC18" s="82"/>
      <c r="BD18" s="82"/>
      <c r="BE18" s="82"/>
      <c r="BF18" s="82"/>
      <c r="BG18" s="82">
        <f t="shared" si="21"/>
        <v>0</v>
      </c>
      <c r="BH18" s="82">
        <f t="shared" si="22"/>
        <v>0</v>
      </c>
      <c r="BI18" s="84">
        <f t="shared" si="23"/>
        <v>0</v>
      </c>
      <c r="BJ18" s="97"/>
      <c r="BK18" s="82">
        <f t="shared" si="24"/>
        <v>0</v>
      </c>
      <c r="BL18" s="98"/>
      <c r="BM18" s="95"/>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row>
    <row r="19" spans="2:150" s="88" customFormat="1" ht="18.75" collapsed="1" thickBot="1" x14ac:dyDescent="0.4">
      <c r="F19" s="115" t="s">
        <v>206</v>
      </c>
      <c r="G19" s="11"/>
      <c r="H19" s="76"/>
      <c r="I19" s="76"/>
      <c r="J19" s="82"/>
      <c r="K19" s="84"/>
      <c r="L19" s="82"/>
      <c r="M19" s="82"/>
      <c r="N19" s="84"/>
      <c r="O19" s="82"/>
      <c r="P19" s="82"/>
      <c r="Q19" s="84"/>
      <c r="R19" s="96"/>
      <c r="S19" s="82"/>
      <c r="T19" s="82"/>
      <c r="U19" s="82"/>
      <c r="V19" s="82"/>
      <c r="W19" s="82"/>
      <c r="X19" s="82"/>
      <c r="Y19" s="82"/>
      <c r="Z19" s="82"/>
      <c r="AA19" s="82"/>
      <c r="AB19" s="82"/>
      <c r="AC19" s="82"/>
      <c r="AD19" s="82"/>
      <c r="AE19" s="76"/>
      <c r="AF19" s="82"/>
      <c r="AG19" s="82"/>
      <c r="AH19" s="82"/>
      <c r="AI19" s="82"/>
      <c r="AJ19" s="82"/>
      <c r="AK19" s="82"/>
      <c r="AL19" s="82"/>
      <c r="AM19" s="82"/>
      <c r="AN19" s="82"/>
      <c r="AO19" s="82"/>
      <c r="AP19" s="82"/>
      <c r="AQ19" s="82"/>
      <c r="AR19" s="82"/>
      <c r="AS19" s="82"/>
      <c r="AT19" s="84"/>
      <c r="AU19" s="82"/>
      <c r="AV19" s="82"/>
      <c r="AW19" s="82"/>
      <c r="AX19" s="82"/>
      <c r="AY19" s="82"/>
      <c r="AZ19" s="82"/>
      <c r="BA19" s="82"/>
      <c r="BB19" s="82"/>
      <c r="BC19" s="82"/>
      <c r="BD19" s="82"/>
      <c r="BE19" s="82"/>
      <c r="BF19" s="82"/>
      <c r="BG19" s="82"/>
      <c r="BH19" s="82"/>
      <c r="BI19" s="84"/>
      <c r="BJ19" s="97"/>
      <c r="BK19" s="82"/>
      <c r="BL19" s="98"/>
      <c r="BM19" s="95"/>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row>
    <row r="20" spans="2:150" s="81" customFormat="1" ht="15" thickBot="1" x14ac:dyDescent="0.35">
      <c r="B20" s="186"/>
      <c r="C20" s="186"/>
      <c r="D20" s="186"/>
      <c r="F20" s="8" t="s">
        <v>197</v>
      </c>
      <c r="G20" s="9"/>
      <c r="H20" s="76">
        <f t="shared" ref="H20:H51" si="25">INDEX($S20:$AD20,MATCH($H$9,$S$9:$AD$9,0))</f>
        <v>0</v>
      </c>
      <c r="I20" s="76">
        <f t="shared" ref="I20:I50" si="26">INDEX($AF20:$AQ20,MATCH($I$9,$AF$9:$AQ$9,0))</f>
        <v>25666.666666666668</v>
      </c>
      <c r="J20" s="76">
        <f t="shared" si="11"/>
        <v>-25666.666666666668</v>
      </c>
      <c r="K20" s="77">
        <f t="shared" si="12"/>
        <v>-1</v>
      </c>
      <c r="L20" s="76">
        <f t="shared" si="5"/>
        <v>0</v>
      </c>
      <c r="M20" s="76">
        <f t="shared" si="13"/>
        <v>0</v>
      </c>
      <c r="N20" s="77">
        <f t="shared" si="14"/>
        <v>0</v>
      </c>
      <c r="O20" s="76">
        <f t="shared" si="15"/>
        <v>0</v>
      </c>
      <c r="P20" s="76">
        <f t="shared" si="16"/>
        <v>0</v>
      </c>
      <c r="Q20" s="77">
        <f t="shared" si="17"/>
        <v>0</v>
      </c>
      <c r="R20" s="92"/>
      <c r="S20" s="76">
        <f>SUM(S21:S28)</f>
        <v>0</v>
      </c>
      <c r="T20" s="76">
        <f t="shared" ref="T20:AD20" si="27">SUM(T21:T28)</f>
        <v>0</v>
      </c>
      <c r="U20" s="76">
        <f t="shared" si="27"/>
        <v>0</v>
      </c>
      <c r="V20" s="76">
        <f t="shared" si="27"/>
        <v>0</v>
      </c>
      <c r="W20" s="76">
        <f t="shared" si="27"/>
        <v>0</v>
      </c>
      <c r="X20" s="76">
        <f t="shared" si="27"/>
        <v>0</v>
      </c>
      <c r="Y20" s="76">
        <f t="shared" si="27"/>
        <v>0</v>
      </c>
      <c r="Z20" s="76">
        <f t="shared" si="27"/>
        <v>0</v>
      </c>
      <c r="AA20" s="76">
        <f t="shared" si="27"/>
        <v>0</v>
      </c>
      <c r="AB20" s="76">
        <f t="shared" si="27"/>
        <v>0</v>
      </c>
      <c r="AC20" s="76">
        <f t="shared" si="27"/>
        <v>0</v>
      </c>
      <c r="AD20" s="76">
        <f t="shared" si="27"/>
        <v>0</v>
      </c>
      <c r="AE20" s="76">
        <v>209264.31</v>
      </c>
      <c r="AF20" s="76">
        <f>SUM(AF21:AF28)</f>
        <v>25116.666666666668</v>
      </c>
      <c r="AG20" s="76">
        <f t="shared" ref="AG20:AQ20" si="28">SUM(AG21:AG28)</f>
        <v>25116.666666666668</v>
      </c>
      <c r="AH20" s="76">
        <f t="shared" si="28"/>
        <v>26666.666666666668</v>
      </c>
      <c r="AI20" s="76">
        <f t="shared" si="28"/>
        <v>25116.666666666668</v>
      </c>
      <c r="AJ20" s="76">
        <f t="shared" si="28"/>
        <v>25116.666666666668</v>
      </c>
      <c r="AK20" s="76">
        <f t="shared" si="28"/>
        <v>25666.666666666668</v>
      </c>
      <c r="AL20" s="76">
        <f t="shared" si="28"/>
        <v>25116.666666666668</v>
      </c>
      <c r="AM20" s="76">
        <f t="shared" si="28"/>
        <v>25116.666666666668</v>
      </c>
      <c r="AN20" s="76">
        <f t="shared" si="28"/>
        <v>25116.666666666668</v>
      </c>
      <c r="AO20" s="76">
        <f t="shared" si="28"/>
        <v>25666.666666666668</v>
      </c>
      <c r="AP20" s="76">
        <f t="shared" si="28"/>
        <v>27616.666666666668</v>
      </c>
      <c r="AQ20" s="76">
        <f t="shared" si="28"/>
        <v>30616.666666666668</v>
      </c>
      <c r="AR20" s="76">
        <f t="shared" si="18"/>
        <v>312050</v>
      </c>
      <c r="AS20" s="76">
        <f t="shared" si="19"/>
        <v>-102785.69</v>
      </c>
      <c r="AT20" s="77">
        <f t="shared" si="20"/>
        <v>-0.32938852747957059</v>
      </c>
      <c r="AU20" s="76">
        <f>SUM(AU21:AU28)</f>
        <v>0</v>
      </c>
      <c r="AV20" s="76">
        <f t="shared" ref="AV20:BF20" si="29">SUM(AV21:AV28)</f>
        <v>0</v>
      </c>
      <c r="AW20" s="76">
        <f t="shared" si="29"/>
        <v>0</v>
      </c>
      <c r="AX20" s="76">
        <f t="shared" si="29"/>
        <v>0</v>
      </c>
      <c r="AY20" s="76">
        <f t="shared" si="29"/>
        <v>0</v>
      </c>
      <c r="AZ20" s="76">
        <f t="shared" si="29"/>
        <v>0</v>
      </c>
      <c r="BA20" s="76">
        <f t="shared" si="29"/>
        <v>0</v>
      </c>
      <c r="BB20" s="76">
        <f t="shared" si="29"/>
        <v>0</v>
      </c>
      <c r="BC20" s="76">
        <f t="shared" si="29"/>
        <v>0</v>
      </c>
      <c r="BD20" s="76">
        <f t="shared" si="29"/>
        <v>0</v>
      </c>
      <c r="BE20" s="76">
        <f t="shared" si="29"/>
        <v>0</v>
      </c>
      <c r="BF20" s="76">
        <f t="shared" si="29"/>
        <v>0</v>
      </c>
      <c r="BG20" s="76">
        <f t="shared" si="21"/>
        <v>0</v>
      </c>
      <c r="BH20" s="76">
        <f t="shared" si="22"/>
        <v>209264.31</v>
      </c>
      <c r="BI20" s="77">
        <f t="shared" si="23"/>
        <v>0</v>
      </c>
      <c r="BJ20" s="93"/>
      <c r="BK20" s="76">
        <f t="shared" ref="BK20" si="30">SUM(BK21:BK28)</f>
        <v>312050</v>
      </c>
      <c r="BL20" s="94"/>
      <c r="BM20" s="95"/>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row>
    <row r="21" spans="2:150" s="81" customFormat="1" ht="15" hidden="1" outlineLevel="1" thickBot="1" x14ac:dyDescent="0.35">
      <c r="B21" s="186" t="s">
        <v>204</v>
      </c>
      <c r="C21" s="81">
        <v>2</v>
      </c>
      <c r="D21" s="81" t="str">
        <f>CONCATENATE(B21,C21)</f>
        <v>012</v>
      </c>
      <c r="F21" s="10" t="s">
        <v>225</v>
      </c>
      <c r="G21" s="9"/>
      <c r="H21" s="82">
        <f t="shared" si="25"/>
        <v>0</v>
      </c>
      <c r="I21" s="82">
        <f t="shared" si="26"/>
        <v>18116.666666666668</v>
      </c>
      <c r="J21" s="82">
        <f t="shared" si="11"/>
        <v>-18116.666666666668</v>
      </c>
      <c r="K21" s="84">
        <f t="shared" si="12"/>
        <v>-1</v>
      </c>
      <c r="L21" s="82">
        <f t="shared" si="5"/>
        <v>0</v>
      </c>
      <c r="M21" s="82">
        <f t="shared" si="13"/>
        <v>0</v>
      </c>
      <c r="N21" s="84">
        <f t="shared" si="14"/>
        <v>0</v>
      </c>
      <c r="O21" s="82">
        <f t="shared" si="15"/>
        <v>0</v>
      </c>
      <c r="P21" s="82">
        <f t="shared" si="16"/>
        <v>0</v>
      </c>
      <c r="Q21" s="84">
        <f t="shared" si="17"/>
        <v>0</v>
      </c>
      <c r="R21" s="92"/>
      <c r="S21" s="76"/>
      <c r="T21" s="76"/>
      <c r="U21" s="76"/>
      <c r="V21" s="76"/>
      <c r="W21" s="76"/>
      <c r="X21" s="76"/>
      <c r="Y21" s="76"/>
      <c r="Z21" s="76"/>
      <c r="AA21" s="76"/>
      <c r="AB21" s="76"/>
      <c r="AC21" s="76"/>
      <c r="AD21" s="76"/>
      <c r="AE21" s="76">
        <v>200000.04</v>
      </c>
      <c r="AF21" s="82">
        <f>SUMIF('2023 Budget Expenses Model'!$C:$C,'Summary by Department &amp; Categor'!$D21,'2023 Budget Expenses Model'!I:I)</f>
        <v>18116.666666666668</v>
      </c>
      <c r="AG21" s="82">
        <f>SUMIF('2023 Budget Expenses Model'!$C:$C,'Summary by Department &amp; Categor'!$D21,'2023 Budget Expenses Model'!J:J)</f>
        <v>18116.666666666668</v>
      </c>
      <c r="AH21" s="82">
        <f>SUMIF('2023 Budget Expenses Model'!$C:$C,'Summary by Department &amp; Categor'!$D21,'2023 Budget Expenses Model'!K:K)</f>
        <v>18116.666666666668</v>
      </c>
      <c r="AI21" s="82">
        <f>SUMIF('2023 Budget Expenses Model'!$C:$C,'Summary by Department &amp; Categor'!$D21,'2023 Budget Expenses Model'!L:L)</f>
        <v>18116.666666666668</v>
      </c>
      <c r="AJ21" s="82">
        <f>SUMIF('2023 Budget Expenses Model'!$C:$C,'Summary by Department &amp; Categor'!$D21,'2023 Budget Expenses Model'!M:M)</f>
        <v>18116.666666666668</v>
      </c>
      <c r="AK21" s="82">
        <f>SUMIF('2023 Budget Expenses Model'!$C:$C,'Summary by Department &amp; Categor'!$D21,'2023 Budget Expenses Model'!N:N)</f>
        <v>18116.666666666668</v>
      </c>
      <c r="AL21" s="82">
        <f>SUMIF('2023 Budget Expenses Model'!$C:$C,'Summary by Department &amp; Categor'!$D21,'2023 Budget Expenses Model'!O:O)</f>
        <v>18116.666666666668</v>
      </c>
      <c r="AM21" s="82">
        <f>SUMIF('2023 Budget Expenses Model'!$C:$C,'Summary by Department &amp; Categor'!$D21,'2023 Budget Expenses Model'!P:P)</f>
        <v>18116.666666666668</v>
      </c>
      <c r="AN21" s="82">
        <f>SUMIF('2023 Budget Expenses Model'!$C:$C,'Summary by Department &amp; Categor'!$D21,'2023 Budget Expenses Model'!Q:Q)</f>
        <v>18116.666666666668</v>
      </c>
      <c r="AO21" s="82">
        <f>SUMIF('2023 Budget Expenses Model'!$C:$C,'Summary by Department &amp; Categor'!$D21,'2023 Budget Expenses Model'!R:R)</f>
        <v>18116.666666666668</v>
      </c>
      <c r="AP21" s="82">
        <f>SUMIF('2023 Budget Expenses Model'!$C:$C,'Summary by Department &amp; Categor'!$D21,'2023 Budget Expenses Model'!S:S)</f>
        <v>18116.666666666668</v>
      </c>
      <c r="AQ21" s="82">
        <f>SUMIF('2023 Budget Expenses Model'!$C:$C,'Summary by Department &amp; Categor'!$D21,'2023 Budget Expenses Model'!T:T)</f>
        <v>18116.666666666668</v>
      </c>
      <c r="AR21" s="82">
        <f t="shared" si="18"/>
        <v>217399.99999999997</v>
      </c>
      <c r="AS21" s="82">
        <f t="shared" si="19"/>
        <v>-17399.959999999963</v>
      </c>
      <c r="AT21" s="84">
        <f t="shared" si="20"/>
        <v>-8.0036614535418424E-2</v>
      </c>
      <c r="AU21" s="76"/>
      <c r="AV21" s="76"/>
      <c r="AW21" s="76"/>
      <c r="AX21" s="76"/>
      <c r="AY21" s="76"/>
      <c r="AZ21" s="76"/>
      <c r="BA21" s="76"/>
      <c r="BB21" s="76"/>
      <c r="BC21" s="76"/>
      <c r="BD21" s="76"/>
      <c r="BE21" s="76"/>
      <c r="BF21" s="76"/>
      <c r="BG21" s="82">
        <f t="shared" si="21"/>
        <v>0</v>
      </c>
      <c r="BH21" s="82">
        <f t="shared" si="22"/>
        <v>200000.04</v>
      </c>
      <c r="BI21" s="84">
        <f t="shared" si="23"/>
        <v>0</v>
      </c>
      <c r="BJ21" s="93"/>
      <c r="BK21" s="82">
        <f t="shared" si="24"/>
        <v>217399.99999999997</v>
      </c>
      <c r="BL21" s="94"/>
      <c r="BM21" s="95"/>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row>
    <row r="22" spans="2:150" s="81" customFormat="1" ht="15" hidden="1" outlineLevel="1" thickBot="1" x14ac:dyDescent="0.35">
      <c r="B22" s="186" t="s">
        <v>204</v>
      </c>
      <c r="C22" s="81">
        <v>1</v>
      </c>
      <c r="D22" s="81" t="str">
        <f t="shared" ref="D22:D85" si="31">CONCATENATE(B22,C22)</f>
        <v>011</v>
      </c>
      <c r="F22" s="10" t="s">
        <v>432</v>
      </c>
      <c r="G22" s="9"/>
      <c r="H22" s="82">
        <f t="shared" si="25"/>
        <v>0</v>
      </c>
      <c r="I22" s="82">
        <f t="shared" si="26"/>
        <v>0</v>
      </c>
      <c r="J22" s="82">
        <f t="shared" si="11"/>
        <v>0</v>
      </c>
      <c r="K22" s="84">
        <f t="shared" si="12"/>
        <v>0</v>
      </c>
      <c r="L22" s="82">
        <f t="shared" si="5"/>
        <v>0</v>
      </c>
      <c r="M22" s="82">
        <f t="shared" si="13"/>
        <v>0</v>
      </c>
      <c r="N22" s="84">
        <f t="shared" si="14"/>
        <v>0</v>
      </c>
      <c r="O22" s="82">
        <f t="shared" si="15"/>
        <v>0</v>
      </c>
      <c r="P22" s="82">
        <f t="shared" si="16"/>
        <v>0</v>
      </c>
      <c r="Q22" s="84">
        <f t="shared" si="17"/>
        <v>0</v>
      </c>
      <c r="R22" s="92"/>
      <c r="S22" s="76"/>
      <c r="T22" s="76"/>
      <c r="U22" s="76"/>
      <c r="V22" s="76"/>
      <c r="W22" s="76"/>
      <c r="X22" s="76"/>
      <c r="Y22" s="76"/>
      <c r="Z22" s="76"/>
      <c r="AA22" s="76"/>
      <c r="AB22" s="76"/>
      <c r="AC22" s="76"/>
      <c r="AD22" s="76"/>
      <c r="AE22" s="76">
        <v>329.2</v>
      </c>
      <c r="AF22" s="82">
        <f>SUMIF('2023 Budget Expenses Model'!$C:$C,'Summary by Department &amp; Categor'!$D22,'2023 Budget Expenses Model'!I:I)</f>
        <v>0</v>
      </c>
      <c r="AG22" s="82">
        <f>SUMIF('2023 Budget Expenses Model'!$C:$C,'Summary by Department &amp; Categor'!$D22,'2023 Budget Expenses Model'!J:J)</f>
        <v>0</v>
      </c>
      <c r="AH22" s="82">
        <f>SUMIF('2023 Budget Expenses Model'!$C:$C,'Summary by Department &amp; Categor'!$D22,'2023 Budget Expenses Model'!K:K)</f>
        <v>0</v>
      </c>
      <c r="AI22" s="82">
        <f>SUMIF('2023 Budget Expenses Model'!$C:$C,'Summary by Department &amp; Categor'!$D22,'2023 Budget Expenses Model'!L:L)</f>
        <v>0</v>
      </c>
      <c r="AJ22" s="82">
        <f>SUMIF('2023 Budget Expenses Model'!$C:$C,'Summary by Department &amp; Categor'!$D22,'2023 Budget Expenses Model'!M:M)</f>
        <v>0</v>
      </c>
      <c r="AK22" s="82">
        <f>SUMIF('2023 Budget Expenses Model'!$C:$C,'Summary by Department &amp; Categor'!$D22,'2023 Budget Expenses Model'!N:N)</f>
        <v>0</v>
      </c>
      <c r="AL22" s="82">
        <f>SUMIF('2023 Budget Expenses Model'!$C:$C,'Summary by Department &amp; Categor'!$D22,'2023 Budget Expenses Model'!O:O)</f>
        <v>0</v>
      </c>
      <c r="AM22" s="82">
        <f>SUMIF('2023 Budget Expenses Model'!$C:$C,'Summary by Department &amp; Categor'!$D22,'2023 Budget Expenses Model'!P:P)</f>
        <v>0</v>
      </c>
      <c r="AN22" s="82">
        <f>SUMIF('2023 Budget Expenses Model'!$C:$C,'Summary by Department &amp; Categor'!$D22,'2023 Budget Expenses Model'!Q:Q)</f>
        <v>0</v>
      </c>
      <c r="AO22" s="82">
        <f>SUMIF('2023 Budget Expenses Model'!$C:$C,'Summary by Department &amp; Categor'!$D22,'2023 Budget Expenses Model'!R:R)</f>
        <v>0</v>
      </c>
      <c r="AP22" s="82">
        <f>SUMIF('2023 Budget Expenses Model'!$C:$C,'Summary by Department &amp; Categor'!$D22,'2023 Budget Expenses Model'!S:S)</f>
        <v>0</v>
      </c>
      <c r="AQ22" s="82">
        <f>SUMIF('2023 Budget Expenses Model'!$C:$C,'Summary by Department &amp; Categor'!$D22,'2023 Budget Expenses Model'!T:T)</f>
        <v>0</v>
      </c>
      <c r="AR22" s="82">
        <f t="shared" si="18"/>
        <v>0</v>
      </c>
      <c r="AS22" s="82">
        <f t="shared" si="19"/>
        <v>329.2</v>
      </c>
      <c r="AT22" s="84">
        <f t="shared" si="20"/>
        <v>0</v>
      </c>
      <c r="AU22" s="76"/>
      <c r="AV22" s="76"/>
      <c r="AW22" s="76"/>
      <c r="AX22" s="76"/>
      <c r="AY22" s="76"/>
      <c r="AZ22" s="76"/>
      <c r="BA22" s="76"/>
      <c r="BB22" s="76"/>
      <c r="BC22" s="76"/>
      <c r="BD22" s="76"/>
      <c r="BE22" s="76"/>
      <c r="BF22" s="76"/>
      <c r="BG22" s="82">
        <f t="shared" si="21"/>
        <v>0</v>
      </c>
      <c r="BH22" s="82">
        <f t="shared" si="22"/>
        <v>329.2</v>
      </c>
      <c r="BI22" s="84">
        <f t="shared" si="23"/>
        <v>0</v>
      </c>
      <c r="BJ22" s="93"/>
      <c r="BK22" s="82">
        <f t="shared" si="24"/>
        <v>0</v>
      </c>
      <c r="BL22" s="94"/>
      <c r="BM22" s="95"/>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row>
    <row r="23" spans="2:150" s="81" customFormat="1" ht="15" hidden="1" outlineLevel="1" thickBot="1" x14ac:dyDescent="0.35">
      <c r="B23" s="186" t="s">
        <v>204</v>
      </c>
      <c r="C23" s="81">
        <v>3</v>
      </c>
      <c r="D23" s="81" t="str">
        <f t="shared" si="31"/>
        <v>013</v>
      </c>
      <c r="F23" s="10" t="s">
        <v>230</v>
      </c>
      <c r="G23" s="9"/>
      <c r="H23" s="82">
        <f t="shared" si="25"/>
        <v>0</v>
      </c>
      <c r="I23" s="82">
        <f t="shared" si="26"/>
        <v>1500</v>
      </c>
      <c r="J23" s="82">
        <f t="shared" si="11"/>
        <v>-1500</v>
      </c>
      <c r="K23" s="84">
        <f t="shared" si="12"/>
        <v>-1</v>
      </c>
      <c r="L23" s="82">
        <f t="shared" si="5"/>
        <v>0</v>
      </c>
      <c r="M23" s="82">
        <f t="shared" si="13"/>
        <v>0</v>
      </c>
      <c r="N23" s="84">
        <f t="shared" si="14"/>
        <v>0</v>
      </c>
      <c r="O23" s="82">
        <f t="shared" si="15"/>
        <v>0</v>
      </c>
      <c r="P23" s="82">
        <f t="shared" si="16"/>
        <v>0</v>
      </c>
      <c r="Q23" s="84">
        <f t="shared" si="17"/>
        <v>0</v>
      </c>
      <c r="R23" s="92"/>
      <c r="S23" s="76"/>
      <c r="T23" s="76"/>
      <c r="U23" s="76"/>
      <c r="V23" s="76"/>
      <c r="W23" s="76"/>
      <c r="X23" s="76"/>
      <c r="Y23" s="76"/>
      <c r="Z23" s="76"/>
      <c r="AA23" s="76"/>
      <c r="AB23" s="76"/>
      <c r="AC23" s="76"/>
      <c r="AD23" s="76"/>
      <c r="AE23" s="76">
        <v>2971.92</v>
      </c>
      <c r="AF23" s="82">
        <f>SUMIF('2023 Budget Expenses Model'!$C:$C,'Summary by Department &amp; Categor'!$D23,'2023 Budget Expenses Model'!I:I)</f>
        <v>1500</v>
      </c>
      <c r="AG23" s="82">
        <f>SUMIF('2023 Budget Expenses Model'!$C:$C,'Summary by Department &amp; Categor'!$D23,'2023 Budget Expenses Model'!J:J)</f>
        <v>1500</v>
      </c>
      <c r="AH23" s="82">
        <f>SUMIF('2023 Budget Expenses Model'!$C:$C,'Summary by Department &amp; Categor'!$D23,'2023 Budget Expenses Model'!K:K)</f>
        <v>1500</v>
      </c>
      <c r="AI23" s="82">
        <f>SUMIF('2023 Budget Expenses Model'!$C:$C,'Summary by Department &amp; Categor'!$D23,'2023 Budget Expenses Model'!L:L)</f>
        <v>1500</v>
      </c>
      <c r="AJ23" s="82">
        <f>SUMIF('2023 Budget Expenses Model'!$C:$C,'Summary by Department &amp; Categor'!$D23,'2023 Budget Expenses Model'!M:M)</f>
        <v>1500</v>
      </c>
      <c r="AK23" s="82">
        <f>SUMIF('2023 Budget Expenses Model'!$C:$C,'Summary by Department &amp; Categor'!$D23,'2023 Budget Expenses Model'!N:N)</f>
        <v>1500</v>
      </c>
      <c r="AL23" s="82">
        <f>SUMIF('2023 Budget Expenses Model'!$C:$C,'Summary by Department &amp; Categor'!$D23,'2023 Budget Expenses Model'!O:O)</f>
        <v>1500</v>
      </c>
      <c r="AM23" s="82">
        <f>SUMIF('2023 Budget Expenses Model'!$C:$C,'Summary by Department &amp; Categor'!$D23,'2023 Budget Expenses Model'!P:P)</f>
        <v>1500</v>
      </c>
      <c r="AN23" s="82">
        <f>SUMIF('2023 Budget Expenses Model'!$C:$C,'Summary by Department &amp; Categor'!$D23,'2023 Budget Expenses Model'!Q:Q)</f>
        <v>1500</v>
      </c>
      <c r="AO23" s="82">
        <f>SUMIF('2023 Budget Expenses Model'!$C:$C,'Summary by Department &amp; Categor'!$D23,'2023 Budget Expenses Model'!R:R)</f>
        <v>1500</v>
      </c>
      <c r="AP23" s="82">
        <f>SUMIF('2023 Budget Expenses Model'!$C:$C,'Summary by Department &amp; Categor'!$D23,'2023 Budget Expenses Model'!S:S)</f>
        <v>1500</v>
      </c>
      <c r="AQ23" s="82">
        <f>SUMIF('2023 Budget Expenses Model'!$C:$C,'Summary by Department &amp; Categor'!$D23,'2023 Budget Expenses Model'!T:T)</f>
        <v>1500</v>
      </c>
      <c r="AR23" s="82">
        <f t="shared" si="18"/>
        <v>18000</v>
      </c>
      <c r="AS23" s="82">
        <f t="shared" si="19"/>
        <v>-15028.08</v>
      </c>
      <c r="AT23" s="84">
        <f t="shared" si="20"/>
        <v>-0.83489333333333338</v>
      </c>
      <c r="AU23" s="76"/>
      <c r="AV23" s="76"/>
      <c r="AW23" s="76"/>
      <c r="AX23" s="76"/>
      <c r="AY23" s="76"/>
      <c r="AZ23" s="76"/>
      <c r="BA23" s="76"/>
      <c r="BB23" s="76"/>
      <c r="BC23" s="76"/>
      <c r="BD23" s="76"/>
      <c r="BE23" s="76"/>
      <c r="BF23" s="76"/>
      <c r="BG23" s="82">
        <f t="shared" si="21"/>
        <v>0</v>
      </c>
      <c r="BH23" s="82">
        <f t="shared" si="22"/>
        <v>2971.92</v>
      </c>
      <c r="BI23" s="84">
        <f t="shared" si="23"/>
        <v>0</v>
      </c>
      <c r="BJ23" s="93"/>
      <c r="BK23" s="82">
        <f t="shared" si="24"/>
        <v>18000</v>
      </c>
      <c r="BL23" s="94"/>
      <c r="BM23" s="95"/>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row>
    <row r="24" spans="2:150" s="81" customFormat="1" ht="15" hidden="1" outlineLevel="1" thickBot="1" x14ac:dyDescent="0.35">
      <c r="B24" s="186" t="s">
        <v>204</v>
      </c>
      <c r="C24" s="81">
        <v>4</v>
      </c>
      <c r="D24" s="81" t="str">
        <f t="shared" si="31"/>
        <v>014</v>
      </c>
      <c r="F24" s="10" t="s">
        <v>236</v>
      </c>
      <c r="G24" s="9"/>
      <c r="H24" s="82">
        <f t="shared" si="25"/>
        <v>0</v>
      </c>
      <c r="I24" s="82">
        <f t="shared" si="26"/>
        <v>5500</v>
      </c>
      <c r="J24" s="82">
        <f t="shared" si="11"/>
        <v>-5500</v>
      </c>
      <c r="K24" s="84">
        <f t="shared" si="12"/>
        <v>-1</v>
      </c>
      <c r="L24" s="82">
        <f t="shared" si="5"/>
        <v>0</v>
      </c>
      <c r="M24" s="82">
        <f t="shared" si="13"/>
        <v>0</v>
      </c>
      <c r="N24" s="84">
        <f t="shared" si="14"/>
        <v>0</v>
      </c>
      <c r="O24" s="82">
        <f t="shared" si="15"/>
        <v>0</v>
      </c>
      <c r="P24" s="82">
        <f t="shared" si="16"/>
        <v>0</v>
      </c>
      <c r="Q24" s="84">
        <f t="shared" si="17"/>
        <v>0</v>
      </c>
      <c r="R24" s="92"/>
      <c r="S24" s="76"/>
      <c r="T24" s="76"/>
      <c r="U24" s="76"/>
      <c r="V24" s="76"/>
      <c r="W24" s="76"/>
      <c r="X24" s="76"/>
      <c r="Y24" s="76"/>
      <c r="Z24" s="76"/>
      <c r="AA24" s="76"/>
      <c r="AB24" s="76"/>
      <c r="AC24" s="76"/>
      <c r="AD24" s="76"/>
      <c r="AE24" s="76">
        <v>5963.15</v>
      </c>
      <c r="AF24" s="82">
        <f>SUMIF('2023 Budget Expenses Model'!$C:$C,'Summary by Department &amp; Categor'!$D24,'2023 Budget Expenses Model'!I:I)</f>
        <v>5500</v>
      </c>
      <c r="AG24" s="82">
        <f>SUMIF('2023 Budget Expenses Model'!$C:$C,'Summary by Department &amp; Categor'!$D24,'2023 Budget Expenses Model'!J:J)</f>
        <v>5500</v>
      </c>
      <c r="AH24" s="82">
        <f>SUMIF('2023 Budget Expenses Model'!$C:$C,'Summary by Department &amp; Categor'!$D24,'2023 Budget Expenses Model'!K:K)</f>
        <v>5500</v>
      </c>
      <c r="AI24" s="82">
        <f>SUMIF('2023 Budget Expenses Model'!$C:$C,'Summary by Department &amp; Categor'!$D24,'2023 Budget Expenses Model'!L:L)</f>
        <v>5500</v>
      </c>
      <c r="AJ24" s="82">
        <f>SUMIF('2023 Budget Expenses Model'!$C:$C,'Summary by Department &amp; Categor'!$D24,'2023 Budget Expenses Model'!M:M)</f>
        <v>5500</v>
      </c>
      <c r="AK24" s="82">
        <f>SUMIF('2023 Budget Expenses Model'!$C:$C,'Summary by Department &amp; Categor'!$D24,'2023 Budget Expenses Model'!N:N)</f>
        <v>5500</v>
      </c>
      <c r="AL24" s="82">
        <f>SUMIF('2023 Budget Expenses Model'!$C:$C,'Summary by Department &amp; Categor'!$D24,'2023 Budget Expenses Model'!O:O)</f>
        <v>5500</v>
      </c>
      <c r="AM24" s="82">
        <f>SUMIF('2023 Budget Expenses Model'!$C:$C,'Summary by Department &amp; Categor'!$D24,'2023 Budget Expenses Model'!P:P)</f>
        <v>5500</v>
      </c>
      <c r="AN24" s="82">
        <f>SUMIF('2023 Budget Expenses Model'!$C:$C,'Summary by Department &amp; Categor'!$D24,'2023 Budget Expenses Model'!Q:Q)</f>
        <v>5500</v>
      </c>
      <c r="AO24" s="82">
        <f>SUMIF('2023 Budget Expenses Model'!$C:$C,'Summary by Department &amp; Categor'!$D24,'2023 Budget Expenses Model'!R:R)</f>
        <v>5500</v>
      </c>
      <c r="AP24" s="82">
        <f>SUMIF('2023 Budget Expenses Model'!$C:$C,'Summary by Department &amp; Categor'!$D24,'2023 Budget Expenses Model'!S:S)</f>
        <v>5500</v>
      </c>
      <c r="AQ24" s="82">
        <f>SUMIF('2023 Budget Expenses Model'!$C:$C,'Summary by Department &amp; Categor'!$D24,'2023 Budget Expenses Model'!T:T)</f>
        <v>5500</v>
      </c>
      <c r="AR24" s="82">
        <f t="shared" si="18"/>
        <v>66000</v>
      </c>
      <c r="AS24" s="82">
        <f t="shared" si="19"/>
        <v>-60036.85</v>
      </c>
      <c r="AT24" s="84">
        <f t="shared" si="20"/>
        <v>-0.90964924242424239</v>
      </c>
      <c r="AU24" s="76"/>
      <c r="AV24" s="76"/>
      <c r="AW24" s="76"/>
      <c r="AX24" s="76"/>
      <c r="AY24" s="76"/>
      <c r="AZ24" s="76"/>
      <c r="BA24" s="76"/>
      <c r="BB24" s="76"/>
      <c r="BC24" s="76"/>
      <c r="BD24" s="76"/>
      <c r="BE24" s="76"/>
      <c r="BF24" s="76"/>
      <c r="BG24" s="82">
        <f t="shared" si="21"/>
        <v>0</v>
      </c>
      <c r="BH24" s="82">
        <f t="shared" si="22"/>
        <v>5963.15</v>
      </c>
      <c r="BI24" s="84">
        <f t="shared" si="23"/>
        <v>0</v>
      </c>
      <c r="BJ24" s="93"/>
      <c r="BK24" s="82">
        <f t="shared" si="24"/>
        <v>66000</v>
      </c>
      <c r="BL24" s="94"/>
      <c r="BM24" s="95"/>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row>
    <row r="25" spans="2:150" s="81" customFormat="1" ht="15" hidden="1" outlineLevel="1" thickBot="1" x14ac:dyDescent="0.35">
      <c r="B25" s="186" t="s">
        <v>204</v>
      </c>
      <c r="C25" s="81">
        <v>5</v>
      </c>
      <c r="D25" s="81" t="str">
        <f t="shared" si="31"/>
        <v>015</v>
      </c>
      <c r="F25" s="10" t="s">
        <v>243</v>
      </c>
      <c r="G25" s="9"/>
      <c r="H25" s="82">
        <f t="shared" si="25"/>
        <v>0</v>
      </c>
      <c r="I25" s="82">
        <f t="shared" si="26"/>
        <v>0</v>
      </c>
      <c r="J25" s="82">
        <f t="shared" si="11"/>
        <v>0</v>
      </c>
      <c r="K25" s="84">
        <f t="shared" si="12"/>
        <v>0</v>
      </c>
      <c r="L25" s="82">
        <f t="shared" si="5"/>
        <v>0</v>
      </c>
      <c r="M25" s="82">
        <f t="shared" si="13"/>
        <v>0</v>
      </c>
      <c r="N25" s="84">
        <f t="shared" si="14"/>
        <v>0</v>
      </c>
      <c r="O25" s="82">
        <f t="shared" si="15"/>
        <v>0</v>
      </c>
      <c r="P25" s="82">
        <f t="shared" si="16"/>
        <v>0</v>
      </c>
      <c r="Q25" s="84">
        <f t="shared" si="17"/>
        <v>0</v>
      </c>
      <c r="R25" s="92"/>
      <c r="S25" s="76"/>
      <c r="T25" s="76"/>
      <c r="U25" s="76"/>
      <c r="V25" s="76"/>
      <c r="W25" s="76"/>
      <c r="X25" s="76"/>
      <c r="Y25" s="76"/>
      <c r="Z25" s="76"/>
      <c r="AA25" s="76"/>
      <c r="AB25" s="76"/>
      <c r="AC25" s="76"/>
      <c r="AD25" s="76"/>
      <c r="AE25" s="76">
        <v>0</v>
      </c>
      <c r="AF25" s="82">
        <f>SUMIF('2023 Budget Expenses Model'!$C:$C,'Summary by Department &amp; Categor'!$D25,'2023 Budget Expenses Model'!I:I)</f>
        <v>0</v>
      </c>
      <c r="AG25" s="82">
        <f>SUMIF('2023 Budget Expenses Model'!$C:$C,'Summary by Department &amp; Categor'!$D25,'2023 Budget Expenses Model'!J:J)</f>
        <v>0</v>
      </c>
      <c r="AH25" s="82">
        <f>SUMIF('2023 Budget Expenses Model'!$C:$C,'Summary by Department &amp; Categor'!$D25,'2023 Budget Expenses Model'!K:K)</f>
        <v>0</v>
      </c>
      <c r="AI25" s="82">
        <f>SUMIF('2023 Budget Expenses Model'!$C:$C,'Summary by Department &amp; Categor'!$D25,'2023 Budget Expenses Model'!L:L)</f>
        <v>0</v>
      </c>
      <c r="AJ25" s="82">
        <f>SUMIF('2023 Budget Expenses Model'!$C:$C,'Summary by Department &amp; Categor'!$D25,'2023 Budget Expenses Model'!M:M)</f>
        <v>0</v>
      </c>
      <c r="AK25" s="82">
        <f>SUMIF('2023 Budget Expenses Model'!$C:$C,'Summary by Department &amp; Categor'!$D25,'2023 Budget Expenses Model'!N:N)</f>
        <v>0</v>
      </c>
      <c r="AL25" s="82">
        <f>SUMIF('2023 Budget Expenses Model'!$C:$C,'Summary by Department &amp; Categor'!$D25,'2023 Budget Expenses Model'!O:O)</f>
        <v>0</v>
      </c>
      <c r="AM25" s="82">
        <f>SUMIF('2023 Budget Expenses Model'!$C:$C,'Summary by Department &amp; Categor'!$D25,'2023 Budget Expenses Model'!P:P)</f>
        <v>0</v>
      </c>
      <c r="AN25" s="82">
        <f>SUMIF('2023 Budget Expenses Model'!$C:$C,'Summary by Department &amp; Categor'!$D25,'2023 Budget Expenses Model'!Q:Q)</f>
        <v>0</v>
      </c>
      <c r="AO25" s="82">
        <f>SUMIF('2023 Budget Expenses Model'!$C:$C,'Summary by Department &amp; Categor'!$D25,'2023 Budget Expenses Model'!R:R)</f>
        <v>0</v>
      </c>
      <c r="AP25" s="82">
        <f>SUMIF('2023 Budget Expenses Model'!$C:$C,'Summary by Department &amp; Categor'!$D25,'2023 Budget Expenses Model'!S:S)</f>
        <v>0</v>
      </c>
      <c r="AQ25" s="82">
        <f>SUMIF('2023 Budget Expenses Model'!$C:$C,'Summary by Department &amp; Categor'!$D25,'2023 Budget Expenses Model'!T:T)</f>
        <v>0</v>
      </c>
      <c r="AR25" s="82">
        <f t="shared" si="18"/>
        <v>0</v>
      </c>
      <c r="AS25" s="82">
        <f t="shared" si="19"/>
        <v>0</v>
      </c>
      <c r="AT25" s="84">
        <f t="shared" si="20"/>
        <v>0</v>
      </c>
      <c r="AU25" s="76"/>
      <c r="AV25" s="76"/>
      <c r="AW25" s="76"/>
      <c r="AX25" s="76"/>
      <c r="AY25" s="76"/>
      <c r="AZ25" s="76"/>
      <c r="BA25" s="76"/>
      <c r="BB25" s="76"/>
      <c r="BC25" s="76"/>
      <c r="BD25" s="76"/>
      <c r="BE25" s="76"/>
      <c r="BF25" s="76"/>
      <c r="BG25" s="82">
        <f t="shared" si="21"/>
        <v>0</v>
      </c>
      <c r="BH25" s="82">
        <f t="shared" si="22"/>
        <v>0</v>
      </c>
      <c r="BI25" s="84">
        <f t="shared" si="23"/>
        <v>0</v>
      </c>
      <c r="BJ25" s="93"/>
      <c r="BK25" s="82">
        <f t="shared" si="24"/>
        <v>0</v>
      </c>
      <c r="BL25" s="94"/>
      <c r="BM25" s="95"/>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row>
    <row r="26" spans="2:150" s="81" customFormat="1" ht="15" hidden="1" outlineLevel="1" thickBot="1" x14ac:dyDescent="0.35">
      <c r="B26" s="186" t="s">
        <v>204</v>
      </c>
      <c r="C26" s="81">
        <v>6</v>
      </c>
      <c r="D26" s="81" t="str">
        <f t="shared" si="31"/>
        <v>016</v>
      </c>
      <c r="F26" s="10" t="s">
        <v>31</v>
      </c>
      <c r="G26" s="9"/>
      <c r="H26" s="82">
        <f t="shared" si="25"/>
        <v>0</v>
      </c>
      <c r="I26" s="82">
        <f t="shared" si="26"/>
        <v>550</v>
      </c>
      <c r="J26" s="82">
        <f t="shared" si="11"/>
        <v>-550</v>
      </c>
      <c r="K26" s="84">
        <f t="shared" si="12"/>
        <v>-1</v>
      </c>
      <c r="L26" s="82">
        <f t="shared" si="5"/>
        <v>0</v>
      </c>
      <c r="M26" s="82">
        <f t="shared" si="13"/>
        <v>0</v>
      </c>
      <c r="N26" s="84">
        <f t="shared" si="14"/>
        <v>0</v>
      </c>
      <c r="O26" s="82">
        <f t="shared" si="15"/>
        <v>0</v>
      </c>
      <c r="P26" s="82">
        <f t="shared" si="16"/>
        <v>0</v>
      </c>
      <c r="Q26" s="84">
        <f t="shared" si="17"/>
        <v>0</v>
      </c>
      <c r="R26" s="92"/>
      <c r="S26" s="76"/>
      <c r="T26" s="76"/>
      <c r="U26" s="76"/>
      <c r="V26" s="76"/>
      <c r="W26" s="76"/>
      <c r="X26" s="76"/>
      <c r="Y26" s="76"/>
      <c r="Z26" s="76"/>
      <c r="AA26" s="76"/>
      <c r="AB26" s="76"/>
      <c r="AC26" s="76"/>
      <c r="AD26" s="76"/>
      <c r="AE26" s="76">
        <v>0</v>
      </c>
      <c r="AF26" s="82">
        <f>SUMIF('2023 Budget Expenses Model'!$C:$C,'Summary by Department &amp; Categor'!$D26,'2023 Budget Expenses Model'!I:I)</f>
        <v>0</v>
      </c>
      <c r="AG26" s="82">
        <f>SUMIF('2023 Budget Expenses Model'!$C:$C,'Summary by Department &amp; Categor'!$D26,'2023 Budget Expenses Model'!J:J)</f>
        <v>0</v>
      </c>
      <c r="AH26" s="82">
        <f>SUMIF('2023 Budget Expenses Model'!$C:$C,'Summary by Department &amp; Categor'!$D26,'2023 Budget Expenses Model'!K:K)</f>
        <v>1550</v>
      </c>
      <c r="AI26" s="82">
        <f>SUMIF('2023 Budget Expenses Model'!$C:$C,'Summary by Department &amp; Categor'!$D26,'2023 Budget Expenses Model'!L:L)</f>
        <v>0</v>
      </c>
      <c r="AJ26" s="82">
        <f>SUMIF('2023 Budget Expenses Model'!$C:$C,'Summary by Department &amp; Categor'!$D26,'2023 Budget Expenses Model'!M:M)</f>
        <v>0</v>
      </c>
      <c r="AK26" s="82">
        <f>SUMIF('2023 Budget Expenses Model'!$C:$C,'Summary by Department &amp; Categor'!$D26,'2023 Budget Expenses Model'!N:N)</f>
        <v>550</v>
      </c>
      <c r="AL26" s="82">
        <f>SUMIF('2023 Budget Expenses Model'!$C:$C,'Summary by Department &amp; Categor'!$D26,'2023 Budget Expenses Model'!O:O)</f>
        <v>0</v>
      </c>
      <c r="AM26" s="82">
        <f>SUMIF('2023 Budget Expenses Model'!$C:$C,'Summary by Department &amp; Categor'!$D26,'2023 Budget Expenses Model'!P:P)</f>
        <v>0</v>
      </c>
      <c r="AN26" s="82">
        <f>SUMIF('2023 Budget Expenses Model'!$C:$C,'Summary by Department &amp; Categor'!$D26,'2023 Budget Expenses Model'!Q:Q)</f>
        <v>0</v>
      </c>
      <c r="AO26" s="82">
        <f>SUMIF('2023 Budget Expenses Model'!$C:$C,'Summary by Department &amp; Categor'!$D26,'2023 Budget Expenses Model'!R:R)</f>
        <v>550</v>
      </c>
      <c r="AP26" s="82">
        <f>SUMIF('2023 Budget Expenses Model'!$C:$C,'Summary by Department &amp; Categor'!$D26,'2023 Budget Expenses Model'!S:S)</f>
        <v>2500</v>
      </c>
      <c r="AQ26" s="82">
        <f>SUMIF('2023 Budget Expenses Model'!$C:$C,'Summary by Department &amp; Categor'!$D26,'2023 Budget Expenses Model'!T:T)</f>
        <v>5500</v>
      </c>
      <c r="AR26" s="82">
        <f t="shared" si="18"/>
        <v>10650</v>
      </c>
      <c r="AS26" s="82">
        <f t="shared" si="19"/>
        <v>-10650</v>
      </c>
      <c r="AT26" s="84">
        <f t="shared" si="20"/>
        <v>-1</v>
      </c>
      <c r="AU26" s="76"/>
      <c r="AV26" s="76"/>
      <c r="AW26" s="76"/>
      <c r="AX26" s="76"/>
      <c r="AY26" s="76"/>
      <c r="AZ26" s="76"/>
      <c r="BA26" s="76"/>
      <c r="BB26" s="76"/>
      <c r="BC26" s="76"/>
      <c r="BD26" s="76"/>
      <c r="BE26" s="76"/>
      <c r="BF26" s="76"/>
      <c r="BG26" s="82">
        <f t="shared" si="21"/>
        <v>0</v>
      </c>
      <c r="BH26" s="82">
        <f t="shared" si="22"/>
        <v>0</v>
      </c>
      <c r="BI26" s="84">
        <f t="shared" si="23"/>
        <v>0</v>
      </c>
      <c r="BJ26" s="93"/>
      <c r="BK26" s="82">
        <f t="shared" si="24"/>
        <v>10650</v>
      </c>
      <c r="BL26" s="94"/>
      <c r="BM26" s="95"/>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row>
    <row r="27" spans="2:150" s="81" customFormat="1" ht="15" hidden="1" outlineLevel="1" thickBot="1" x14ac:dyDescent="0.35">
      <c r="B27" s="186" t="s">
        <v>204</v>
      </c>
      <c r="C27" s="81">
        <v>7</v>
      </c>
      <c r="D27" s="81" t="str">
        <f t="shared" si="31"/>
        <v>017</v>
      </c>
      <c r="F27" s="10" t="s">
        <v>248</v>
      </c>
      <c r="G27" s="9"/>
      <c r="H27" s="82">
        <f t="shared" si="25"/>
        <v>0</v>
      </c>
      <c r="I27" s="82">
        <f t="shared" si="26"/>
        <v>0</v>
      </c>
      <c r="J27" s="82">
        <f t="shared" si="11"/>
        <v>0</v>
      </c>
      <c r="K27" s="84">
        <f t="shared" si="12"/>
        <v>0</v>
      </c>
      <c r="L27" s="82">
        <f t="shared" si="5"/>
        <v>0</v>
      </c>
      <c r="M27" s="82">
        <f t="shared" si="13"/>
        <v>0</v>
      </c>
      <c r="N27" s="84">
        <f t="shared" si="14"/>
        <v>0</v>
      </c>
      <c r="O27" s="82">
        <f t="shared" si="15"/>
        <v>0</v>
      </c>
      <c r="P27" s="82">
        <f t="shared" si="16"/>
        <v>0</v>
      </c>
      <c r="Q27" s="84">
        <f t="shared" si="17"/>
        <v>0</v>
      </c>
      <c r="R27" s="92"/>
      <c r="S27" s="76"/>
      <c r="T27" s="76"/>
      <c r="U27" s="76"/>
      <c r="V27" s="76"/>
      <c r="W27" s="76"/>
      <c r="X27" s="76"/>
      <c r="Y27" s="76"/>
      <c r="Z27" s="76"/>
      <c r="AA27" s="76"/>
      <c r="AB27" s="76"/>
      <c r="AC27" s="76"/>
      <c r="AD27" s="76"/>
      <c r="AE27" s="76">
        <v>0</v>
      </c>
      <c r="AF27" s="82">
        <f>SUMIF('2023 Budget Expenses Model'!$C:$C,'Summary by Department &amp; Categor'!$D27,'2023 Budget Expenses Model'!I:I)</f>
        <v>0</v>
      </c>
      <c r="AG27" s="82">
        <f>SUMIF('2023 Budget Expenses Model'!$C:$C,'Summary by Department &amp; Categor'!$D27,'2023 Budget Expenses Model'!J:J)</f>
        <v>0</v>
      </c>
      <c r="AH27" s="82">
        <f>SUMIF('2023 Budget Expenses Model'!$C:$C,'Summary by Department &amp; Categor'!$D27,'2023 Budget Expenses Model'!K:K)</f>
        <v>0</v>
      </c>
      <c r="AI27" s="82">
        <f>SUMIF('2023 Budget Expenses Model'!$C:$C,'Summary by Department &amp; Categor'!$D27,'2023 Budget Expenses Model'!L:L)</f>
        <v>0</v>
      </c>
      <c r="AJ27" s="82">
        <f>SUMIF('2023 Budget Expenses Model'!$C:$C,'Summary by Department &amp; Categor'!$D27,'2023 Budget Expenses Model'!M:M)</f>
        <v>0</v>
      </c>
      <c r="AK27" s="82">
        <f>SUMIF('2023 Budget Expenses Model'!$C:$C,'Summary by Department &amp; Categor'!$D27,'2023 Budget Expenses Model'!N:N)</f>
        <v>0</v>
      </c>
      <c r="AL27" s="82">
        <f>SUMIF('2023 Budget Expenses Model'!$C:$C,'Summary by Department &amp; Categor'!$D27,'2023 Budget Expenses Model'!O:O)</f>
        <v>0</v>
      </c>
      <c r="AM27" s="82">
        <f>SUMIF('2023 Budget Expenses Model'!$C:$C,'Summary by Department &amp; Categor'!$D27,'2023 Budget Expenses Model'!P:P)</f>
        <v>0</v>
      </c>
      <c r="AN27" s="82">
        <f>SUMIF('2023 Budget Expenses Model'!$C:$C,'Summary by Department &amp; Categor'!$D27,'2023 Budget Expenses Model'!Q:Q)</f>
        <v>0</v>
      </c>
      <c r="AO27" s="82">
        <f>SUMIF('2023 Budget Expenses Model'!$C:$C,'Summary by Department &amp; Categor'!$D27,'2023 Budget Expenses Model'!R:R)</f>
        <v>0</v>
      </c>
      <c r="AP27" s="82">
        <f>SUMIF('2023 Budget Expenses Model'!$C:$C,'Summary by Department &amp; Categor'!$D27,'2023 Budget Expenses Model'!S:S)</f>
        <v>0</v>
      </c>
      <c r="AQ27" s="82">
        <f>SUMIF('2023 Budget Expenses Model'!$C:$C,'Summary by Department &amp; Categor'!$D27,'2023 Budget Expenses Model'!T:T)</f>
        <v>0</v>
      </c>
      <c r="AR27" s="82">
        <f t="shared" si="18"/>
        <v>0</v>
      </c>
      <c r="AS27" s="82">
        <f t="shared" si="19"/>
        <v>0</v>
      </c>
      <c r="AT27" s="84">
        <f t="shared" si="20"/>
        <v>0</v>
      </c>
      <c r="AU27" s="76"/>
      <c r="AV27" s="76"/>
      <c r="AW27" s="76"/>
      <c r="AX27" s="76"/>
      <c r="AY27" s="76"/>
      <c r="AZ27" s="76"/>
      <c r="BA27" s="76"/>
      <c r="BB27" s="76"/>
      <c r="BC27" s="76"/>
      <c r="BD27" s="76"/>
      <c r="BE27" s="76"/>
      <c r="BF27" s="76"/>
      <c r="BG27" s="82">
        <f t="shared" si="21"/>
        <v>0</v>
      </c>
      <c r="BH27" s="82">
        <f t="shared" si="22"/>
        <v>0</v>
      </c>
      <c r="BI27" s="84">
        <f t="shared" si="23"/>
        <v>0</v>
      </c>
      <c r="BJ27" s="93"/>
      <c r="BK27" s="82">
        <f t="shared" si="24"/>
        <v>0</v>
      </c>
      <c r="BL27" s="94"/>
      <c r="BM27" s="95"/>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row>
    <row r="28" spans="2:150" s="81" customFormat="1" ht="15" hidden="1" outlineLevel="1" thickBot="1" x14ac:dyDescent="0.35">
      <c r="B28" s="186" t="s">
        <v>204</v>
      </c>
      <c r="C28" s="81">
        <v>8</v>
      </c>
      <c r="D28" s="81" t="str">
        <f t="shared" si="31"/>
        <v>018</v>
      </c>
      <c r="F28" s="10" t="s">
        <v>46</v>
      </c>
      <c r="G28" s="9"/>
      <c r="H28" s="82">
        <f t="shared" si="25"/>
        <v>0</v>
      </c>
      <c r="I28" s="82">
        <f t="shared" si="26"/>
        <v>0</v>
      </c>
      <c r="J28" s="82">
        <f t="shared" si="11"/>
        <v>0</v>
      </c>
      <c r="K28" s="84">
        <f t="shared" si="12"/>
        <v>0</v>
      </c>
      <c r="L28" s="82">
        <f t="shared" si="5"/>
        <v>0</v>
      </c>
      <c r="M28" s="82">
        <f t="shared" si="13"/>
        <v>0</v>
      </c>
      <c r="N28" s="84">
        <f t="shared" si="14"/>
        <v>0</v>
      </c>
      <c r="O28" s="82">
        <f t="shared" si="15"/>
        <v>0</v>
      </c>
      <c r="P28" s="82">
        <f t="shared" si="16"/>
        <v>0</v>
      </c>
      <c r="Q28" s="84">
        <f t="shared" si="17"/>
        <v>0</v>
      </c>
      <c r="R28" s="92"/>
      <c r="S28" s="76"/>
      <c r="T28" s="76"/>
      <c r="U28" s="76"/>
      <c r="V28" s="76"/>
      <c r="W28" s="76"/>
      <c r="X28" s="76"/>
      <c r="Y28" s="76"/>
      <c r="Z28" s="76"/>
      <c r="AA28" s="76"/>
      <c r="AB28" s="76"/>
      <c r="AC28" s="76"/>
      <c r="AD28" s="76"/>
      <c r="AE28" s="76">
        <f t="shared" ref="AE28:AE55" si="32">SUMIF($S$8:$AD$8,"yes",$S28:$AD28)</f>
        <v>0</v>
      </c>
      <c r="AF28" s="82">
        <f>SUMIF('2023 Budget Expenses Model'!$C:$C,'Summary by Department &amp; Categor'!$D28,'2023 Budget Expenses Model'!I:I)</f>
        <v>0</v>
      </c>
      <c r="AG28" s="82">
        <f>SUMIF('2023 Budget Expenses Model'!$C:$C,'Summary by Department &amp; Categor'!$D28,'2023 Budget Expenses Model'!J:J)</f>
        <v>0</v>
      </c>
      <c r="AH28" s="82">
        <f>SUMIF('2023 Budget Expenses Model'!$C:$C,'Summary by Department &amp; Categor'!$D28,'2023 Budget Expenses Model'!K:K)</f>
        <v>0</v>
      </c>
      <c r="AI28" s="82">
        <f>SUMIF('2023 Budget Expenses Model'!$C:$C,'Summary by Department &amp; Categor'!$D28,'2023 Budget Expenses Model'!L:L)</f>
        <v>0</v>
      </c>
      <c r="AJ28" s="82">
        <f>SUMIF('2023 Budget Expenses Model'!$C:$C,'Summary by Department &amp; Categor'!$D28,'2023 Budget Expenses Model'!M:M)</f>
        <v>0</v>
      </c>
      <c r="AK28" s="82">
        <f>SUMIF('2023 Budget Expenses Model'!$C:$C,'Summary by Department &amp; Categor'!$D28,'2023 Budget Expenses Model'!N:N)</f>
        <v>0</v>
      </c>
      <c r="AL28" s="82">
        <f>SUMIF('2023 Budget Expenses Model'!$C:$C,'Summary by Department &amp; Categor'!$D28,'2023 Budget Expenses Model'!O:O)</f>
        <v>0</v>
      </c>
      <c r="AM28" s="82">
        <f>SUMIF('2023 Budget Expenses Model'!$C:$C,'Summary by Department &amp; Categor'!$D28,'2023 Budget Expenses Model'!P:P)</f>
        <v>0</v>
      </c>
      <c r="AN28" s="82">
        <f>SUMIF('2023 Budget Expenses Model'!$C:$C,'Summary by Department &amp; Categor'!$D28,'2023 Budget Expenses Model'!Q:Q)</f>
        <v>0</v>
      </c>
      <c r="AO28" s="82">
        <f>SUMIF('2023 Budget Expenses Model'!$C:$C,'Summary by Department &amp; Categor'!$D28,'2023 Budget Expenses Model'!R:R)</f>
        <v>0</v>
      </c>
      <c r="AP28" s="82">
        <f>SUMIF('2023 Budget Expenses Model'!$C:$C,'Summary by Department &amp; Categor'!$D28,'2023 Budget Expenses Model'!S:S)</f>
        <v>0</v>
      </c>
      <c r="AQ28" s="82">
        <f>SUMIF('2023 Budget Expenses Model'!$C:$C,'Summary by Department &amp; Categor'!$D28,'2023 Budget Expenses Model'!T:T)</f>
        <v>0</v>
      </c>
      <c r="AR28" s="82">
        <f t="shared" si="18"/>
        <v>0</v>
      </c>
      <c r="AS28" s="82">
        <f t="shared" si="19"/>
        <v>0</v>
      </c>
      <c r="AT28" s="84">
        <f t="shared" si="20"/>
        <v>0</v>
      </c>
      <c r="AU28" s="76"/>
      <c r="AV28" s="76"/>
      <c r="AW28" s="76"/>
      <c r="AX28" s="76"/>
      <c r="AY28" s="76"/>
      <c r="AZ28" s="76"/>
      <c r="BA28" s="76"/>
      <c r="BB28" s="76"/>
      <c r="BC28" s="76"/>
      <c r="BD28" s="76"/>
      <c r="BE28" s="76"/>
      <c r="BF28" s="76"/>
      <c r="BG28" s="82">
        <f t="shared" si="21"/>
        <v>0</v>
      </c>
      <c r="BH28" s="82">
        <f t="shared" si="22"/>
        <v>0</v>
      </c>
      <c r="BI28" s="84">
        <f t="shared" si="23"/>
        <v>0</v>
      </c>
      <c r="BJ28" s="93"/>
      <c r="BK28" s="82">
        <f t="shared" si="24"/>
        <v>0</v>
      </c>
      <c r="BL28" s="94"/>
      <c r="BM28" s="95"/>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row>
    <row r="29" spans="2:150" s="88" customFormat="1" ht="15" collapsed="1" thickBot="1" x14ac:dyDescent="0.35">
      <c r="D29" s="81"/>
      <c r="E29" s="232">
        <v>6</v>
      </c>
      <c r="F29" s="8" t="s">
        <v>198</v>
      </c>
      <c r="G29" s="11"/>
      <c r="H29" s="76">
        <f t="shared" si="25"/>
        <v>0</v>
      </c>
      <c r="I29" s="76">
        <f t="shared" si="26"/>
        <v>49644.5</v>
      </c>
      <c r="J29" s="76">
        <f t="shared" si="11"/>
        <v>-49644.5</v>
      </c>
      <c r="K29" s="77">
        <f t="shared" si="12"/>
        <v>-1</v>
      </c>
      <c r="L29" s="76">
        <f t="shared" si="5"/>
        <v>0</v>
      </c>
      <c r="M29" s="76">
        <f t="shared" si="13"/>
        <v>0</v>
      </c>
      <c r="N29" s="77">
        <f t="shared" si="14"/>
        <v>0</v>
      </c>
      <c r="O29" s="76">
        <f t="shared" si="15"/>
        <v>0</v>
      </c>
      <c r="P29" s="76">
        <f t="shared" si="16"/>
        <v>0</v>
      </c>
      <c r="Q29" s="77">
        <f t="shared" si="17"/>
        <v>0</v>
      </c>
      <c r="R29" s="96"/>
      <c r="S29" s="76">
        <f>SUM(S30:S37)</f>
        <v>0</v>
      </c>
      <c r="T29" s="76">
        <f t="shared" ref="T29" si="33">SUM(T30:T37)</f>
        <v>0</v>
      </c>
      <c r="U29" s="76">
        <f t="shared" ref="U29" si="34">SUM(U30:U37)</f>
        <v>0</v>
      </c>
      <c r="V29" s="76">
        <f t="shared" ref="V29" si="35">SUM(V30:V37)</f>
        <v>0</v>
      </c>
      <c r="W29" s="76">
        <f t="shared" ref="W29" si="36">SUM(W30:W37)</f>
        <v>0</v>
      </c>
      <c r="X29" s="76">
        <f t="shared" ref="X29" si="37">SUM(X30:X37)</f>
        <v>0</v>
      </c>
      <c r="Y29" s="76">
        <f t="shared" ref="Y29" si="38">SUM(Y30:Y37)</f>
        <v>0</v>
      </c>
      <c r="Z29" s="76">
        <f t="shared" ref="Z29" si="39">SUM(Z30:Z37)</f>
        <v>0</v>
      </c>
      <c r="AA29" s="76">
        <f t="shared" ref="AA29" si="40">SUM(AA30:AA37)</f>
        <v>0</v>
      </c>
      <c r="AB29" s="76">
        <f t="shared" ref="AB29" si="41">SUM(AB30:AB37)</f>
        <v>0</v>
      </c>
      <c r="AC29" s="76">
        <f t="shared" ref="AC29" si="42">SUM(AC30:AC37)</f>
        <v>0</v>
      </c>
      <c r="AD29" s="76">
        <f t="shared" ref="AD29" si="43">SUM(AD30:AD37)</f>
        <v>0</v>
      </c>
      <c r="AE29" s="76">
        <v>42325.180000000008</v>
      </c>
      <c r="AF29" s="76">
        <f t="shared" ref="AF29:AG29" si="44">SUM(AF30:AF37)</f>
        <v>20659.5</v>
      </c>
      <c r="AG29" s="76">
        <f t="shared" si="44"/>
        <v>31901.5</v>
      </c>
      <c r="AH29" s="76">
        <f t="shared" ref="AH29" si="45">SUM(AH30:AH37)</f>
        <v>20659.5</v>
      </c>
      <c r="AI29" s="76">
        <f t="shared" ref="AI29" si="46">SUM(AI30:AI37)</f>
        <v>22309.5</v>
      </c>
      <c r="AJ29" s="76">
        <f t="shared" ref="AJ29" si="47">SUM(AJ30:AJ37)</f>
        <v>20659.5</v>
      </c>
      <c r="AK29" s="76">
        <f t="shared" ref="AK29" si="48">SUM(AK30:AK37)</f>
        <v>20659.5</v>
      </c>
      <c r="AL29" s="76">
        <f t="shared" ref="AL29" si="49">SUM(AL30:AL37)</f>
        <v>34937.5</v>
      </c>
      <c r="AM29" s="76">
        <f t="shared" ref="AM29" si="50">SUM(AM30:AM37)</f>
        <v>25477.5</v>
      </c>
      <c r="AN29" s="76">
        <f t="shared" ref="AN29" si="51">SUM(AN30:AN37)</f>
        <v>94821.5</v>
      </c>
      <c r="AO29" s="76">
        <f t="shared" ref="AO29" si="52">SUM(AO30:AO37)</f>
        <v>49644.5</v>
      </c>
      <c r="AP29" s="76">
        <f t="shared" ref="AP29" si="53">SUM(AP30:AP37)</f>
        <v>20659.5</v>
      </c>
      <c r="AQ29" s="76">
        <f t="shared" ref="AQ29" si="54">SUM(AQ30:AQ37)</f>
        <v>21209.5</v>
      </c>
      <c r="AR29" s="76">
        <f t="shared" si="18"/>
        <v>383599</v>
      </c>
      <c r="AS29" s="76">
        <f t="shared" si="19"/>
        <v>-341273.82</v>
      </c>
      <c r="AT29" s="84">
        <f t="shared" si="20"/>
        <v>-0.8896629553257438</v>
      </c>
      <c r="AU29" s="76">
        <f>SUM(AU30:AU37)</f>
        <v>0</v>
      </c>
      <c r="AV29" s="76">
        <f t="shared" ref="AV29" si="55">SUM(AV30:AV37)</f>
        <v>0</v>
      </c>
      <c r="AW29" s="76">
        <f t="shared" ref="AW29" si="56">SUM(AW30:AW37)</f>
        <v>0</v>
      </c>
      <c r="AX29" s="76">
        <f t="shared" ref="AX29" si="57">SUM(AX30:AX37)</f>
        <v>0</v>
      </c>
      <c r="AY29" s="76">
        <f t="shared" ref="AY29" si="58">SUM(AY30:AY37)</f>
        <v>0</v>
      </c>
      <c r="AZ29" s="76">
        <f t="shared" ref="AZ29" si="59">SUM(AZ30:AZ37)</f>
        <v>0</v>
      </c>
      <c r="BA29" s="76">
        <f t="shared" ref="BA29" si="60">SUM(BA30:BA37)</f>
        <v>0</v>
      </c>
      <c r="BB29" s="76">
        <f t="shared" ref="BB29" si="61">SUM(BB30:BB37)</f>
        <v>0</v>
      </c>
      <c r="BC29" s="76">
        <f t="shared" ref="BC29" si="62">SUM(BC30:BC37)</f>
        <v>0</v>
      </c>
      <c r="BD29" s="76">
        <f t="shared" ref="BD29" si="63">SUM(BD30:BD37)</f>
        <v>0</v>
      </c>
      <c r="BE29" s="76">
        <f t="shared" ref="BE29" si="64">SUM(BE30:BE37)</f>
        <v>0</v>
      </c>
      <c r="BF29" s="76">
        <f t="shared" ref="BF29" si="65">SUM(BF30:BF37)</f>
        <v>0</v>
      </c>
      <c r="BG29" s="76">
        <f t="shared" si="21"/>
        <v>0</v>
      </c>
      <c r="BH29" s="76">
        <f t="shared" si="22"/>
        <v>42325.180000000008</v>
      </c>
      <c r="BI29" s="77">
        <f t="shared" si="23"/>
        <v>0</v>
      </c>
      <c r="BJ29" s="97"/>
      <c r="BK29" s="76">
        <f t="shared" ref="BK29" si="66">SUM(BK30:BK37)</f>
        <v>383599</v>
      </c>
      <c r="BL29" s="98"/>
      <c r="BM29" s="9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row>
    <row r="30" spans="2:150" s="81" customFormat="1" ht="15" hidden="1" outlineLevel="1" thickBot="1" x14ac:dyDescent="0.35">
      <c r="B30" s="186" t="s">
        <v>209</v>
      </c>
      <c r="C30" s="81">
        <v>2</v>
      </c>
      <c r="D30" s="81" t="str">
        <f t="shared" si="31"/>
        <v>022</v>
      </c>
      <c r="F30" s="10" t="s">
        <v>225</v>
      </c>
      <c r="G30" s="9"/>
      <c r="H30" s="82">
        <f t="shared" si="25"/>
        <v>0</v>
      </c>
      <c r="I30" s="82">
        <f t="shared" si="26"/>
        <v>20522</v>
      </c>
      <c r="J30" s="82">
        <f t="shared" si="11"/>
        <v>-20522</v>
      </c>
      <c r="K30" s="84">
        <f t="shared" si="12"/>
        <v>-1</v>
      </c>
      <c r="L30" s="82">
        <f t="shared" si="5"/>
        <v>0</v>
      </c>
      <c r="M30" s="82">
        <f t="shared" si="13"/>
        <v>0</v>
      </c>
      <c r="N30" s="84">
        <f t="shared" si="14"/>
        <v>0</v>
      </c>
      <c r="O30" s="82">
        <f t="shared" si="15"/>
        <v>0</v>
      </c>
      <c r="P30" s="82">
        <f t="shared" si="16"/>
        <v>0</v>
      </c>
      <c r="Q30" s="84">
        <f t="shared" si="17"/>
        <v>0</v>
      </c>
      <c r="R30" s="92"/>
      <c r="S30" s="76"/>
      <c r="T30" s="76"/>
      <c r="U30" s="76"/>
      <c r="V30" s="76"/>
      <c r="W30" s="76"/>
      <c r="X30" s="76"/>
      <c r="Y30" s="76"/>
      <c r="Z30" s="76"/>
      <c r="AA30" s="76"/>
      <c r="AB30" s="76"/>
      <c r="AC30" s="76"/>
      <c r="AD30" s="76"/>
      <c r="AE30" s="76">
        <v>19789</v>
      </c>
      <c r="AF30" s="82">
        <f>SUMIF('2023 Budget Expenses Model'!$C:$C,'Summary by Department &amp; Categor'!$D30,'2023 Budget Expenses Model'!I:I)</f>
        <v>20522</v>
      </c>
      <c r="AG30" s="82">
        <f>SUMIF('2023 Budget Expenses Model'!$C:$C,'Summary by Department &amp; Categor'!$D30,'2023 Budget Expenses Model'!J:J)</f>
        <v>20522</v>
      </c>
      <c r="AH30" s="82">
        <f>SUMIF('2023 Budget Expenses Model'!$C:$C,'Summary by Department &amp; Categor'!$D30,'2023 Budget Expenses Model'!K:K)</f>
        <v>20522</v>
      </c>
      <c r="AI30" s="82">
        <f>SUMIF('2023 Budget Expenses Model'!$C:$C,'Summary by Department &amp; Categor'!$D30,'2023 Budget Expenses Model'!L:L)</f>
        <v>20522</v>
      </c>
      <c r="AJ30" s="82">
        <f>SUMIF('2023 Budget Expenses Model'!$C:$C,'Summary by Department &amp; Categor'!$D30,'2023 Budget Expenses Model'!M:M)</f>
        <v>20522</v>
      </c>
      <c r="AK30" s="82">
        <f>SUMIF('2023 Budget Expenses Model'!$C:$C,'Summary by Department &amp; Categor'!$D30,'2023 Budget Expenses Model'!N:N)</f>
        <v>20522</v>
      </c>
      <c r="AL30" s="82">
        <f>SUMIF('2023 Budget Expenses Model'!$C:$C,'Summary by Department &amp; Categor'!$D30,'2023 Budget Expenses Model'!O:O)</f>
        <v>20522</v>
      </c>
      <c r="AM30" s="82">
        <f>SUMIF('2023 Budget Expenses Model'!$C:$C,'Summary by Department &amp; Categor'!$D30,'2023 Budget Expenses Model'!P:P)</f>
        <v>20522</v>
      </c>
      <c r="AN30" s="82">
        <f>SUMIF('2023 Budget Expenses Model'!$C:$C,'Summary by Department &amp; Categor'!$D30,'2023 Budget Expenses Model'!Q:Q)</f>
        <v>20522</v>
      </c>
      <c r="AO30" s="82">
        <f>SUMIF('2023 Budget Expenses Model'!$C:$C,'Summary by Department &amp; Categor'!$D30,'2023 Budget Expenses Model'!R:R)</f>
        <v>20522</v>
      </c>
      <c r="AP30" s="82">
        <f>SUMIF('2023 Budget Expenses Model'!$C:$C,'Summary by Department &amp; Categor'!$D30,'2023 Budget Expenses Model'!S:S)</f>
        <v>20522</v>
      </c>
      <c r="AQ30" s="82">
        <f>SUMIF('2023 Budget Expenses Model'!$C:$C,'Summary by Department &amp; Categor'!$D30,'2023 Budget Expenses Model'!T:T)</f>
        <v>20522</v>
      </c>
      <c r="AR30" s="82">
        <f t="shared" si="18"/>
        <v>246264</v>
      </c>
      <c r="AS30" s="82">
        <f t="shared" si="19"/>
        <v>-226475</v>
      </c>
      <c r="AT30" s="84">
        <f t="shared" si="20"/>
        <v>-0.91964314719163176</v>
      </c>
      <c r="AU30" s="76"/>
      <c r="AV30" s="76"/>
      <c r="AW30" s="76"/>
      <c r="AX30" s="76"/>
      <c r="AY30" s="76"/>
      <c r="AZ30" s="76"/>
      <c r="BA30" s="76"/>
      <c r="BB30" s="76"/>
      <c r="BC30" s="76"/>
      <c r="BD30" s="76"/>
      <c r="BE30" s="76"/>
      <c r="BF30" s="76"/>
      <c r="BG30" s="82">
        <f t="shared" si="21"/>
        <v>0</v>
      </c>
      <c r="BH30" s="82">
        <f t="shared" si="22"/>
        <v>19789</v>
      </c>
      <c r="BI30" s="84">
        <f t="shared" si="23"/>
        <v>0</v>
      </c>
      <c r="BJ30" s="93"/>
      <c r="BK30" s="82">
        <f t="shared" si="24"/>
        <v>246264</v>
      </c>
      <c r="BL30" s="94"/>
      <c r="BM30" s="95"/>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row>
    <row r="31" spans="2:150" s="88" customFormat="1" ht="15" hidden="1" outlineLevel="1" thickBot="1" x14ac:dyDescent="0.35">
      <c r="B31" s="186" t="s">
        <v>209</v>
      </c>
      <c r="C31" s="81">
        <v>1</v>
      </c>
      <c r="D31" s="81" t="str">
        <f t="shared" si="31"/>
        <v>021</v>
      </c>
      <c r="F31" s="10" t="s">
        <v>432</v>
      </c>
      <c r="G31" s="11"/>
      <c r="H31" s="82">
        <f t="shared" si="25"/>
        <v>0</v>
      </c>
      <c r="I31" s="82">
        <f t="shared" si="26"/>
        <v>25850</v>
      </c>
      <c r="J31" s="82">
        <f t="shared" si="11"/>
        <v>-25850</v>
      </c>
      <c r="K31" s="84">
        <f t="shared" si="12"/>
        <v>-1</v>
      </c>
      <c r="L31" s="82">
        <f t="shared" si="5"/>
        <v>0</v>
      </c>
      <c r="M31" s="82">
        <f t="shared" si="13"/>
        <v>0</v>
      </c>
      <c r="N31" s="84">
        <f t="shared" si="14"/>
        <v>0</v>
      </c>
      <c r="O31" s="82">
        <f t="shared" si="15"/>
        <v>0</v>
      </c>
      <c r="P31" s="82">
        <f t="shared" si="16"/>
        <v>0</v>
      </c>
      <c r="Q31" s="84">
        <f t="shared" si="17"/>
        <v>0</v>
      </c>
      <c r="R31" s="96"/>
      <c r="S31" s="82"/>
      <c r="T31" s="82"/>
      <c r="U31" s="82"/>
      <c r="V31" s="82"/>
      <c r="W31" s="82"/>
      <c r="X31" s="82"/>
      <c r="Y31" s="82"/>
      <c r="Z31" s="82"/>
      <c r="AA31" s="82"/>
      <c r="AB31" s="82"/>
      <c r="AC31" s="82"/>
      <c r="AD31" s="82"/>
      <c r="AE31" s="76">
        <v>18826.520000000004</v>
      </c>
      <c r="AF31" s="82">
        <f>SUMIF('2023 Budget Expenses Model'!$C:$C,'Summary by Department &amp; Categor'!$D31,'2023 Budget Expenses Model'!I:I)</f>
        <v>0</v>
      </c>
      <c r="AG31" s="82">
        <f>SUMIF('2023 Budget Expenses Model'!$C:$C,'Summary by Department &amp; Categor'!$D31,'2023 Budget Expenses Model'!J:J)</f>
        <v>10220</v>
      </c>
      <c r="AH31" s="82">
        <f>SUMIF('2023 Budget Expenses Model'!$C:$C,'Summary by Department &amp; Categor'!$D31,'2023 Budget Expenses Model'!K:K)</f>
        <v>0</v>
      </c>
      <c r="AI31" s="82">
        <f>SUMIF('2023 Budget Expenses Model'!$C:$C,'Summary by Department &amp; Categor'!$D31,'2023 Budget Expenses Model'!L:L)</f>
        <v>0</v>
      </c>
      <c r="AJ31" s="82">
        <f>SUMIF('2023 Budget Expenses Model'!$C:$C,'Summary by Department &amp; Categor'!$D31,'2023 Budget Expenses Model'!M:M)</f>
        <v>0</v>
      </c>
      <c r="AK31" s="82">
        <f>SUMIF('2023 Budget Expenses Model'!$C:$C,'Summary by Department &amp; Categor'!$D31,'2023 Budget Expenses Model'!N:N)</f>
        <v>0</v>
      </c>
      <c r="AL31" s="82">
        <f>SUMIF('2023 Budget Expenses Model'!$C:$C,'Summary by Department &amp; Categor'!$D31,'2023 Budget Expenses Model'!O:O)</f>
        <v>12480</v>
      </c>
      <c r="AM31" s="82">
        <f>SUMIF('2023 Budget Expenses Model'!$C:$C,'Summary by Department &amp; Categor'!$D31,'2023 Budget Expenses Model'!P:P)</f>
        <v>4380</v>
      </c>
      <c r="AN31" s="82">
        <f>SUMIF('2023 Budget Expenses Model'!$C:$C,'Summary by Department &amp; Categor'!$D31,'2023 Budget Expenses Model'!Q:Q)</f>
        <v>67420</v>
      </c>
      <c r="AO31" s="82">
        <f>SUMIF('2023 Budget Expenses Model'!$C:$C,'Summary by Department &amp; Categor'!$D31,'2023 Budget Expenses Model'!R:R)</f>
        <v>25850</v>
      </c>
      <c r="AP31" s="82">
        <f>SUMIF('2023 Budget Expenses Model'!$C:$C,'Summary by Department &amp; Categor'!$D31,'2023 Budget Expenses Model'!S:S)</f>
        <v>0</v>
      </c>
      <c r="AQ31" s="82">
        <f>SUMIF('2023 Budget Expenses Model'!$C:$C,'Summary by Department &amp; Categor'!$D31,'2023 Budget Expenses Model'!T:T)</f>
        <v>0</v>
      </c>
      <c r="AR31" s="82">
        <f t="shared" si="18"/>
        <v>120350</v>
      </c>
      <c r="AS31" s="82">
        <f t="shared" si="19"/>
        <v>-101523.48</v>
      </c>
      <c r="AT31" s="84">
        <f t="shared" si="20"/>
        <v>-0.8435685916078105</v>
      </c>
      <c r="AU31" s="82"/>
      <c r="AV31" s="82"/>
      <c r="AW31" s="82"/>
      <c r="AX31" s="82"/>
      <c r="AY31" s="82"/>
      <c r="AZ31" s="82"/>
      <c r="BA31" s="82"/>
      <c r="BB31" s="82"/>
      <c r="BC31" s="82"/>
      <c r="BD31" s="82"/>
      <c r="BE31" s="82"/>
      <c r="BF31" s="82"/>
      <c r="BG31" s="82">
        <f t="shared" si="21"/>
        <v>0</v>
      </c>
      <c r="BH31" s="82">
        <f t="shared" si="22"/>
        <v>18826.520000000004</v>
      </c>
      <c r="BI31" s="84">
        <f t="shared" si="23"/>
        <v>0</v>
      </c>
      <c r="BJ31" s="97"/>
      <c r="BK31" s="82">
        <f t="shared" si="24"/>
        <v>120350</v>
      </c>
      <c r="BL31" s="98"/>
      <c r="BM31" s="95"/>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row>
    <row r="32" spans="2:150" s="88" customFormat="1" ht="15" hidden="1" outlineLevel="1" thickBot="1" x14ac:dyDescent="0.35">
      <c r="B32" s="186" t="s">
        <v>209</v>
      </c>
      <c r="C32" s="81">
        <v>3</v>
      </c>
      <c r="D32" s="81" t="str">
        <f t="shared" si="31"/>
        <v>023</v>
      </c>
      <c r="F32" s="10" t="s">
        <v>230</v>
      </c>
      <c r="G32" s="11"/>
      <c r="H32" s="82">
        <f t="shared" si="25"/>
        <v>0</v>
      </c>
      <c r="I32" s="82">
        <f t="shared" si="26"/>
        <v>0</v>
      </c>
      <c r="J32" s="82">
        <f t="shared" si="11"/>
        <v>0</v>
      </c>
      <c r="K32" s="84">
        <f t="shared" si="12"/>
        <v>0</v>
      </c>
      <c r="L32" s="82">
        <f t="shared" si="5"/>
        <v>0</v>
      </c>
      <c r="M32" s="82">
        <f t="shared" si="13"/>
        <v>0</v>
      </c>
      <c r="N32" s="84">
        <f t="shared" si="14"/>
        <v>0</v>
      </c>
      <c r="O32" s="82">
        <f t="shared" si="15"/>
        <v>0</v>
      </c>
      <c r="P32" s="82">
        <f t="shared" si="16"/>
        <v>0</v>
      </c>
      <c r="Q32" s="84">
        <f t="shared" si="17"/>
        <v>0</v>
      </c>
      <c r="R32" s="96"/>
      <c r="S32" s="82"/>
      <c r="T32" s="82"/>
      <c r="U32" s="82"/>
      <c r="V32" s="82"/>
      <c r="W32" s="82"/>
      <c r="X32" s="82"/>
      <c r="Y32" s="82"/>
      <c r="Z32" s="82"/>
      <c r="AA32" s="82"/>
      <c r="AB32" s="82"/>
      <c r="AC32" s="82"/>
      <c r="AD32" s="82"/>
      <c r="AE32" s="76">
        <v>622.88</v>
      </c>
      <c r="AF32" s="82">
        <f>SUMIF('2023 Budget Expenses Model'!$C:$C,'Summary by Department &amp; Categor'!$D32,'2023 Budget Expenses Model'!I:I)</f>
        <v>0</v>
      </c>
      <c r="AG32" s="82">
        <f>SUMIF('2023 Budget Expenses Model'!$C:$C,'Summary by Department &amp; Categor'!$D32,'2023 Budget Expenses Model'!J:J)</f>
        <v>0</v>
      </c>
      <c r="AH32" s="82">
        <f>SUMIF('2023 Budget Expenses Model'!$C:$C,'Summary by Department &amp; Categor'!$D32,'2023 Budget Expenses Model'!K:K)</f>
        <v>0</v>
      </c>
      <c r="AI32" s="82">
        <f>SUMIF('2023 Budget Expenses Model'!$C:$C,'Summary by Department &amp; Categor'!$D32,'2023 Budget Expenses Model'!L:L)</f>
        <v>0</v>
      </c>
      <c r="AJ32" s="82">
        <f>SUMIF('2023 Budget Expenses Model'!$C:$C,'Summary by Department &amp; Categor'!$D32,'2023 Budget Expenses Model'!M:M)</f>
        <v>0</v>
      </c>
      <c r="AK32" s="82">
        <f>SUMIF('2023 Budget Expenses Model'!$C:$C,'Summary by Department &amp; Categor'!$D32,'2023 Budget Expenses Model'!N:N)</f>
        <v>0</v>
      </c>
      <c r="AL32" s="82">
        <f>SUMIF('2023 Budget Expenses Model'!$C:$C,'Summary by Department &amp; Categor'!$D32,'2023 Budget Expenses Model'!O:O)</f>
        <v>0</v>
      </c>
      <c r="AM32" s="82">
        <f>SUMIF('2023 Budget Expenses Model'!$C:$C,'Summary by Department &amp; Categor'!$D32,'2023 Budget Expenses Model'!P:P)</f>
        <v>0</v>
      </c>
      <c r="AN32" s="82">
        <f>SUMIF('2023 Budget Expenses Model'!$C:$C,'Summary by Department &amp; Categor'!$D32,'2023 Budget Expenses Model'!Q:Q)</f>
        <v>0</v>
      </c>
      <c r="AO32" s="82">
        <f>SUMIF('2023 Budget Expenses Model'!$C:$C,'Summary by Department &amp; Categor'!$D32,'2023 Budget Expenses Model'!R:R)</f>
        <v>0</v>
      </c>
      <c r="AP32" s="82">
        <f>SUMIF('2023 Budget Expenses Model'!$C:$C,'Summary by Department &amp; Categor'!$D32,'2023 Budget Expenses Model'!S:S)</f>
        <v>0</v>
      </c>
      <c r="AQ32" s="82">
        <f>SUMIF('2023 Budget Expenses Model'!$C:$C,'Summary by Department &amp; Categor'!$D32,'2023 Budget Expenses Model'!T:T)</f>
        <v>0</v>
      </c>
      <c r="AR32" s="82">
        <f t="shared" si="18"/>
        <v>0</v>
      </c>
      <c r="AS32" s="82">
        <f t="shared" si="19"/>
        <v>622.88</v>
      </c>
      <c r="AT32" s="84">
        <f t="shared" si="20"/>
        <v>0</v>
      </c>
      <c r="AU32" s="82"/>
      <c r="AV32" s="82"/>
      <c r="AW32" s="82"/>
      <c r="AX32" s="82"/>
      <c r="AY32" s="82"/>
      <c r="AZ32" s="82"/>
      <c r="BA32" s="82"/>
      <c r="BB32" s="82"/>
      <c r="BC32" s="82"/>
      <c r="BD32" s="82"/>
      <c r="BE32" s="82"/>
      <c r="BF32" s="82"/>
      <c r="BG32" s="82">
        <f t="shared" si="21"/>
        <v>0</v>
      </c>
      <c r="BH32" s="82">
        <f t="shared" si="22"/>
        <v>622.88</v>
      </c>
      <c r="BI32" s="84">
        <f t="shared" si="23"/>
        <v>0</v>
      </c>
      <c r="BJ32" s="97"/>
      <c r="BK32" s="82">
        <f t="shared" si="24"/>
        <v>0</v>
      </c>
      <c r="BL32" s="98"/>
      <c r="BM32" s="95"/>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row>
    <row r="33" spans="2:150" s="88" customFormat="1" ht="15" hidden="1" outlineLevel="1" thickBot="1" x14ac:dyDescent="0.35">
      <c r="B33" s="186" t="s">
        <v>209</v>
      </c>
      <c r="C33" s="81">
        <v>4</v>
      </c>
      <c r="D33" s="81" t="str">
        <f t="shared" si="31"/>
        <v>024</v>
      </c>
      <c r="F33" s="10" t="s">
        <v>236</v>
      </c>
      <c r="G33" s="11"/>
      <c r="H33" s="82">
        <f t="shared" si="25"/>
        <v>0</v>
      </c>
      <c r="I33" s="82">
        <f t="shared" si="26"/>
        <v>0</v>
      </c>
      <c r="J33" s="82">
        <f t="shared" si="11"/>
        <v>0</v>
      </c>
      <c r="K33" s="84">
        <f t="shared" si="12"/>
        <v>0</v>
      </c>
      <c r="L33" s="82">
        <f t="shared" si="5"/>
        <v>0</v>
      </c>
      <c r="M33" s="82">
        <f t="shared" si="13"/>
        <v>0</v>
      </c>
      <c r="N33" s="84">
        <f t="shared" si="14"/>
        <v>0</v>
      </c>
      <c r="O33" s="82">
        <f t="shared" si="15"/>
        <v>0</v>
      </c>
      <c r="P33" s="82">
        <f t="shared" si="16"/>
        <v>0</v>
      </c>
      <c r="Q33" s="84">
        <f t="shared" si="17"/>
        <v>0</v>
      </c>
      <c r="R33" s="96"/>
      <c r="S33" s="82"/>
      <c r="T33" s="82"/>
      <c r="U33" s="82"/>
      <c r="V33" s="82"/>
      <c r="W33" s="82"/>
      <c r="X33" s="82"/>
      <c r="Y33" s="82"/>
      <c r="Z33" s="82"/>
      <c r="AA33" s="82"/>
      <c r="AB33" s="82"/>
      <c r="AC33" s="82"/>
      <c r="AD33" s="82"/>
      <c r="AE33" s="76">
        <v>0</v>
      </c>
      <c r="AF33" s="82">
        <f>SUMIF('2023 Budget Expenses Model'!$C:$C,'Summary by Department &amp; Categor'!$D33,'2023 Budget Expenses Model'!I:I)</f>
        <v>0</v>
      </c>
      <c r="AG33" s="82">
        <f>SUMIF('2023 Budget Expenses Model'!$C:$C,'Summary by Department &amp; Categor'!$D33,'2023 Budget Expenses Model'!J:J)</f>
        <v>0</v>
      </c>
      <c r="AH33" s="82">
        <f>SUMIF('2023 Budget Expenses Model'!$C:$C,'Summary by Department &amp; Categor'!$D33,'2023 Budget Expenses Model'!K:K)</f>
        <v>0</v>
      </c>
      <c r="AI33" s="82">
        <f>SUMIF('2023 Budget Expenses Model'!$C:$C,'Summary by Department &amp; Categor'!$D33,'2023 Budget Expenses Model'!L:L)</f>
        <v>0</v>
      </c>
      <c r="AJ33" s="82">
        <f>SUMIF('2023 Budget Expenses Model'!$C:$C,'Summary by Department &amp; Categor'!$D33,'2023 Budget Expenses Model'!M:M)</f>
        <v>0</v>
      </c>
      <c r="AK33" s="82">
        <f>SUMIF('2023 Budget Expenses Model'!$C:$C,'Summary by Department &amp; Categor'!$D33,'2023 Budget Expenses Model'!N:N)</f>
        <v>0</v>
      </c>
      <c r="AL33" s="82">
        <f>SUMIF('2023 Budget Expenses Model'!$C:$C,'Summary by Department &amp; Categor'!$D33,'2023 Budget Expenses Model'!O:O)</f>
        <v>0</v>
      </c>
      <c r="AM33" s="82">
        <f>SUMIF('2023 Budget Expenses Model'!$C:$C,'Summary by Department &amp; Categor'!$D33,'2023 Budget Expenses Model'!P:P)</f>
        <v>0</v>
      </c>
      <c r="AN33" s="82">
        <f>SUMIF('2023 Budget Expenses Model'!$C:$C,'Summary by Department &amp; Categor'!$D33,'2023 Budget Expenses Model'!Q:Q)</f>
        <v>0</v>
      </c>
      <c r="AO33" s="82">
        <f>SUMIF('2023 Budget Expenses Model'!$C:$C,'Summary by Department &amp; Categor'!$D33,'2023 Budget Expenses Model'!R:R)</f>
        <v>0</v>
      </c>
      <c r="AP33" s="82">
        <f>SUMIF('2023 Budget Expenses Model'!$C:$C,'Summary by Department &amp; Categor'!$D33,'2023 Budget Expenses Model'!S:S)</f>
        <v>0</v>
      </c>
      <c r="AQ33" s="82">
        <f>SUMIF('2023 Budget Expenses Model'!$C:$C,'Summary by Department &amp; Categor'!$D33,'2023 Budget Expenses Model'!T:T)</f>
        <v>0</v>
      </c>
      <c r="AR33" s="82">
        <f t="shared" si="18"/>
        <v>0</v>
      </c>
      <c r="AS33" s="82">
        <f t="shared" si="19"/>
        <v>0</v>
      </c>
      <c r="AT33" s="84">
        <f t="shared" si="20"/>
        <v>0</v>
      </c>
      <c r="AU33" s="82"/>
      <c r="AV33" s="82"/>
      <c r="AW33" s="82"/>
      <c r="AX33" s="82"/>
      <c r="AY33" s="82"/>
      <c r="AZ33" s="82"/>
      <c r="BA33" s="82"/>
      <c r="BB33" s="82"/>
      <c r="BC33" s="82"/>
      <c r="BD33" s="82"/>
      <c r="BE33" s="82"/>
      <c r="BF33" s="82"/>
      <c r="BG33" s="82">
        <f t="shared" si="21"/>
        <v>0</v>
      </c>
      <c r="BH33" s="82">
        <f t="shared" si="22"/>
        <v>0</v>
      </c>
      <c r="BI33" s="84">
        <f t="shared" si="23"/>
        <v>0</v>
      </c>
      <c r="BJ33" s="97"/>
      <c r="BK33" s="82">
        <f t="shared" si="24"/>
        <v>0</v>
      </c>
      <c r="BL33" s="98"/>
      <c r="BM33" s="95"/>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row>
    <row r="34" spans="2:150" s="88" customFormat="1" ht="15" hidden="1" outlineLevel="1" thickBot="1" x14ac:dyDescent="0.35">
      <c r="B34" s="186" t="s">
        <v>209</v>
      </c>
      <c r="C34" s="81">
        <v>5</v>
      </c>
      <c r="D34" s="81" t="str">
        <f t="shared" si="31"/>
        <v>025</v>
      </c>
      <c r="F34" s="10" t="s">
        <v>243</v>
      </c>
      <c r="G34" s="11"/>
      <c r="H34" s="82">
        <f t="shared" si="25"/>
        <v>0</v>
      </c>
      <c r="I34" s="82">
        <f t="shared" si="26"/>
        <v>3272.5</v>
      </c>
      <c r="J34" s="82">
        <f t="shared" si="11"/>
        <v>-3272.5</v>
      </c>
      <c r="K34" s="84">
        <f t="shared" si="12"/>
        <v>-1</v>
      </c>
      <c r="L34" s="82">
        <f t="shared" si="5"/>
        <v>0</v>
      </c>
      <c r="M34" s="82">
        <f t="shared" si="13"/>
        <v>0</v>
      </c>
      <c r="N34" s="84">
        <f t="shared" si="14"/>
        <v>0</v>
      </c>
      <c r="O34" s="82">
        <f t="shared" si="15"/>
        <v>0</v>
      </c>
      <c r="P34" s="82">
        <f t="shared" si="16"/>
        <v>0</v>
      </c>
      <c r="Q34" s="84">
        <f t="shared" si="17"/>
        <v>0</v>
      </c>
      <c r="R34" s="96"/>
      <c r="S34" s="82"/>
      <c r="T34" s="82"/>
      <c r="U34" s="82"/>
      <c r="V34" s="82"/>
      <c r="W34" s="82"/>
      <c r="X34" s="82"/>
      <c r="Y34" s="82"/>
      <c r="Z34" s="82"/>
      <c r="AA34" s="82"/>
      <c r="AB34" s="82"/>
      <c r="AC34" s="82"/>
      <c r="AD34" s="82"/>
      <c r="AE34" s="76">
        <v>2951.48</v>
      </c>
      <c r="AF34" s="82">
        <f>SUMIF('2023 Budget Expenses Model'!$C:$C,'Summary by Department &amp; Categor'!$D34,'2023 Budget Expenses Model'!I:I)</f>
        <v>137.5</v>
      </c>
      <c r="AG34" s="82">
        <f>SUMIF('2023 Budget Expenses Model'!$C:$C,'Summary by Department &amp; Categor'!$D34,'2023 Budget Expenses Model'!J:J)</f>
        <v>1159.5</v>
      </c>
      <c r="AH34" s="82">
        <f>SUMIF('2023 Budget Expenses Model'!$C:$C,'Summary by Department &amp; Categor'!$D34,'2023 Budget Expenses Model'!K:K)</f>
        <v>137.5</v>
      </c>
      <c r="AI34" s="82">
        <f>SUMIF('2023 Budget Expenses Model'!$C:$C,'Summary by Department &amp; Categor'!$D34,'2023 Budget Expenses Model'!L:L)</f>
        <v>1787.5</v>
      </c>
      <c r="AJ34" s="82">
        <f>SUMIF('2023 Budget Expenses Model'!$C:$C,'Summary by Department &amp; Categor'!$D34,'2023 Budget Expenses Model'!M:M)</f>
        <v>137.5</v>
      </c>
      <c r="AK34" s="82">
        <f>SUMIF('2023 Budget Expenses Model'!$C:$C,'Summary by Department &amp; Categor'!$D34,'2023 Budget Expenses Model'!N:N)</f>
        <v>137.5</v>
      </c>
      <c r="AL34" s="82">
        <f>SUMIF('2023 Budget Expenses Model'!$C:$C,'Summary by Department &amp; Categor'!$D34,'2023 Budget Expenses Model'!O:O)</f>
        <v>1935.5</v>
      </c>
      <c r="AM34" s="82">
        <f>SUMIF('2023 Budget Expenses Model'!$C:$C,'Summary by Department &amp; Categor'!$D34,'2023 Budget Expenses Model'!P:P)</f>
        <v>575.5</v>
      </c>
      <c r="AN34" s="82">
        <f>SUMIF('2023 Budget Expenses Model'!$C:$C,'Summary by Department &amp; Categor'!$D34,'2023 Budget Expenses Model'!Q:Q)</f>
        <v>6879.5</v>
      </c>
      <c r="AO34" s="82">
        <f>SUMIF('2023 Budget Expenses Model'!$C:$C,'Summary by Department &amp; Categor'!$D34,'2023 Budget Expenses Model'!R:R)</f>
        <v>3272.5</v>
      </c>
      <c r="AP34" s="82">
        <f>SUMIF('2023 Budget Expenses Model'!$C:$C,'Summary by Department &amp; Categor'!$D34,'2023 Budget Expenses Model'!S:S)</f>
        <v>137.5</v>
      </c>
      <c r="AQ34" s="82">
        <f>SUMIF('2023 Budget Expenses Model'!$C:$C,'Summary by Department &amp; Categor'!$D34,'2023 Budget Expenses Model'!T:T)</f>
        <v>687.5</v>
      </c>
      <c r="AR34" s="82">
        <f t="shared" si="18"/>
        <v>16985</v>
      </c>
      <c r="AS34" s="82">
        <f t="shared" si="19"/>
        <v>-14033.52</v>
      </c>
      <c r="AT34" s="84">
        <f t="shared" si="20"/>
        <v>-0.82623020312040041</v>
      </c>
      <c r="AU34" s="82"/>
      <c r="AV34" s="82"/>
      <c r="AW34" s="82"/>
      <c r="AX34" s="82"/>
      <c r="AY34" s="82"/>
      <c r="AZ34" s="82"/>
      <c r="BA34" s="82"/>
      <c r="BB34" s="82"/>
      <c r="BC34" s="82"/>
      <c r="BD34" s="82"/>
      <c r="BE34" s="82"/>
      <c r="BF34" s="82"/>
      <c r="BG34" s="82">
        <f t="shared" si="21"/>
        <v>0</v>
      </c>
      <c r="BH34" s="82">
        <f t="shared" si="22"/>
        <v>2951.48</v>
      </c>
      <c r="BI34" s="84">
        <f t="shared" si="23"/>
        <v>0</v>
      </c>
      <c r="BJ34" s="97"/>
      <c r="BK34" s="82">
        <f t="shared" si="24"/>
        <v>16985</v>
      </c>
      <c r="BL34" s="98"/>
      <c r="BM34" s="95"/>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row>
    <row r="35" spans="2:150" s="81" customFormat="1" ht="15" hidden="1" outlineLevel="1" thickBot="1" x14ac:dyDescent="0.35">
      <c r="B35" s="186" t="s">
        <v>209</v>
      </c>
      <c r="C35" s="81">
        <v>6</v>
      </c>
      <c r="D35" s="81" t="str">
        <f t="shared" si="31"/>
        <v>026</v>
      </c>
      <c r="F35" s="10" t="s">
        <v>31</v>
      </c>
      <c r="G35" s="9"/>
      <c r="H35" s="82">
        <f t="shared" si="25"/>
        <v>0</v>
      </c>
      <c r="I35" s="82">
        <f t="shared" si="26"/>
        <v>0</v>
      </c>
      <c r="J35" s="82">
        <f t="shared" si="11"/>
        <v>0</v>
      </c>
      <c r="K35" s="84">
        <f t="shared" si="12"/>
        <v>0</v>
      </c>
      <c r="L35" s="82">
        <f t="shared" si="5"/>
        <v>0</v>
      </c>
      <c r="M35" s="82">
        <f t="shared" si="13"/>
        <v>0</v>
      </c>
      <c r="N35" s="84">
        <f t="shared" si="14"/>
        <v>0</v>
      </c>
      <c r="O35" s="82">
        <f t="shared" si="15"/>
        <v>0</v>
      </c>
      <c r="P35" s="82">
        <f t="shared" si="16"/>
        <v>0</v>
      </c>
      <c r="Q35" s="84">
        <f t="shared" si="17"/>
        <v>0</v>
      </c>
      <c r="R35" s="92"/>
      <c r="S35" s="76"/>
      <c r="T35" s="76"/>
      <c r="U35" s="76"/>
      <c r="V35" s="76"/>
      <c r="W35" s="76"/>
      <c r="X35" s="76"/>
      <c r="Y35" s="76"/>
      <c r="Z35" s="76"/>
      <c r="AA35" s="76"/>
      <c r="AB35" s="76"/>
      <c r="AC35" s="76"/>
      <c r="AD35" s="76"/>
      <c r="AE35" s="76">
        <v>135.30000000000001</v>
      </c>
      <c r="AF35" s="82">
        <f>SUMIF('2023 Budget Expenses Model'!$C:$C,'Summary by Department &amp; Categor'!$D35,'2023 Budget Expenses Model'!I:I)</f>
        <v>0</v>
      </c>
      <c r="AG35" s="82">
        <f>SUMIF('2023 Budget Expenses Model'!$C:$C,'Summary by Department &amp; Categor'!$D35,'2023 Budget Expenses Model'!J:J)</f>
        <v>0</v>
      </c>
      <c r="AH35" s="82">
        <f>SUMIF('2023 Budget Expenses Model'!$C:$C,'Summary by Department &amp; Categor'!$D35,'2023 Budget Expenses Model'!K:K)</f>
        <v>0</v>
      </c>
      <c r="AI35" s="82">
        <f>SUMIF('2023 Budget Expenses Model'!$C:$C,'Summary by Department &amp; Categor'!$D35,'2023 Budget Expenses Model'!L:L)</f>
        <v>0</v>
      </c>
      <c r="AJ35" s="82">
        <f>SUMIF('2023 Budget Expenses Model'!$C:$C,'Summary by Department &amp; Categor'!$D35,'2023 Budget Expenses Model'!M:M)</f>
        <v>0</v>
      </c>
      <c r="AK35" s="82">
        <f>SUMIF('2023 Budget Expenses Model'!$C:$C,'Summary by Department &amp; Categor'!$D35,'2023 Budget Expenses Model'!N:N)</f>
        <v>0</v>
      </c>
      <c r="AL35" s="82">
        <f>SUMIF('2023 Budget Expenses Model'!$C:$C,'Summary by Department &amp; Categor'!$D35,'2023 Budget Expenses Model'!O:O)</f>
        <v>0</v>
      </c>
      <c r="AM35" s="82">
        <f>SUMIF('2023 Budget Expenses Model'!$C:$C,'Summary by Department &amp; Categor'!$D35,'2023 Budget Expenses Model'!P:P)</f>
        <v>0</v>
      </c>
      <c r="AN35" s="82">
        <f>SUMIF('2023 Budget Expenses Model'!$C:$C,'Summary by Department &amp; Categor'!$D35,'2023 Budget Expenses Model'!Q:Q)</f>
        <v>0</v>
      </c>
      <c r="AO35" s="82">
        <f>SUMIF('2023 Budget Expenses Model'!$C:$C,'Summary by Department &amp; Categor'!$D35,'2023 Budget Expenses Model'!R:R)</f>
        <v>0</v>
      </c>
      <c r="AP35" s="82">
        <f>SUMIF('2023 Budget Expenses Model'!$C:$C,'Summary by Department &amp; Categor'!$D35,'2023 Budget Expenses Model'!S:S)</f>
        <v>0</v>
      </c>
      <c r="AQ35" s="82">
        <f>SUMIF('2023 Budget Expenses Model'!$C:$C,'Summary by Department &amp; Categor'!$D35,'2023 Budget Expenses Model'!T:T)</f>
        <v>0</v>
      </c>
      <c r="AR35" s="82">
        <f t="shared" si="18"/>
        <v>0</v>
      </c>
      <c r="AS35" s="82">
        <f t="shared" si="19"/>
        <v>135.30000000000001</v>
      </c>
      <c r="AT35" s="84">
        <f t="shared" si="20"/>
        <v>0</v>
      </c>
      <c r="AU35" s="76"/>
      <c r="AV35" s="76"/>
      <c r="AW35" s="76"/>
      <c r="AX35" s="76"/>
      <c r="AY35" s="76"/>
      <c r="AZ35" s="76"/>
      <c r="BA35" s="76"/>
      <c r="BB35" s="76"/>
      <c r="BC35" s="76"/>
      <c r="BD35" s="76"/>
      <c r="BE35" s="76"/>
      <c r="BF35" s="76"/>
      <c r="BG35" s="82">
        <f t="shared" si="21"/>
        <v>0</v>
      </c>
      <c r="BH35" s="82">
        <f t="shared" si="22"/>
        <v>135.30000000000001</v>
      </c>
      <c r="BI35" s="84">
        <f t="shared" si="23"/>
        <v>0</v>
      </c>
      <c r="BJ35" s="93"/>
      <c r="BK35" s="82">
        <f t="shared" si="24"/>
        <v>0</v>
      </c>
      <c r="BL35" s="94"/>
      <c r="BM35" s="95"/>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row>
    <row r="36" spans="2:150" s="88" customFormat="1" ht="15" hidden="1" outlineLevel="1" thickBot="1" x14ac:dyDescent="0.35">
      <c r="B36" s="186" t="s">
        <v>209</v>
      </c>
      <c r="C36" s="81">
        <v>7</v>
      </c>
      <c r="D36" s="81" t="str">
        <f t="shared" si="31"/>
        <v>027</v>
      </c>
      <c r="F36" s="10" t="s">
        <v>248</v>
      </c>
      <c r="G36" s="11"/>
      <c r="H36" s="82">
        <f t="shared" si="25"/>
        <v>0</v>
      </c>
      <c r="I36" s="82">
        <f t="shared" si="26"/>
        <v>0</v>
      </c>
      <c r="J36" s="82">
        <f t="shared" si="11"/>
        <v>0</v>
      </c>
      <c r="K36" s="84">
        <f t="shared" si="12"/>
        <v>0</v>
      </c>
      <c r="L36" s="82">
        <f t="shared" si="5"/>
        <v>0</v>
      </c>
      <c r="M36" s="82">
        <f t="shared" si="13"/>
        <v>0</v>
      </c>
      <c r="N36" s="84">
        <f t="shared" si="14"/>
        <v>0</v>
      </c>
      <c r="O36" s="82">
        <f t="shared" si="15"/>
        <v>0</v>
      </c>
      <c r="P36" s="82">
        <f t="shared" si="16"/>
        <v>0</v>
      </c>
      <c r="Q36" s="84">
        <f t="shared" si="17"/>
        <v>0</v>
      </c>
      <c r="R36" s="96"/>
      <c r="S36" s="82"/>
      <c r="T36" s="82"/>
      <c r="U36" s="82"/>
      <c r="V36" s="82"/>
      <c r="W36" s="82"/>
      <c r="X36" s="82"/>
      <c r="Y36" s="82"/>
      <c r="Z36" s="82"/>
      <c r="AA36" s="82"/>
      <c r="AB36" s="82"/>
      <c r="AC36" s="82"/>
      <c r="AD36" s="82"/>
      <c r="AE36" s="76">
        <v>0</v>
      </c>
      <c r="AF36" s="82">
        <f>SUMIF('2023 Budget Expenses Model'!$C:$C,'Summary by Department &amp; Categor'!$D36,'2023 Budget Expenses Model'!I:I)</f>
        <v>0</v>
      </c>
      <c r="AG36" s="82">
        <f>SUMIF('2023 Budget Expenses Model'!$C:$C,'Summary by Department &amp; Categor'!$D36,'2023 Budget Expenses Model'!J:J)</f>
        <v>0</v>
      </c>
      <c r="AH36" s="82">
        <f>SUMIF('2023 Budget Expenses Model'!$C:$C,'Summary by Department &amp; Categor'!$D36,'2023 Budget Expenses Model'!K:K)</f>
        <v>0</v>
      </c>
      <c r="AI36" s="82">
        <f>SUMIF('2023 Budget Expenses Model'!$C:$C,'Summary by Department &amp; Categor'!$D36,'2023 Budget Expenses Model'!L:L)</f>
        <v>0</v>
      </c>
      <c r="AJ36" s="82">
        <f>SUMIF('2023 Budget Expenses Model'!$C:$C,'Summary by Department &amp; Categor'!$D36,'2023 Budget Expenses Model'!M:M)</f>
        <v>0</v>
      </c>
      <c r="AK36" s="82">
        <f>SUMIF('2023 Budget Expenses Model'!$C:$C,'Summary by Department &amp; Categor'!$D36,'2023 Budget Expenses Model'!N:N)</f>
        <v>0</v>
      </c>
      <c r="AL36" s="82">
        <f>SUMIF('2023 Budget Expenses Model'!$C:$C,'Summary by Department &amp; Categor'!$D36,'2023 Budget Expenses Model'!O:O)</f>
        <v>0</v>
      </c>
      <c r="AM36" s="82">
        <f>SUMIF('2023 Budget Expenses Model'!$C:$C,'Summary by Department &amp; Categor'!$D36,'2023 Budget Expenses Model'!P:P)</f>
        <v>0</v>
      </c>
      <c r="AN36" s="82">
        <f>SUMIF('2023 Budget Expenses Model'!$C:$C,'Summary by Department &amp; Categor'!$D36,'2023 Budget Expenses Model'!Q:Q)</f>
        <v>0</v>
      </c>
      <c r="AO36" s="82">
        <f>SUMIF('2023 Budget Expenses Model'!$C:$C,'Summary by Department &amp; Categor'!$D36,'2023 Budget Expenses Model'!R:R)</f>
        <v>0</v>
      </c>
      <c r="AP36" s="82">
        <f>SUMIF('2023 Budget Expenses Model'!$C:$C,'Summary by Department &amp; Categor'!$D36,'2023 Budget Expenses Model'!S:S)</f>
        <v>0</v>
      </c>
      <c r="AQ36" s="82">
        <f>SUMIF('2023 Budget Expenses Model'!$C:$C,'Summary by Department &amp; Categor'!$D36,'2023 Budget Expenses Model'!T:T)</f>
        <v>0</v>
      </c>
      <c r="AR36" s="82">
        <f t="shared" si="18"/>
        <v>0</v>
      </c>
      <c r="AS36" s="82">
        <f t="shared" si="19"/>
        <v>0</v>
      </c>
      <c r="AT36" s="84">
        <f t="shared" si="20"/>
        <v>0</v>
      </c>
      <c r="AU36" s="82"/>
      <c r="AV36" s="82"/>
      <c r="AW36" s="82"/>
      <c r="AX36" s="82"/>
      <c r="AY36" s="82"/>
      <c r="AZ36" s="82"/>
      <c r="BA36" s="82"/>
      <c r="BB36" s="82"/>
      <c r="BC36" s="82"/>
      <c r="BD36" s="82"/>
      <c r="BE36" s="82"/>
      <c r="BF36" s="82"/>
      <c r="BG36" s="82">
        <f t="shared" si="21"/>
        <v>0</v>
      </c>
      <c r="BH36" s="82">
        <f t="shared" si="22"/>
        <v>0</v>
      </c>
      <c r="BI36" s="84">
        <f t="shared" si="23"/>
        <v>0</v>
      </c>
      <c r="BJ36" s="97"/>
      <c r="BK36" s="82">
        <f t="shared" si="24"/>
        <v>0</v>
      </c>
      <c r="BL36" s="98"/>
      <c r="BM36" s="95"/>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row>
    <row r="37" spans="2:150" s="88" customFormat="1" ht="15" hidden="1" outlineLevel="1" thickBot="1" x14ac:dyDescent="0.35">
      <c r="B37" s="186" t="s">
        <v>209</v>
      </c>
      <c r="C37" s="81">
        <v>8</v>
      </c>
      <c r="D37" s="81" t="str">
        <f t="shared" si="31"/>
        <v>028</v>
      </c>
      <c r="F37" s="10" t="s">
        <v>46</v>
      </c>
      <c r="G37" s="11"/>
      <c r="H37" s="82">
        <f t="shared" si="25"/>
        <v>0</v>
      </c>
      <c r="I37" s="82">
        <f t="shared" si="26"/>
        <v>0</v>
      </c>
      <c r="J37" s="82">
        <f t="shared" si="11"/>
        <v>0</v>
      </c>
      <c r="K37" s="84">
        <f t="shared" si="12"/>
        <v>0</v>
      </c>
      <c r="L37" s="82">
        <f t="shared" si="5"/>
        <v>0</v>
      </c>
      <c r="M37" s="82">
        <f t="shared" si="13"/>
        <v>0</v>
      </c>
      <c r="N37" s="84">
        <f t="shared" si="14"/>
        <v>0</v>
      </c>
      <c r="O37" s="82">
        <f t="shared" si="15"/>
        <v>0</v>
      </c>
      <c r="P37" s="82">
        <f t="shared" si="16"/>
        <v>0</v>
      </c>
      <c r="Q37" s="84">
        <f t="shared" si="17"/>
        <v>0</v>
      </c>
      <c r="R37" s="96"/>
      <c r="S37" s="82"/>
      <c r="T37" s="82"/>
      <c r="U37" s="82"/>
      <c r="V37" s="82"/>
      <c r="W37" s="82"/>
      <c r="X37" s="82"/>
      <c r="Y37" s="82"/>
      <c r="Z37" s="82"/>
      <c r="AA37" s="82"/>
      <c r="AB37" s="82"/>
      <c r="AC37" s="82"/>
      <c r="AD37" s="82"/>
      <c r="AE37" s="76">
        <f t="shared" si="32"/>
        <v>0</v>
      </c>
      <c r="AF37" s="82">
        <f>SUMIF('2023 Budget Expenses Model'!$C:$C,'Summary by Department &amp; Categor'!$D37,'2023 Budget Expenses Model'!I:I)</f>
        <v>0</v>
      </c>
      <c r="AG37" s="82">
        <f>SUMIF('2023 Budget Expenses Model'!$C:$C,'Summary by Department &amp; Categor'!$D37,'2023 Budget Expenses Model'!J:J)</f>
        <v>0</v>
      </c>
      <c r="AH37" s="82">
        <f>SUMIF('2023 Budget Expenses Model'!$C:$C,'Summary by Department &amp; Categor'!$D37,'2023 Budget Expenses Model'!K:K)</f>
        <v>0</v>
      </c>
      <c r="AI37" s="82">
        <f>SUMIF('2023 Budget Expenses Model'!$C:$C,'Summary by Department &amp; Categor'!$D37,'2023 Budget Expenses Model'!L:L)</f>
        <v>0</v>
      </c>
      <c r="AJ37" s="82">
        <f>SUMIF('2023 Budget Expenses Model'!$C:$C,'Summary by Department &amp; Categor'!$D37,'2023 Budget Expenses Model'!M:M)</f>
        <v>0</v>
      </c>
      <c r="AK37" s="82">
        <f>SUMIF('2023 Budget Expenses Model'!$C:$C,'Summary by Department &amp; Categor'!$D37,'2023 Budget Expenses Model'!N:N)</f>
        <v>0</v>
      </c>
      <c r="AL37" s="82">
        <f>SUMIF('2023 Budget Expenses Model'!$C:$C,'Summary by Department &amp; Categor'!$D37,'2023 Budget Expenses Model'!O:O)</f>
        <v>0</v>
      </c>
      <c r="AM37" s="82">
        <f>SUMIF('2023 Budget Expenses Model'!$C:$C,'Summary by Department &amp; Categor'!$D37,'2023 Budget Expenses Model'!P:P)</f>
        <v>0</v>
      </c>
      <c r="AN37" s="82">
        <f>SUMIF('2023 Budget Expenses Model'!$C:$C,'Summary by Department &amp; Categor'!$D37,'2023 Budget Expenses Model'!Q:Q)</f>
        <v>0</v>
      </c>
      <c r="AO37" s="82">
        <f>SUMIF('2023 Budget Expenses Model'!$C:$C,'Summary by Department &amp; Categor'!$D37,'2023 Budget Expenses Model'!R:R)</f>
        <v>0</v>
      </c>
      <c r="AP37" s="82">
        <f>SUMIF('2023 Budget Expenses Model'!$C:$C,'Summary by Department &amp; Categor'!$D37,'2023 Budget Expenses Model'!S:S)</f>
        <v>0</v>
      </c>
      <c r="AQ37" s="82">
        <f>SUMIF('2023 Budget Expenses Model'!$C:$C,'Summary by Department &amp; Categor'!$D37,'2023 Budget Expenses Model'!T:T)</f>
        <v>0</v>
      </c>
      <c r="AR37" s="82">
        <f t="shared" si="18"/>
        <v>0</v>
      </c>
      <c r="AS37" s="82">
        <f t="shared" si="19"/>
        <v>0</v>
      </c>
      <c r="AT37" s="84">
        <f t="shared" si="20"/>
        <v>0</v>
      </c>
      <c r="AU37" s="82"/>
      <c r="AV37" s="82"/>
      <c r="AW37" s="82"/>
      <c r="AX37" s="82"/>
      <c r="AY37" s="82"/>
      <c r="AZ37" s="82"/>
      <c r="BA37" s="82"/>
      <c r="BB37" s="82"/>
      <c r="BC37" s="82"/>
      <c r="BD37" s="82"/>
      <c r="BE37" s="82"/>
      <c r="BF37" s="82"/>
      <c r="BG37" s="82">
        <f t="shared" si="21"/>
        <v>0</v>
      </c>
      <c r="BH37" s="82">
        <f t="shared" si="22"/>
        <v>0</v>
      </c>
      <c r="BI37" s="84">
        <f t="shared" si="23"/>
        <v>0</v>
      </c>
      <c r="BJ37" s="97"/>
      <c r="BK37" s="82">
        <f t="shared" si="24"/>
        <v>0</v>
      </c>
      <c r="BL37" s="98"/>
      <c r="BM37" s="95"/>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row>
    <row r="38" spans="2:150" s="88" customFormat="1" ht="15" collapsed="1" thickBot="1" x14ac:dyDescent="0.35">
      <c r="D38" s="81"/>
      <c r="F38" s="8" t="s">
        <v>135</v>
      </c>
      <c r="G38" s="11"/>
      <c r="H38" s="76">
        <f t="shared" si="25"/>
        <v>0</v>
      </c>
      <c r="I38" s="76">
        <f t="shared" si="26"/>
        <v>46980</v>
      </c>
      <c r="J38" s="76">
        <f t="shared" si="11"/>
        <v>-46980</v>
      </c>
      <c r="K38" s="77">
        <f t="shared" si="12"/>
        <v>-1</v>
      </c>
      <c r="L38" s="76">
        <f t="shared" si="5"/>
        <v>0</v>
      </c>
      <c r="M38" s="76">
        <f t="shared" si="13"/>
        <v>0</v>
      </c>
      <c r="N38" s="77">
        <f t="shared" si="14"/>
        <v>0</v>
      </c>
      <c r="O38" s="76">
        <f t="shared" si="15"/>
        <v>0</v>
      </c>
      <c r="P38" s="76">
        <f t="shared" si="16"/>
        <v>0</v>
      </c>
      <c r="Q38" s="77">
        <f t="shared" si="17"/>
        <v>0</v>
      </c>
      <c r="R38" s="96"/>
      <c r="S38" s="76">
        <f>SUM(S39:S46)</f>
        <v>0</v>
      </c>
      <c r="T38" s="76">
        <f t="shared" ref="T38" si="67">SUM(T39:T46)</f>
        <v>0</v>
      </c>
      <c r="U38" s="76">
        <f t="shared" ref="U38" si="68">SUM(U39:U46)</f>
        <v>0</v>
      </c>
      <c r="V38" s="76">
        <f t="shared" ref="V38" si="69">SUM(V39:V46)</f>
        <v>0</v>
      </c>
      <c r="W38" s="76">
        <f t="shared" ref="W38" si="70">SUM(W39:W46)</f>
        <v>0</v>
      </c>
      <c r="X38" s="76">
        <f t="shared" ref="X38" si="71">SUM(X39:X46)</f>
        <v>0</v>
      </c>
      <c r="Y38" s="76">
        <f t="shared" ref="Y38" si="72">SUM(Y39:Y46)</f>
        <v>0</v>
      </c>
      <c r="Z38" s="76">
        <f t="shared" ref="Z38" si="73">SUM(Z39:Z46)</f>
        <v>0</v>
      </c>
      <c r="AA38" s="76">
        <f t="shared" ref="AA38" si="74">SUM(AA39:AA46)</f>
        <v>0</v>
      </c>
      <c r="AB38" s="76">
        <f t="shared" ref="AB38" si="75">SUM(AB39:AB46)</f>
        <v>0</v>
      </c>
      <c r="AC38" s="76">
        <f t="shared" ref="AC38" si="76">SUM(AC39:AC46)</f>
        <v>0</v>
      </c>
      <c r="AD38" s="76">
        <f t="shared" ref="AD38" si="77">SUM(AD39:AD46)</f>
        <v>0</v>
      </c>
      <c r="AE38" s="76">
        <v>128602.65999999999</v>
      </c>
      <c r="AF38" s="76">
        <f>SUM(AF39:AF46)</f>
        <v>46980</v>
      </c>
      <c r="AG38" s="76">
        <f t="shared" ref="AG38" si="78">SUM(AG39:AG46)</f>
        <v>46980</v>
      </c>
      <c r="AH38" s="76">
        <f t="shared" ref="AH38" si="79">SUM(AH39:AH46)</f>
        <v>46980</v>
      </c>
      <c r="AI38" s="76">
        <f t="shared" ref="AI38" si="80">SUM(AI39:AI46)</f>
        <v>46980</v>
      </c>
      <c r="AJ38" s="76">
        <f t="shared" ref="AJ38" si="81">SUM(AJ39:AJ46)</f>
        <v>46980</v>
      </c>
      <c r="AK38" s="76">
        <f t="shared" ref="AK38" si="82">SUM(AK39:AK46)</f>
        <v>46980</v>
      </c>
      <c r="AL38" s="76">
        <f t="shared" ref="AL38" si="83">SUM(AL39:AL46)</f>
        <v>46980</v>
      </c>
      <c r="AM38" s="76">
        <f t="shared" ref="AM38" si="84">SUM(AM39:AM46)</f>
        <v>46980</v>
      </c>
      <c r="AN38" s="76">
        <f t="shared" ref="AN38" si="85">SUM(AN39:AN46)</f>
        <v>46980</v>
      </c>
      <c r="AO38" s="76">
        <f t="shared" ref="AO38" si="86">SUM(AO39:AO46)</f>
        <v>46980</v>
      </c>
      <c r="AP38" s="76">
        <f t="shared" ref="AP38" si="87">SUM(AP39:AP46)</f>
        <v>46980</v>
      </c>
      <c r="AQ38" s="76">
        <f t="shared" ref="AQ38" si="88">SUM(AQ39:AQ46)</f>
        <v>46980</v>
      </c>
      <c r="AR38" s="76">
        <f t="shared" si="18"/>
        <v>563760</v>
      </c>
      <c r="AS38" s="76">
        <f t="shared" si="19"/>
        <v>-435157.34</v>
      </c>
      <c r="AT38" s="77">
        <f t="shared" si="20"/>
        <v>-0.77188402866468009</v>
      </c>
      <c r="AU38" s="76">
        <f>SUM(AU39:AU46)</f>
        <v>0</v>
      </c>
      <c r="AV38" s="76">
        <f t="shared" ref="AV38" si="89">SUM(AV39:AV46)</f>
        <v>0</v>
      </c>
      <c r="AW38" s="76">
        <f t="shared" ref="AW38" si="90">SUM(AW39:AW46)</f>
        <v>0</v>
      </c>
      <c r="AX38" s="76">
        <f t="shared" ref="AX38" si="91">SUM(AX39:AX46)</f>
        <v>0</v>
      </c>
      <c r="AY38" s="76">
        <f t="shared" ref="AY38" si="92">SUM(AY39:AY46)</f>
        <v>0</v>
      </c>
      <c r="AZ38" s="76">
        <f t="shared" ref="AZ38" si="93">SUM(AZ39:AZ46)</f>
        <v>0</v>
      </c>
      <c r="BA38" s="76">
        <f t="shared" ref="BA38" si="94">SUM(BA39:BA46)</f>
        <v>0</v>
      </c>
      <c r="BB38" s="76">
        <f t="shared" ref="BB38" si="95">SUM(BB39:BB46)</f>
        <v>0</v>
      </c>
      <c r="BC38" s="76">
        <f t="shared" ref="BC38" si="96">SUM(BC39:BC46)</f>
        <v>0</v>
      </c>
      <c r="BD38" s="76">
        <f t="shared" ref="BD38" si="97">SUM(BD39:BD46)</f>
        <v>0</v>
      </c>
      <c r="BE38" s="76">
        <f t="shared" ref="BE38" si="98">SUM(BE39:BE46)</f>
        <v>0</v>
      </c>
      <c r="BF38" s="76">
        <f t="shared" ref="BF38" si="99">SUM(BF39:BF46)</f>
        <v>0</v>
      </c>
      <c r="BG38" s="76">
        <f t="shared" si="21"/>
        <v>0</v>
      </c>
      <c r="BH38" s="76">
        <f t="shared" si="22"/>
        <v>128602.65999999999</v>
      </c>
      <c r="BI38" s="77">
        <f t="shared" si="23"/>
        <v>0</v>
      </c>
      <c r="BJ38" s="97"/>
      <c r="BK38" s="76">
        <f t="shared" ref="BK38" si="100">SUM(BK39:BK46)</f>
        <v>563760</v>
      </c>
      <c r="BL38" s="98"/>
      <c r="BM38" s="95"/>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row>
    <row r="39" spans="2:150" s="88" customFormat="1" ht="15" hidden="1" outlineLevel="1" thickBot="1" x14ac:dyDescent="0.35">
      <c r="B39" s="187" t="s">
        <v>210</v>
      </c>
      <c r="C39" s="81">
        <v>2</v>
      </c>
      <c r="D39" s="81" t="str">
        <f t="shared" si="31"/>
        <v>032</v>
      </c>
      <c r="F39" s="10" t="s">
        <v>225</v>
      </c>
      <c r="G39" s="11"/>
      <c r="H39" s="82">
        <f t="shared" si="25"/>
        <v>0</v>
      </c>
      <c r="I39" s="82">
        <f t="shared" si="26"/>
        <v>46980</v>
      </c>
      <c r="J39" s="82">
        <f t="shared" si="11"/>
        <v>-46980</v>
      </c>
      <c r="K39" s="84">
        <f t="shared" si="12"/>
        <v>-1</v>
      </c>
      <c r="L39" s="82">
        <f t="shared" si="5"/>
        <v>0</v>
      </c>
      <c r="M39" s="82">
        <f t="shared" si="13"/>
        <v>0</v>
      </c>
      <c r="N39" s="84">
        <f t="shared" si="14"/>
        <v>0</v>
      </c>
      <c r="O39" s="82">
        <f t="shared" si="15"/>
        <v>0</v>
      </c>
      <c r="P39" s="82">
        <f t="shared" si="16"/>
        <v>0</v>
      </c>
      <c r="Q39" s="84">
        <f t="shared" si="17"/>
        <v>0</v>
      </c>
      <c r="R39" s="96"/>
      <c r="S39" s="82"/>
      <c r="T39" s="82"/>
      <c r="U39" s="82"/>
      <c r="V39" s="82"/>
      <c r="W39" s="82"/>
      <c r="X39" s="82"/>
      <c r="Y39" s="82"/>
      <c r="Z39" s="82"/>
      <c r="AA39" s="82"/>
      <c r="AB39" s="82"/>
      <c r="AC39" s="82"/>
      <c r="AD39" s="82"/>
      <c r="AE39" s="76">
        <v>124800</v>
      </c>
      <c r="AF39" s="82">
        <f>SUMIF('2023 Budget Expenses Model'!$C:$C,'Summary by Department &amp; Categor'!$D39,'2023 Budget Expenses Model'!I:I)</f>
        <v>46980</v>
      </c>
      <c r="AG39" s="82">
        <f>SUMIF('2023 Budget Expenses Model'!$C:$C,'Summary by Department &amp; Categor'!$D39,'2023 Budget Expenses Model'!J:J)</f>
        <v>46980</v>
      </c>
      <c r="AH39" s="82">
        <f>SUMIF('2023 Budget Expenses Model'!$C:$C,'Summary by Department &amp; Categor'!$D39,'2023 Budget Expenses Model'!K:K)</f>
        <v>46980</v>
      </c>
      <c r="AI39" s="82">
        <f>SUMIF('2023 Budget Expenses Model'!$C:$C,'Summary by Department &amp; Categor'!$D39,'2023 Budget Expenses Model'!L:L)</f>
        <v>46980</v>
      </c>
      <c r="AJ39" s="82">
        <f>SUMIF('2023 Budget Expenses Model'!$C:$C,'Summary by Department &amp; Categor'!$D39,'2023 Budget Expenses Model'!M:M)</f>
        <v>46980</v>
      </c>
      <c r="AK39" s="82">
        <f>SUMIF('2023 Budget Expenses Model'!$C:$C,'Summary by Department &amp; Categor'!$D39,'2023 Budget Expenses Model'!N:N)</f>
        <v>46980</v>
      </c>
      <c r="AL39" s="82">
        <f>SUMIF('2023 Budget Expenses Model'!$C:$C,'Summary by Department &amp; Categor'!$D39,'2023 Budget Expenses Model'!O:O)</f>
        <v>46980</v>
      </c>
      <c r="AM39" s="82">
        <f>SUMIF('2023 Budget Expenses Model'!$C:$C,'Summary by Department &amp; Categor'!$D39,'2023 Budget Expenses Model'!P:P)</f>
        <v>46980</v>
      </c>
      <c r="AN39" s="82">
        <f>SUMIF('2023 Budget Expenses Model'!$C:$C,'Summary by Department &amp; Categor'!$D39,'2023 Budget Expenses Model'!Q:Q)</f>
        <v>46980</v>
      </c>
      <c r="AO39" s="82">
        <f>SUMIF('2023 Budget Expenses Model'!$C:$C,'Summary by Department &amp; Categor'!$D39,'2023 Budget Expenses Model'!R:R)</f>
        <v>46980</v>
      </c>
      <c r="AP39" s="82">
        <f>SUMIF('2023 Budget Expenses Model'!$C:$C,'Summary by Department &amp; Categor'!$D39,'2023 Budget Expenses Model'!S:S)</f>
        <v>46980</v>
      </c>
      <c r="AQ39" s="82">
        <f>SUMIF('2023 Budget Expenses Model'!$C:$C,'Summary by Department &amp; Categor'!$D39,'2023 Budget Expenses Model'!T:T)</f>
        <v>46980</v>
      </c>
      <c r="AR39" s="82">
        <f t="shared" si="18"/>
        <v>563760</v>
      </c>
      <c r="AS39" s="82">
        <f t="shared" si="19"/>
        <v>-438960</v>
      </c>
      <c r="AT39" s="84">
        <f t="shared" si="20"/>
        <v>-0.77862920391656021</v>
      </c>
      <c r="AU39" s="82"/>
      <c r="AV39" s="82"/>
      <c r="AW39" s="82"/>
      <c r="AX39" s="82"/>
      <c r="AY39" s="82"/>
      <c r="AZ39" s="82"/>
      <c r="BA39" s="82"/>
      <c r="BB39" s="82"/>
      <c r="BC39" s="82"/>
      <c r="BD39" s="82"/>
      <c r="BE39" s="82"/>
      <c r="BF39" s="82"/>
      <c r="BG39" s="82">
        <f t="shared" si="21"/>
        <v>0</v>
      </c>
      <c r="BH39" s="82">
        <f t="shared" si="22"/>
        <v>124800</v>
      </c>
      <c r="BI39" s="84">
        <f t="shared" si="23"/>
        <v>0</v>
      </c>
      <c r="BJ39" s="97"/>
      <c r="BK39" s="82">
        <f t="shared" si="24"/>
        <v>563760</v>
      </c>
      <c r="BL39" s="98"/>
      <c r="BM39" s="95"/>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row>
    <row r="40" spans="2:150" s="88" customFormat="1" ht="15" hidden="1" outlineLevel="1" thickBot="1" x14ac:dyDescent="0.35">
      <c r="B40" s="187" t="s">
        <v>210</v>
      </c>
      <c r="C40" s="81">
        <v>1</v>
      </c>
      <c r="D40" s="81" t="str">
        <f t="shared" si="31"/>
        <v>031</v>
      </c>
      <c r="F40" s="10" t="s">
        <v>432</v>
      </c>
      <c r="G40" s="11"/>
      <c r="H40" s="82">
        <f t="shared" si="25"/>
        <v>0</v>
      </c>
      <c r="I40" s="82">
        <f t="shared" si="26"/>
        <v>0</v>
      </c>
      <c r="J40" s="82">
        <f t="shared" si="11"/>
        <v>0</v>
      </c>
      <c r="K40" s="84">
        <f t="shared" si="12"/>
        <v>0</v>
      </c>
      <c r="L40" s="82">
        <f t="shared" si="5"/>
        <v>0</v>
      </c>
      <c r="M40" s="82">
        <f t="shared" si="13"/>
        <v>0</v>
      </c>
      <c r="N40" s="84">
        <f t="shared" si="14"/>
        <v>0</v>
      </c>
      <c r="O40" s="82">
        <f t="shared" si="15"/>
        <v>0</v>
      </c>
      <c r="P40" s="82">
        <f t="shared" si="16"/>
        <v>0</v>
      </c>
      <c r="Q40" s="84">
        <f t="shared" si="17"/>
        <v>0</v>
      </c>
      <c r="R40" s="96"/>
      <c r="S40" s="82"/>
      <c r="T40" s="82"/>
      <c r="U40" s="82"/>
      <c r="V40" s="82"/>
      <c r="W40" s="82"/>
      <c r="X40" s="82"/>
      <c r="Y40" s="82"/>
      <c r="Z40" s="82"/>
      <c r="AA40" s="82"/>
      <c r="AB40" s="82"/>
      <c r="AC40" s="82"/>
      <c r="AD40" s="82"/>
      <c r="AE40" s="76">
        <v>0</v>
      </c>
      <c r="AF40" s="82">
        <f>SUMIF('2023 Budget Expenses Model'!$C:$C,'Summary by Department &amp; Categor'!$D40,'2023 Budget Expenses Model'!I:I)</f>
        <v>0</v>
      </c>
      <c r="AG40" s="82">
        <f>SUMIF('2023 Budget Expenses Model'!$C:$C,'Summary by Department &amp; Categor'!$D40,'2023 Budget Expenses Model'!J:J)</f>
        <v>0</v>
      </c>
      <c r="AH40" s="82">
        <f>SUMIF('2023 Budget Expenses Model'!$C:$C,'Summary by Department &amp; Categor'!$D40,'2023 Budget Expenses Model'!K:K)</f>
        <v>0</v>
      </c>
      <c r="AI40" s="82">
        <f>SUMIF('2023 Budget Expenses Model'!$C:$C,'Summary by Department &amp; Categor'!$D40,'2023 Budget Expenses Model'!L:L)</f>
        <v>0</v>
      </c>
      <c r="AJ40" s="82">
        <f>SUMIF('2023 Budget Expenses Model'!$C:$C,'Summary by Department &amp; Categor'!$D40,'2023 Budget Expenses Model'!M:M)</f>
        <v>0</v>
      </c>
      <c r="AK40" s="82">
        <f>SUMIF('2023 Budget Expenses Model'!$C:$C,'Summary by Department &amp; Categor'!$D40,'2023 Budget Expenses Model'!N:N)</f>
        <v>0</v>
      </c>
      <c r="AL40" s="82">
        <f>SUMIF('2023 Budget Expenses Model'!$C:$C,'Summary by Department &amp; Categor'!$D40,'2023 Budget Expenses Model'!O:O)</f>
        <v>0</v>
      </c>
      <c r="AM40" s="82">
        <f>SUMIF('2023 Budget Expenses Model'!$C:$C,'Summary by Department &amp; Categor'!$D40,'2023 Budget Expenses Model'!P:P)</f>
        <v>0</v>
      </c>
      <c r="AN40" s="82">
        <f>SUMIF('2023 Budget Expenses Model'!$C:$C,'Summary by Department &amp; Categor'!$D40,'2023 Budget Expenses Model'!Q:Q)</f>
        <v>0</v>
      </c>
      <c r="AO40" s="82">
        <f>SUMIF('2023 Budget Expenses Model'!$C:$C,'Summary by Department &amp; Categor'!$D40,'2023 Budget Expenses Model'!R:R)</f>
        <v>0</v>
      </c>
      <c r="AP40" s="82">
        <f>SUMIF('2023 Budget Expenses Model'!$C:$C,'Summary by Department &amp; Categor'!$D40,'2023 Budget Expenses Model'!S:S)</f>
        <v>0</v>
      </c>
      <c r="AQ40" s="82">
        <f>SUMIF('2023 Budget Expenses Model'!$C:$C,'Summary by Department &amp; Categor'!$D40,'2023 Budget Expenses Model'!T:T)</f>
        <v>0</v>
      </c>
      <c r="AR40" s="82">
        <f t="shared" si="18"/>
        <v>0</v>
      </c>
      <c r="AS40" s="82">
        <f t="shared" si="19"/>
        <v>0</v>
      </c>
      <c r="AT40" s="84">
        <f t="shared" si="20"/>
        <v>0</v>
      </c>
      <c r="AU40" s="82"/>
      <c r="AV40" s="82"/>
      <c r="AW40" s="82"/>
      <c r="AX40" s="82"/>
      <c r="AY40" s="82"/>
      <c r="AZ40" s="82"/>
      <c r="BA40" s="82"/>
      <c r="BB40" s="82"/>
      <c r="BC40" s="82"/>
      <c r="BD40" s="82"/>
      <c r="BE40" s="82"/>
      <c r="BF40" s="82"/>
      <c r="BG40" s="82">
        <f t="shared" si="21"/>
        <v>0</v>
      </c>
      <c r="BH40" s="82">
        <f t="shared" si="22"/>
        <v>0</v>
      </c>
      <c r="BI40" s="84">
        <f t="shared" si="23"/>
        <v>0</v>
      </c>
      <c r="BJ40" s="97"/>
      <c r="BK40" s="82">
        <f t="shared" si="24"/>
        <v>0</v>
      </c>
      <c r="BL40" s="98"/>
      <c r="BM40" s="95"/>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row>
    <row r="41" spans="2:150" s="88" customFormat="1" ht="15" hidden="1" outlineLevel="1" thickBot="1" x14ac:dyDescent="0.35">
      <c r="B41" s="187" t="s">
        <v>210</v>
      </c>
      <c r="C41" s="81">
        <v>3</v>
      </c>
      <c r="D41" s="81" t="str">
        <f t="shared" si="31"/>
        <v>033</v>
      </c>
      <c r="F41" s="10" t="s">
        <v>230</v>
      </c>
      <c r="G41" s="11"/>
      <c r="H41" s="82">
        <f t="shared" si="25"/>
        <v>0</v>
      </c>
      <c r="I41" s="82">
        <f t="shared" si="26"/>
        <v>0</v>
      </c>
      <c r="J41" s="82">
        <f t="shared" si="11"/>
        <v>0</v>
      </c>
      <c r="K41" s="84">
        <f t="shared" si="12"/>
        <v>0</v>
      </c>
      <c r="L41" s="82">
        <f t="shared" si="5"/>
        <v>0</v>
      </c>
      <c r="M41" s="82">
        <f t="shared" si="13"/>
        <v>0</v>
      </c>
      <c r="N41" s="84">
        <f t="shared" si="14"/>
        <v>0</v>
      </c>
      <c r="O41" s="82">
        <f t="shared" si="15"/>
        <v>0</v>
      </c>
      <c r="P41" s="82">
        <f t="shared" si="16"/>
        <v>0</v>
      </c>
      <c r="Q41" s="84">
        <f t="shared" si="17"/>
        <v>0</v>
      </c>
      <c r="R41" s="96"/>
      <c r="S41" s="82"/>
      <c r="T41" s="82"/>
      <c r="U41" s="82"/>
      <c r="V41" s="82"/>
      <c r="W41" s="82"/>
      <c r="X41" s="82"/>
      <c r="Y41" s="82"/>
      <c r="Z41" s="82"/>
      <c r="AA41" s="82"/>
      <c r="AB41" s="82"/>
      <c r="AC41" s="82"/>
      <c r="AD41" s="82"/>
      <c r="AE41" s="76">
        <v>2248.71</v>
      </c>
      <c r="AF41" s="82">
        <f>SUMIF('2023 Budget Expenses Model'!$C:$C,'Summary by Department &amp; Categor'!$D41,'2023 Budget Expenses Model'!I:I)</f>
        <v>0</v>
      </c>
      <c r="AG41" s="82">
        <f>SUMIF('2023 Budget Expenses Model'!$C:$C,'Summary by Department &amp; Categor'!$D41,'2023 Budget Expenses Model'!J:J)</f>
        <v>0</v>
      </c>
      <c r="AH41" s="82">
        <f>SUMIF('2023 Budget Expenses Model'!$C:$C,'Summary by Department &amp; Categor'!$D41,'2023 Budget Expenses Model'!K:K)</f>
        <v>0</v>
      </c>
      <c r="AI41" s="82">
        <f>SUMIF('2023 Budget Expenses Model'!$C:$C,'Summary by Department &amp; Categor'!$D41,'2023 Budget Expenses Model'!L:L)</f>
        <v>0</v>
      </c>
      <c r="AJ41" s="82">
        <f>SUMIF('2023 Budget Expenses Model'!$C:$C,'Summary by Department &amp; Categor'!$D41,'2023 Budget Expenses Model'!M:M)</f>
        <v>0</v>
      </c>
      <c r="AK41" s="82">
        <f>SUMIF('2023 Budget Expenses Model'!$C:$C,'Summary by Department &amp; Categor'!$D41,'2023 Budget Expenses Model'!N:N)</f>
        <v>0</v>
      </c>
      <c r="AL41" s="82">
        <f>SUMIF('2023 Budget Expenses Model'!$C:$C,'Summary by Department &amp; Categor'!$D41,'2023 Budget Expenses Model'!O:O)</f>
        <v>0</v>
      </c>
      <c r="AM41" s="82">
        <f>SUMIF('2023 Budget Expenses Model'!$C:$C,'Summary by Department &amp; Categor'!$D41,'2023 Budget Expenses Model'!P:P)</f>
        <v>0</v>
      </c>
      <c r="AN41" s="82">
        <f>SUMIF('2023 Budget Expenses Model'!$C:$C,'Summary by Department &amp; Categor'!$D41,'2023 Budget Expenses Model'!Q:Q)</f>
        <v>0</v>
      </c>
      <c r="AO41" s="82">
        <f>SUMIF('2023 Budget Expenses Model'!$C:$C,'Summary by Department &amp; Categor'!$D41,'2023 Budget Expenses Model'!R:R)</f>
        <v>0</v>
      </c>
      <c r="AP41" s="82">
        <f>SUMIF('2023 Budget Expenses Model'!$C:$C,'Summary by Department &amp; Categor'!$D41,'2023 Budget Expenses Model'!S:S)</f>
        <v>0</v>
      </c>
      <c r="AQ41" s="82">
        <f>SUMIF('2023 Budget Expenses Model'!$C:$C,'Summary by Department &amp; Categor'!$D41,'2023 Budget Expenses Model'!T:T)</f>
        <v>0</v>
      </c>
      <c r="AR41" s="82">
        <f t="shared" si="18"/>
        <v>0</v>
      </c>
      <c r="AS41" s="82">
        <f t="shared" si="19"/>
        <v>2248.71</v>
      </c>
      <c r="AT41" s="84">
        <f t="shared" si="20"/>
        <v>0</v>
      </c>
      <c r="AU41" s="82"/>
      <c r="AV41" s="82"/>
      <c r="AW41" s="82"/>
      <c r="AX41" s="82"/>
      <c r="AY41" s="82"/>
      <c r="AZ41" s="82"/>
      <c r="BA41" s="82"/>
      <c r="BB41" s="82"/>
      <c r="BC41" s="82"/>
      <c r="BD41" s="82"/>
      <c r="BE41" s="82"/>
      <c r="BF41" s="82"/>
      <c r="BG41" s="82">
        <f t="shared" si="21"/>
        <v>0</v>
      </c>
      <c r="BH41" s="82">
        <f t="shared" si="22"/>
        <v>2248.71</v>
      </c>
      <c r="BI41" s="84">
        <f t="shared" si="23"/>
        <v>0</v>
      </c>
      <c r="BJ41" s="97"/>
      <c r="BK41" s="82">
        <f t="shared" si="24"/>
        <v>0</v>
      </c>
      <c r="BL41" s="98"/>
      <c r="BM41" s="95"/>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row>
    <row r="42" spans="2:150" s="88" customFormat="1" ht="15" hidden="1" outlineLevel="1" thickBot="1" x14ac:dyDescent="0.35">
      <c r="B42" s="187" t="s">
        <v>210</v>
      </c>
      <c r="C42" s="81">
        <v>4</v>
      </c>
      <c r="D42" s="81" t="str">
        <f t="shared" si="31"/>
        <v>034</v>
      </c>
      <c r="F42" s="10" t="s">
        <v>236</v>
      </c>
      <c r="G42" s="11"/>
      <c r="H42" s="82">
        <f t="shared" si="25"/>
        <v>0</v>
      </c>
      <c r="I42" s="82">
        <f t="shared" si="26"/>
        <v>0</v>
      </c>
      <c r="J42" s="82">
        <f t="shared" si="11"/>
        <v>0</v>
      </c>
      <c r="K42" s="84">
        <f t="shared" si="12"/>
        <v>0</v>
      </c>
      <c r="L42" s="82">
        <f t="shared" si="5"/>
        <v>0</v>
      </c>
      <c r="M42" s="82">
        <f t="shared" si="13"/>
        <v>0</v>
      </c>
      <c r="N42" s="84">
        <f t="shared" si="14"/>
        <v>0</v>
      </c>
      <c r="O42" s="82">
        <f t="shared" si="15"/>
        <v>0</v>
      </c>
      <c r="P42" s="82">
        <f t="shared" si="16"/>
        <v>0</v>
      </c>
      <c r="Q42" s="84">
        <f t="shared" si="17"/>
        <v>0</v>
      </c>
      <c r="R42" s="96"/>
      <c r="S42" s="82"/>
      <c r="T42" s="82"/>
      <c r="U42" s="82"/>
      <c r="V42" s="82"/>
      <c r="W42" s="82"/>
      <c r="X42" s="82"/>
      <c r="Y42" s="82"/>
      <c r="Z42" s="82"/>
      <c r="AA42" s="82"/>
      <c r="AB42" s="82"/>
      <c r="AC42" s="82"/>
      <c r="AD42" s="82"/>
      <c r="AE42" s="76">
        <v>0</v>
      </c>
      <c r="AF42" s="82">
        <f>SUMIF('2023 Budget Expenses Model'!$C:$C,'Summary by Department &amp; Categor'!$D42,'2023 Budget Expenses Model'!I:I)</f>
        <v>0</v>
      </c>
      <c r="AG42" s="82">
        <f>SUMIF('2023 Budget Expenses Model'!$C:$C,'Summary by Department &amp; Categor'!$D42,'2023 Budget Expenses Model'!J:J)</f>
        <v>0</v>
      </c>
      <c r="AH42" s="82">
        <f>SUMIF('2023 Budget Expenses Model'!$C:$C,'Summary by Department &amp; Categor'!$D42,'2023 Budget Expenses Model'!K:K)</f>
        <v>0</v>
      </c>
      <c r="AI42" s="82">
        <f>SUMIF('2023 Budget Expenses Model'!$C:$C,'Summary by Department &amp; Categor'!$D42,'2023 Budget Expenses Model'!L:L)</f>
        <v>0</v>
      </c>
      <c r="AJ42" s="82">
        <f>SUMIF('2023 Budget Expenses Model'!$C:$C,'Summary by Department &amp; Categor'!$D42,'2023 Budget Expenses Model'!M:M)</f>
        <v>0</v>
      </c>
      <c r="AK42" s="82">
        <f>SUMIF('2023 Budget Expenses Model'!$C:$C,'Summary by Department &amp; Categor'!$D42,'2023 Budget Expenses Model'!N:N)</f>
        <v>0</v>
      </c>
      <c r="AL42" s="82">
        <f>SUMIF('2023 Budget Expenses Model'!$C:$C,'Summary by Department &amp; Categor'!$D42,'2023 Budget Expenses Model'!O:O)</f>
        <v>0</v>
      </c>
      <c r="AM42" s="82">
        <f>SUMIF('2023 Budget Expenses Model'!$C:$C,'Summary by Department &amp; Categor'!$D42,'2023 Budget Expenses Model'!P:P)</f>
        <v>0</v>
      </c>
      <c r="AN42" s="82">
        <f>SUMIF('2023 Budget Expenses Model'!$C:$C,'Summary by Department &amp; Categor'!$D42,'2023 Budget Expenses Model'!Q:Q)</f>
        <v>0</v>
      </c>
      <c r="AO42" s="82">
        <f>SUMIF('2023 Budget Expenses Model'!$C:$C,'Summary by Department &amp; Categor'!$D42,'2023 Budget Expenses Model'!R:R)</f>
        <v>0</v>
      </c>
      <c r="AP42" s="82">
        <f>SUMIF('2023 Budget Expenses Model'!$C:$C,'Summary by Department &amp; Categor'!$D42,'2023 Budget Expenses Model'!S:S)</f>
        <v>0</v>
      </c>
      <c r="AQ42" s="82">
        <f>SUMIF('2023 Budget Expenses Model'!$C:$C,'Summary by Department &amp; Categor'!$D42,'2023 Budget Expenses Model'!T:T)</f>
        <v>0</v>
      </c>
      <c r="AR42" s="82">
        <f t="shared" si="18"/>
        <v>0</v>
      </c>
      <c r="AS42" s="82">
        <f t="shared" si="19"/>
        <v>0</v>
      </c>
      <c r="AT42" s="84">
        <f t="shared" si="20"/>
        <v>0</v>
      </c>
      <c r="AU42" s="82"/>
      <c r="AV42" s="82"/>
      <c r="AW42" s="82"/>
      <c r="AX42" s="82"/>
      <c r="AY42" s="82"/>
      <c r="AZ42" s="82"/>
      <c r="BA42" s="82"/>
      <c r="BB42" s="82"/>
      <c r="BC42" s="82"/>
      <c r="BD42" s="82"/>
      <c r="BE42" s="82"/>
      <c r="BF42" s="82"/>
      <c r="BG42" s="82">
        <f t="shared" si="21"/>
        <v>0</v>
      </c>
      <c r="BH42" s="82">
        <f t="shared" si="22"/>
        <v>0</v>
      </c>
      <c r="BI42" s="84">
        <f t="shared" si="23"/>
        <v>0</v>
      </c>
      <c r="BJ42" s="97"/>
      <c r="BK42" s="82">
        <f t="shared" si="24"/>
        <v>0</v>
      </c>
      <c r="BL42" s="98"/>
      <c r="BM42" s="95"/>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row>
    <row r="43" spans="2:150" s="88" customFormat="1" ht="15" hidden="1" outlineLevel="1" thickBot="1" x14ac:dyDescent="0.35">
      <c r="B43" s="187" t="s">
        <v>210</v>
      </c>
      <c r="C43" s="81">
        <v>5</v>
      </c>
      <c r="D43" s="81" t="str">
        <f t="shared" si="31"/>
        <v>035</v>
      </c>
      <c r="F43" s="10" t="s">
        <v>243</v>
      </c>
      <c r="G43" s="11"/>
      <c r="H43" s="82">
        <f t="shared" si="25"/>
        <v>0</v>
      </c>
      <c r="I43" s="82">
        <f t="shared" si="26"/>
        <v>0</v>
      </c>
      <c r="J43" s="82">
        <f t="shared" si="11"/>
        <v>0</v>
      </c>
      <c r="K43" s="84">
        <f t="shared" si="12"/>
        <v>0</v>
      </c>
      <c r="L43" s="82">
        <f t="shared" si="5"/>
        <v>0</v>
      </c>
      <c r="M43" s="82">
        <f t="shared" si="13"/>
        <v>0</v>
      </c>
      <c r="N43" s="84">
        <f t="shared" si="14"/>
        <v>0</v>
      </c>
      <c r="O43" s="82">
        <f t="shared" si="15"/>
        <v>0</v>
      </c>
      <c r="P43" s="82">
        <f t="shared" si="16"/>
        <v>0</v>
      </c>
      <c r="Q43" s="84">
        <f t="shared" si="17"/>
        <v>0</v>
      </c>
      <c r="R43" s="96"/>
      <c r="S43" s="82"/>
      <c r="T43" s="82"/>
      <c r="U43" s="82"/>
      <c r="V43" s="82"/>
      <c r="W43" s="82"/>
      <c r="X43" s="82"/>
      <c r="Y43" s="82"/>
      <c r="Z43" s="82"/>
      <c r="AA43" s="82"/>
      <c r="AB43" s="82"/>
      <c r="AC43" s="82"/>
      <c r="AD43" s="82"/>
      <c r="AE43" s="76">
        <v>0</v>
      </c>
      <c r="AF43" s="82">
        <f>SUMIF('2023 Budget Expenses Model'!$C:$C,'Summary by Department &amp; Categor'!$D43,'2023 Budget Expenses Model'!I:I)</f>
        <v>0</v>
      </c>
      <c r="AG43" s="82">
        <f>SUMIF('2023 Budget Expenses Model'!$C:$C,'Summary by Department &amp; Categor'!$D43,'2023 Budget Expenses Model'!J:J)</f>
        <v>0</v>
      </c>
      <c r="AH43" s="82">
        <f>SUMIF('2023 Budget Expenses Model'!$C:$C,'Summary by Department &amp; Categor'!$D43,'2023 Budget Expenses Model'!K:K)</f>
        <v>0</v>
      </c>
      <c r="AI43" s="82">
        <f>SUMIF('2023 Budget Expenses Model'!$C:$C,'Summary by Department &amp; Categor'!$D43,'2023 Budget Expenses Model'!L:L)</f>
        <v>0</v>
      </c>
      <c r="AJ43" s="82">
        <f>SUMIF('2023 Budget Expenses Model'!$C:$C,'Summary by Department &amp; Categor'!$D43,'2023 Budget Expenses Model'!M:M)</f>
        <v>0</v>
      </c>
      <c r="AK43" s="82">
        <f>SUMIF('2023 Budget Expenses Model'!$C:$C,'Summary by Department &amp; Categor'!$D43,'2023 Budget Expenses Model'!N:N)</f>
        <v>0</v>
      </c>
      <c r="AL43" s="82">
        <f>SUMIF('2023 Budget Expenses Model'!$C:$C,'Summary by Department &amp; Categor'!$D43,'2023 Budget Expenses Model'!O:O)</f>
        <v>0</v>
      </c>
      <c r="AM43" s="82">
        <f>SUMIF('2023 Budget Expenses Model'!$C:$C,'Summary by Department &amp; Categor'!$D43,'2023 Budget Expenses Model'!P:P)</f>
        <v>0</v>
      </c>
      <c r="AN43" s="82">
        <f>SUMIF('2023 Budget Expenses Model'!$C:$C,'Summary by Department &amp; Categor'!$D43,'2023 Budget Expenses Model'!Q:Q)</f>
        <v>0</v>
      </c>
      <c r="AO43" s="82">
        <f>SUMIF('2023 Budget Expenses Model'!$C:$C,'Summary by Department &amp; Categor'!$D43,'2023 Budget Expenses Model'!R:R)</f>
        <v>0</v>
      </c>
      <c r="AP43" s="82">
        <f>SUMIF('2023 Budget Expenses Model'!$C:$C,'Summary by Department &amp; Categor'!$D43,'2023 Budget Expenses Model'!S:S)</f>
        <v>0</v>
      </c>
      <c r="AQ43" s="82">
        <f>SUMIF('2023 Budget Expenses Model'!$C:$C,'Summary by Department &amp; Categor'!$D43,'2023 Budget Expenses Model'!T:T)</f>
        <v>0</v>
      </c>
      <c r="AR43" s="82">
        <f t="shared" si="18"/>
        <v>0</v>
      </c>
      <c r="AS43" s="82">
        <f t="shared" si="19"/>
        <v>0</v>
      </c>
      <c r="AT43" s="84">
        <f t="shared" si="20"/>
        <v>0</v>
      </c>
      <c r="AU43" s="82"/>
      <c r="AV43" s="82"/>
      <c r="AW43" s="82"/>
      <c r="AX43" s="82"/>
      <c r="AY43" s="82"/>
      <c r="AZ43" s="82"/>
      <c r="BA43" s="82"/>
      <c r="BB43" s="82"/>
      <c r="BC43" s="82"/>
      <c r="BD43" s="82"/>
      <c r="BE43" s="82"/>
      <c r="BF43" s="82"/>
      <c r="BG43" s="82">
        <f t="shared" si="21"/>
        <v>0</v>
      </c>
      <c r="BH43" s="82">
        <f t="shared" si="22"/>
        <v>0</v>
      </c>
      <c r="BI43" s="84">
        <f t="shared" si="23"/>
        <v>0</v>
      </c>
      <c r="BJ43" s="97"/>
      <c r="BK43" s="82">
        <f t="shared" si="24"/>
        <v>0</v>
      </c>
      <c r="BL43" s="98"/>
      <c r="BM43" s="95"/>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row>
    <row r="44" spans="2:150" s="88" customFormat="1" ht="15" hidden="1" outlineLevel="1" thickBot="1" x14ac:dyDescent="0.35">
      <c r="B44" s="187" t="s">
        <v>210</v>
      </c>
      <c r="C44" s="81">
        <v>6</v>
      </c>
      <c r="D44" s="81" t="str">
        <f t="shared" si="31"/>
        <v>036</v>
      </c>
      <c r="F44" s="10" t="s">
        <v>31</v>
      </c>
      <c r="G44" s="11"/>
      <c r="H44" s="82">
        <f t="shared" si="25"/>
        <v>0</v>
      </c>
      <c r="I44" s="82">
        <f t="shared" si="26"/>
        <v>0</v>
      </c>
      <c r="J44" s="82">
        <f t="shared" si="11"/>
        <v>0</v>
      </c>
      <c r="K44" s="84">
        <f t="shared" si="12"/>
        <v>0</v>
      </c>
      <c r="L44" s="82">
        <f t="shared" si="5"/>
        <v>0</v>
      </c>
      <c r="M44" s="82">
        <f t="shared" si="13"/>
        <v>0</v>
      </c>
      <c r="N44" s="84">
        <f t="shared" si="14"/>
        <v>0</v>
      </c>
      <c r="O44" s="82">
        <f t="shared" si="15"/>
        <v>0</v>
      </c>
      <c r="P44" s="82">
        <f t="shared" si="16"/>
        <v>0</v>
      </c>
      <c r="Q44" s="84">
        <f t="shared" si="17"/>
        <v>0</v>
      </c>
      <c r="R44" s="96"/>
      <c r="S44" s="82"/>
      <c r="T44" s="82"/>
      <c r="U44" s="82"/>
      <c r="V44" s="82"/>
      <c r="W44" s="82"/>
      <c r="X44" s="82"/>
      <c r="Y44" s="82"/>
      <c r="Z44" s="82"/>
      <c r="AA44" s="82"/>
      <c r="AB44" s="82"/>
      <c r="AC44" s="82"/>
      <c r="AD44" s="82"/>
      <c r="AE44" s="76">
        <v>1553.9499999999998</v>
      </c>
      <c r="AF44" s="82">
        <f>SUMIF('2023 Budget Expenses Model'!$C:$C,'Summary by Department &amp; Categor'!$D44,'2023 Budget Expenses Model'!I:I)</f>
        <v>0</v>
      </c>
      <c r="AG44" s="82">
        <f>SUMIF('2023 Budget Expenses Model'!$C:$C,'Summary by Department &amp; Categor'!$D44,'2023 Budget Expenses Model'!J:J)</f>
        <v>0</v>
      </c>
      <c r="AH44" s="82">
        <f>SUMIF('2023 Budget Expenses Model'!$C:$C,'Summary by Department &amp; Categor'!$D44,'2023 Budget Expenses Model'!K:K)</f>
        <v>0</v>
      </c>
      <c r="AI44" s="82">
        <f>SUMIF('2023 Budget Expenses Model'!$C:$C,'Summary by Department &amp; Categor'!$D44,'2023 Budget Expenses Model'!L:L)</f>
        <v>0</v>
      </c>
      <c r="AJ44" s="82">
        <f>SUMIF('2023 Budget Expenses Model'!$C:$C,'Summary by Department &amp; Categor'!$D44,'2023 Budget Expenses Model'!M:M)</f>
        <v>0</v>
      </c>
      <c r="AK44" s="82">
        <f>SUMIF('2023 Budget Expenses Model'!$C:$C,'Summary by Department &amp; Categor'!$D44,'2023 Budget Expenses Model'!N:N)</f>
        <v>0</v>
      </c>
      <c r="AL44" s="82">
        <f>SUMIF('2023 Budget Expenses Model'!$C:$C,'Summary by Department &amp; Categor'!$D44,'2023 Budget Expenses Model'!O:O)</f>
        <v>0</v>
      </c>
      <c r="AM44" s="82">
        <f>SUMIF('2023 Budget Expenses Model'!$C:$C,'Summary by Department &amp; Categor'!$D44,'2023 Budget Expenses Model'!P:P)</f>
        <v>0</v>
      </c>
      <c r="AN44" s="82">
        <f>SUMIF('2023 Budget Expenses Model'!$C:$C,'Summary by Department &amp; Categor'!$D44,'2023 Budget Expenses Model'!Q:Q)</f>
        <v>0</v>
      </c>
      <c r="AO44" s="82">
        <f>SUMIF('2023 Budget Expenses Model'!$C:$C,'Summary by Department &amp; Categor'!$D44,'2023 Budget Expenses Model'!R:R)</f>
        <v>0</v>
      </c>
      <c r="AP44" s="82">
        <f>SUMIF('2023 Budget Expenses Model'!$C:$C,'Summary by Department &amp; Categor'!$D44,'2023 Budget Expenses Model'!S:S)</f>
        <v>0</v>
      </c>
      <c r="AQ44" s="82">
        <f>SUMIF('2023 Budget Expenses Model'!$C:$C,'Summary by Department &amp; Categor'!$D44,'2023 Budget Expenses Model'!T:T)</f>
        <v>0</v>
      </c>
      <c r="AR44" s="82">
        <f t="shared" si="18"/>
        <v>0</v>
      </c>
      <c r="AS44" s="82">
        <f t="shared" si="19"/>
        <v>1553.9499999999998</v>
      </c>
      <c r="AT44" s="84">
        <f t="shared" si="20"/>
        <v>0</v>
      </c>
      <c r="AU44" s="82"/>
      <c r="AV44" s="82"/>
      <c r="AW44" s="82"/>
      <c r="AX44" s="82"/>
      <c r="AY44" s="82"/>
      <c r="AZ44" s="82"/>
      <c r="BA44" s="82"/>
      <c r="BB44" s="82"/>
      <c r="BC44" s="82"/>
      <c r="BD44" s="82"/>
      <c r="BE44" s="82"/>
      <c r="BF44" s="82"/>
      <c r="BG44" s="82">
        <f t="shared" si="21"/>
        <v>0</v>
      </c>
      <c r="BH44" s="82">
        <f t="shared" si="22"/>
        <v>1553.9499999999998</v>
      </c>
      <c r="BI44" s="84">
        <f t="shared" si="23"/>
        <v>0</v>
      </c>
      <c r="BJ44" s="97"/>
      <c r="BK44" s="82">
        <f t="shared" si="24"/>
        <v>0</v>
      </c>
      <c r="BL44" s="98"/>
      <c r="BM44" s="95"/>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row>
    <row r="45" spans="2:150" s="88" customFormat="1" ht="15" hidden="1" outlineLevel="1" thickBot="1" x14ac:dyDescent="0.35">
      <c r="B45" s="187" t="s">
        <v>210</v>
      </c>
      <c r="C45" s="81">
        <v>7</v>
      </c>
      <c r="D45" s="81" t="str">
        <f t="shared" si="31"/>
        <v>037</v>
      </c>
      <c r="F45" s="10" t="s">
        <v>248</v>
      </c>
      <c r="G45" s="11"/>
      <c r="H45" s="82">
        <f t="shared" si="25"/>
        <v>0</v>
      </c>
      <c r="I45" s="82">
        <f t="shared" si="26"/>
        <v>0</v>
      </c>
      <c r="J45" s="82">
        <f t="shared" si="11"/>
        <v>0</v>
      </c>
      <c r="K45" s="84">
        <f t="shared" si="12"/>
        <v>0</v>
      </c>
      <c r="L45" s="82">
        <f t="shared" ref="L45:L76" si="101">INDEX($S45:$AD45,MATCH($L$9,$S$9:$AD$9,0))</f>
        <v>0</v>
      </c>
      <c r="M45" s="82">
        <f t="shared" si="13"/>
        <v>0</v>
      </c>
      <c r="N45" s="84">
        <f t="shared" si="14"/>
        <v>0</v>
      </c>
      <c r="O45" s="82">
        <f t="shared" si="15"/>
        <v>0</v>
      </c>
      <c r="P45" s="82">
        <f t="shared" si="16"/>
        <v>0</v>
      </c>
      <c r="Q45" s="84">
        <f t="shared" si="17"/>
        <v>0</v>
      </c>
      <c r="R45" s="96"/>
      <c r="S45" s="82"/>
      <c r="T45" s="82"/>
      <c r="U45" s="82"/>
      <c r="V45" s="82"/>
      <c r="W45" s="82"/>
      <c r="X45" s="82"/>
      <c r="Y45" s="82"/>
      <c r="Z45" s="82"/>
      <c r="AA45" s="82"/>
      <c r="AB45" s="82"/>
      <c r="AC45" s="82"/>
      <c r="AD45" s="82"/>
      <c r="AE45" s="76">
        <v>0</v>
      </c>
      <c r="AF45" s="82">
        <f>SUMIF('2023 Budget Expenses Model'!$C:$C,'Summary by Department &amp; Categor'!$D45,'2023 Budget Expenses Model'!I:I)</f>
        <v>0</v>
      </c>
      <c r="AG45" s="82">
        <f>SUMIF('2023 Budget Expenses Model'!$C:$C,'Summary by Department &amp; Categor'!$D45,'2023 Budget Expenses Model'!J:J)</f>
        <v>0</v>
      </c>
      <c r="AH45" s="82">
        <f>SUMIF('2023 Budget Expenses Model'!$C:$C,'Summary by Department &amp; Categor'!$D45,'2023 Budget Expenses Model'!K:K)</f>
        <v>0</v>
      </c>
      <c r="AI45" s="82">
        <f>SUMIF('2023 Budget Expenses Model'!$C:$C,'Summary by Department &amp; Categor'!$D45,'2023 Budget Expenses Model'!L:L)</f>
        <v>0</v>
      </c>
      <c r="AJ45" s="82">
        <f>SUMIF('2023 Budget Expenses Model'!$C:$C,'Summary by Department &amp; Categor'!$D45,'2023 Budget Expenses Model'!M:M)</f>
        <v>0</v>
      </c>
      <c r="AK45" s="82">
        <f>SUMIF('2023 Budget Expenses Model'!$C:$C,'Summary by Department &amp; Categor'!$D45,'2023 Budget Expenses Model'!N:N)</f>
        <v>0</v>
      </c>
      <c r="AL45" s="82">
        <f>SUMIF('2023 Budget Expenses Model'!$C:$C,'Summary by Department &amp; Categor'!$D45,'2023 Budget Expenses Model'!O:O)</f>
        <v>0</v>
      </c>
      <c r="AM45" s="82">
        <f>SUMIF('2023 Budget Expenses Model'!$C:$C,'Summary by Department &amp; Categor'!$D45,'2023 Budget Expenses Model'!P:P)</f>
        <v>0</v>
      </c>
      <c r="AN45" s="82">
        <f>SUMIF('2023 Budget Expenses Model'!$C:$C,'Summary by Department &amp; Categor'!$D45,'2023 Budget Expenses Model'!Q:Q)</f>
        <v>0</v>
      </c>
      <c r="AO45" s="82">
        <f>SUMIF('2023 Budget Expenses Model'!$C:$C,'Summary by Department &amp; Categor'!$D45,'2023 Budget Expenses Model'!R:R)</f>
        <v>0</v>
      </c>
      <c r="AP45" s="82">
        <f>SUMIF('2023 Budget Expenses Model'!$C:$C,'Summary by Department &amp; Categor'!$D45,'2023 Budget Expenses Model'!S:S)</f>
        <v>0</v>
      </c>
      <c r="AQ45" s="82">
        <f>SUMIF('2023 Budget Expenses Model'!$C:$C,'Summary by Department &amp; Categor'!$D45,'2023 Budget Expenses Model'!T:T)</f>
        <v>0</v>
      </c>
      <c r="AR45" s="82">
        <f t="shared" si="18"/>
        <v>0</v>
      </c>
      <c r="AS45" s="82">
        <f t="shared" si="19"/>
        <v>0</v>
      </c>
      <c r="AT45" s="84">
        <f t="shared" si="20"/>
        <v>0</v>
      </c>
      <c r="AU45" s="82"/>
      <c r="AV45" s="82"/>
      <c r="AW45" s="82"/>
      <c r="AX45" s="82"/>
      <c r="AY45" s="82"/>
      <c r="AZ45" s="82"/>
      <c r="BA45" s="82"/>
      <c r="BB45" s="82"/>
      <c r="BC45" s="82"/>
      <c r="BD45" s="82"/>
      <c r="BE45" s="82"/>
      <c r="BF45" s="82"/>
      <c r="BG45" s="82">
        <f t="shared" si="21"/>
        <v>0</v>
      </c>
      <c r="BH45" s="82">
        <f t="shared" si="22"/>
        <v>0</v>
      </c>
      <c r="BI45" s="84">
        <f t="shared" si="23"/>
        <v>0</v>
      </c>
      <c r="BJ45" s="97"/>
      <c r="BK45" s="82">
        <f t="shared" si="24"/>
        <v>0</v>
      </c>
      <c r="BL45" s="98"/>
      <c r="BM45" s="95"/>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row>
    <row r="46" spans="2:150" s="88" customFormat="1" ht="15" hidden="1" outlineLevel="1" thickBot="1" x14ac:dyDescent="0.35">
      <c r="B46" s="187" t="s">
        <v>210</v>
      </c>
      <c r="C46" s="81">
        <v>8</v>
      </c>
      <c r="D46" s="81" t="str">
        <f t="shared" si="31"/>
        <v>038</v>
      </c>
      <c r="F46" s="10" t="s">
        <v>46</v>
      </c>
      <c r="G46" s="11"/>
      <c r="H46" s="82">
        <f t="shared" si="25"/>
        <v>0</v>
      </c>
      <c r="I46" s="82">
        <f t="shared" si="26"/>
        <v>0</v>
      </c>
      <c r="J46" s="82">
        <f t="shared" si="11"/>
        <v>0</v>
      </c>
      <c r="K46" s="84">
        <f t="shared" si="12"/>
        <v>0</v>
      </c>
      <c r="L46" s="82">
        <f t="shared" si="101"/>
        <v>0</v>
      </c>
      <c r="M46" s="82">
        <f t="shared" si="13"/>
        <v>0</v>
      </c>
      <c r="N46" s="84">
        <f t="shared" si="14"/>
        <v>0</v>
      </c>
      <c r="O46" s="82">
        <f t="shared" si="15"/>
        <v>0</v>
      </c>
      <c r="P46" s="82">
        <f t="shared" si="16"/>
        <v>0</v>
      </c>
      <c r="Q46" s="84">
        <f t="shared" si="17"/>
        <v>0</v>
      </c>
      <c r="R46" s="96"/>
      <c r="S46" s="82"/>
      <c r="T46" s="82"/>
      <c r="U46" s="82"/>
      <c r="V46" s="82"/>
      <c r="W46" s="82"/>
      <c r="X46" s="82"/>
      <c r="Y46" s="82"/>
      <c r="Z46" s="82"/>
      <c r="AA46" s="82"/>
      <c r="AB46" s="82"/>
      <c r="AC46" s="82"/>
      <c r="AD46" s="82"/>
      <c r="AE46" s="76">
        <f t="shared" si="32"/>
        <v>0</v>
      </c>
      <c r="AF46" s="82">
        <f>SUMIF('2023 Budget Expenses Model'!$C:$C,'Summary by Department &amp; Categor'!$D46,'2023 Budget Expenses Model'!I:I)</f>
        <v>0</v>
      </c>
      <c r="AG46" s="82">
        <f>SUMIF('2023 Budget Expenses Model'!$C:$C,'Summary by Department &amp; Categor'!$D46,'2023 Budget Expenses Model'!J:J)</f>
        <v>0</v>
      </c>
      <c r="AH46" s="82">
        <f>SUMIF('2023 Budget Expenses Model'!$C:$C,'Summary by Department &amp; Categor'!$D46,'2023 Budget Expenses Model'!K:K)</f>
        <v>0</v>
      </c>
      <c r="AI46" s="82">
        <f>SUMIF('2023 Budget Expenses Model'!$C:$C,'Summary by Department &amp; Categor'!$D46,'2023 Budget Expenses Model'!L:L)</f>
        <v>0</v>
      </c>
      <c r="AJ46" s="82">
        <f>SUMIF('2023 Budget Expenses Model'!$C:$C,'Summary by Department &amp; Categor'!$D46,'2023 Budget Expenses Model'!M:M)</f>
        <v>0</v>
      </c>
      <c r="AK46" s="82">
        <f>SUMIF('2023 Budget Expenses Model'!$C:$C,'Summary by Department &amp; Categor'!$D46,'2023 Budget Expenses Model'!N:N)</f>
        <v>0</v>
      </c>
      <c r="AL46" s="82">
        <f>SUMIF('2023 Budget Expenses Model'!$C:$C,'Summary by Department &amp; Categor'!$D46,'2023 Budget Expenses Model'!O:O)</f>
        <v>0</v>
      </c>
      <c r="AM46" s="82">
        <f>SUMIF('2023 Budget Expenses Model'!$C:$C,'Summary by Department &amp; Categor'!$D46,'2023 Budget Expenses Model'!P:P)</f>
        <v>0</v>
      </c>
      <c r="AN46" s="82">
        <f>SUMIF('2023 Budget Expenses Model'!$C:$C,'Summary by Department &amp; Categor'!$D46,'2023 Budget Expenses Model'!Q:Q)</f>
        <v>0</v>
      </c>
      <c r="AO46" s="82">
        <f>SUMIF('2023 Budget Expenses Model'!$C:$C,'Summary by Department &amp; Categor'!$D46,'2023 Budget Expenses Model'!R:R)</f>
        <v>0</v>
      </c>
      <c r="AP46" s="82">
        <f>SUMIF('2023 Budget Expenses Model'!$C:$C,'Summary by Department &amp; Categor'!$D46,'2023 Budget Expenses Model'!S:S)</f>
        <v>0</v>
      </c>
      <c r="AQ46" s="82">
        <f>SUMIF('2023 Budget Expenses Model'!$C:$C,'Summary by Department &amp; Categor'!$D46,'2023 Budget Expenses Model'!T:T)</f>
        <v>0</v>
      </c>
      <c r="AR46" s="82">
        <f t="shared" si="18"/>
        <v>0</v>
      </c>
      <c r="AS46" s="82">
        <f t="shared" si="19"/>
        <v>0</v>
      </c>
      <c r="AT46" s="84">
        <f t="shared" si="20"/>
        <v>0</v>
      </c>
      <c r="AU46" s="82"/>
      <c r="AV46" s="82"/>
      <c r="AW46" s="82"/>
      <c r="AX46" s="82"/>
      <c r="AY46" s="82"/>
      <c r="AZ46" s="82"/>
      <c r="BA46" s="82"/>
      <c r="BB46" s="82"/>
      <c r="BC46" s="82"/>
      <c r="BD46" s="82"/>
      <c r="BE46" s="82"/>
      <c r="BF46" s="82"/>
      <c r="BG46" s="82">
        <f t="shared" si="21"/>
        <v>0</v>
      </c>
      <c r="BH46" s="82">
        <f t="shared" si="22"/>
        <v>0</v>
      </c>
      <c r="BI46" s="84">
        <f t="shared" si="23"/>
        <v>0</v>
      </c>
      <c r="BJ46" s="97"/>
      <c r="BK46" s="82">
        <f t="shared" si="24"/>
        <v>0</v>
      </c>
      <c r="BL46" s="98"/>
      <c r="BM46" s="95"/>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row>
    <row r="47" spans="2:150" s="88" customFormat="1" ht="15" collapsed="1" thickBot="1" x14ac:dyDescent="0.35">
      <c r="D47" s="81"/>
      <c r="F47" s="8" t="s">
        <v>140</v>
      </c>
      <c r="G47" s="11"/>
      <c r="H47" s="76">
        <f t="shared" si="25"/>
        <v>0</v>
      </c>
      <c r="I47" s="76">
        <f t="shared" si="26"/>
        <v>11000</v>
      </c>
      <c r="J47" s="76">
        <f t="shared" si="11"/>
        <v>-11000</v>
      </c>
      <c r="K47" s="77">
        <f t="shared" si="12"/>
        <v>-1</v>
      </c>
      <c r="L47" s="76">
        <f t="shared" si="101"/>
        <v>0</v>
      </c>
      <c r="M47" s="76">
        <f t="shared" si="13"/>
        <v>0</v>
      </c>
      <c r="N47" s="77">
        <f t="shared" si="14"/>
        <v>0</v>
      </c>
      <c r="O47" s="76">
        <f t="shared" si="15"/>
        <v>0</v>
      </c>
      <c r="P47" s="76">
        <f t="shared" si="16"/>
        <v>0</v>
      </c>
      <c r="Q47" s="77">
        <f t="shared" si="17"/>
        <v>0</v>
      </c>
      <c r="R47" s="96"/>
      <c r="S47" s="76">
        <f>SUM(S48:S55)</f>
        <v>0</v>
      </c>
      <c r="T47" s="76">
        <f t="shared" ref="T47" si="102">SUM(T48:T55)</f>
        <v>0</v>
      </c>
      <c r="U47" s="76">
        <f t="shared" ref="U47" si="103">SUM(U48:U55)</f>
        <v>0</v>
      </c>
      <c r="V47" s="76">
        <f t="shared" ref="V47" si="104">SUM(V48:V55)</f>
        <v>0</v>
      </c>
      <c r="W47" s="76">
        <f t="shared" ref="W47" si="105">SUM(W48:W55)</f>
        <v>0</v>
      </c>
      <c r="X47" s="76">
        <f t="shared" ref="X47" si="106">SUM(X48:X55)</f>
        <v>0</v>
      </c>
      <c r="Y47" s="76">
        <f t="shared" ref="Y47" si="107">SUM(Y48:Y55)</f>
        <v>0</v>
      </c>
      <c r="Z47" s="76">
        <f t="shared" ref="Z47" si="108">SUM(Z48:Z55)</f>
        <v>0</v>
      </c>
      <c r="AA47" s="76">
        <f t="shared" ref="AA47" si="109">SUM(AA48:AA55)</f>
        <v>0</v>
      </c>
      <c r="AB47" s="76">
        <f t="shared" ref="AB47" si="110">SUM(AB48:AB55)</f>
        <v>0</v>
      </c>
      <c r="AC47" s="76">
        <f t="shared" ref="AC47" si="111">SUM(AC48:AC55)</f>
        <v>0</v>
      </c>
      <c r="AD47" s="76">
        <f t="shared" ref="AD47" si="112">SUM(AD48:AD55)</f>
        <v>0</v>
      </c>
      <c r="AE47" s="76">
        <v>60918.94000000001</v>
      </c>
      <c r="AF47" s="76">
        <f>SUM(AF48:AF55)</f>
        <v>11000</v>
      </c>
      <c r="AG47" s="76">
        <f t="shared" ref="AG47" si="113">SUM(AG48:AG55)</f>
        <v>11000</v>
      </c>
      <c r="AH47" s="76">
        <f t="shared" ref="AH47" si="114">SUM(AH48:AH55)</f>
        <v>11400</v>
      </c>
      <c r="AI47" s="76">
        <f t="shared" ref="AI47" si="115">SUM(AI48:AI55)</f>
        <v>11000</v>
      </c>
      <c r="AJ47" s="76">
        <f t="shared" ref="AJ47" si="116">SUM(AJ48:AJ55)</f>
        <v>11000</v>
      </c>
      <c r="AK47" s="76">
        <f t="shared" ref="AK47" si="117">SUM(AK48:AK55)</f>
        <v>11000</v>
      </c>
      <c r="AL47" s="76">
        <f t="shared" ref="AL47" si="118">SUM(AL48:AL55)</f>
        <v>11400</v>
      </c>
      <c r="AM47" s="76">
        <f t="shared" ref="AM47" si="119">SUM(AM48:AM55)</f>
        <v>11000</v>
      </c>
      <c r="AN47" s="76">
        <f t="shared" ref="AN47" si="120">SUM(AN48:AN55)</f>
        <v>11000</v>
      </c>
      <c r="AO47" s="76">
        <f t="shared" ref="AO47" si="121">SUM(AO48:AO55)</f>
        <v>11000</v>
      </c>
      <c r="AP47" s="76">
        <f t="shared" ref="AP47" si="122">SUM(AP48:AP55)</f>
        <v>11000</v>
      </c>
      <c r="AQ47" s="76">
        <f t="shared" ref="AQ47" si="123">SUM(AQ48:AQ55)</f>
        <v>11400</v>
      </c>
      <c r="AR47" s="76">
        <f t="shared" si="18"/>
        <v>133200</v>
      </c>
      <c r="AS47" s="76">
        <f t="shared" si="19"/>
        <v>-72281.06</v>
      </c>
      <c r="AT47" s="77">
        <f t="shared" si="20"/>
        <v>-0.54265060060060055</v>
      </c>
      <c r="AU47" s="76">
        <f>SUM(AU48:AU55)</f>
        <v>0</v>
      </c>
      <c r="AV47" s="76">
        <f t="shared" ref="AV47" si="124">SUM(AV48:AV55)</f>
        <v>0</v>
      </c>
      <c r="AW47" s="76">
        <f t="shared" ref="AW47" si="125">SUM(AW48:AW55)</f>
        <v>0</v>
      </c>
      <c r="AX47" s="76">
        <f t="shared" ref="AX47" si="126">SUM(AX48:AX55)</f>
        <v>0</v>
      </c>
      <c r="AY47" s="76">
        <f t="shared" ref="AY47" si="127">SUM(AY48:AY55)</f>
        <v>0</v>
      </c>
      <c r="AZ47" s="76">
        <f t="shared" ref="AZ47" si="128">SUM(AZ48:AZ55)</f>
        <v>0</v>
      </c>
      <c r="BA47" s="76">
        <f t="shared" ref="BA47" si="129">SUM(BA48:BA55)</f>
        <v>0</v>
      </c>
      <c r="BB47" s="76">
        <f t="shared" ref="BB47" si="130">SUM(BB48:BB55)</f>
        <v>0</v>
      </c>
      <c r="BC47" s="76">
        <f t="shared" ref="BC47" si="131">SUM(BC48:BC55)</f>
        <v>0</v>
      </c>
      <c r="BD47" s="76">
        <f t="shared" ref="BD47" si="132">SUM(BD48:BD55)</f>
        <v>0</v>
      </c>
      <c r="BE47" s="76">
        <f t="shared" ref="BE47" si="133">SUM(BE48:BE55)</f>
        <v>0</v>
      </c>
      <c r="BF47" s="76">
        <f t="shared" ref="BF47" si="134">SUM(BF48:BF55)</f>
        <v>0</v>
      </c>
      <c r="BG47" s="76">
        <f t="shared" si="21"/>
        <v>0</v>
      </c>
      <c r="BH47" s="76">
        <f t="shared" si="22"/>
        <v>60918.94000000001</v>
      </c>
      <c r="BI47" s="77">
        <f t="shared" si="23"/>
        <v>0</v>
      </c>
      <c r="BJ47" s="97"/>
      <c r="BK47" s="76">
        <f t="shared" ref="BK47" si="135">SUM(BK48:BK55)</f>
        <v>133200</v>
      </c>
      <c r="BL47" s="98"/>
      <c r="BM47" s="95"/>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row>
    <row r="48" spans="2:150" s="88" customFormat="1" ht="15" hidden="1" outlineLevel="1" thickBot="1" x14ac:dyDescent="0.35">
      <c r="B48" s="187" t="s">
        <v>211</v>
      </c>
      <c r="C48" s="81">
        <v>2</v>
      </c>
      <c r="D48" s="81" t="str">
        <f t="shared" si="31"/>
        <v>042</v>
      </c>
      <c r="F48" s="10" t="s">
        <v>225</v>
      </c>
      <c r="G48" s="11"/>
      <c r="H48" s="82">
        <f t="shared" si="25"/>
        <v>0</v>
      </c>
      <c r="I48" s="82">
        <f t="shared" si="26"/>
        <v>0</v>
      </c>
      <c r="J48" s="82">
        <f t="shared" si="11"/>
        <v>0</v>
      </c>
      <c r="K48" s="84">
        <f t="shared" si="12"/>
        <v>0</v>
      </c>
      <c r="L48" s="82">
        <f t="shared" si="101"/>
        <v>0</v>
      </c>
      <c r="M48" s="82">
        <f t="shared" si="13"/>
        <v>0</v>
      </c>
      <c r="N48" s="84">
        <f t="shared" si="14"/>
        <v>0</v>
      </c>
      <c r="O48" s="82">
        <f t="shared" si="15"/>
        <v>0</v>
      </c>
      <c r="P48" s="82">
        <f t="shared" si="16"/>
        <v>0</v>
      </c>
      <c r="Q48" s="84">
        <f t="shared" si="17"/>
        <v>0</v>
      </c>
      <c r="R48" s="96"/>
      <c r="S48" s="82"/>
      <c r="T48" s="82"/>
      <c r="U48" s="82"/>
      <c r="V48" s="82"/>
      <c r="W48" s="82"/>
      <c r="X48" s="82"/>
      <c r="Y48" s="82"/>
      <c r="Z48" s="82"/>
      <c r="AA48" s="82"/>
      <c r="AB48" s="82"/>
      <c r="AC48" s="82"/>
      <c r="AD48" s="82"/>
      <c r="AE48" s="76">
        <v>0</v>
      </c>
      <c r="AF48" s="82">
        <f>SUMIF('2023 Budget Expenses Model'!$C:$C,'Summary by Department &amp; Categor'!$D48,'2023 Budget Expenses Model'!I:I)</f>
        <v>0</v>
      </c>
      <c r="AG48" s="82">
        <f>SUMIF('2023 Budget Expenses Model'!$C:$C,'Summary by Department &amp; Categor'!$D48,'2023 Budget Expenses Model'!J:J)</f>
        <v>0</v>
      </c>
      <c r="AH48" s="82">
        <f>SUMIF('2023 Budget Expenses Model'!$C:$C,'Summary by Department &amp; Categor'!$D48,'2023 Budget Expenses Model'!K:K)</f>
        <v>0</v>
      </c>
      <c r="AI48" s="82">
        <f>SUMIF('2023 Budget Expenses Model'!$C:$C,'Summary by Department &amp; Categor'!$D48,'2023 Budget Expenses Model'!L:L)</f>
        <v>0</v>
      </c>
      <c r="AJ48" s="82">
        <f>SUMIF('2023 Budget Expenses Model'!$C:$C,'Summary by Department &amp; Categor'!$D48,'2023 Budget Expenses Model'!M:M)</f>
        <v>0</v>
      </c>
      <c r="AK48" s="82">
        <f>SUMIF('2023 Budget Expenses Model'!$C:$C,'Summary by Department &amp; Categor'!$D48,'2023 Budget Expenses Model'!N:N)</f>
        <v>0</v>
      </c>
      <c r="AL48" s="82">
        <f>SUMIF('2023 Budget Expenses Model'!$C:$C,'Summary by Department &amp; Categor'!$D48,'2023 Budget Expenses Model'!O:O)</f>
        <v>0</v>
      </c>
      <c r="AM48" s="82">
        <f>SUMIF('2023 Budget Expenses Model'!$C:$C,'Summary by Department &amp; Categor'!$D48,'2023 Budget Expenses Model'!P:P)</f>
        <v>0</v>
      </c>
      <c r="AN48" s="82">
        <f>SUMIF('2023 Budget Expenses Model'!$C:$C,'Summary by Department &amp; Categor'!$D48,'2023 Budget Expenses Model'!Q:Q)</f>
        <v>0</v>
      </c>
      <c r="AO48" s="82">
        <f>SUMIF('2023 Budget Expenses Model'!$C:$C,'Summary by Department &amp; Categor'!$D48,'2023 Budget Expenses Model'!R:R)</f>
        <v>0</v>
      </c>
      <c r="AP48" s="82">
        <f>SUMIF('2023 Budget Expenses Model'!$C:$C,'Summary by Department &amp; Categor'!$D48,'2023 Budget Expenses Model'!S:S)</f>
        <v>0</v>
      </c>
      <c r="AQ48" s="82">
        <f>SUMIF('2023 Budget Expenses Model'!$C:$C,'Summary by Department &amp; Categor'!$D48,'2023 Budget Expenses Model'!T:T)</f>
        <v>0</v>
      </c>
      <c r="AR48" s="82">
        <f t="shared" si="18"/>
        <v>0</v>
      </c>
      <c r="AS48" s="82">
        <f t="shared" si="19"/>
        <v>0</v>
      </c>
      <c r="AT48" s="84">
        <f t="shared" si="20"/>
        <v>0</v>
      </c>
      <c r="AU48" s="82"/>
      <c r="AV48" s="82"/>
      <c r="AW48" s="82"/>
      <c r="AX48" s="82"/>
      <c r="AY48" s="82"/>
      <c r="AZ48" s="82"/>
      <c r="BA48" s="82"/>
      <c r="BB48" s="82"/>
      <c r="BC48" s="82"/>
      <c r="BD48" s="82"/>
      <c r="BE48" s="82"/>
      <c r="BF48" s="82"/>
      <c r="BG48" s="82">
        <f t="shared" si="21"/>
        <v>0</v>
      </c>
      <c r="BH48" s="82">
        <f t="shared" si="22"/>
        <v>0</v>
      </c>
      <c r="BI48" s="84">
        <f t="shared" si="23"/>
        <v>0</v>
      </c>
      <c r="BJ48" s="97"/>
      <c r="BK48" s="82">
        <f t="shared" si="24"/>
        <v>0</v>
      </c>
      <c r="BL48" s="98"/>
      <c r="BM48" s="95"/>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row>
    <row r="49" spans="2:150" s="88" customFormat="1" ht="15" hidden="1" outlineLevel="1" thickBot="1" x14ac:dyDescent="0.35">
      <c r="B49" s="187" t="s">
        <v>211</v>
      </c>
      <c r="C49" s="81">
        <v>1</v>
      </c>
      <c r="D49" s="81" t="str">
        <f t="shared" si="31"/>
        <v>041</v>
      </c>
      <c r="F49" s="10" t="s">
        <v>432</v>
      </c>
      <c r="G49" s="11"/>
      <c r="H49" s="82">
        <f t="shared" si="25"/>
        <v>0</v>
      </c>
      <c r="I49" s="82">
        <f t="shared" si="26"/>
        <v>0</v>
      </c>
      <c r="J49" s="82">
        <f t="shared" si="11"/>
        <v>0</v>
      </c>
      <c r="K49" s="84">
        <f t="shared" si="12"/>
        <v>0</v>
      </c>
      <c r="L49" s="82">
        <f t="shared" si="101"/>
        <v>0</v>
      </c>
      <c r="M49" s="82">
        <f t="shared" si="13"/>
        <v>0</v>
      </c>
      <c r="N49" s="84">
        <f t="shared" si="14"/>
        <v>0</v>
      </c>
      <c r="O49" s="82">
        <f t="shared" si="15"/>
        <v>0</v>
      </c>
      <c r="P49" s="82">
        <f t="shared" si="16"/>
        <v>0</v>
      </c>
      <c r="Q49" s="84">
        <f t="shared" si="17"/>
        <v>0</v>
      </c>
      <c r="R49" s="96"/>
      <c r="S49" s="82"/>
      <c r="T49" s="82"/>
      <c r="U49" s="82"/>
      <c r="V49" s="82"/>
      <c r="W49" s="82"/>
      <c r="X49" s="82"/>
      <c r="Y49" s="82"/>
      <c r="Z49" s="82"/>
      <c r="AA49" s="82"/>
      <c r="AB49" s="82"/>
      <c r="AC49" s="82"/>
      <c r="AD49" s="82"/>
      <c r="AE49" s="76">
        <v>0</v>
      </c>
      <c r="AF49" s="82">
        <f>SUMIF('2023 Budget Expenses Model'!$C:$C,'Summary by Department &amp; Categor'!$D49,'2023 Budget Expenses Model'!I:I)</f>
        <v>0</v>
      </c>
      <c r="AG49" s="82">
        <f>SUMIF('2023 Budget Expenses Model'!$C:$C,'Summary by Department &amp; Categor'!$D49,'2023 Budget Expenses Model'!J:J)</f>
        <v>0</v>
      </c>
      <c r="AH49" s="82">
        <f>SUMIF('2023 Budget Expenses Model'!$C:$C,'Summary by Department &amp; Categor'!$D49,'2023 Budget Expenses Model'!K:K)</f>
        <v>0</v>
      </c>
      <c r="AI49" s="82">
        <f>SUMIF('2023 Budget Expenses Model'!$C:$C,'Summary by Department &amp; Categor'!$D49,'2023 Budget Expenses Model'!L:L)</f>
        <v>0</v>
      </c>
      <c r="AJ49" s="82">
        <f>SUMIF('2023 Budget Expenses Model'!$C:$C,'Summary by Department &amp; Categor'!$D49,'2023 Budget Expenses Model'!M:M)</f>
        <v>0</v>
      </c>
      <c r="AK49" s="82">
        <f>SUMIF('2023 Budget Expenses Model'!$C:$C,'Summary by Department &amp; Categor'!$D49,'2023 Budget Expenses Model'!N:N)</f>
        <v>0</v>
      </c>
      <c r="AL49" s="82">
        <f>SUMIF('2023 Budget Expenses Model'!$C:$C,'Summary by Department &amp; Categor'!$D49,'2023 Budget Expenses Model'!O:O)</f>
        <v>0</v>
      </c>
      <c r="AM49" s="82">
        <f>SUMIF('2023 Budget Expenses Model'!$C:$C,'Summary by Department &amp; Categor'!$D49,'2023 Budget Expenses Model'!P:P)</f>
        <v>0</v>
      </c>
      <c r="AN49" s="82">
        <f>SUMIF('2023 Budget Expenses Model'!$C:$C,'Summary by Department &amp; Categor'!$D49,'2023 Budget Expenses Model'!Q:Q)</f>
        <v>0</v>
      </c>
      <c r="AO49" s="82">
        <f>SUMIF('2023 Budget Expenses Model'!$C:$C,'Summary by Department &amp; Categor'!$D49,'2023 Budget Expenses Model'!R:R)</f>
        <v>0</v>
      </c>
      <c r="AP49" s="82">
        <f>SUMIF('2023 Budget Expenses Model'!$C:$C,'Summary by Department &amp; Categor'!$D49,'2023 Budget Expenses Model'!S:S)</f>
        <v>0</v>
      </c>
      <c r="AQ49" s="82">
        <f>SUMIF('2023 Budget Expenses Model'!$C:$C,'Summary by Department &amp; Categor'!$D49,'2023 Budget Expenses Model'!T:T)</f>
        <v>0</v>
      </c>
      <c r="AR49" s="82">
        <f t="shared" si="18"/>
        <v>0</v>
      </c>
      <c r="AS49" s="82">
        <f t="shared" si="19"/>
        <v>0</v>
      </c>
      <c r="AT49" s="84">
        <f t="shared" si="20"/>
        <v>0</v>
      </c>
      <c r="AU49" s="82"/>
      <c r="AV49" s="82"/>
      <c r="AW49" s="82"/>
      <c r="AX49" s="82"/>
      <c r="AY49" s="82"/>
      <c r="AZ49" s="82"/>
      <c r="BA49" s="82"/>
      <c r="BB49" s="82"/>
      <c r="BC49" s="82"/>
      <c r="BD49" s="82"/>
      <c r="BE49" s="82"/>
      <c r="BF49" s="82"/>
      <c r="BG49" s="82">
        <f t="shared" si="21"/>
        <v>0</v>
      </c>
      <c r="BH49" s="82">
        <f t="shared" si="22"/>
        <v>0</v>
      </c>
      <c r="BI49" s="84">
        <f t="shared" si="23"/>
        <v>0</v>
      </c>
      <c r="BJ49" s="97"/>
      <c r="BK49" s="82">
        <f t="shared" si="24"/>
        <v>0</v>
      </c>
      <c r="BL49" s="98"/>
      <c r="BM49" s="95"/>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row>
    <row r="50" spans="2:150" s="88" customFormat="1" ht="15" hidden="1" outlineLevel="1" thickBot="1" x14ac:dyDescent="0.35">
      <c r="B50" s="187" t="s">
        <v>211</v>
      </c>
      <c r="C50" s="81">
        <v>3</v>
      </c>
      <c r="D50" s="81" t="str">
        <f t="shared" si="31"/>
        <v>043</v>
      </c>
      <c r="F50" s="10" t="s">
        <v>230</v>
      </c>
      <c r="G50" s="11"/>
      <c r="H50" s="82">
        <f t="shared" si="25"/>
        <v>0</v>
      </c>
      <c r="I50" s="82">
        <f t="shared" si="26"/>
        <v>11000</v>
      </c>
      <c r="J50" s="82">
        <f t="shared" si="11"/>
        <v>-11000</v>
      </c>
      <c r="K50" s="84">
        <f t="shared" si="12"/>
        <v>-1</v>
      </c>
      <c r="L50" s="82">
        <f t="shared" si="101"/>
        <v>0</v>
      </c>
      <c r="M50" s="82">
        <f t="shared" si="13"/>
        <v>0</v>
      </c>
      <c r="N50" s="84">
        <f t="shared" si="14"/>
        <v>0</v>
      </c>
      <c r="O50" s="82">
        <f t="shared" si="15"/>
        <v>0</v>
      </c>
      <c r="P50" s="82">
        <f t="shared" si="16"/>
        <v>0</v>
      </c>
      <c r="Q50" s="84">
        <f t="shared" si="17"/>
        <v>0</v>
      </c>
      <c r="R50" s="96"/>
      <c r="S50" s="82"/>
      <c r="T50" s="82"/>
      <c r="U50" s="82"/>
      <c r="V50" s="82"/>
      <c r="W50" s="82"/>
      <c r="X50" s="82"/>
      <c r="Y50" s="82"/>
      <c r="Z50" s="82"/>
      <c r="AA50" s="82"/>
      <c r="AB50" s="82"/>
      <c r="AC50" s="82"/>
      <c r="AD50" s="82"/>
      <c r="AE50" s="76">
        <v>44585.43</v>
      </c>
      <c r="AF50" s="82">
        <f>SUMIF('2023 Budget Expenses Model'!$C:$C,'Summary by Department &amp; Categor'!$D50,'2023 Budget Expenses Model'!I:I)</f>
        <v>11000</v>
      </c>
      <c r="AG50" s="82">
        <f>SUMIF('2023 Budget Expenses Model'!$C:$C,'Summary by Department &amp; Categor'!$D50,'2023 Budget Expenses Model'!J:J)</f>
        <v>11000</v>
      </c>
      <c r="AH50" s="82">
        <f>SUMIF('2023 Budget Expenses Model'!$C:$C,'Summary by Department &amp; Categor'!$D50,'2023 Budget Expenses Model'!K:K)</f>
        <v>11400</v>
      </c>
      <c r="AI50" s="82">
        <f>SUMIF('2023 Budget Expenses Model'!$C:$C,'Summary by Department &amp; Categor'!$D50,'2023 Budget Expenses Model'!L:L)</f>
        <v>11000</v>
      </c>
      <c r="AJ50" s="82">
        <f>SUMIF('2023 Budget Expenses Model'!$C:$C,'Summary by Department &amp; Categor'!$D50,'2023 Budget Expenses Model'!M:M)</f>
        <v>11000</v>
      </c>
      <c r="AK50" s="82">
        <f>SUMIF('2023 Budget Expenses Model'!$C:$C,'Summary by Department &amp; Categor'!$D50,'2023 Budget Expenses Model'!N:N)</f>
        <v>11000</v>
      </c>
      <c r="AL50" s="82">
        <f>SUMIF('2023 Budget Expenses Model'!$C:$C,'Summary by Department &amp; Categor'!$D50,'2023 Budget Expenses Model'!O:O)</f>
        <v>11400</v>
      </c>
      <c r="AM50" s="82">
        <f>SUMIF('2023 Budget Expenses Model'!$C:$C,'Summary by Department &amp; Categor'!$D50,'2023 Budget Expenses Model'!P:P)</f>
        <v>11000</v>
      </c>
      <c r="AN50" s="82">
        <f>SUMIF('2023 Budget Expenses Model'!$C:$C,'Summary by Department &amp; Categor'!$D50,'2023 Budget Expenses Model'!Q:Q)</f>
        <v>11000</v>
      </c>
      <c r="AO50" s="82">
        <f>SUMIF('2023 Budget Expenses Model'!$C:$C,'Summary by Department &amp; Categor'!$D50,'2023 Budget Expenses Model'!R:R)</f>
        <v>11000</v>
      </c>
      <c r="AP50" s="82">
        <f>SUMIF('2023 Budget Expenses Model'!$C:$C,'Summary by Department &amp; Categor'!$D50,'2023 Budget Expenses Model'!S:S)</f>
        <v>11000</v>
      </c>
      <c r="AQ50" s="82">
        <f>SUMIF('2023 Budget Expenses Model'!$C:$C,'Summary by Department &amp; Categor'!$D50,'2023 Budget Expenses Model'!T:T)</f>
        <v>11400</v>
      </c>
      <c r="AR50" s="82">
        <f t="shared" si="18"/>
        <v>133200</v>
      </c>
      <c r="AS50" s="82">
        <f t="shared" si="19"/>
        <v>-88614.57</v>
      </c>
      <c r="AT50" s="84">
        <f t="shared" si="20"/>
        <v>-0.66527454954954957</v>
      </c>
      <c r="AU50" s="82"/>
      <c r="AV50" s="82"/>
      <c r="AW50" s="82"/>
      <c r="AX50" s="82"/>
      <c r="AY50" s="82"/>
      <c r="AZ50" s="82"/>
      <c r="BA50" s="82"/>
      <c r="BB50" s="82"/>
      <c r="BC50" s="82"/>
      <c r="BD50" s="82"/>
      <c r="BE50" s="82"/>
      <c r="BF50" s="82"/>
      <c r="BG50" s="82">
        <f t="shared" si="21"/>
        <v>0</v>
      </c>
      <c r="BH50" s="82">
        <f t="shared" si="22"/>
        <v>44585.43</v>
      </c>
      <c r="BI50" s="84">
        <f t="shared" si="23"/>
        <v>0</v>
      </c>
      <c r="BJ50" s="97"/>
      <c r="BK50" s="82">
        <f t="shared" si="24"/>
        <v>133200</v>
      </c>
      <c r="BL50" s="98"/>
      <c r="BM50" s="95"/>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row>
    <row r="51" spans="2:150" s="88" customFormat="1" ht="15" hidden="1" outlineLevel="1" thickBot="1" x14ac:dyDescent="0.35">
      <c r="B51" s="187" t="s">
        <v>211</v>
      </c>
      <c r="C51" s="81">
        <v>4</v>
      </c>
      <c r="D51" s="81" t="str">
        <f t="shared" si="31"/>
        <v>044</v>
      </c>
      <c r="F51" s="10" t="s">
        <v>236</v>
      </c>
      <c r="G51" s="11"/>
      <c r="H51" s="82">
        <f t="shared" si="25"/>
        <v>0</v>
      </c>
      <c r="I51" s="82">
        <f>INDEX($AF51:$AQ51,MATCH($I$9,$AF$9:$AQ$9,0))</f>
        <v>0</v>
      </c>
      <c r="J51" s="82">
        <f t="shared" si="11"/>
        <v>0</v>
      </c>
      <c r="K51" s="84">
        <f t="shared" si="12"/>
        <v>0</v>
      </c>
      <c r="L51" s="82">
        <f t="shared" si="101"/>
        <v>0</v>
      </c>
      <c r="M51" s="82">
        <f t="shared" si="13"/>
        <v>0</v>
      </c>
      <c r="N51" s="84">
        <f t="shared" si="14"/>
        <v>0</v>
      </c>
      <c r="O51" s="82">
        <f t="shared" si="15"/>
        <v>0</v>
      </c>
      <c r="P51" s="82">
        <f t="shared" si="16"/>
        <v>0</v>
      </c>
      <c r="Q51" s="84">
        <f t="shared" si="17"/>
        <v>0</v>
      </c>
      <c r="R51" s="96"/>
      <c r="S51" s="82"/>
      <c r="T51" s="82"/>
      <c r="U51" s="82"/>
      <c r="V51" s="82"/>
      <c r="W51" s="82"/>
      <c r="X51" s="82"/>
      <c r="Y51" s="82"/>
      <c r="Z51" s="82"/>
      <c r="AA51" s="82"/>
      <c r="AB51" s="82"/>
      <c r="AC51" s="82"/>
      <c r="AD51" s="82"/>
      <c r="AE51" s="76">
        <v>0</v>
      </c>
      <c r="AF51" s="82">
        <f>SUMIF('2023 Budget Expenses Model'!$C:$C,'Summary by Department &amp; Categor'!$D51,'2023 Budget Expenses Model'!I:I)</f>
        <v>0</v>
      </c>
      <c r="AG51" s="82">
        <f>SUMIF('2023 Budget Expenses Model'!$C:$C,'Summary by Department &amp; Categor'!$D51,'2023 Budget Expenses Model'!J:J)</f>
        <v>0</v>
      </c>
      <c r="AH51" s="82">
        <f>SUMIF('2023 Budget Expenses Model'!$C:$C,'Summary by Department &amp; Categor'!$D51,'2023 Budget Expenses Model'!K:K)</f>
        <v>0</v>
      </c>
      <c r="AI51" s="82">
        <f>SUMIF('2023 Budget Expenses Model'!$C:$C,'Summary by Department &amp; Categor'!$D51,'2023 Budget Expenses Model'!L:L)</f>
        <v>0</v>
      </c>
      <c r="AJ51" s="82">
        <f>SUMIF('2023 Budget Expenses Model'!$C:$C,'Summary by Department &amp; Categor'!$D51,'2023 Budget Expenses Model'!M:M)</f>
        <v>0</v>
      </c>
      <c r="AK51" s="82">
        <f>SUMIF('2023 Budget Expenses Model'!$C:$C,'Summary by Department &amp; Categor'!$D51,'2023 Budget Expenses Model'!N:N)</f>
        <v>0</v>
      </c>
      <c r="AL51" s="82">
        <f>SUMIF('2023 Budget Expenses Model'!$C:$C,'Summary by Department &amp; Categor'!$D51,'2023 Budget Expenses Model'!O:O)</f>
        <v>0</v>
      </c>
      <c r="AM51" s="82">
        <f>SUMIF('2023 Budget Expenses Model'!$C:$C,'Summary by Department &amp; Categor'!$D51,'2023 Budget Expenses Model'!P:P)</f>
        <v>0</v>
      </c>
      <c r="AN51" s="82">
        <f>SUMIF('2023 Budget Expenses Model'!$C:$C,'Summary by Department &amp; Categor'!$D51,'2023 Budget Expenses Model'!Q:Q)</f>
        <v>0</v>
      </c>
      <c r="AO51" s="82">
        <f>SUMIF('2023 Budget Expenses Model'!$C:$C,'Summary by Department &amp; Categor'!$D51,'2023 Budget Expenses Model'!R:R)</f>
        <v>0</v>
      </c>
      <c r="AP51" s="82">
        <f>SUMIF('2023 Budget Expenses Model'!$C:$C,'Summary by Department &amp; Categor'!$D51,'2023 Budget Expenses Model'!S:S)</f>
        <v>0</v>
      </c>
      <c r="AQ51" s="82">
        <f>SUMIF('2023 Budget Expenses Model'!$C:$C,'Summary by Department &amp; Categor'!$D51,'2023 Budget Expenses Model'!T:T)</f>
        <v>0</v>
      </c>
      <c r="AR51" s="82">
        <f t="shared" si="18"/>
        <v>0</v>
      </c>
      <c r="AS51" s="82">
        <f t="shared" si="19"/>
        <v>0</v>
      </c>
      <c r="AT51" s="84">
        <f t="shared" si="20"/>
        <v>0</v>
      </c>
      <c r="AU51" s="82"/>
      <c r="AV51" s="82"/>
      <c r="AW51" s="82"/>
      <c r="AX51" s="82"/>
      <c r="AY51" s="82"/>
      <c r="AZ51" s="82"/>
      <c r="BA51" s="82"/>
      <c r="BB51" s="82"/>
      <c r="BC51" s="82"/>
      <c r="BD51" s="82"/>
      <c r="BE51" s="82"/>
      <c r="BF51" s="82"/>
      <c r="BG51" s="82">
        <f t="shared" si="21"/>
        <v>0</v>
      </c>
      <c r="BH51" s="82">
        <f t="shared" si="22"/>
        <v>0</v>
      </c>
      <c r="BI51" s="84">
        <f t="shared" si="23"/>
        <v>0</v>
      </c>
      <c r="BJ51" s="97"/>
      <c r="BK51" s="82">
        <f t="shared" si="24"/>
        <v>0</v>
      </c>
      <c r="BL51" s="98"/>
      <c r="BM51" s="95"/>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row>
    <row r="52" spans="2:150" s="88" customFormat="1" ht="15" hidden="1" outlineLevel="1" thickBot="1" x14ac:dyDescent="0.35">
      <c r="B52" s="187" t="s">
        <v>211</v>
      </c>
      <c r="C52" s="81">
        <v>5</v>
      </c>
      <c r="D52" s="81" t="str">
        <f t="shared" si="31"/>
        <v>045</v>
      </c>
      <c r="F52" s="10" t="s">
        <v>243</v>
      </c>
      <c r="G52" s="11"/>
      <c r="H52" s="82">
        <f t="shared" ref="H52:H77" si="136">INDEX($S52:$AD52,MATCH($H$9,$S$9:$AD$9,0))</f>
        <v>0</v>
      </c>
      <c r="I52" s="82">
        <f t="shared" ref="I52:I77" si="137">INDEX($AF52:$AQ52,MATCH($I$9,$AF$9:$AQ$9,0))</f>
        <v>0</v>
      </c>
      <c r="J52" s="82">
        <f t="shared" si="11"/>
        <v>0</v>
      </c>
      <c r="K52" s="84">
        <f t="shared" si="12"/>
        <v>0</v>
      </c>
      <c r="L52" s="82">
        <f t="shared" si="101"/>
        <v>0</v>
      </c>
      <c r="M52" s="82">
        <f t="shared" si="13"/>
        <v>0</v>
      </c>
      <c r="N52" s="84">
        <f t="shared" si="14"/>
        <v>0</v>
      </c>
      <c r="O52" s="82">
        <f t="shared" si="15"/>
        <v>0</v>
      </c>
      <c r="P52" s="82">
        <f t="shared" si="16"/>
        <v>0</v>
      </c>
      <c r="Q52" s="84">
        <f t="shared" si="17"/>
        <v>0</v>
      </c>
      <c r="R52" s="96"/>
      <c r="S52" s="82"/>
      <c r="T52" s="82"/>
      <c r="U52" s="82"/>
      <c r="V52" s="82"/>
      <c r="W52" s="82"/>
      <c r="X52" s="82"/>
      <c r="Y52" s="82"/>
      <c r="Z52" s="82"/>
      <c r="AA52" s="82"/>
      <c r="AB52" s="82"/>
      <c r="AC52" s="82"/>
      <c r="AD52" s="82"/>
      <c r="AE52" s="76">
        <v>0</v>
      </c>
      <c r="AF52" s="82">
        <f>SUMIF('2023 Budget Expenses Model'!$C:$C,'Summary by Department &amp; Categor'!$D52,'2023 Budget Expenses Model'!I:I)</f>
        <v>0</v>
      </c>
      <c r="AG52" s="82">
        <f>SUMIF('2023 Budget Expenses Model'!$C:$C,'Summary by Department &amp; Categor'!$D52,'2023 Budget Expenses Model'!J:J)</f>
        <v>0</v>
      </c>
      <c r="AH52" s="82">
        <f>SUMIF('2023 Budget Expenses Model'!$C:$C,'Summary by Department &amp; Categor'!$D52,'2023 Budget Expenses Model'!K:K)</f>
        <v>0</v>
      </c>
      <c r="AI52" s="82">
        <f>SUMIF('2023 Budget Expenses Model'!$C:$C,'Summary by Department &amp; Categor'!$D52,'2023 Budget Expenses Model'!L:L)</f>
        <v>0</v>
      </c>
      <c r="AJ52" s="82">
        <f>SUMIF('2023 Budget Expenses Model'!$C:$C,'Summary by Department &amp; Categor'!$D52,'2023 Budget Expenses Model'!M:M)</f>
        <v>0</v>
      </c>
      <c r="AK52" s="82">
        <f>SUMIF('2023 Budget Expenses Model'!$C:$C,'Summary by Department &amp; Categor'!$D52,'2023 Budget Expenses Model'!N:N)</f>
        <v>0</v>
      </c>
      <c r="AL52" s="82">
        <f>SUMIF('2023 Budget Expenses Model'!$C:$C,'Summary by Department &amp; Categor'!$D52,'2023 Budget Expenses Model'!O:O)</f>
        <v>0</v>
      </c>
      <c r="AM52" s="82">
        <f>SUMIF('2023 Budget Expenses Model'!$C:$C,'Summary by Department &amp; Categor'!$D52,'2023 Budget Expenses Model'!P:P)</f>
        <v>0</v>
      </c>
      <c r="AN52" s="82">
        <f>SUMIF('2023 Budget Expenses Model'!$C:$C,'Summary by Department &amp; Categor'!$D52,'2023 Budget Expenses Model'!Q:Q)</f>
        <v>0</v>
      </c>
      <c r="AO52" s="82">
        <f>SUMIF('2023 Budget Expenses Model'!$C:$C,'Summary by Department &amp; Categor'!$D52,'2023 Budget Expenses Model'!R:R)</f>
        <v>0</v>
      </c>
      <c r="AP52" s="82">
        <f>SUMIF('2023 Budget Expenses Model'!$C:$C,'Summary by Department &amp; Categor'!$D52,'2023 Budget Expenses Model'!S:S)</f>
        <v>0</v>
      </c>
      <c r="AQ52" s="82">
        <f>SUMIF('2023 Budget Expenses Model'!$C:$C,'Summary by Department &amp; Categor'!$D52,'2023 Budget Expenses Model'!T:T)</f>
        <v>0</v>
      </c>
      <c r="AR52" s="82">
        <f t="shared" si="18"/>
        <v>0</v>
      </c>
      <c r="AS52" s="82">
        <f t="shared" si="19"/>
        <v>0</v>
      </c>
      <c r="AT52" s="84">
        <f t="shared" si="20"/>
        <v>0</v>
      </c>
      <c r="AU52" s="82"/>
      <c r="AV52" s="82"/>
      <c r="AW52" s="82"/>
      <c r="AX52" s="82"/>
      <c r="AY52" s="82"/>
      <c r="AZ52" s="82"/>
      <c r="BA52" s="82"/>
      <c r="BB52" s="82"/>
      <c r="BC52" s="82"/>
      <c r="BD52" s="82"/>
      <c r="BE52" s="82"/>
      <c r="BF52" s="82"/>
      <c r="BG52" s="82">
        <f t="shared" si="21"/>
        <v>0</v>
      </c>
      <c r="BH52" s="82">
        <f t="shared" si="22"/>
        <v>0</v>
      </c>
      <c r="BI52" s="84">
        <f t="shared" si="23"/>
        <v>0</v>
      </c>
      <c r="BJ52" s="97"/>
      <c r="BK52" s="82">
        <f t="shared" si="24"/>
        <v>0</v>
      </c>
      <c r="BL52" s="98"/>
      <c r="BM52" s="95"/>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row>
    <row r="53" spans="2:150" s="88" customFormat="1" ht="15" hidden="1" outlineLevel="1" thickBot="1" x14ac:dyDescent="0.35">
      <c r="B53" s="187" t="s">
        <v>211</v>
      </c>
      <c r="C53" s="81">
        <v>6</v>
      </c>
      <c r="D53" s="81" t="str">
        <f t="shared" si="31"/>
        <v>046</v>
      </c>
      <c r="F53" s="10" t="s">
        <v>31</v>
      </c>
      <c r="G53" s="11"/>
      <c r="H53" s="82">
        <f t="shared" si="136"/>
        <v>0</v>
      </c>
      <c r="I53" s="82">
        <f t="shared" si="137"/>
        <v>0</v>
      </c>
      <c r="J53" s="82">
        <f t="shared" si="11"/>
        <v>0</v>
      </c>
      <c r="K53" s="84">
        <f t="shared" si="12"/>
        <v>0</v>
      </c>
      <c r="L53" s="82">
        <f t="shared" si="101"/>
        <v>0</v>
      </c>
      <c r="M53" s="82">
        <f t="shared" si="13"/>
        <v>0</v>
      </c>
      <c r="N53" s="84">
        <f t="shared" si="14"/>
        <v>0</v>
      </c>
      <c r="O53" s="82">
        <f t="shared" si="15"/>
        <v>0</v>
      </c>
      <c r="P53" s="82">
        <f t="shared" si="16"/>
        <v>0</v>
      </c>
      <c r="Q53" s="84">
        <f t="shared" si="17"/>
        <v>0</v>
      </c>
      <c r="R53" s="96"/>
      <c r="S53" s="82"/>
      <c r="T53" s="82"/>
      <c r="U53" s="82"/>
      <c r="V53" s="82"/>
      <c r="W53" s="82"/>
      <c r="X53" s="82"/>
      <c r="Y53" s="82"/>
      <c r="Z53" s="82"/>
      <c r="AA53" s="82"/>
      <c r="AB53" s="82"/>
      <c r="AC53" s="82"/>
      <c r="AD53" s="82"/>
      <c r="AE53" s="76">
        <v>12830.52</v>
      </c>
      <c r="AF53" s="82">
        <f>SUMIF('2023 Budget Expenses Model'!$C:$C,'Summary by Department &amp; Categor'!$D53,'2023 Budget Expenses Model'!I:I)</f>
        <v>0</v>
      </c>
      <c r="AG53" s="82">
        <f>SUMIF('2023 Budget Expenses Model'!$C:$C,'Summary by Department &amp; Categor'!$D53,'2023 Budget Expenses Model'!J:J)</f>
        <v>0</v>
      </c>
      <c r="AH53" s="82">
        <f>SUMIF('2023 Budget Expenses Model'!$C:$C,'Summary by Department &amp; Categor'!$D53,'2023 Budget Expenses Model'!K:K)</f>
        <v>0</v>
      </c>
      <c r="AI53" s="82">
        <f>SUMIF('2023 Budget Expenses Model'!$C:$C,'Summary by Department &amp; Categor'!$D53,'2023 Budget Expenses Model'!L:L)</f>
        <v>0</v>
      </c>
      <c r="AJ53" s="82">
        <f>SUMIF('2023 Budget Expenses Model'!$C:$C,'Summary by Department &amp; Categor'!$D53,'2023 Budget Expenses Model'!M:M)</f>
        <v>0</v>
      </c>
      <c r="AK53" s="82">
        <f>SUMIF('2023 Budget Expenses Model'!$C:$C,'Summary by Department &amp; Categor'!$D53,'2023 Budget Expenses Model'!N:N)</f>
        <v>0</v>
      </c>
      <c r="AL53" s="82">
        <f>SUMIF('2023 Budget Expenses Model'!$C:$C,'Summary by Department &amp; Categor'!$D53,'2023 Budget Expenses Model'!O:O)</f>
        <v>0</v>
      </c>
      <c r="AM53" s="82">
        <f>SUMIF('2023 Budget Expenses Model'!$C:$C,'Summary by Department &amp; Categor'!$D53,'2023 Budget Expenses Model'!P:P)</f>
        <v>0</v>
      </c>
      <c r="AN53" s="82">
        <f>SUMIF('2023 Budget Expenses Model'!$C:$C,'Summary by Department &amp; Categor'!$D53,'2023 Budget Expenses Model'!Q:Q)</f>
        <v>0</v>
      </c>
      <c r="AO53" s="82">
        <f>SUMIF('2023 Budget Expenses Model'!$C:$C,'Summary by Department &amp; Categor'!$D53,'2023 Budget Expenses Model'!R:R)</f>
        <v>0</v>
      </c>
      <c r="AP53" s="82">
        <f>SUMIF('2023 Budget Expenses Model'!$C:$C,'Summary by Department &amp; Categor'!$D53,'2023 Budget Expenses Model'!S:S)</f>
        <v>0</v>
      </c>
      <c r="AQ53" s="82">
        <f>SUMIF('2023 Budget Expenses Model'!$C:$C,'Summary by Department &amp; Categor'!$D53,'2023 Budget Expenses Model'!T:T)</f>
        <v>0</v>
      </c>
      <c r="AR53" s="82">
        <f t="shared" si="18"/>
        <v>0</v>
      </c>
      <c r="AS53" s="82">
        <f t="shared" si="19"/>
        <v>12830.52</v>
      </c>
      <c r="AT53" s="84">
        <f t="shared" si="20"/>
        <v>0</v>
      </c>
      <c r="AU53" s="82"/>
      <c r="AV53" s="82"/>
      <c r="AW53" s="82"/>
      <c r="AX53" s="82"/>
      <c r="AY53" s="82"/>
      <c r="AZ53" s="82"/>
      <c r="BA53" s="82"/>
      <c r="BB53" s="82"/>
      <c r="BC53" s="82"/>
      <c r="BD53" s="82"/>
      <c r="BE53" s="82"/>
      <c r="BF53" s="82"/>
      <c r="BG53" s="82">
        <f t="shared" si="21"/>
        <v>0</v>
      </c>
      <c r="BH53" s="82">
        <f t="shared" si="22"/>
        <v>12830.52</v>
      </c>
      <c r="BI53" s="84">
        <f t="shared" si="23"/>
        <v>0</v>
      </c>
      <c r="BJ53" s="97"/>
      <c r="BK53" s="82">
        <f t="shared" si="24"/>
        <v>0</v>
      </c>
      <c r="BL53" s="98"/>
      <c r="BM53" s="95"/>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row>
    <row r="54" spans="2:150" s="88" customFormat="1" ht="15" hidden="1" outlineLevel="1" thickBot="1" x14ac:dyDescent="0.35">
      <c r="B54" s="187" t="s">
        <v>211</v>
      </c>
      <c r="C54" s="81">
        <v>7</v>
      </c>
      <c r="D54" s="81" t="str">
        <f t="shared" si="31"/>
        <v>047</v>
      </c>
      <c r="F54" s="10" t="s">
        <v>248</v>
      </c>
      <c r="G54" s="11"/>
      <c r="H54" s="82">
        <f t="shared" si="136"/>
        <v>0</v>
      </c>
      <c r="I54" s="82">
        <f t="shared" si="137"/>
        <v>0</v>
      </c>
      <c r="J54" s="82">
        <f t="shared" si="11"/>
        <v>0</v>
      </c>
      <c r="K54" s="84">
        <f t="shared" si="12"/>
        <v>0</v>
      </c>
      <c r="L54" s="82">
        <f t="shared" si="101"/>
        <v>0</v>
      </c>
      <c r="M54" s="82">
        <f t="shared" si="13"/>
        <v>0</v>
      </c>
      <c r="N54" s="84">
        <f t="shared" si="14"/>
        <v>0</v>
      </c>
      <c r="O54" s="82">
        <f t="shared" si="15"/>
        <v>0</v>
      </c>
      <c r="P54" s="82">
        <f t="shared" si="16"/>
        <v>0</v>
      </c>
      <c r="Q54" s="84">
        <f t="shared" si="17"/>
        <v>0</v>
      </c>
      <c r="R54" s="96"/>
      <c r="S54" s="82"/>
      <c r="T54" s="82"/>
      <c r="U54" s="82"/>
      <c r="V54" s="82"/>
      <c r="W54" s="82"/>
      <c r="X54" s="82"/>
      <c r="Y54" s="82"/>
      <c r="Z54" s="82"/>
      <c r="AA54" s="82"/>
      <c r="AB54" s="82"/>
      <c r="AC54" s="82"/>
      <c r="AD54" s="82"/>
      <c r="AE54" s="76">
        <v>3502.99</v>
      </c>
      <c r="AF54" s="82">
        <f>SUMIF('2023 Budget Expenses Model'!$C:$C,'Summary by Department &amp; Categor'!$D54,'2023 Budget Expenses Model'!I:I)</f>
        <v>0</v>
      </c>
      <c r="AG54" s="82">
        <f>SUMIF('2023 Budget Expenses Model'!$C:$C,'Summary by Department &amp; Categor'!$D54,'2023 Budget Expenses Model'!J:J)</f>
        <v>0</v>
      </c>
      <c r="AH54" s="82">
        <f>SUMIF('2023 Budget Expenses Model'!$C:$C,'Summary by Department &amp; Categor'!$D54,'2023 Budget Expenses Model'!K:K)</f>
        <v>0</v>
      </c>
      <c r="AI54" s="82">
        <f>SUMIF('2023 Budget Expenses Model'!$C:$C,'Summary by Department &amp; Categor'!$D54,'2023 Budget Expenses Model'!L:L)</f>
        <v>0</v>
      </c>
      <c r="AJ54" s="82">
        <f>SUMIF('2023 Budget Expenses Model'!$C:$C,'Summary by Department &amp; Categor'!$D54,'2023 Budget Expenses Model'!M:M)</f>
        <v>0</v>
      </c>
      <c r="AK54" s="82">
        <f>SUMIF('2023 Budget Expenses Model'!$C:$C,'Summary by Department &amp; Categor'!$D54,'2023 Budget Expenses Model'!N:N)</f>
        <v>0</v>
      </c>
      <c r="AL54" s="82">
        <f>SUMIF('2023 Budget Expenses Model'!$C:$C,'Summary by Department &amp; Categor'!$D54,'2023 Budget Expenses Model'!O:O)</f>
        <v>0</v>
      </c>
      <c r="AM54" s="82">
        <f>SUMIF('2023 Budget Expenses Model'!$C:$C,'Summary by Department &amp; Categor'!$D54,'2023 Budget Expenses Model'!P:P)</f>
        <v>0</v>
      </c>
      <c r="AN54" s="82">
        <f>SUMIF('2023 Budget Expenses Model'!$C:$C,'Summary by Department &amp; Categor'!$D54,'2023 Budget Expenses Model'!Q:Q)</f>
        <v>0</v>
      </c>
      <c r="AO54" s="82">
        <f>SUMIF('2023 Budget Expenses Model'!$C:$C,'Summary by Department &amp; Categor'!$D54,'2023 Budget Expenses Model'!R:R)</f>
        <v>0</v>
      </c>
      <c r="AP54" s="82">
        <f>SUMIF('2023 Budget Expenses Model'!$C:$C,'Summary by Department &amp; Categor'!$D54,'2023 Budget Expenses Model'!S:S)</f>
        <v>0</v>
      </c>
      <c r="AQ54" s="82">
        <f>SUMIF('2023 Budget Expenses Model'!$C:$C,'Summary by Department &amp; Categor'!$D54,'2023 Budget Expenses Model'!T:T)</f>
        <v>0</v>
      </c>
      <c r="AR54" s="82">
        <f t="shared" si="18"/>
        <v>0</v>
      </c>
      <c r="AS54" s="82">
        <f t="shared" si="19"/>
        <v>3502.99</v>
      </c>
      <c r="AT54" s="84">
        <f t="shared" si="20"/>
        <v>0</v>
      </c>
      <c r="AU54" s="82"/>
      <c r="AV54" s="82"/>
      <c r="AW54" s="82"/>
      <c r="AX54" s="82"/>
      <c r="AY54" s="82"/>
      <c r="AZ54" s="82"/>
      <c r="BA54" s="82"/>
      <c r="BB54" s="82"/>
      <c r="BC54" s="82"/>
      <c r="BD54" s="82"/>
      <c r="BE54" s="82"/>
      <c r="BF54" s="82"/>
      <c r="BG54" s="82">
        <f t="shared" si="21"/>
        <v>0</v>
      </c>
      <c r="BH54" s="82">
        <f t="shared" si="22"/>
        <v>3502.99</v>
      </c>
      <c r="BI54" s="84">
        <f t="shared" si="23"/>
        <v>0</v>
      </c>
      <c r="BJ54" s="97"/>
      <c r="BK54" s="82">
        <f t="shared" si="24"/>
        <v>0</v>
      </c>
      <c r="BL54" s="98"/>
      <c r="BM54" s="95"/>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row>
    <row r="55" spans="2:150" s="81" customFormat="1" ht="15" hidden="1" outlineLevel="1" thickBot="1" x14ac:dyDescent="0.35">
      <c r="B55" s="187" t="s">
        <v>211</v>
      </c>
      <c r="C55" s="81">
        <v>8</v>
      </c>
      <c r="D55" s="81" t="str">
        <f t="shared" si="31"/>
        <v>048</v>
      </c>
      <c r="F55" s="10" t="s">
        <v>46</v>
      </c>
      <c r="G55" s="9"/>
      <c r="H55" s="82">
        <f t="shared" si="136"/>
        <v>0</v>
      </c>
      <c r="I55" s="82">
        <f t="shared" si="137"/>
        <v>0</v>
      </c>
      <c r="J55" s="82">
        <f t="shared" si="11"/>
        <v>0</v>
      </c>
      <c r="K55" s="84">
        <f t="shared" si="12"/>
        <v>0</v>
      </c>
      <c r="L55" s="82">
        <f t="shared" si="101"/>
        <v>0</v>
      </c>
      <c r="M55" s="82">
        <f t="shared" si="13"/>
        <v>0</v>
      </c>
      <c r="N55" s="84">
        <f t="shared" si="14"/>
        <v>0</v>
      </c>
      <c r="O55" s="82">
        <f t="shared" si="15"/>
        <v>0</v>
      </c>
      <c r="P55" s="82">
        <f t="shared" si="16"/>
        <v>0</v>
      </c>
      <c r="Q55" s="84">
        <f t="shared" si="17"/>
        <v>0</v>
      </c>
      <c r="R55" s="92"/>
      <c r="S55" s="76"/>
      <c r="T55" s="76"/>
      <c r="U55" s="76"/>
      <c r="V55" s="76"/>
      <c r="W55" s="76"/>
      <c r="X55" s="76"/>
      <c r="Y55" s="76"/>
      <c r="Z55" s="76"/>
      <c r="AA55" s="76"/>
      <c r="AB55" s="76"/>
      <c r="AC55" s="76"/>
      <c r="AD55" s="76"/>
      <c r="AE55" s="76">
        <f t="shared" si="32"/>
        <v>0</v>
      </c>
      <c r="AF55" s="82">
        <f>SUMIF('2023 Budget Expenses Model'!$C:$C,'Summary by Department &amp; Categor'!$D55,'2023 Budget Expenses Model'!I:I)</f>
        <v>0</v>
      </c>
      <c r="AG55" s="82">
        <f>SUMIF('2023 Budget Expenses Model'!$C:$C,'Summary by Department &amp; Categor'!$D55,'2023 Budget Expenses Model'!J:J)</f>
        <v>0</v>
      </c>
      <c r="AH55" s="82">
        <f>SUMIF('2023 Budget Expenses Model'!$C:$C,'Summary by Department &amp; Categor'!$D55,'2023 Budget Expenses Model'!K:K)</f>
        <v>0</v>
      </c>
      <c r="AI55" s="82">
        <f>SUMIF('2023 Budget Expenses Model'!$C:$C,'Summary by Department &amp; Categor'!$D55,'2023 Budget Expenses Model'!L:L)</f>
        <v>0</v>
      </c>
      <c r="AJ55" s="82">
        <f>SUMIF('2023 Budget Expenses Model'!$C:$C,'Summary by Department &amp; Categor'!$D55,'2023 Budget Expenses Model'!M:M)</f>
        <v>0</v>
      </c>
      <c r="AK55" s="82">
        <f>SUMIF('2023 Budget Expenses Model'!$C:$C,'Summary by Department &amp; Categor'!$D55,'2023 Budget Expenses Model'!N:N)</f>
        <v>0</v>
      </c>
      <c r="AL55" s="82">
        <f>SUMIF('2023 Budget Expenses Model'!$C:$C,'Summary by Department &amp; Categor'!$D55,'2023 Budget Expenses Model'!O:O)</f>
        <v>0</v>
      </c>
      <c r="AM55" s="82">
        <f>SUMIF('2023 Budget Expenses Model'!$C:$C,'Summary by Department &amp; Categor'!$D55,'2023 Budget Expenses Model'!P:P)</f>
        <v>0</v>
      </c>
      <c r="AN55" s="82">
        <f>SUMIF('2023 Budget Expenses Model'!$C:$C,'Summary by Department &amp; Categor'!$D55,'2023 Budget Expenses Model'!Q:Q)</f>
        <v>0</v>
      </c>
      <c r="AO55" s="82">
        <f>SUMIF('2023 Budget Expenses Model'!$C:$C,'Summary by Department &amp; Categor'!$D55,'2023 Budget Expenses Model'!R:R)</f>
        <v>0</v>
      </c>
      <c r="AP55" s="82">
        <f>SUMIF('2023 Budget Expenses Model'!$C:$C,'Summary by Department &amp; Categor'!$D55,'2023 Budget Expenses Model'!S:S)</f>
        <v>0</v>
      </c>
      <c r="AQ55" s="82">
        <f>SUMIF('2023 Budget Expenses Model'!$C:$C,'Summary by Department &amp; Categor'!$D55,'2023 Budget Expenses Model'!T:T)</f>
        <v>0</v>
      </c>
      <c r="AR55" s="82">
        <f t="shared" si="18"/>
        <v>0</v>
      </c>
      <c r="AS55" s="82">
        <f t="shared" si="19"/>
        <v>0</v>
      </c>
      <c r="AT55" s="84">
        <f t="shared" si="20"/>
        <v>0</v>
      </c>
      <c r="AU55" s="76"/>
      <c r="AV55" s="76"/>
      <c r="AW55" s="76"/>
      <c r="AX55" s="76"/>
      <c r="AY55" s="76"/>
      <c r="AZ55" s="76"/>
      <c r="BA55" s="76"/>
      <c r="BB55" s="76"/>
      <c r="BC55" s="76"/>
      <c r="BD55" s="76"/>
      <c r="BE55" s="76"/>
      <c r="BF55" s="76"/>
      <c r="BG55" s="82">
        <f t="shared" si="21"/>
        <v>0</v>
      </c>
      <c r="BH55" s="82">
        <f t="shared" si="22"/>
        <v>0</v>
      </c>
      <c r="BI55" s="84">
        <f t="shared" si="23"/>
        <v>0</v>
      </c>
      <c r="BJ55" s="93"/>
      <c r="BK55" s="82">
        <f t="shared" si="24"/>
        <v>0</v>
      </c>
      <c r="BL55" s="94"/>
      <c r="BM55" s="95"/>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row>
    <row r="56" spans="2:150" s="88" customFormat="1" ht="15" collapsed="1" thickBot="1" x14ac:dyDescent="0.35">
      <c r="D56" s="81"/>
      <c r="F56" s="8" t="s">
        <v>52</v>
      </c>
      <c r="G56" s="11"/>
      <c r="H56" s="76">
        <f t="shared" si="136"/>
        <v>0</v>
      </c>
      <c r="I56" s="76">
        <f t="shared" si="137"/>
        <v>0</v>
      </c>
      <c r="J56" s="76">
        <f t="shared" si="11"/>
        <v>0</v>
      </c>
      <c r="K56" s="77">
        <f t="shared" si="12"/>
        <v>0</v>
      </c>
      <c r="L56" s="76">
        <f t="shared" si="101"/>
        <v>0</v>
      </c>
      <c r="M56" s="76">
        <f t="shared" si="13"/>
        <v>0</v>
      </c>
      <c r="N56" s="77">
        <f t="shared" si="14"/>
        <v>0</v>
      </c>
      <c r="O56" s="76">
        <f t="shared" si="15"/>
        <v>0</v>
      </c>
      <c r="P56" s="76">
        <f t="shared" si="16"/>
        <v>0</v>
      </c>
      <c r="Q56" s="77">
        <f t="shared" si="17"/>
        <v>0</v>
      </c>
      <c r="R56" s="96"/>
      <c r="S56" s="76">
        <f>SUM(S57:S64)</f>
        <v>0</v>
      </c>
      <c r="T56" s="76">
        <f t="shared" ref="T56" si="138">SUM(T57:T64)</f>
        <v>0</v>
      </c>
      <c r="U56" s="76">
        <f t="shared" ref="U56" si="139">SUM(U57:U64)</f>
        <v>0</v>
      </c>
      <c r="V56" s="76">
        <f t="shared" ref="V56" si="140">SUM(V57:V64)</f>
        <v>0</v>
      </c>
      <c r="W56" s="76">
        <f t="shared" ref="W56" si="141">SUM(W57:W64)</f>
        <v>0</v>
      </c>
      <c r="X56" s="76">
        <f t="shared" ref="X56" si="142">SUM(X57:X64)</f>
        <v>0</v>
      </c>
      <c r="Y56" s="76">
        <f t="shared" ref="Y56" si="143">SUM(Y57:Y64)</f>
        <v>0</v>
      </c>
      <c r="Z56" s="76">
        <f t="shared" ref="Z56" si="144">SUM(Z57:Z64)</f>
        <v>0</v>
      </c>
      <c r="AA56" s="76">
        <f t="shared" ref="AA56" si="145">SUM(AA57:AA64)</f>
        <v>0</v>
      </c>
      <c r="AB56" s="76">
        <f t="shared" ref="AB56" si="146">SUM(AB57:AB64)</f>
        <v>0</v>
      </c>
      <c r="AC56" s="76">
        <f t="shared" ref="AC56" si="147">SUM(AC57:AC64)</f>
        <v>0</v>
      </c>
      <c r="AD56" s="76">
        <f t="shared" ref="AD56" si="148">SUM(AD57:AD64)</f>
        <v>0</v>
      </c>
      <c r="AE56" s="76">
        <v>70350</v>
      </c>
      <c r="AF56" s="76">
        <f>SUM(AF57:AF64)</f>
        <v>0</v>
      </c>
      <c r="AG56" s="76">
        <f t="shared" ref="AG56" si="149">SUM(AG57:AG64)</f>
        <v>0</v>
      </c>
      <c r="AH56" s="76">
        <f t="shared" ref="AH56" si="150">SUM(AH57:AH64)</f>
        <v>0</v>
      </c>
      <c r="AI56" s="76">
        <f t="shared" ref="AI56" si="151">SUM(AI57:AI64)</f>
        <v>0</v>
      </c>
      <c r="AJ56" s="76">
        <f t="shared" ref="AJ56" si="152">SUM(AJ57:AJ64)</f>
        <v>0</v>
      </c>
      <c r="AK56" s="76">
        <f t="shared" ref="AK56" si="153">SUM(AK57:AK64)</f>
        <v>0</v>
      </c>
      <c r="AL56" s="76">
        <f t="shared" ref="AL56" si="154">SUM(AL57:AL64)</f>
        <v>0</v>
      </c>
      <c r="AM56" s="76">
        <f t="shared" ref="AM56" si="155">SUM(AM57:AM64)</f>
        <v>0</v>
      </c>
      <c r="AN56" s="76">
        <f t="shared" ref="AN56" si="156">SUM(AN57:AN64)</f>
        <v>0</v>
      </c>
      <c r="AO56" s="76">
        <f t="shared" ref="AO56" si="157">SUM(AO57:AO64)</f>
        <v>0</v>
      </c>
      <c r="AP56" s="76">
        <f t="shared" ref="AP56" si="158">SUM(AP57:AP64)</f>
        <v>0</v>
      </c>
      <c r="AQ56" s="76">
        <f t="shared" ref="AQ56" si="159">SUM(AQ57:AQ64)</f>
        <v>0</v>
      </c>
      <c r="AR56" s="76">
        <f t="shared" si="18"/>
        <v>0</v>
      </c>
      <c r="AS56" s="76">
        <f t="shared" si="19"/>
        <v>70350</v>
      </c>
      <c r="AT56" s="77">
        <f t="shared" si="20"/>
        <v>0</v>
      </c>
      <c r="AU56" s="76">
        <f>SUM(AU57:AU64)</f>
        <v>0</v>
      </c>
      <c r="AV56" s="76">
        <f t="shared" ref="AV56" si="160">SUM(AV57:AV64)</f>
        <v>0</v>
      </c>
      <c r="AW56" s="76">
        <f t="shared" ref="AW56" si="161">SUM(AW57:AW64)</f>
        <v>0</v>
      </c>
      <c r="AX56" s="76">
        <f t="shared" ref="AX56" si="162">SUM(AX57:AX64)</f>
        <v>0</v>
      </c>
      <c r="AY56" s="76">
        <f t="shared" ref="AY56" si="163">SUM(AY57:AY64)</f>
        <v>0</v>
      </c>
      <c r="AZ56" s="76">
        <f t="shared" ref="AZ56" si="164">SUM(AZ57:AZ64)</f>
        <v>0</v>
      </c>
      <c r="BA56" s="76">
        <f t="shared" ref="BA56" si="165">SUM(BA57:BA64)</f>
        <v>0</v>
      </c>
      <c r="BB56" s="76">
        <f t="shared" ref="BB56" si="166">SUM(BB57:BB64)</f>
        <v>0</v>
      </c>
      <c r="BC56" s="76">
        <f t="shared" ref="BC56" si="167">SUM(BC57:BC64)</f>
        <v>0</v>
      </c>
      <c r="BD56" s="76">
        <f t="shared" ref="BD56" si="168">SUM(BD57:BD64)</f>
        <v>0</v>
      </c>
      <c r="BE56" s="76">
        <f t="shared" ref="BE56" si="169">SUM(BE57:BE64)</f>
        <v>0</v>
      </c>
      <c r="BF56" s="76">
        <f t="shared" ref="BF56" si="170">SUM(BF57:BF64)</f>
        <v>0</v>
      </c>
      <c r="BG56" s="76">
        <f t="shared" si="21"/>
        <v>0</v>
      </c>
      <c r="BH56" s="76">
        <f t="shared" si="22"/>
        <v>70350</v>
      </c>
      <c r="BI56" s="77">
        <f t="shared" si="23"/>
        <v>0</v>
      </c>
      <c r="BJ56" s="97"/>
      <c r="BK56" s="76">
        <f t="shared" ref="BK56" si="171">SUM(BK57:BK64)</f>
        <v>0</v>
      </c>
      <c r="BL56" s="98"/>
      <c r="BM56" s="95"/>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row>
    <row r="57" spans="2:150" s="88" customFormat="1" ht="15" hidden="1" outlineLevel="1" thickBot="1" x14ac:dyDescent="0.35">
      <c r="B57" s="187" t="s">
        <v>212</v>
      </c>
      <c r="C57" s="81">
        <v>2</v>
      </c>
      <c r="D57" s="81" t="str">
        <f t="shared" si="31"/>
        <v>052</v>
      </c>
      <c r="F57" s="10" t="s">
        <v>225</v>
      </c>
      <c r="G57" s="11"/>
      <c r="H57" s="82">
        <f t="shared" si="136"/>
        <v>0</v>
      </c>
      <c r="I57" s="82">
        <f t="shared" si="137"/>
        <v>0</v>
      </c>
      <c r="J57" s="82">
        <f t="shared" si="11"/>
        <v>0</v>
      </c>
      <c r="K57" s="84">
        <f t="shared" si="12"/>
        <v>0</v>
      </c>
      <c r="L57" s="82">
        <f t="shared" si="101"/>
        <v>0</v>
      </c>
      <c r="M57" s="82">
        <f t="shared" si="13"/>
        <v>0</v>
      </c>
      <c r="N57" s="84">
        <f t="shared" si="14"/>
        <v>0</v>
      </c>
      <c r="O57" s="82">
        <f t="shared" si="15"/>
        <v>0</v>
      </c>
      <c r="P57" s="82">
        <f t="shared" si="16"/>
        <v>0</v>
      </c>
      <c r="Q57" s="84">
        <f t="shared" si="17"/>
        <v>0</v>
      </c>
      <c r="R57" s="96"/>
      <c r="S57" s="82"/>
      <c r="T57" s="82"/>
      <c r="U57" s="82"/>
      <c r="V57" s="82"/>
      <c r="W57" s="82"/>
      <c r="X57" s="82"/>
      <c r="Y57" s="82"/>
      <c r="Z57" s="82"/>
      <c r="AA57" s="82"/>
      <c r="AB57" s="82"/>
      <c r="AC57" s="82"/>
      <c r="AD57" s="82"/>
      <c r="AE57" s="76">
        <v>0</v>
      </c>
      <c r="AF57" s="82">
        <f>SUMIF('2023 Budget Expenses Model'!$C:$C,'Summary by Department &amp; Categor'!$D57,'2023 Budget Expenses Model'!I:I)</f>
        <v>0</v>
      </c>
      <c r="AG57" s="82">
        <f>SUMIF('2023 Budget Expenses Model'!$C:$C,'Summary by Department &amp; Categor'!$D57,'2023 Budget Expenses Model'!J:J)</f>
        <v>0</v>
      </c>
      <c r="AH57" s="82">
        <f>SUMIF('2023 Budget Expenses Model'!$C:$C,'Summary by Department &amp; Categor'!$D57,'2023 Budget Expenses Model'!K:K)</f>
        <v>0</v>
      </c>
      <c r="AI57" s="82">
        <f>SUMIF('2023 Budget Expenses Model'!$C:$C,'Summary by Department &amp; Categor'!$D57,'2023 Budget Expenses Model'!L:L)</f>
        <v>0</v>
      </c>
      <c r="AJ57" s="82">
        <f>SUMIF('2023 Budget Expenses Model'!$C:$C,'Summary by Department &amp; Categor'!$D57,'2023 Budget Expenses Model'!M:M)</f>
        <v>0</v>
      </c>
      <c r="AK57" s="82">
        <f>SUMIF('2023 Budget Expenses Model'!$C:$C,'Summary by Department &amp; Categor'!$D57,'2023 Budget Expenses Model'!N:N)</f>
        <v>0</v>
      </c>
      <c r="AL57" s="82">
        <f>SUMIF('2023 Budget Expenses Model'!$C:$C,'Summary by Department &amp; Categor'!$D57,'2023 Budget Expenses Model'!O:O)</f>
        <v>0</v>
      </c>
      <c r="AM57" s="82">
        <f>SUMIF('2023 Budget Expenses Model'!$C:$C,'Summary by Department &amp; Categor'!$D57,'2023 Budget Expenses Model'!P:P)</f>
        <v>0</v>
      </c>
      <c r="AN57" s="82">
        <f>SUMIF('2023 Budget Expenses Model'!$C:$C,'Summary by Department &amp; Categor'!$D57,'2023 Budget Expenses Model'!Q:Q)</f>
        <v>0</v>
      </c>
      <c r="AO57" s="82">
        <f>SUMIF('2023 Budget Expenses Model'!$C:$C,'Summary by Department &amp; Categor'!$D57,'2023 Budget Expenses Model'!R:R)</f>
        <v>0</v>
      </c>
      <c r="AP57" s="82">
        <f>SUMIF('2023 Budget Expenses Model'!$C:$C,'Summary by Department &amp; Categor'!$D57,'2023 Budget Expenses Model'!S:S)</f>
        <v>0</v>
      </c>
      <c r="AQ57" s="82">
        <f>SUMIF('2023 Budget Expenses Model'!$C:$C,'Summary by Department &amp; Categor'!$D57,'2023 Budget Expenses Model'!T:T)</f>
        <v>0</v>
      </c>
      <c r="AR57" s="82">
        <f t="shared" si="18"/>
        <v>0</v>
      </c>
      <c r="AS57" s="82">
        <f t="shared" si="19"/>
        <v>0</v>
      </c>
      <c r="AT57" s="84">
        <f t="shared" si="20"/>
        <v>0</v>
      </c>
      <c r="AU57" s="82"/>
      <c r="AV57" s="82"/>
      <c r="AW57" s="82"/>
      <c r="AX57" s="82"/>
      <c r="AY57" s="82"/>
      <c r="AZ57" s="82"/>
      <c r="BA57" s="82"/>
      <c r="BB57" s="82"/>
      <c r="BC57" s="82"/>
      <c r="BD57" s="82"/>
      <c r="BE57" s="82"/>
      <c r="BF57" s="82"/>
      <c r="BG57" s="82">
        <f t="shared" si="21"/>
        <v>0</v>
      </c>
      <c r="BH57" s="82">
        <f t="shared" si="22"/>
        <v>0</v>
      </c>
      <c r="BI57" s="84">
        <f t="shared" si="23"/>
        <v>0</v>
      </c>
      <c r="BJ57" s="97"/>
      <c r="BK57" s="82">
        <f t="shared" si="24"/>
        <v>0</v>
      </c>
      <c r="BL57" s="98"/>
      <c r="BM57" s="95"/>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row>
    <row r="58" spans="2:150" s="88" customFormat="1" ht="15" hidden="1" outlineLevel="1" thickBot="1" x14ac:dyDescent="0.35">
      <c r="B58" s="187" t="s">
        <v>212</v>
      </c>
      <c r="C58" s="81">
        <v>1</v>
      </c>
      <c r="D58" s="81" t="str">
        <f t="shared" si="31"/>
        <v>051</v>
      </c>
      <c r="F58" s="10" t="s">
        <v>432</v>
      </c>
      <c r="G58" s="11"/>
      <c r="H58" s="82">
        <f t="shared" si="136"/>
        <v>0</v>
      </c>
      <c r="I58" s="82">
        <f t="shared" si="137"/>
        <v>0</v>
      </c>
      <c r="J58" s="82">
        <f t="shared" si="11"/>
        <v>0</v>
      </c>
      <c r="K58" s="84">
        <f t="shared" si="12"/>
        <v>0</v>
      </c>
      <c r="L58" s="82">
        <f t="shared" si="101"/>
        <v>0</v>
      </c>
      <c r="M58" s="82">
        <f t="shared" si="13"/>
        <v>0</v>
      </c>
      <c r="N58" s="84">
        <f t="shared" si="14"/>
        <v>0</v>
      </c>
      <c r="O58" s="82">
        <f t="shared" si="15"/>
        <v>0</v>
      </c>
      <c r="P58" s="82">
        <f t="shared" si="16"/>
        <v>0</v>
      </c>
      <c r="Q58" s="84">
        <f t="shared" si="17"/>
        <v>0</v>
      </c>
      <c r="R58" s="96"/>
      <c r="S58" s="82"/>
      <c r="T58" s="82"/>
      <c r="U58" s="82"/>
      <c r="V58" s="82"/>
      <c r="W58" s="82"/>
      <c r="X58" s="82"/>
      <c r="Y58" s="82"/>
      <c r="Z58" s="82"/>
      <c r="AA58" s="82"/>
      <c r="AB58" s="82"/>
      <c r="AC58" s="82"/>
      <c r="AD58" s="82"/>
      <c r="AE58" s="76">
        <v>0</v>
      </c>
      <c r="AF58" s="82">
        <f>SUMIF('2023 Budget Expenses Model'!$C:$C,'Summary by Department &amp; Categor'!$D58,'2023 Budget Expenses Model'!I:I)</f>
        <v>0</v>
      </c>
      <c r="AG58" s="82">
        <f>SUMIF('2023 Budget Expenses Model'!$C:$C,'Summary by Department &amp; Categor'!$D58,'2023 Budget Expenses Model'!J:J)</f>
        <v>0</v>
      </c>
      <c r="AH58" s="82">
        <f>SUMIF('2023 Budget Expenses Model'!$C:$C,'Summary by Department &amp; Categor'!$D58,'2023 Budget Expenses Model'!K:K)</f>
        <v>0</v>
      </c>
      <c r="AI58" s="82">
        <f>SUMIF('2023 Budget Expenses Model'!$C:$C,'Summary by Department &amp; Categor'!$D58,'2023 Budget Expenses Model'!L:L)</f>
        <v>0</v>
      </c>
      <c r="AJ58" s="82">
        <f>SUMIF('2023 Budget Expenses Model'!$C:$C,'Summary by Department &amp; Categor'!$D58,'2023 Budget Expenses Model'!M:M)</f>
        <v>0</v>
      </c>
      <c r="AK58" s="82">
        <f>SUMIF('2023 Budget Expenses Model'!$C:$C,'Summary by Department &amp; Categor'!$D58,'2023 Budget Expenses Model'!N:N)</f>
        <v>0</v>
      </c>
      <c r="AL58" s="82">
        <f>SUMIF('2023 Budget Expenses Model'!$C:$C,'Summary by Department &amp; Categor'!$D58,'2023 Budget Expenses Model'!O:O)</f>
        <v>0</v>
      </c>
      <c r="AM58" s="82">
        <f>SUMIF('2023 Budget Expenses Model'!$C:$C,'Summary by Department &amp; Categor'!$D58,'2023 Budget Expenses Model'!P:P)</f>
        <v>0</v>
      </c>
      <c r="AN58" s="82">
        <f>SUMIF('2023 Budget Expenses Model'!$C:$C,'Summary by Department &amp; Categor'!$D58,'2023 Budget Expenses Model'!Q:Q)</f>
        <v>0</v>
      </c>
      <c r="AO58" s="82">
        <f>SUMIF('2023 Budget Expenses Model'!$C:$C,'Summary by Department &amp; Categor'!$D58,'2023 Budget Expenses Model'!R:R)</f>
        <v>0</v>
      </c>
      <c r="AP58" s="82">
        <f>SUMIF('2023 Budget Expenses Model'!$C:$C,'Summary by Department &amp; Categor'!$D58,'2023 Budget Expenses Model'!S:S)</f>
        <v>0</v>
      </c>
      <c r="AQ58" s="82">
        <f>SUMIF('2023 Budget Expenses Model'!$C:$C,'Summary by Department &amp; Categor'!$D58,'2023 Budget Expenses Model'!T:T)</f>
        <v>0</v>
      </c>
      <c r="AR58" s="82">
        <f t="shared" si="18"/>
        <v>0</v>
      </c>
      <c r="AS58" s="82">
        <f t="shared" si="19"/>
        <v>0</v>
      </c>
      <c r="AT58" s="84">
        <f t="shared" si="20"/>
        <v>0</v>
      </c>
      <c r="AU58" s="82"/>
      <c r="AV58" s="82"/>
      <c r="AW58" s="82"/>
      <c r="AX58" s="82"/>
      <c r="AY58" s="82"/>
      <c r="AZ58" s="82"/>
      <c r="BA58" s="82"/>
      <c r="BB58" s="82"/>
      <c r="BC58" s="82"/>
      <c r="BD58" s="82"/>
      <c r="BE58" s="82"/>
      <c r="BF58" s="82"/>
      <c r="BG58" s="82">
        <f t="shared" si="21"/>
        <v>0</v>
      </c>
      <c r="BH58" s="82">
        <f t="shared" si="22"/>
        <v>0</v>
      </c>
      <c r="BI58" s="84">
        <f t="shared" si="23"/>
        <v>0</v>
      </c>
      <c r="BJ58" s="97"/>
      <c r="BK58" s="82">
        <f t="shared" si="24"/>
        <v>0</v>
      </c>
      <c r="BL58" s="98"/>
      <c r="BM58" s="95"/>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row>
    <row r="59" spans="2:150" s="88" customFormat="1" ht="15" hidden="1" outlineLevel="1" thickBot="1" x14ac:dyDescent="0.35">
      <c r="B59" s="187" t="s">
        <v>212</v>
      </c>
      <c r="C59" s="81">
        <v>3</v>
      </c>
      <c r="D59" s="81" t="str">
        <f t="shared" si="31"/>
        <v>053</v>
      </c>
      <c r="F59" s="10" t="s">
        <v>230</v>
      </c>
      <c r="G59" s="11"/>
      <c r="H59" s="82">
        <f t="shared" si="136"/>
        <v>0</v>
      </c>
      <c r="I59" s="82">
        <f t="shared" si="137"/>
        <v>0</v>
      </c>
      <c r="J59" s="82">
        <f t="shared" si="11"/>
        <v>0</v>
      </c>
      <c r="K59" s="84">
        <f t="shared" si="12"/>
        <v>0</v>
      </c>
      <c r="L59" s="82">
        <f t="shared" si="101"/>
        <v>0</v>
      </c>
      <c r="M59" s="82">
        <f t="shared" si="13"/>
        <v>0</v>
      </c>
      <c r="N59" s="84">
        <f t="shared" si="14"/>
        <v>0</v>
      </c>
      <c r="O59" s="82">
        <f t="shared" si="15"/>
        <v>0</v>
      </c>
      <c r="P59" s="82">
        <f t="shared" si="16"/>
        <v>0</v>
      </c>
      <c r="Q59" s="84">
        <f t="shared" si="17"/>
        <v>0</v>
      </c>
      <c r="R59" s="96"/>
      <c r="S59" s="82"/>
      <c r="T59" s="82"/>
      <c r="U59" s="82"/>
      <c r="V59" s="82"/>
      <c r="W59" s="82"/>
      <c r="X59" s="82"/>
      <c r="Y59" s="82"/>
      <c r="Z59" s="82"/>
      <c r="AA59" s="82"/>
      <c r="AB59" s="82"/>
      <c r="AC59" s="82"/>
      <c r="AD59" s="82"/>
      <c r="AE59" s="76">
        <v>0</v>
      </c>
      <c r="AF59" s="82">
        <f>SUMIF('2023 Budget Expenses Model'!$C:$C,'Summary by Department &amp; Categor'!$D59,'2023 Budget Expenses Model'!I:I)</f>
        <v>0</v>
      </c>
      <c r="AG59" s="82">
        <f>SUMIF('2023 Budget Expenses Model'!$C:$C,'Summary by Department &amp; Categor'!$D59,'2023 Budget Expenses Model'!J:J)</f>
        <v>0</v>
      </c>
      <c r="AH59" s="82">
        <f>SUMIF('2023 Budget Expenses Model'!$C:$C,'Summary by Department &amp; Categor'!$D59,'2023 Budget Expenses Model'!K:K)</f>
        <v>0</v>
      </c>
      <c r="AI59" s="82">
        <f>SUMIF('2023 Budget Expenses Model'!$C:$C,'Summary by Department &amp; Categor'!$D59,'2023 Budget Expenses Model'!L:L)</f>
        <v>0</v>
      </c>
      <c r="AJ59" s="82">
        <f>SUMIF('2023 Budget Expenses Model'!$C:$C,'Summary by Department &amp; Categor'!$D59,'2023 Budget Expenses Model'!M:M)</f>
        <v>0</v>
      </c>
      <c r="AK59" s="82">
        <f>SUMIF('2023 Budget Expenses Model'!$C:$C,'Summary by Department &amp; Categor'!$D59,'2023 Budget Expenses Model'!N:N)</f>
        <v>0</v>
      </c>
      <c r="AL59" s="82">
        <f>SUMIF('2023 Budget Expenses Model'!$C:$C,'Summary by Department &amp; Categor'!$D59,'2023 Budget Expenses Model'!O:O)</f>
        <v>0</v>
      </c>
      <c r="AM59" s="82">
        <f>SUMIF('2023 Budget Expenses Model'!$C:$C,'Summary by Department &amp; Categor'!$D59,'2023 Budget Expenses Model'!P:P)</f>
        <v>0</v>
      </c>
      <c r="AN59" s="82">
        <f>SUMIF('2023 Budget Expenses Model'!$C:$C,'Summary by Department &amp; Categor'!$D59,'2023 Budget Expenses Model'!Q:Q)</f>
        <v>0</v>
      </c>
      <c r="AO59" s="82">
        <f>SUMIF('2023 Budget Expenses Model'!$C:$C,'Summary by Department &amp; Categor'!$D59,'2023 Budget Expenses Model'!R:R)</f>
        <v>0</v>
      </c>
      <c r="AP59" s="82">
        <f>SUMIF('2023 Budget Expenses Model'!$C:$C,'Summary by Department &amp; Categor'!$D59,'2023 Budget Expenses Model'!S:S)</f>
        <v>0</v>
      </c>
      <c r="AQ59" s="82">
        <f>SUMIF('2023 Budget Expenses Model'!$C:$C,'Summary by Department &amp; Categor'!$D59,'2023 Budget Expenses Model'!T:T)</f>
        <v>0</v>
      </c>
      <c r="AR59" s="82">
        <f t="shared" si="18"/>
        <v>0</v>
      </c>
      <c r="AS59" s="82">
        <f t="shared" si="19"/>
        <v>0</v>
      </c>
      <c r="AT59" s="84">
        <f t="shared" si="20"/>
        <v>0</v>
      </c>
      <c r="AU59" s="82"/>
      <c r="AV59" s="82"/>
      <c r="AW59" s="82"/>
      <c r="AX59" s="82"/>
      <c r="AY59" s="82"/>
      <c r="AZ59" s="82"/>
      <c r="BA59" s="82"/>
      <c r="BB59" s="82"/>
      <c r="BC59" s="82"/>
      <c r="BD59" s="82"/>
      <c r="BE59" s="82"/>
      <c r="BF59" s="82"/>
      <c r="BG59" s="82">
        <f t="shared" si="21"/>
        <v>0</v>
      </c>
      <c r="BH59" s="82">
        <f t="shared" si="22"/>
        <v>0</v>
      </c>
      <c r="BI59" s="84">
        <f t="shared" si="23"/>
        <v>0</v>
      </c>
      <c r="BJ59" s="97"/>
      <c r="BK59" s="82">
        <f t="shared" si="24"/>
        <v>0</v>
      </c>
      <c r="BL59" s="98"/>
      <c r="BM59" s="95"/>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row>
    <row r="60" spans="2:150" s="81" customFormat="1" ht="15" hidden="1" outlineLevel="1" thickBot="1" x14ac:dyDescent="0.35">
      <c r="B60" s="187" t="s">
        <v>212</v>
      </c>
      <c r="C60" s="81">
        <v>4</v>
      </c>
      <c r="D60" s="81" t="str">
        <f t="shared" si="31"/>
        <v>054</v>
      </c>
      <c r="F60" s="10" t="s">
        <v>236</v>
      </c>
      <c r="G60" s="9"/>
      <c r="H60" s="82">
        <f t="shared" si="136"/>
        <v>0</v>
      </c>
      <c r="I60" s="82">
        <f t="shared" si="137"/>
        <v>0</v>
      </c>
      <c r="J60" s="82">
        <f t="shared" si="11"/>
        <v>0</v>
      </c>
      <c r="K60" s="84">
        <f t="shared" si="12"/>
        <v>0</v>
      </c>
      <c r="L60" s="82">
        <f t="shared" si="101"/>
        <v>0</v>
      </c>
      <c r="M60" s="82">
        <f t="shared" si="13"/>
        <v>0</v>
      </c>
      <c r="N60" s="84">
        <f t="shared" si="14"/>
        <v>0</v>
      </c>
      <c r="O60" s="82">
        <f t="shared" si="15"/>
        <v>0</v>
      </c>
      <c r="P60" s="82">
        <f t="shared" si="16"/>
        <v>0</v>
      </c>
      <c r="Q60" s="84">
        <f t="shared" si="17"/>
        <v>0</v>
      </c>
      <c r="R60" s="92"/>
      <c r="S60" s="76"/>
      <c r="T60" s="76"/>
      <c r="U60" s="76"/>
      <c r="V60" s="76"/>
      <c r="W60" s="76"/>
      <c r="X60" s="76"/>
      <c r="Y60" s="76"/>
      <c r="Z60" s="76"/>
      <c r="AA60" s="76"/>
      <c r="AB60" s="76"/>
      <c r="AC60" s="76"/>
      <c r="AD60" s="76"/>
      <c r="AE60" s="76">
        <v>0</v>
      </c>
      <c r="AF60" s="82">
        <f>SUMIF('2023 Budget Expenses Model'!$C:$C,'Summary by Department &amp; Categor'!$D60,'2023 Budget Expenses Model'!I:I)</f>
        <v>0</v>
      </c>
      <c r="AG60" s="82">
        <f>SUMIF('2023 Budget Expenses Model'!$C:$C,'Summary by Department &amp; Categor'!$D60,'2023 Budget Expenses Model'!J:J)</f>
        <v>0</v>
      </c>
      <c r="AH60" s="82">
        <f>SUMIF('2023 Budget Expenses Model'!$C:$C,'Summary by Department &amp; Categor'!$D60,'2023 Budget Expenses Model'!K:K)</f>
        <v>0</v>
      </c>
      <c r="AI60" s="82">
        <f>SUMIF('2023 Budget Expenses Model'!$C:$C,'Summary by Department &amp; Categor'!$D60,'2023 Budget Expenses Model'!L:L)</f>
        <v>0</v>
      </c>
      <c r="AJ60" s="82">
        <f>SUMIF('2023 Budget Expenses Model'!$C:$C,'Summary by Department &amp; Categor'!$D60,'2023 Budget Expenses Model'!M:M)</f>
        <v>0</v>
      </c>
      <c r="AK60" s="82">
        <f>SUMIF('2023 Budget Expenses Model'!$C:$C,'Summary by Department &amp; Categor'!$D60,'2023 Budget Expenses Model'!N:N)</f>
        <v>0</v>
      </c>
      <c r="AL60" s="82">
        <f>SUMIF('2023 Budget Expenses Model'!$C:$C,'Summary by Department &amp; Categor'!$D60,'2023 Budget Expenses Model'!O:O)</f>
        <v>0</v>
      </c>
      <c r="AM60" s="82">
        <f>SUMIF('2023 Budget Expenses Model'!$C:$C,'Summary by Department &amp; Categor'!$D60,'2023 Budget Expenses Model'!P:P)</f>
        <v>0</v>
      </c>
      <c r="AN60" s="82">
        <f>SUMIF('2023 Budget Expenses Model'!$C:$C,'Summary by Department &amp; Categor'!$D60,'2023 Budget Expenses Model'!Q:Q)</f>
        <v>0</v>
      </c>
      <c r="AO60" s="82">
        <f>SUMIF('2023 Budget Expenses Model'!$C:$C,'Summary by Department &amp; Categor'!$D60,'2023 Budget Expenses Model'!R:R)</f>
        <v>0</v>
      </c>
      <c r="AP60" s="82">
        <f>SUMIF('2023 Budget Expenses Model'!$C:$C,'Summary by Department &amp; Categor'!$D60,'2023 Budget Expenses Model'!S:S)</f>
        <v>0</v>
      </c>
      <c r="AQ60" s="82">
        <f>SUMIF('2023 Budget Expenses Model'!$C:$C,'Summary by Department &amp; Categor'!$D60,'2023 Budget Expenses Model'!T:T)</f>
        <v>0</v>
      </c>
      <c r="AR60" s="82">
        <f t="shared" si="18"/>
        <v>0</v>
      </c>
      <c r="AS60" s="82">
        <f t="shared" si="19"/>
        <v>0</v>
      </c>
      <c r="AT60" s="84">
        <f t="shared" si="20"/>
        <v>0</v>
      </c>
      <c r="AU60" s="76"/>
      <c r="AV60" s="76"/>
      <c r="AW60" s="76"/>
      <c r="AX60" s="76"/>
      <c r="AY60" s="76"/>
      <c r="AZ60" s="76"/>
      <c r="BA60" s="76"/>
      <c r="BB60" s="76"/>
      <c r="BC60" s="76"/>
      <c r="BD60" s="76"/>
      <c r="BE60" s="76"/>
      <c r="BF60" s="76"/>
      <c r="BG60" s="82">
        <f t="shared" si="21"/>
        <v>0</v>
      </c>
      <c r="BH60" s="82">
        <f t="shared" si="22"/>
        <v>0</v>
      </c>
      <c r="BI60" s="84">
        <f t="shared" si="23"/>
        <v>0</v>
      </c>
      <c r="BJ60" s="93"/>
      <c r="BK60" s="82">
        <f t="shared" si="24"/>
        <v>0</v>
      </c>
      <c r="BL60" s="94"/>
      <c r="BM60" s="95"/>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row>
    <row r="61" spans="2:150" s="88" customFormat="1" ht="15" hidden="1" outlineLevel="1" thickBot="1" x14ac:dyDescent="0.35">
      <c r="B61" s="187" t="s">
        <v>212</v>
      </c>
      <c r="C61" s="81">
        <v>5</v>
      </c>
      <c r="D61" s="81" t="str">
        <f t="shared" si="31"/>
        <v>055</v>
      </c>
      <c r="F61" s="10" t="s">
        <v>243</v>
      </c>
      <c r="G61" s="11"/>
      <c r="H61" s="82">
        <f t="shared" si="136"/>
        <v>0</v>
      </c>
      <c r="I61" s="82">
        <f t="shared" si="137"/>
        <v>0</v>
      </c>
      <c r="J61" s="82">
        <f t="shared" si="11"/>
        <v>0</v>
      </c>
      <c r="K61" s="84">
        <f t="shared" si="12"/>
        <v>0</v>
      </c>
      <c r="L61" s="82">
        <f t="shared" si="101"/>
        <v>0</v>
      </c>
      <c r="M61" s="82">
        <f t="shared" si="13"/>
        <v>0</v>
      </c>
      <c r="N61" s="84">
        <f t="shared" si="14"/>
        <v>0</v>
      </c>
      <c r="O61" s="82">
        <f t="shared" si="15"/>
        <v>0</v>
      </c>
      <c r="P61" s="82">
        <f t="shared" si="16"/>
        <v>0</v>
      </c>
      <c r="Q61" s="84">
        <f t="shared" si="17"/>
        <v>0</v>
      </c>
      <c r="R61" s="96"/>
      <c r="S61" s="82"/>
      <c r="T61" s="82"/>
      <c r="U61" s="82"/>
      <c r="V61" s="82"/>
      <c r="W61" s="82"/>
      <c r="X61" s="82"/>
      <c r="Y61" s="82"/>
      <c r="Z61" s="82"/>
      <c r="AA61" s="82"/>
      <c r="AB61" s="82"/>
      <c r="AC61" s="82"/>
      <c r="AD61" s="82"/>
      <c r="AE61" s="76">
        <v>0</v>
      </c>
      <c r="AF61" s="82">
        <f>SUMIF('2023 Budget Expenses Model'!$C:$C,'Summary by Department &amp; Categor'!$D61,'2023 Budget Expenses Model'!I:I)</f>
        <v>0</v>
      </c>
      <c r="AG61" s="82">
        <f>SUMIF('2023 Budget Expenses Model'!$C:$C,'Summary by Department &amp; Categor'!$D61,'2023 Budget Expenses Model'!J:J)</f>
        <v>0</v>
      </c>
      <c r="AH61" s="82">
        <f>SUMIF('2023 Budget Expenses Model'!$C:$C,'Summary by Department &amp; Categor'!$D61,'2023 Budget Expenses Model'!K:K)</f>
        <v>0</v>
      </c>
      <c r="AI61" s="82">
        <f>SUMIF('2023 Budget Expenses Model'!$C:$C,'Summary by Department &amp; Categor'!$D61,'2023 Budget Expenses Model'!L:L)</f>
        <v>0</v>
      </c>
      <c r="AJ61" s="82">
        <f>SUMIF('2023 Budget Expenses Model'!$C:$C,'Summary by Department &amp; Categor'!$D61,'2023 Budget Expenses Model'!M:M)</f>
        <v>0</v>
      </c>
      <c r="AK61" s="82">
        <f>SUMIF('2023 Budget Expenses Model'!$C:$C,'Summary by Department &amp; Categor'!$D61,'2023 Budget Expenses Model'!N:N)</f>
        <v>0</v>
      </c>
      <c r="AL61" s="82">
        <f>SUMIF('2023 Budget Expenses Model'!$C:$C,'Summary by Department &amp; Categor'!$D61,'2023 Budget Expenses Model'!O:O)</f>
        <v>0</v>
      </c>
      <c r="AM61" s="82">
        <f>SUMIF('2023 Budget Expenses Model'!$C:$C,'Summary by Department &amp; Categor'!$D61,'2023 Budget Expenses Model'!P:P)</f>
        <v>0</v>
      </c>
      <c r="AN61" s="82">
        <f>SUMIF('2023 Budget Expenses Model'!$C:$C,'Summary by Department &amp; Categor'!$D61,'2023 Budget Expenses Model'!Q:Q)</f>
        <v>0</v>
      </c>
      <c r="AO61" s="82">
        <f>SUMIF('2023 Budget Expenses Model'!$C:$C,'Summary by Department &amp; Categor'!$D61,'2023 Budget Expenses Model'!R:R)</f>
        <v>0</v>
      </c>
      <c r="AP61" s="82">
        <f>SUMIF('2023 Budget Expenses Model'!$C:$C,'Summary by Department &amp; Categor'!$D61,'2023 Budget Expenses Model'!S:S)</f>
        <v>0</v>
      </c>
      <c r="AQ61" s="82">
        <f>SUMIF('2023 Budget Expenses Model'!$C:$C,'Summary by Department &amp; Categor'!$D61,'2023 Budget Expenses Model'!T:T)</f>
        <v>0</v>
      </c>
      <c r="AR61" s="82">
        <f t="shared" si="18"/>
        <v>0</v>
      </c>
      <c r="AS61" s="82">
        <f t="shared" si="19"/>
        <v>0</v>
      </c>
      <c r="AT61" s="84">
        <f t="shared" si="20"/>
        <v>0</v>
      </c>
      <c r="AU61" s="82"/>
      <c r="AV61" s="82"/>
      <c r="AW61" s="82"/>
      <c r="AX61" s="82"/>
      <c r="AY61" s="82"/>
      <c r="AZ61" s="82"/>
      <c r="BA61" s="82"/>
      <c r="BB61" s="82"/>
      <c r="BC61" s="82"/>
      <c r="BD61" s="82"/>
      <c r="BE61" s="82"/>
      <c r="BF61" s="82"/>
      <c r="BG61" s="82">
        <f t="shared" si="21"/>
        <v>0</v>
      </c>
      <c r="BH61" s="82">
        <f t="shared" si="22"/>
        <v>0</v>
      </c>
      <c r="BI61" s="84">
        <f t="shared" si="23"/>
        <v>0</v>
      </c>
      <c r="BJ61" s="97"/>
      <c r="BK61" s="82">
        <f t="shared" si="24"/>
        <v>0</v>
      </c>
      <c r="BL61" s="98"/>
      <c r="BM61" s="95"/>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row>
    <row r="62" spans="2:150" s="88" customFormat="1" ht="15" hidden="1" outlineLevel="1" thickBot="1" x14ac:dyDescent="0.35">
      <c r="B62" s="187" t="s">
        <v>212</v>
      </c>
      <c r="C62" s="81">
        <v>6</v>
      </c>
      <c r="D62" s="81" t="str">
        <f t="shared" si="31"/>
        <v>056</v>
      </c>
      <c r="F62" s="10" t="s">
        <v>31</v>
      </c>
      <c r="G62" s="11"/>
      <c r="H62" s="82">
        <f t="shared" si="136"/>
        <v>0</v>
      </c>
      <c r="I62" s="82">
        <f t="shared" si="137"/>
        <v>0</v>
      </c>
      <c r="J62" s="82">
        <f t="shared" si="11"/>
        <v>0</v>
      </c>
      <c r="K62" s="84">
        <f t="shared" si="12"/>
        <v>0</v>
      </c>
      <c r="L62" s="82">
        <f t="shared" si="101"/>
        <v>0</v>
      </c>
      <c r="M62" s="82">
        <f t="shared" si="13"/>
        <v>0</v>
      </c>
      <c r="N62" s="84">
        <f t="shared" si="14"/>
        <v>0</v>
      </c>
      <c r="O62" s="82">
        <f t="shared" si="15"/>
        <v>0</v>
      </c>
      <c r="P62" s="82">
        <f t="shared" si="16"/>
        <v>0</v>
      </c>
      <c r="Q62" s="84">
        <f t="shared" si="17"/>
        <v>0</v>
      </c>
      <c r="R62" s="96"/>
      <c r="S62" s="82"/>
      <c r="T62" s="82"/>
      <c r="U62" s="82"/>
      <c r="V62" s="82"/>
      <c r="W62" s="82"/>
      <c r="X62" s="82"/>
      <c r="Y62" s="82"/>
      <c r="Z62" s="82"/>
      <c r="AA62" s="82"/>
      <c r="AB62" s="82"/>
      <c r="AC62" s="82"/>
      <c r="AD62" s="82"/>
      <c r="AE62" s="76">
        <v>0</v>
      </c>
      <c r="AF62" s="82">
        <f>SUMIF('2023 Budget Expenses Model'!$C:$C,'Summary by Department &amp; Categor'!$D62,'2023 Budget Expenses Model'!I:I)</f>
        <v>0</v>
      </c>
      <c r="AG62" s="82">
        <f>SUMIF('2023 Budget Expenses Model'!$C:$C,'Summary by Department &amp; Categor'!$D62,'2023 Budget Expenses Model'!J:J)</f>
        <v>0</v>
      </c>
      <c r="AH62" s="82">
        <f>SUMIF('2023 Budget Expenses Model'!$C:$C,'Summary by Department &amp; Categor'!$D62,'2023 Budget Expenses Model'!K:K)</f>
        <v>0</v>
      </c>
      <c r="AI62" s="82">
        <f>SUMIF('2023 Budget Expenses Model'!$C:$C,'Summary by Department &amp; Categor'!$D62,'2023 Budget Expenses Model'!L:L)</f>
        <v>0</v>
      </c>
      <c r="AJ62" s="82">
        <f>SUMIF('2023 Budget Expenses Model'!$C:$C,'Summary by Department &amp; Categor'!$D62,'2023 Budget Expenses Model'!M:M)</f>
        <v>0</v>
      </c>
      <c r="AK62" s="82">
        <f>SUMIF('2023 Budget Expenses Model'!$C:$C,'Summary by Department &amp; Categor'!$D62,'2023 Budget Expenses Model'!N:N)</f>
        <v>0</v>
      </c>
      <c r="AL62" s="82">
        <f>SUMIF('2023 Budget Expenses Model'!$C:$C,'Summary by Department &amp; Categor'!$D62,'2023 Budget Expenses Model'!O:O)</f>
        <v>0</v>
      </c>
      <c r="AM62" s="82">
        <f>SUMIF('2023 Budget Expenses Model'!$C:$C,'Summary by Department &amp; Categor'!$D62,'2023 Budget Expenses Model'!P:P)</f>
        <v>0</v>
      </c>
      <c r="AN62" s="82">
        <f>SUMIF('2023 Budget Expenses Model'!$C:$C,'Summary by Department &amp; Categor'!$D62,'2023 Budget Expenses Model'!Q:Q)</f>
        <v>0</v>
      </c>
      <c r="AO62" s="82">
        <f>SUMIF('2023 Budget Expenses Model'!$C:$C,'Summary by Department &amp; Categor'!$D62,'2023 Budget Expenses Model'!R:R)</f>
        <v>0</v>
      </c>
      <c r="AP62" s="82">
        <f>SUMIF('2023 Budget Expenses Model'!$C:$C,'Summary by Department &amp; Categor'!$D62,'2023 Budget Expenses Model'!S:S)</f>
        <v>0</v>
      </c>
      <c r="AQ62" s="82">
        <f>SUMIF('2023 Budget Expenses Model'!$C:$C,'Summary by Department &amp; Categor'!$D62,'2023 Budget Expenses Model'!T:T)</f>
        <v>0</v>
      </c>
      <c r="AR62" s="82">
        <f t="shared" si="18"/>
        <v>0</v>
      </c>
      <c r="AS62" s="82">
        <f t="shared" si="19"/>
        <v>0</v>
      </c>
      <c r="AT62" s="84">
        <f t="shared" si="20"/>
        <v>0</v>
      </c>
      <c r="AU62" s="82"/>
      <c r="AV62" s="82"/>
      <c r="AW62" s="82"/>
      <c r="AX62" s="82"/>
      <c r="AY62" s="82"/>
      <c r="AZ62" s="82"/>
      <c r="BA62" s="82"/>
      <c r="BB62" s="82"/>
      <c r="BC62" s="82"/>
      <c r="BD62" s="82"/>
      <c r="BE62" s="82"/>
      <c r="BF62" s="82"/>
      <c r="BG62" s="82">
        <f t="shared" si="21"/>
        <v>0</v>
      </c>
      <c r="BH62" s="82">
        <f t="shared" si="22"/>
        <v>0</v>
      </c>
      <c r="BI62" s="84">
        <f t="shared" si="23"/>
        <v>0</v>
      </c>
      <c r="BJ62" s="97"/>
      <c r="BK62" s="82">
        <f t="shared" si="24"/>
        <v>0</v>
      </c>
      <c r="BL62" s="98"/>
      <c r="BM62" s="95"/>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row>
    <row r="63" spans="2:150" s="88" customFormat="1" ht="15" hidden="1" outlineLevel="1" thickBot="1" x14ac:dyDescent="0.35">
      <c r="B63" s="187" t="s">
        <v>212</v>
      </c>
      <c r="C63" s="81">
        <v>7</v>
      </c>
      <c r="D63" s="81" t="str">
        <f t="shared" si="31"/>
        <v>057</v>
      </c>
      <c r="F63" s="10" t="s">
        <v>248</v>
      </c>
      <c r="G63" s="11"/>
      <c r="H63" s="82">
        <f t="shared" si="136"/>
        <v>0</v>
      </c>
      <c r="I63" s="82">
        <f t="shared" si="137"/>
        <v>0</v>
      </c>
      <c r="J63" s="82">
        <f t="shared" si="11"/>
        <v>0</v>
      </c>
      <c r="K63" s="84">
        <f t="shared" si="12"/>
        <v>0</v>
      </c>
      <c r="L63" s="82">
        <f t="shared" si="101"/>
        <v>0</v>
      </c>
      <c r="M63" s="82">
        <f t="shared" si="13"/>
        <v>0</v>
      </c>
      <c r="N63" s="84">
        <f t="shared" si="14"/>
        <v>0</v>
      </c>
      <c r="O63" s="82">
        <f t="shared" si="15"/>
        <v>0</v>
      </c>
      <c r="P63" s="82">
        <f t="shared" si="16"/>
        <v>0</v>
      </c>
      <c r="Q63" s="84">
        <f t="shared" si="17"/>
        <v>0</v>
      </c>
      <c r="R63" s="96"/>
      <c r="S63" s="82"/>
      <c r="T63" s="82"/>
      <c r="U63" s="82"/>
      <c r="V63" s="82"/>
      <c r="W63" s="82"/>
      <c r="X63" s="82"/>
      <c r="Y63" s="82"/>
      <c r="Z63" s="82"/>
      <c r="AA63" s="82"/>
      <c r="AB63" s="82"/>
      <c r="AC63" s="82"/>
      <c r="AD63" s="82"/>
      <c r="AE63" s="76">
        <v>70350</v>
      </c>
      <c r="AF63" s="82">
        <f>SUMIF('2023 Budget Expenses Model'!$C:$C,'Summary by Department &amp; Categor'!$D63,'2023 Budget Expenses Model'!I:I)</f>
        <v>0</v>
      </c>
      <c r="AG63" s="82">
        <f>SUMIF('2023 Budget Expenses Model'!$C:$C,'Summary by Department &amp; Categor'!$D63,'2023 Budget Expenses Model'!J:J)</f>
        <v>0</v>
      </c>
      <c r="AH63" s="82">
        <f>SUMIF('2023 Budget Expenses Model'!$C:$C,'Summary by Department &amp; Categor'!$D63,'2023 Budget Expenses Model'!K:K)</f>
        <v>0</v>
      </c>
      <c r="AI63" s="82">
        <f>SUMIF('2023 Budget Expenses Model'!$C:$C,'Summary by Department &amp; Categor'!$D63,'2023 Budget Expenses Model'!L:L)</f>
        <v>0</v>
      </c>
      <c r="AJ63" s="82">
        <f>SUMIF('2023 Budget Expenses Model'!$C:$C,'Summary by Department &amp; Categor'!$D63,'2023 Budget Expenses Model'!M:M)</f>
        <v>0</v>
      </c>
      <c r="AK63" s="82">
        <f>SUMIF('2023 Budget Expenses Model'!$C:$C,'Summary by Department &amp; Categor'!$D63,'2023 Budget Expenses Model'!N:N)</f>
        <v>0</v>
      </c>
      <c r="AL63" s="82">
        <f>SUMIF('2023 Budget Expenses Model'!$C:$C,'Summary by Department &amp; Categor'!$D63,'2023 Budget Expenses Model'!O:O)</f>
        <v>0</v>
      </c>
      <c r="AM63" s="82">
        <f>SUMIF('2023 Budget Expenses Model'!$C:$C,'Summary by Department &amp; Categor'!$D63,'2023 Budget Expenses Model'!P:P)</f>
        <v>0</v>
      </c>
      <c r="AN63" s="82">
        <f>SUMIF('2023 Budget Expenses Model'!$C:$C,'Summary by Department &amp; Categor'!$D63,'2023 Budget Expenses Model'!Q:Q)</f>
        <v>0</v>
      </c>
      <c r="AO63" s="82">
        <f>SUMIF('2023 Budget Expenses Model'!$C:$C,'Summary by Department &amp; Categor'!$D63,'2023 Budget Expenses Model'!R:R)</f>
        <v>0</v>
      </c>
      <c r="AP63" s="82">
        <f>SUMIF('2023 Budget Expenses Model'!$C:$C,'Summary by Department &amp; Categor'!$D63,'2023 Budget Expenses Model'!S:S)</f>
        <v>0</v>
      </c>
      <c r="AQ63" s="82">
        <f>SUMIF('2023 Budget Expenses Model'!$C:$C,'Summary by Department &amp; Categor'!$D63,'2023 Budget Expenses Model'!T:T)</f>
        <v>0</v>
      </c>
      <c r="AR63" s="82">
        <f t="shared" si="18"/>
        <v>0</v>
      </c>
      <c r="AS63" s="82">
        <f t="shared" si="19"/>
        <v>70350</v>
      </c>
      <c r="AT63" s="84">
        <f t="shared" si="20"/>
        <v>0</v>
      </c>
      <c r="AU63" s="82"/>
      <c r="AV63" s="82"/>
      <c r="AW63" s="82"/>
      <c r="AX63" s="82"/>
      <c r="AY63" s="82"/>
      <c r="AZ63" s="82"/>
      <c r="BA63" s="82"/>
      <c r="BB63" s="82"/>
      <c r="BC63" s="82"/>
      <c r="BD63" s="82"/>
      <c r="BE63" s="82"/>
      <c r="BF63" s="82"/>
      <c r="BG63" s="82">
        <f t="shared" si="21"/>
        <v>0</v>
      </c>
      <c r="BH63" s="82">
        <f t="shared" si="22"/>
        <v>70350</v>
      </c>
      <c r="BI63" s="84">
        <f t="shared" si="23"/>
        <v>0</v>
      </c>
      <c r="BJ63" s="97"/>
      <c r="BK63" s="82">
        <f t="shared" si="24"/>
        <v>0</v>
      </c>
      <c r="BL63" s="98"/>
      <c r="BM63" s="95"/>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row>
    <row r="64" spans="2:150" s="88" customFormat="1" ht="15" hidden="1" outlineLevel="1" thickBot="1" x14ac:dyDescent="0.35">
      <c r="B64" s="187" t="s">
        <v>212</v>
      </c>
      <c r="C64" s="81">
        <v>8</v>
      </c>
      <c r="D64" s="81" t="str">
        <f t="shared" si="31"/>
        <v>058</v>
      </c>
      <c r="F64" s="10" t="s">
        <v>46</v>
      </c>
      <c r="G64" s="11"/>
      <c r="H64" s="82">
        <f t="shared" si="136"/>
        <v>0</v>
      </c>
      <c r="I64" s="82">
        <f t="shared" si="137"/>
        <v>0</v>
      </c>
      <c r="J64" s="82">
        <f t="shared" si="11"/>
        <v>0</v>
      </c>
      <c r="K64" s="84">
        <f t="shared" si="12"/>
        <v>0</v>
      </c>
      <c r="L64" s="82">
        <f t="shared" si="101"/>
        <v>0</v>
      </c>
      <c r="M64" s="82">
        <f t="shared" si="13"/>
        <v>0</v>
      </c>
      <c r="N64" s="84">
        <f t="shared" si="14"/>
        <v>0</v>
      </c>
      <c r="O64" s="82">
        <f t="shared" si="15"/>
        <v>0</v>
      </c>
      <c r="P64" s="82">
        <f t="shared" si="16"/>
        <v>0</v>
      </c>
      <c r="Q64" s="84">
        <f t="shared" si="17"/>
        <v>0</v>
      </c>
      <c r="R64" s="96"/>
      <c r="S64" s="82"/>
      <c r="T64" s="82"/>
      <c r="U64" s="82"/>
      <c r="V64" s="82"/>
      <c r="W64" s="82"/>
      <c r="X64" s="82"/>
      <c r="Y64" s="82"/>
      <c r="Z64" s="82"/>
      <c r="AA64" s="82"/>
      <c r="AB64" s="82"/>
      <c r="AC64" s="82"/>
      <c r="AD64" s="82"/>
      <c r="AE64" s="76">
        <v>0</v>
      </c>
      <c r="AF64" s="82">
        <f>SUMIF('2023 Budget Expenses Model'!$C:$C,'Summary by Department &amp; Categor'!$D64,'2023 Budget Expenses Model'!I:I)</f>
        <v>0</v>
      </c>
      <c r="AG64" s="82">
        <f>SUMIF('2023 Budget Expenses Model'!$C:$C,'Summary by Department &amp; Categor'!$D64,'2023 Budget Expenses Model'!J:J)</f>
        <v>0</v>
      </c>
      <c r="AH64" s="82">
        <f>SUMIF('2023 Budget Expenses Model'!$C:$C,'Summary by Department &amp; Categor'!$D64,'2023 Budget Expenses Model'!K:K)</f>
        <v>0</v>
      </c>
      <c r="AI64" s="82">
        <f>SUMIF('2023 Budget Expenses Model'!$C:$C,'Summary by Department &amp; Categor'!$D64,'2023 Budget Expenses Model'!L:L)</f>
        <v>0</v>
      </c>
      <c r="AJ64" s="82">
        <f>SUMIF('2023 Budget Expenses Model'!$C:$C,'Summary by Department &amp; Categor'!$D64,'2023 Budget Expenses Model'!M:M)</f>
        <v>0</v>
      </c>
      <c r="AK64" s="82">
        <f>SUMIF('2023 Budget Expenses Model'!$C:$C,'Summary by Department &amp; Categor'!$D64,'2023 Budget Expenses Model'!N:N)</f>
        <v>0</v>
      </c>
      <c r="AL64" s="82">
        <f>SUMIF('2023 Budget Expenses Model'!$C:$C,'Summary by Department &amp; Categor'!$D64,'2023 Budget Expenses Model'!O:O)</f>
        <v>0</v>
      </c>
      <c r="AM64" s="82">
        <f>SUMIF('2023 Budget Expenses Model'!$C:$C,'Summary by Department &amp; Categor'!$D64,'2023 Budget Expenses Model'!P:P)</f>
        <v>0</v>
      </c>
      <c r="AN64" s="82">
        <f>SUMIF('2023 Budget Expenses Model'!$C:$C,'Summary by Department &amp; Categor'!$D64,'2023 Budget Expenses Model'!Q:Q)</f>
        <v>0</v>
      </c>
      <c r="AO64" s="82">
        <f>SUMIF('2023 Budget Expenses Model'!$C:$C,'Summary by Department &amp; Categor'!$D64,'2023 Budget Expenses Model'!R:R)</f>
        <v>0</v>
      </c>
      <c r="AP64" s="82">
        <f>SUMIF('2023 Budget Expenses Model'!$C:$C,'Summary by Department &amp; Categor'!$D64,'2023 Budget Expenses Model'!S:S)</f>
        <v>0</v>
      </c>
      <c r="AQ64" s="82">
        <f>SUMIF('2023 Budget Expenses Model'!$C:$C,'Summary by Department &amp; Categor'!$D64,'2023 Budget Expenses Model'!T:T)</f>
        <v>0</v>
      </c>
      <c r="AR64" s="82">
        <f t="shared" si="18"/>
        <v>0</v>
      </c>
      <c r="AS64" s="82">
        <f t="shared" si="19"/>
        <v>0</v>
      </c>
      <c r="AT64" s="84">
        <f t="shared" si="20"/>
        <v>0</v>
      </c>
      <c r="AU64" s="82"/>
      <c r="AV64" s="82"/>
      <c r="AW64" s="82"/>
      <c r="AX64" s="82"/>
      <c r="AY64" s="82"/>
      <c r="AZ64" s="82"/>
      <c r="BA64" s="82"/>
      <c r="BB64" s="82"/>
      <c r="BC64" s="82"/>
      <c r="BD64" s="82"/>
      <c r="BE64" s="82"/>
      <c r="BF64" s="82"/>
      <c r="BG64" s="82">
        <f t="shared" si="21"/>
        <v>0</v>
      </c>
      <c r="BH64" s="82">
        <f t="shared" si="22"/>
        <v>0</v>
      </c>
      <c r="BI64" s="84">
        <f t="shared" si="23"/>
        <v>0</v>
      </c>
      <c r="BJ64" s="97"/>
      <c r="BK64" s="82">
        <f t="shared" si="24"/>
        <v>0</v>
      </c>
      <c r="BL64" s="98"/>
      <c r="BM64" s="95"/>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row>
    <row r="65" spans="2:150" s="81" customFormat="1" ht="15" collapsed="1" thickBot="1" x14ac:dyDescent="0.35">
      <c r="F65" s="8" t="s">
        <v>154</v>
      </c>
      <c r="G65" s="9"/>
      <c r="H65" s="76">
        <f t="shared" si="136"/>
        <v>0</v>
      </c>
      <c r="I65" s="76">
        <f t="shared" si="137"/>
        <v>0</v>
      </c>
      <c r="J65" s="76">
        <f t="shared" si="11"/>
        <v>0</v>
      </c>
      <c r="K65" s="77">
        <f t="shared" si="12"/>
        <v>0</v>
      </c>
      <c r="L65" s="76">
        <f t="shared" si="101"/>
        <v>0</v>
      </c>
      <c r="M65" s="76">
        <f t="shared" si="13"/>
        <v>0</v>
      </c>
      <c r="N65" s="77">
        <f t="shared" si="14"/>
        <v>0</v>
      </c>
      <c r="O65" s="76">
        <f t="shared" si="15"/>
        <v>0</v>
      </c>
      <c r="P65" s="76">
        <f t="shared" si="16"/>
        <v>0</v>
      </c>
      <c r="Q65" s="77">
        <f t="shared" si="17"/>
        <v>0</v>
      </c>
      <c r="R65" s="92"/>
      <c r="S65" s="76">
        <f>SUM(S66:S73)</f>
        <v>0</v>
      </c>
      <c r="T65" s="76">
        <f t="shared" ref="T65" si="172">SUM(T66:T73)</f>
        <v>0</v>
      </c>
      <c r="U65" s="76">
        <f t="shared" ref="U65" si="173">SUM(U66:U73)</f>
        <v>0</v>
      </c>
      <c r="V65" s="76">
        <f t="shared" ref="V65" si="174">SUM(V66:V73)</f>
        <v>0</v>
      </c>
      <c r="W65" s="76">
        <f t="shared" ref="W65" si="175">SUM(W66:W73)</f>
        <v>0</v>
      </c>
      <c r="X65" s="76">
        <f t="shared" ref="X65" si="176">SUM(X66:X73)</f>
        <v>0</v>
      </c>
      <c r="Y65" s="76">
        <f t="shared" ref="Y65" si="177">SUM(Y66:Y73)</f>
        <v>0</v>
      </c>
      <c r="Z65" s="76">
        <f t="shared" ref="Z65" si="178">SUM(Z66:Z73)</f>
        <v>0</v>
      </c>
      <c r="AA65" s="76">
        <f t="shared" ref="AA65" si="179">SUM(AA66:AA73)</f>
        <v>0</v>
      </c>
      <c r="AB65" s="76">
        <f t="shared" ref="AB65" si="180">SUM(AB66:AB73)</f>
        <v>0</v>
      </c>
      <c r="AC65" s="76">
        <f t="shared" ref="AC65" si="181">SUM(AC66:AC73)</f>
        <v>0</v>
      </c>
      <c r="AD65" s="76">
        <f t="shared" ref="AD65" si="182">SUM(AD66:AD73)</f>
        <v>0</v>
      </c>
      <c r="AE65" s="76">
        <v>8791.6</v>
      </c>
      <c r="AF65" s="76">
        <f>SUM(AF66:AF73)</f>
        <v>0</v>
      </c>
      <c r="AG65" s="76">
        <f t="shared" ref="AG65" si="183">SUM(AG66:AG73)</f>
        <v>0</v>
      </c>
      <c r="AH65" s="76">
        <f t="shared" ref="AH65" si="184">SUM(AH66:AH73)</f>
        <v>0</v>
      </c>
      <c r="AI65" s="76">
        <f t="shared" ref="AI65" si="185">SUM(AI66:AI73)</f>
        <v>0</v>
      </c>
      <c r="AJ65" s="76">
        <f t="shared" ref="AJ65" si="186">SUM(AJ66:AJ73)</f>
        <v>0</v>
      </c>
      <c r="AK65" s="76">
        <f t="shared" ref="AK65" si="187">SUM(AK66:AK73)</f>
        <v>0</v>
      </c>
      <c r="AL65" s="76">
        <f t="shared" ref="AL65" si="188">SUM(AL66:AL73)</f>
        <v>0</v>
      </c>
      <c r="AM65" s="76">
        <f t="shared" ref="AM65" si="189">SUM(AM66:AM73)</f>
        <v>0</v>
      </c>
      <c r="AN65" s="76">
        <f t="shared" ref="AN65" si="190">SUM(AN66:AN73)</f>
        <v>0</v>
      </c>
      <c r="AO65" s="76">
        <f t="shared" ref="AO65" si="191">SUM(AO66:AO73)</f>
        <v>0</v>
      </c>
      <c r="AP65" s="76">
        <f t="shared" ref="AP65" si="192">SUM(AP66:AP73)</f>
        <v>0</v>
      </c>
      <c r="AQ65" s="76">
        <f t="shared" ref="AQ65" si="193">SUM(AQ66:AQ73)</f>
        <v>0</v>
      </c>
      <c r="AR65" s="76">
        <f t="shared" si="18"/>
        <v>0</v>
      </c>
      <c r="AS65" s="76">
        <f t="shared" si="19"/>
        <v>8791.6</v>
      </c>
      <c r="AT65" s="77">
        <f t="shared" si="20"/>
        <v>0</v>
      </c>
      <c r="AU65" s="76">
        <f>SUM(AU66:AU73)</f>
        <v>0</v>
      </c>
      <c r="AV65" s="76">
        <f t="shared" ref="AV65" si="194">SUM(AV66:AV73)</f>
        <v>0</v>
      </c>
      <c r="AW65" s="76">
        <f t="shared" ref="AW65" si="195">SUM(AW66:AW73)</f>
        <v>0</v>
      </c>
      <c r="AX65" s="76">
        <f t="shared" ref="AX65" si="196">SUM(AX66:AX73)</f>
        <v>0</v>
      </c>
      <c r="AY65" s="76">
        <f t="shared" ref="AY65" si="197">SUM(AY66:AY73)</f>
        <v>0</v>
      </c>
      <c r="AZ65" s="76">
        <f t="shared" ref="AZ65" si="198">SUM(AZ66:AZ73)</f>
        <v>0</v>
      </c>
      <c r="BA65" s="76">
        <f t="shared" ref="BA65" si="199">SUM(BA66:BA73)</f>
        <v>0</v>
      </c>
      <c r="BB65" s="76">
        <f t="shared" ref="BB65" si="200">SUM(BB66:BB73)</f>
        <v>0</v>
      </c>
      <c r="BC65" s="76">
        <f t="shared" ref="BC65" si="201">SUM(BC66:BC73)</f>
        <v>0</v>
      </c>
      <c r="BD65" s="76">
        <f t="shared" ref="BD65" si="202">SUM(BD66:BD73)</f>
        <v>0</v>
      </c>
      <c r="BE65" s="76">
        <f t="shared" ref="BE65" si="203">SUM(BE66:BE73)</f>
        <v>0</v>
      </c>
      <c r="BF65" s="76">
        <f t="shared" ref="BF65" si="204">SUM(BF66:BF73)</f>
        <v>0</v>
      </c>
      <c r="BG65" s="76">
        <f t="shared" si="21"/>
        <v>0</v>
      </c>
      <c r="BH65" s="76">
        <f t="shared" si="22"/>
        <v>8791.6</v>
      </c>
      <c r="BI65" s="77">
        <f t="shared" si="23"/>
        <v>0</v>
      </c>
      <c r="BJ65" s="93"/>
      <c r="BK65" s="76">
        <f t="shared" ref="BK65" si="205">SUM(BK66:BK73)</f>
        <v>0</v>
      </c>
      <c r="BL65" s="94"/>
      <c r="BM65" s="95"/>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row>
    <row r="66" spans="2:150" s="81" customFormat="1" ht="15" hidden="1" outlineLevel="1" thickBot="1" x14ac:dyDescent="0.35">
      <c r="B66" s="186" t="s">
        <v>213</v>
      </c>
      <c r="C66" s="81">
        <v>2</v>
      </c>
      <c r="D66" s="81" t="str">
        <f t="shared" si="31"/>
        <v>062</v>
      </c>
      <c r="F66" s="10" t="s">
        <v>225</v>
      </c>
      <c r="G66" s="9"/>
      <c r="H66" s="82">
        <f t="shared" si="136"/>
        <v>0</v>
      </c>
      <c r="I66" s="82">
        <f t="shared" si="137"/>
        <v>0</v>
      </c>
      <c r="J66" s="82">
        <f t="shared" si="11"/>
        <v>0</v>
      </c>
      <c r="K66" s="84">
        <f t="shared" si="12"/>
        <v>0</v>
      </c>
      <c r="L66" s="82">
        <f t="shared" si="101"/>
        <v>0</v>
      </c>
      <c r="M66" s="82">
        <f t="shared" si="13"/>
        <v>0</v>
      </c>
      <c r="N66" s="84">
        <f t="shared" si="14"/>
        <v>0</v>
      </c>
      <c r="O66" s="82">
        <f t="shared" si="15"/>
        <v>0</v>
      </c>
      <c r="P66" s="82">
        <f t="shared" si="16"/>
        <v>0</v>
      </c>
      <c r="Q66" s="84">
        <f t="shared" si="17"/>
        <v>0</v>
      </c>
      <c r="R66" s="92"/>
      <c r="S66" s="76"/>
      <c r="T66" s="76"/>
      <c r="U66" s="76"/>
      <c r="V66" s="76"/>
      <c r="W66" s="76"/>
      <c r="X66" s="76"/>
      <c r="Y66" s="76"/>
      <c r="Z66" s="76"/>
      <c r="AA66" s="76"/>
      <c r="AB66" s="76"/>
      <c r="AC66" s="76"/>
      <c r="AD66" s="76"/>
      <c r="AE66" s="76">
        <v>0</v>
      </c>
      <c r="AF66" s="82">
        <f>SUMIF('2023 Budget Expenses Model'!$C:$C,'Summary by Department &amp; Categor'!$D66,'2023 Budget Expenses Model'!I:I)</f>
        <v>0</v>
      </c>
      <c r="AG66" s="82">
        <f>SUMIF('2023 Budget Expenses Model'!$C:$C,'Summary by Department &amp; Categor'!$D66,'2023 Budget Expenses Model'!J:J)</f>
        <v>0</v>
      </c>
      <c r="AH66" s="82">
        <f>SUMIF('2023 Budget Expenses Model'!$C:$C,'Summary by Department &amp; Categor'!$D66,'2023 Budget Expenses Model'!K:K)</f>
        <v>0</v>
      </c>
      <c r="AI66" s="82">
        <f>SUMIF('2023 Budget Expenses Model'!$C:$C,'Summary by Department &amp; Categor'!$D66,'2023 Budget Expenses Model'!L:L)</f>
        <v>0</v>
      </c>
      <c r="AJ66" s="82">
        <f>SUMIF('2023 Budget Expenses Model'!$C:$C,'Summary by Department &amp; Categor'!$D66,'2023 Budget Expenses Model'!M:M)</f>
        <v>0</v>
      </c>
      <c r="AK66" s="82">
        <f>SUMIF('2023 Budget Expenses Model'!$C:$C,'Summary by Department &amp; Categor'!$D66,'2023 Budget Expenses Model'!N:N)</f>
        <v>0</v>
      </c>
      <c r="AL66" s="82">
        <f>SUMIF('2023 Budget Expenses Model'!$C:$C,'Summary by Department &amp; Categor'!$D66,'2023 Budget Expenses Model'!O:O)</f>
        <v>0</v>
      </c>
      <c r="AM66" s="82">
        <f>SUMIF('2023 Budget Expenses Model'!$C:$C,'Summary by Department &amp; Categor'!$D66,'2023 Budget Expenses Model'!P:P)</f>
        <v>0</v>
      </c>
      <c r="AN66" s="82">
        <f>SUMIF('2023 Budget Expenses Model'!$C:$C,'Summary by Department &amp; Categor'!$D66,'2023 Budget Expenses Model'!Q:Q)</f>
        <v>0</v>
      </c>
      <c r="AO66" s="82">
        <f>SUMIF('2023 Budget Expenses Model'!$C:$C,'Summary by Department &amp; Categor'!$D66,'2023 Budget Expenses Model'!R:R)</f>
        <v>0</v>
      </c>
      <c r="AP66" s="82">
        <f>SUMIF('2023 Budget Expenses Model'!$C:$C,'Summary by Department &amp; Categor'!$D66,'2023 Budget Expenses Model'!S:S)</f>
        <v>0</v>
      </c>
      <c r="AQ66" s="82">
        <f>SUMIF('2023 Budget Expenses Model'!$C:$C,'Summary by Department &amp; Categor'!$D66,'2023 Budget Expenses Model'!T:T)</f>
        <v>0</v>
      </c>
      <c r="AR66" s="82">
        <f t="shared" si="18"/>
        <v>0</v>
      </c>
      <c r="AS66" s="82">
        <f t="shared" si="19"/>
        <v>0</v>
      </c>
      <c r="AT66" s="84">
        <f t="shared" si="20"/>
        <v>0</v>
      </c>
      <c r="AU66" s="76"/>
      <c r="AV66" s="76"/>
      <c r="AW66" s="76"/>
      <c r="AX66" s="76"/>
      <c r="AY66" s="76"/>
      <c r="AZ66" s="76"/>
      <c r="BA66" s="76"/>
      <c r="BB66" s="76"/>
      <c r="BC66" s="76"/>
      <c r="BD66" s="76"/>
      <c r="BE66" s="76"/>
      <c r="BF66" s="76"/>
      <c r="BG66" s="82">
        <f t="shared" si="21"/>
        <v>0</v>
      </c>
      <c r="BH66" s="82">
        <f t="shared" si="22"/>
        <v>0</v>
      </c>
      <c r="BI66" s="84">
        <f t="shared" si="23"/>
        <v>0</v>
      </c>
      <c r="BJ66" s="93"/>
      <c r="BK66" s="82">
        <f t="shared" si="24"/>
        <v>0</v>
      </c>
      <c r="BL66" s="94"/>
      <c r="BM66" s="95"/>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row>
    <row r="67" spans="2:150" s="81" customFormat="1" ht="15" hidden="1" outlineLevel="1" thickBot="1" x14ac:dyDescent="0.35">
      <c r="B67" s="186" t="s">
        <v>213</v>
      </c>
      <c r="C67" s="81">
        <v>1</v>
      </c>
      <c r="D67" s="81" t="str">
        <f t="shared" si="31"/>
        <v>061</v>
      </c>
      <c r="F67" s="10" t="s">
        <v>432</v>
      </c>
      <c r="G67" s="9"/>
      <c r="H67" s="82">
        <f t="shared" si="136"/>
        <v>0</v>
      </c>
      <c r="I67" s="82">
        <f t="shared" si="137"/>
        <v>0</v>
      </c>
      <c r="J67" s="82">
        <f t="shared" si="11"/>
        <v>0</v>
      </c>
      <c r="K67" s="84">
        <f t="shared" si="12"/>
        <v>0</v>
      </c>
      <c r="L67" s="82">
        <f t="shared" si="101"/>
        <v>0</v>
      </c>
      <c r="M67" s="82">
        <f t="shared" si="13"/>
        <v>0</v>
      </c>
      <c r="N67" s="84">
        <f t="shared" si="14"/>
        <v>0</v>
      </c>
      <c r="O67" s="82">
        <f t="shared" si="15"/>
        <v>0</v>
      </c>
      <c r="P67" s="82">
        <f t="shared" si="16"/>
        <v>0</v>
      </c>
      <c r="Q67" s="84">
        <f t="shared" si="17"/>
        <v>0</v>
      </c>
      <c r="R67" s="92"/>
      <c r="S67" s="76"/>
      <c r="T67" s="76"/>
      <c r="U67" s="76"/>
      <c r="V67" s="76"/>
      <c r="W67" s="76"/>
      <c r="X67" s="76"/>
      <c r="Y67" s="76"/>
      <c r="Z67" s="76"/>
      <c r="AA67" s="76"/>
      <c r="AB67" s="76"/>
      <c r="AC67" s="76"/>
      <c r="AD67" s="76"/>
      <c r="AE67" s="76">
        <v>0</v>
      </c>
      <c r="AF67" s="82">
        <f>SUMIF('2023 Budget Expenses Model'!$C:$C,'Summary by Department &amp; Categor'!$D67,'2023 Budget Expenses Model'!I:I)</f>
        <v>0</v>
      </c>
      <c r="AG67" s="82">
        <f>SUMIF('2023 Budget Expenses Model'!$C:$C,'Summary by Department &amp; Categor'!$D67,'2023 Budget Expenses Model'!J:J)</f>
        <v>0</v>
      </c>
      <c r="AH67" s="82">
        <f>SUMIF('2023 Budget Expenses Model'!$C:$C,'Summary by Department &amp; Categor'!$D67,'2023 Budget Expenses Model'!K:K)</f>
        <v>0</v>
      </c>
      <c r="AI67" s="82">
        <f>SUMIF('2023 Budget Expenses Model'!$C:$C,'Summary by Department &amp; Categor'!$D67,'2023 Budget Expenses Model'!L:L)</f>
        <v>0</v>
      </c>
      <c r="AJ67" s="82">
        <f>SUMIF('2023 Budget Expenses Model'!$C:$C,'Summary by Department &amp; Categor'!$D67,'2023 Budget Expenses Model'!M:M)</f>
        <v>0</v>
      </c>
      <c r="AK67" s="82">
        <f>SUMIF('2023 Budget Expenses Model'!$C:$C,'Summary by Department &amp; Categor'!$D67,'2023 Budget Expenses Model'!N:N)</f>
        <v>0</v>
      </c>
      <c r="AL67" s="82">
        <f>SUMIF('2023 Budget Expenses Model'!$C:$C,'Summary by Department &amp; Categor'!$D67,'2023 Budget Expenses Model'!O:O)</f>
        <v>0</v>
      </c>
      <c r="AM67" s="82">
        <f>SUMIF('2023 Budget Expenses Model'!$C:$C,'Summary by Department &amp; Categor'!$D67,'2023 Budget Expenses Model'!P:P)</f>
        <v>0</v>
      </c>
      <c r="AN67" s="82">
        <f>SUMIF('2023 Budget Expenses Model'!$C:$C,'Summary by Department &amp; Categor'!$D67,'2023 Budget Expenses Model'!Q:Q)</f>
        <v>0</v>
      </c>
      <c r="AO67" s="82">
        <f>SUMIF('2023 Budget Expenses Model'!$C:$C,'Summary by Department &amp; Categor'!$D67,'2023 Budget Expenses Model'!R:R)</f>
        <v>0</v>
      </c>
      <c r="AP67" s="82">
        <f>SUMIF('2023 Budget Expenses Model'!$C:$C,'Summary by Department &amp; Categor'!$D67,'2023 Budget Expenses Model'!S:S)</f>
        <v>0</v>
      </c>
      <c r="AQ67" s="82">
        <f>SUMIF('2023 Budget Expenses Model'!$C:$C,'Summary by Department &amp; Categor'!$D67,'2023 Budget Expenses Model'!T:T)</f>
        <v>0</v>
      </c>
      <c r="AR67" s="82">
        <f t="shared" si="18"/>
        <v>0</v>
      </c>
      <c r="AS67" s="82">
        <f t="shared" si="19"/>
        <v>0</v>
      </c>
      <c r="AT67" s="84">
        <f t="shared" si="20"/>
        <v>0</v>
      </c>
      <c r="AU67" s="76"/>
      <c r="AV67" s="76"/>
      <c r="AW67" s="76"/>
      <c r="AX67" s="76"/>
      <c r="AY67" s="76"/>
      <c r="AZ67" s="76"/>
      <c r="BA67" s="76"/>
      <c r="BB67" s="76"/>
      <c r="BC67" s="76"/>
      <c r="BD67" s="76"/>
      <c r="BE67" s="76"/>
      <c r="BF67" s="76"/>
      <c r="BG67" s="82">
        <f t="shared" si="21"/>
        <v>0</v>
      </c>
      <c r="BH67" s="82">
        <f t="shared" si="22"/>
        <v>0</v>
      </c>
      <c r="BI67" s="84">
        <f t="shared" si="23"/>
        <v>0</v>
      </c>
      <c r="BJ67" s="93"/>
      <c r="BK67" s="82">
        <f t="shared" si="24"/>
        <v>0</v>
      </c>
      <c r="BL67" s="94"/>
      <c r="BM67" s="95"/>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row>
    <row r="68" spans="2:150" s="81" customFormat="1" ht="15" hidden="1" outlineLevel="1" thickBot="1" x14ac:dyDescent="0.35">
      <c r="B68" s="186" t="s">
        <v>213</v>
      </c>
      <c r="C68" s="81">
        <v>3</v>
      </c>
      <c r="D68" s="81" t="str">
        <f t="shared" si="31"/>
        <v>063</v>
      </c>
      <c r="F68" s="10" t="s">
        <v>230</v>
      </c>
      <c r="G68" s="9"/>
      <c r="H68" s="82">
        <f t="shared" si="136"/>
        <v>0</v>
      </c>
      <c r="I68" s="82">
        <f t="shared" si="137"/>
        <v>0</v>
      </c>
      <c r="J68" s="82">
        <f t="shared" si="11"/>
        <v>0</v>
      </c>
      <c r="K68" s="84">
        <f t="shared" si="12"/>
        <v>0</v>
      </c>
      <c r="L68" s="82">
        <f t="shared" si="101"/>
        <v>0</v>
      </c>
      <c r="M68" s="82">
        <f t="shared" si="13"/>
        <v>0</v>
      </c>
      <c r="N68" s="84">
        <f t="shared" si="14"/>
        <v>0</v>
      </c>
      <c r="O68" s="82">
        <f t="shared" si="15"/>
        <v>0</v>
      </c>
      <c r="P68" s="82">
        <f t="shared" si="16"/>
        <v>0</v>
      </c>
      <c r="Q68" s="84">
        <f t="shared" si="17"/>
        <v>0</v>
      </c>
      <c r="R68" s="92"/>
      <c r="S68" s="76"/>
      <c r="T68" s="76"/>
      <c r="U68" s="76"/>
      <c r="V68" s="76"/>
      <c r="W68" s="76"/>
      <c r="X68" s="76"/>
      <c r="Y68" s="76"/>
      <c r="Z68" s="76"/>
      <c r="AA68" s="76"/>
      <c r="AB68" s="76"/>
      <c r="AC68" s="76"/>
      <c r="AD68" s="76"/>
      <c r="AE68" s="76">
        <v>0</v>
      </c>
      <c r="AF68" s="82">
        <f>SUMIF('2023 Budget Expenses Model'!$C:$C,'Summary by Department &amp; Categor'!$D68,'2023 Budget Expenses Model'!I:I)</f>
        <v>0</v>
      </c>
      <c r="AG68" s="82">
        <f>SUMIF('2023 Budget Expenses Model'!$C:$C,'Summary by Department &amp; Categor'!$D68,'2023 Budget Expenses Model'!J:J)</f>
        <v>0</v>
      </c>
      <c r="AH68" s="82">
        <f>SUMIF('2023 Budget Expenses Model'!$C:$C,'Summary by Department &amp; Categor'!$D68,'2023 Budget Expenses Model'!K:K)</f>
        <v>0</v>
      </c>
      <c r="AI68" s="82">
        <f>SUMIF('2023 Budget Expenses Model'!$C:$C,'Summary by Department &amp; Categor'!$D68,'2023 Budget Expenses Model'!L:L)</f>
        <v>0</v>
      </c>
      <c r="AJ68" s="82">
        <f>SUMIF('2023 Budget Expenses Model'!$C:$C,'Summary by Department &amp; Categor'!$D68,'2023 Budget Expenses Model'!M:M)</f>
        <v>0</v>
      </c>
      <c r="AK68" s="82">
        <f>SUMIF('2023 Budget Expenses Model'!$C:$C,'Summary by Department &amp; Categor'!$D68,'2023 Budget Expenses Model'!N:N)</f>
        <v>0</v>
      </c>
      <c r="AL68" s="82">
        <f>SUMIF('2023 Budget Expenses Model'!$C:$C,'Summary by Department &amp; Categor'!$D68,'2023 Budget Expenses Model'!O:O)</f>
        <v>0</v>
      </c>
      <c r="AM68" s="82">
        <f>SUMIF('2023 Budget Expenses Model'!$C:$C,'Summary by Department &amp; Categor'!$D68,'2023 Budget Expenses Model'!P:P)</f>
        <v>0</v>
      </c>
      <c r="AN68" s="82">
        <f>SUMIF('2023 Budget Expenses Model'!$C:$C,'Summary by Department &amp; Categor'!$D68,'2023 Budget Expenses Model'!Q:Q)</f>
        <v>0</v>
      </c>
      <c r="AO68" s="82">
        <f>SUMIF('2023 Budget Expenses Model'!$C:$C,'Summary by Department &amp; Categor'!$D68,'2023 Budget Expenses Model'!R:R)</f>
        <v>0</v>
      </c>
      <c r="AP68" s="82">
        <f>SUMIF('2023 Budget Expenses Model'!$C:$C,'Summary by Department &amp; Categor'!$D68,'2023 Budget Expenses Model'!S:S)</f>
        <v>0</v>
      </c>
      <c r="AQ68" s="82">
        <f>SUMIF('2023 Budget Expenses Model'!$C:$C,'Summary by Department &amp; Categor'!$D68,'2023 Budget Expenses Model'!T:T)</f>
        <v>0</v>
      </c>
      <c r="AR68" s="82">
        <f t="shared" si="18"/>
        <v>0</v>
      </c>
      <c r="AS68" s="82">
        <f t="shared" si="19"/>
        <v>0</v>
      </c>
      <c r="AT68" s="84">
        <f t="shared" si="20"/>
        <v>0</v>
      </c>
      <c r="AU68" s="76"/>
      <c r="AV68" s="76"/>
      <c r="AW68" s="76"/>
      <c r="AX68" s="76"/>
      <c r="AY68" s="76"/>
      <c r="AZ68" s="76"/>
      <c r="BA68" s="76"/>
      <c r="BB68" s="76"/>
      <c r="BC68" s="76"/>
      <c r="BD68" s="76"/>
      <c r="BE68" s="76"/>
      <c r="BF68" s="76"/>
      <c r="BG68" s="82">
        <f t="shared" si="21"/>
        <v>0</v>
      </c>
      <c r="BH68" s="82">
        <f t="shared" si="22"/>
        <v>0</v>
      </c>
      <c r="BI68" s="84">
        <f t="shared" si="23"/>
        <v>0</v>
      </c>
      <c r="BJ68" s="93"/>
      <c r="BK68" s="82">
        <f t="shared" si="24"/>
        <v>0</v>
      </c>
      <c r="BL68" s="94"/>
      <c r="BM68" s="95"/>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row>
    <row r="69" spans="2:150" s="81" customFormat="1" ht="15" hidden="1" outlineLevel="1" thickBot="1" x14ac:dyDescent="0.35">
      <c r="B69" s="186" t="s">
        <v>213</v>
      </c>
      <c r="C69" s="81">
        <v>4</v>
      </c>
      <c r="D69" s="81" t="str">
        <f t="shared" si="31"/>
        <v>064</v>
      </c>
      <c r="F69" s="10" t="s">
        <v>236</v>
      </c>
      <c r="G69" s="9"/>
      <c r="H69" s="82">
        <f t="shared" si="136"/>
        <v>0</v>
      </c>
      <c r="I69" s="82">
        <f t="shared" si="137"/>
        <v>0</v>
      </c>
      <c r="J69" s="82">
        <f t="shared" si="11"/>
        <v>0</v>
      </c>
      <c r="K69" s="84">
        <f t="shared" si="12"/>
        <v>0</v>
      </c>
      <c r="L69" s="82">
        <f t="shared" si="101"/>
        <v>0</v>
      </c>
      <c r="M69" s="82">
        <f t="shared" si="13"/>
        <v>0</v>
      </c>
      <c r="N69" s="84">
        <f t="shared" si="14"/>
        <v>0</v>
      </c>
      <c r="O69" s="82">
        <f t="shared" si="15"/>
        <v>0</v>
      </c>
      <c r="P69" s="82">
        <f t="shared" si="16"/>
        <v>0</v>
      </c>
      <c r="Q69" s="84">
        <f t="shared" si="17"/>
        <v>0</v>
      </c>
      <c r="R69" s="92"/>
      <c r="S69" s="76"/>
      <c r="T69" s="76"/>
      <c r="U69" s="76"/>
      <c r="V69" s="76"/>
      <c r="W69" s="76"/>
      <c r="X69" s="76"/>
      <c r="Y69" s="76"/>
      <c r="Z69" s="76"/>
      <c r="AA69" s="76"/>
      <c r="AB69" s="76"/>
      <c r="AC69" s="76"/>
      <c r="AD69" s="76"/>
      <c r="AE69" s="76">
        <v>2250</v>
      </c>
      <c r="AF69" s="82">
        <f>SUMIF('2023 Budget Expenses Model'!$C:$C,'Summary by Department &amp; Categor'!$D69,'2023 Budget Expenses Model'!I:I)</f>
        <v>0</v>
      </c>
      <c r="AG69" s="82">
        <f>SUMIF('2023 Budget Expenses Model'!$C:$C,'Summary by Department &amp; Categor'!$D69,'2023 Budget Expenses Model'!J:J)</f>
        <v>0</v>
      </c>
      <c r="AH69" s="82">
        <f>SUMIF('2023 Budget Expenses Model'!$C:$C,'Summary by Department &amp; Categor'!$D69,'2023 Budget Expenses Model'!K:K)</f>
        <v>0</v>
      </c>
      <c r="AI69" s="82">
        <f>SUMIF('2023 Budget Expenses Model'!$C:$C,'Summary by Department &amp; Categor'!$D69,'2023 Budget Expenses Model'!L:L)</f>
        <v>0</v>
      </c>
      <c r="AJ69" s="82">
        <f>SUMIF('2023 Budget Expenses Model'!$C:$C,'Summary by Department &amp; Categor'!$D69,'2023 Budget Expenses Model'!M:M)</f>
        <v>0</v>
      </c>
      <c r="AK69" s="82">
        <f>SUMIF('2023 Budget Expenses Model'!$C:$C,'Summary by Department &amp; Categor'!$D69,'2023 Budget Expenses Model'!N:N)</f>
        <v>0</v>
      </c>
      <c r="AL69" s="82">
        <f>SUMIF('2023 Budget Expenses Model'!$C:$C,'Summary by Department &amp; Categor'!$D69,'2023 Budget Expenses Model'!O:O)</f>
        <v>0</v>
      </c>
      <c r="AM69" s="82">
        <f>SUMIF('2023 Budget Expenses Model'!$C:$C,'Summary by Department &amp; Categor'!$D69,'2023 Budget Expenses Model'!P:P)</f>
        <v>0</v>
      </c>
      <c r="AN69" s="82">
        <f>SUMIF('2023 Budget Expenses Model'!$C:$C,'Summary by Department &amp; Categor'!$D69,'2023 Budget Expenses Model'!Q:Q)</f>
        <v>0</v>
      </c>
      <c r="AO69" s="82">
        <f>SUMIF('2023 Budget Expenses Model'!$C:$C,'Summary by Department &amp; Categor'!$D69,'2023 Budget Expenses Model'!R:R)</f>
        <v>0</v>
      </c>
      <c r="AP69" s="82">
        <f>SUMIF('2023 Budget Expenses Model'!$C:$C,'Summary by Department &amp; Categor'!$D69,'2023 Budget Expenses Model'!S:S)</f>
        <v>0</v>
      </c>
      <c r="AQ69" s="82">
        <f>SUMIF('2023 Budget Expenses Model'!$C:$C,'Summary by Department &amp; Categor'!$D69,'2023 Budget Expenses Model'!T:T)</f>
        <v>0</v>
      </c>
      <c r="AR69" s="82">
        <f t="shared" si="18"/>
        <v>0</v>
      </c>
      <c r="AS69" s="82">
        <f t="shared" si="19"/>
        <v>2250</v>
      </c>
      <c r="AT69" s="84">
        <f t="shared" si="20"/>
        <v>0</v>
      </c>
      <c r="AU69" s="76"/>
      <c r="AV69" s="76"/>
      <c r="AW69" s="76"/>
      <c r="AX69" s="76"/>
      <c r="AY69" s="76"/>
      <c r="AZ69" s="76"/>
      <c r="BA69" s="76"/>
      <c r="BB69" s="76"/>
      <c r="BC69" s="76"/>
      <c r="BD69" s="76"/>
      <c r="BE69" s="76"/>
      <c r="BF69" s="76"/>
      <c r="BG69" s="82">
        <f t="shared" si="21"/>
        <v>0</v>
      </c>
      <c r="BH69" s="82">
        <f t="shared" si="22"/>
        <v>2250</v>
      </c>
      <c r="BI69" s="84">
        <f t="shared" si="23"/>
        <v>0</v>
      </c>
      <c r="BJ69" s="93"/>
      <c r="BK69" s="82">
        <f t="shared" si="24"/>
        <v>0</v>
      </c>
      <c r="BL69" s="94"/>
      <c r="BM69" s="95"/>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row>
    <row r="70" spans="2:150" s="81" customFormat="1" ht="15" hidden="1" outlineLevel="1" thickBot="1" x14ac:dyDescent="0.35">
      <c r="B70" s="186" t="s">
        <v>213</v>
      </c>
      <c r="C70" s="81">
        <v>5</v>
      </c>
      <c r="D70" s="81" t="str">
        <f t="shared" si="31"/>
        <v>065</v>
      </c>
      <c r="F70" s="10" t="s">
        <v>243</v>
      </c>
      <c r="G70" s="9"/>
      <c r="H70" s="82">
        <f t="shared" si="136"/>
        <v>0</v>
      </c>
      <c r="I70" s="82">
        <f t="shared" si="137"/>
        <v>0</v>
      </c>
      <c r="J70" s="82">
        <f t="shared" si="11"/>
        <v>0</v>
      </c>
      <c r="K70" s="84">
        <f t="shared" si="12"/>
        <v>0</v>
      </c>
      <c r="L70" s="82">
        <f t="shared" si="101"/>
        <v>0</v>
      </c>
      <c r="M70" s="82">
        <f t="shared" si="13"/>
        <v>0</v>
      </c>
      <c r="N70" s="84">
        <f t="shared" si="14"/>
        <v>0</v>
      </c>
      <c r="O70" s="82">
        <f t="shared" si="15"/>
        <v>0</v>
      </c>
      <c r="P70" s="82">
        <f t="shared" si="16"/>
        <v>0</v>
      </c>
      <c r="Q70" s="84">
        <f t="shared" si="17"/>
        <v>0</v>
      </c>
      <c r="R70" s="92"/>
      <c r="S70" s="76"/>
      <c r="T70" s="76"/>
      <c r="U70" s="76"/>
      <c r="V70" s="76"/>
      <c r="W70" s="76"/>
      <c r="X70" s="76"/>
      <c r="Y70" s="76"/>
      <c r="Z70" s="76"/>
      <c r="AA70" s="76"/>
      <c r="AB70" s="76"/>
      <c r="AC70" s="76"/>
      <c r="AD70" s="76"/>
      <c r="AE70" s="76">
        <v>0</v>
      </c>
      <c r="AF70" s="82">
        <f>SUMIF('2023 Budget Expenses Model'!$C:$C,'Summary by Department &amp; Categor'!$D70,'2023 Budget Expenses Model'!I:I)</f>
        <v>0</v>
      </c>
      <c r="AG70" s="82">
        <f>SUMIF('2023 Budget Expenses Model'!$C:$C,'Summary by Department &amp; Categor'!$D70,'2023 Budget Expenses Model'!J:J)</f>
        <v>0</v>
      </c>
      <c r="AH70" s="82">
        <f>SUMIF('2023 Budget Expenses Model'!$C:$C,'Summary by Department &amp; Categor'!$D70,'2023 Budget Expenses Model'!K:K)</f>
        <v>0</v>
      </c>
      <c r="AI70" s="82">
        <f>SUMIF('2023 Budget Expenses Model'!$C:$C,'Summary by Department &amp; Categor'!$D70,'2023 Budget Expenses Model'!L:L)</f>
        <v>0</v>
      </c>
      <c r="AJ70" s="82">
        <f>SUMIF('2023 Budget Expenses Model'!$C:$C,'Summary by Department &amp; Categor'!$D70,'2023 Budget Expenses Model'!M:M)</f>
        <v>0</v>
      </c>
      <c r="AK70" s="82">
        <f>SUMIF('2023 Budget Expenses Model'!$C:$C,'Summary by Department &amp; Categor'!$D70,'2023 Budget Expenses Model'!N:N)</f>
        <v>0</v>
      </c>
      <c r="AL70" s="82">
        <f>SUMIF('2023 Budget Expenses Model'!$C:$C,'Summary by Department &amp; Categor'!$D70,'2023 Budget Expenses Model'!O:O)</f>
        <v>0</v>
      </c>
      <c r="AM70" s="82">
        <f>SUMIF('2023 Budget Expenses Model'!$C:$C,'Summary by Department &amp; Categor'!$D70,'2023 Budget Expenses Model'!P:P)</f>
        <v>0</v>
      </c>
      <c r="AN70" s="82">
        <f>SUMIF('2023 Budget Expenses Model'!$C:$C,'Summary by Department &amp; Categor'!$D70,'2023 Budget Expenses Model'!Q:Q)</f>
        <v>0</v>
      </c>
      <c r="AO70" s="82">
        <f>SUMIF('2023 Budget Expenses Model'!$C:$C,'Summary by Department &amp; Categor'!$D70,'2023 Budget Expenses Model'!R:R)</f>
        <v>0</v>
      </c>
      <c r="AP70" s="82">
        <f>SUMIF('2023 Budget Expenses Model'!$C:$C,'Summary by Department &amp; Categor'!$D70,'2023 Budget Expenses Model'!S:S)</f>
        <v>0</v>
      </c>
      <c r="AQ70" s="82">
        <f>SUMIF('2023 Budget Expenses Model'!$C:$C,'Summary by Department &amp; Categor'!$D70,'2023 Budget Expenses Model'!T:T)</f>
        <v>0</v>
      </c>
      <c r="AR70" s="82">
        <f t="shared" si="18"/>
        <v>0</v>
      </c>
      <c r="AS70" s="82">
        <f t="shared" si="19"/>
        <v>0</v>
      </c>
      <c r="AT70" s="84">
        <f t="shared" si="20"/>
        <v>0</v>
      </c>
      <c r="AU70" s="76"/>
      <c r="AV70" s="76"/>
      <c r="AW70" s="76"/>
      <c r="AX70" s="76"/>
      <c r="AY70" s="76"/>
      <c r="AZ70" s="76"/>
      <c r="BA70" s="76"/>
      <c r="BB70" s="76"/>
      <c r="BC70" s="76"/>
      <c r="BD70" s="76"/>
      <c r="BE70" s="76"/>
      <c r="BF70" s="76"/>
      <c r="BG70" s="82">
        <f t="shared" si="21"/>
        <v>0</v>
      </c>
      <c r="BH70" s="82">
        <f t="shared" si="22"/>
        <v>0</v>
      </c>
      <c r="BI70" s="84">
        <f t="shared" si="23"/>
        <v>0</v>
      </c>
      <c r="BJ70" s="93"/>
      <c r="BK70" s="82">
        <f t="shared" si="24"/>
        <v>0</v>
      </c>
      <c r="BL70" s="94"/>
      <c r="BM70" s="95"/>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row>
    <row r="71" spans="2:150" s="81" customFormat="1" ht="15" hidden="1" outlineLevel="1" thickBot="1" x14ac:dyDescent="0.35">
      <c r="B71" s="186" t="s">
        <v>213</v>
      </c>
      <c r="C71" s="81">
        <v>6</v>
      </c>
      <c r="D71" s="81" t="str">
        <f t="shared" si="31"/>
        <v>066</v>
      </c>
      <c r="F71" s="10" t="s">
        <v>31</v>
      </c>
      <c r="G71" s="9"/>
      <c r="H71" s="82">
        <f t="shared" si="136"/>
        <v>0</v>
      </c>
      <c r="I71" s="82">
        <f t="shared" si="137"/>
        <v>0</v>
      </c>
      <c r="J71" s="82">
        <f t="shared" si="11"/>
        <v>0</v>
      </c>
      <c r="K71" s="84">
        <f t="shared" si="12"/>
        <v>0</v>
      </c>
      <c r="L71" s="82">
        <f t="shared" si="101"/>
        <v>0</v>
      </c>
      <c r="M71" s="82">
        <f t="shared" si="13"/>
        <v>0</v>
      </c>
      <c r="N71" s="84">
        <f t="shared" si="14"/>
        <v>0</v>
      </c>
      <c r="O71" s="82">
        <f t="shared" si="15"/>
        <v>0</v>
      </c>
      <c r="P71" s="82">
        <f t="shared" si="16"/>
        <v>0</v>
      </c>
      <c r="Q71" s="84">
        <f t="shared" si="17"/>
        <v>0</v>
      </c>
      <c r="R71" s="92"/>
      <c r="S71" s="76"/>
      <c r="T71" s="76"/>
      <c r="U71" s="76"/>
      <c r="V71" s="76"/>
      <c r="W71" s="76"/>
      <c r="X71" s="76"/>
      <c r="Y71" s="76"/>
      <c r="Z71" s="76"/>
      <c r="AA71" s="76"/>
      <c r="AB71" s="76"/>
      <c r="AC71" s="76"/>
      <c r="AD71" s="76"/>
      <c r="AE71" s="76">
        <v>6541.6</v>
      </c>
      <c r="AF71" s="82">
        <f>SUMIF('2023 Budget Expenses Model'!$C:$C,'Summary by Department &amp; Categor'!$D71,'2023 Budget Expenses Model'!I:I)</f>
        <v>0</v>
      </c>
      <c r="AG71" s="82">
        <f>SUMIF('2023 Budget Expenses Model'!$C:$C,'Summary by Department &amp; Categor'!$D71,'2023 Budget Expenses Model'!J:J)</f>
        <v>0</v>
      </c>
      <c r="AH71" s="82">
        <f>SUMIF('2023 Budget Expenses Model'!$C:$C,'Summary by Department &amp; Categor'!$D71,'2023 Budget Expenses Model'!K:K)</f>
        <v>0</v>
      </c>
      <c r="AI71" s="82">
        <f>SUMIF('2023 Budget Expenses Model'!$C:$C,'Summary by Department &amp; Categor'!$D71,'2023 Budget Expenses Model'!L:L)</f>
        <v>0</v>
      </c>
      <c r="AJ71" s="82">
        <f>SUMIF('2023 Budget Expenses Model'!$C:$C,'Summary by Department &amp; Categor'!$D71,'2023 Budget Expenses Model'!M:M)</f>
        <v>0</v>
      </c>
      <c r="AK71" s="82">
        <f>SUMIF('2023 Budget Expenses Model'!$C:$C,'Summary by Department &amp; Categor'!$D71,'2023 Budget Expenses Model'!N:N)</f>
        <v>0</v>
      </c>
      <c r="AL71" s="82">
        <f>SUMIF('2023 Budget Expenses Model'!$C:$C,'Summary by Department &amp; Categor'!$D71,'2023 Budget Expenses Model'!O:O)</f>
        <v>0</v>
      </c>
      <c r="AM71" s="82">
        <f>SUMIF('2023 Budget Expenses Model'!$C:$C,'Summary by Department &amp; Categor'!$D71,'2023 Budget Expenses Model'!P:P)</f>
        <v>0</v>
      </c>
      <c r="AN71" s="82">
        <f>SUMIF('2023 Budget Expenses Model'!$C:$C,'Summary by Department &amp; Categor'!$D71,'2023 Budget Expenses Model'!Q:Q)</f>
        <v>0</v>
      </c>
      <c r="AO71" s="82">
        <f>SUMIF('2023 Budget Expenses Model'!$C:$C,'Summary by Department &amp; Categor'!$D71,'2023 Budget Expenses Model'!R:R)</f>
        <v>0</v>
      </c>
      <c r="AP71" s="82">
        <f>SUMIF('2023 Budget Expenses Model'!$C:$C,'Summary by Department &amp; Categor'!$D71,'2023 Budget Expenses Model'!S:S)</f>
        <v>0</v>
      </c>
      <c r="AQ71" s="82">
        <f>SUMIF('2023 Budget Expenses Model'!$C:$C,'Summary by Department &amp; Categor'!$D71,'2023 Budget Expenses Model'!T:T)</f>
        <v>0</v>
      </c>
      <c r="AR71" s="82">
        <f t="shared" si="18"/>
        <v>0</v>
      </c>
      <c r="AS71" s="82">
        <f t="shared" si="19"/>
        <v>6541.6</v>
      </c>
      <c r="AT71" s="84">
        <f t="shared" si="20"/>
        <v>0</v>
      </c>
      <c r="AU71" s="76"/>
      <c r="AV71" s="76"/>
      <c r="AW71" s="76"/>
      <c r="AX71" s="76"/>
      <c r="AY71" s="76"/>
      <c r="AZ71" s="76"/>
      <c r="BA71" s="76"/>
      <c r="BB71" s="76"/>
      <c r="BC71" s="76"/>
      <c r="BD71" s="76"/>
      <c r="BE71" s="76"/>
      <c r="BF71" s="76"/>
      <c r="BG71" s="82">
        <f t="shared" si="21"/>
        <v>0</v>
      </c>
      <c r="BH71" s="82">
        <f t="shared" si="22"/>
        <v>6541.6</v>
      </c>
      <c r="BI71" s="84">
        <f t="shared" si="23"/>
        <v>0</v>
      </c>
      <c r="BJ71" s="93"/>
      <c r="BK71" s="82">
        <f t="shared" si="24"/>
        <v>0</v>
      </c>
      <c r="BL71" s="94"/>
      <c r="BM71" s="95"/>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row>
    <row r="72" spans="2:150" s="81" customFormat="1" ht="15" hidden="1" outlineLevel="1" thickBot="1" x14ac:dyDescent="0.35">
      <c r="B72" s="186" t="s">
        <v>213</v>
      </c>
      <c r="C72" s="81">
        <v>7</v>
      </c>
      <c r="D72" s="81" t="str">
        <f t="shared" si="31"/>
        <v>067</v>
      </c>
      <c r="F72" s="10" t="s">
        <v>248</v>
      </c>
      <c r="G72" s="9"/>
      <c r="H72" s="82">
        <f t="shared" si="136"/>
        <v>0</v>
      </c>
      <c r="I72" s="82">
        <f t="shared" si="137"/>
        <v>0</v>
      </c>
      <c r="J72" s="82">
        <f t="shared" si="11"/>
        <v>0</v>
      </c>
      <c r="K72" s="84">
        <f t="shared" si="12"/>
        <v>0</v>
      </c>
      <c r="L72" s="82">
        <f t="shared" si="101"/>
        <v>0</v>
      </c>
      <c r="M72" s="82">
        <f t="shared" si="13"/>
        <v>0</v>
      </c>
      <c r="N72" s="84">
        <f t="shared" si="14"/>
        <v>0</v>
      </c>
      <c r="O72" s="82">
        <f t="shared" si="15"/>
        <v>0</v>
      </c>
      <c r="P72" s="82">
        <f t="shared" si="16"/>
        <v>0</v>
      </c>
      <c r="Q72" s="84">
        <f t="shared" si="17"/>
        <v>0</v>
      </c>
      <c r="R72" s="92"/>
      <c r="S72" s="76"/>
      <c r="T72" s="76"/>
      <c r="U72" s="76"/>
      <c r="V72" s="76"/>
      <c r="W72" s="76"/>
      <c r="X72" s="76"/>
      <c r="Y72" s="76"/>
      <c r="Z72" s="76"/>
      <c r="AA72" s="76"/>
      <c r="AB72" s="76"/>
      <c r="AC72" s="76"/>
      <c r="AD72" s="76"/>
      <c r="AE72" s="76">
        <v>0</v>
      </c>
      <c r="AF72" s="82">
        <f>SUMIF('2023 Budget Expenses Model'!$C:$C,'Summary by Department &amp; Categor'!$D72,'2023 Budget Expenses Model'!I:I)</f>
        <v>0</v>
      </c>
      <c r="AG72" s="82">
        <f>SUMIF('2023 Budget Expenses Model'!$C:$C,'Summary by Department &amp; Categor'!$D72,'2023 Budget Expenses Model'!J:J)</f>
        <v>0</v>
      </c>
      <c r="AH72" s="82">
        <f>SUMIF('2023 Budget Expenses Model'!$C:$C,'Summary by Department &amp; Categor'!$D72,'2023 Budget Expenses Model'!K:K)</f>
        <v>0</v>
      </c>
      <c r="AI72" s="82">
        <f>SUMIF('2023 Budget Expenses Model'!$C:$C,'Summary by Department &amp; Categor'!$D72,'2023 Budget Expenses Model'!L:L)</f>
        <v>0</v>
      </c>
      <c r="AJ72" s="82">
        <f>SUMIF('2023 Budget Expenses Model'!$C:$C,'Summary by Department &amp; Categor'!$D72,'2023 Budget Expenses Model'!M:M)</f>
        <v>0</v>
      </c>
      <c r="AK72" s="82">
        <f>SUMIF('2023 Budget Expenses Model'!$C:$C,'Summary by Department &amp; Categor'!$D72,'2023 Budget Expenses Model'!N:N)</f>
        <v>0</v>
      </c>
      <c r="AL72" s="82">
        <f>SUMIF('2023 Budget Expenses Model'!$C:$C,'Summary by Department &amp; Categor'!$D72,'2023 Budget Expenses Model'!O:O)</f>
        <v>0</v>
      </c>
      <c r="AM72" s="82">
        <f>SUMIF('2023 Budget Expenses Model'!$C:$C,'Summary by Department &amp; Categor'!$D72,'2023 Budget Expenses Model'!P:P)</f>
        <v>0</v>
      </c>
      <c r="AN72" s="82">
        <f>SUMIF('2023 Budget Expenses Model'!$C:$C,'Summary by Department &amp; Categor'!$D72,'2023 Budget Expenses Model'!Q:Q)</f>
        <v>0</v>
      </c>
      <c r="AO72" s="82">
        <f>SUMIF('2023 Budget Expenses Model'!$C:$C,'Summary by Department &amp; Categor'!$D72,'2023 Budget Expenses Model'!R:R)</f>
        <v>0</v>
      </c>
      <c r="AP72" s="82">
        <f>SUMIF('2023 Budget Expenses Model'!$C:$C,'Summary by Department &amp; Categor'!$D72,'2023 Budget Expenses Model'!S:S)</f>
        <v>0</v>
      </c>
      <c r="AQ72" s="82">
        <f>SUMIF('2023 Budget Expenses Model'!$C:$C,'Summary by Department &amp; Categor'!$D72,'2023 Budget Expenses Model'!T:T)</f>
        <v>0</v>
      </c>
      <c r="AR72" s="82">
        <f t="shared" si="18"/>
        <v>0</v>
      </c>
      <c r="AS72" s="82">
        <f t="shared" si="19"/>
        <v>0</v>
      </c>
      <c r="AT72" s="84">
        <f t="shared" si="20"/>
        <v>0</v>
      </c>
      <c r="AU72" s="76"/>
      <c r="AV72" s="76"/>
      <c r="AW72" s="76"/>
      <c r="AX72" s="76"/>
      <c r="AY72" s="76"/>
      <c r="AZ72" s="76"/>
      <c r="BA72" s="76"/>
      <c r="BB72" s="76"/>
      <c r="BC72" s="76"/>
      <c r="BD72" s="76"/>
      <c r="BE72" s="76"/>
      <c r="BF72" s="76"/>
      <c r="BG72" s="82">
        <f t="shared" si="21"/>
        <v>0</v>
      </c>
      <c r="BH72" s="82">
        <f t="shared" si="22"/>
        <v>0</v>
      </c>
      <c r="BI72" s="84">
        <f t="shared" si="23"/>
        <v>0</v>
      </c>
      <c r="BJ72" s="93"/>
      <c r="BK72" s="82">
        <f t="shared" si="24"/>
        <v>0</v>
      </c>
      <c r="BL72" s="94"/>
      <c r="BM72" s="95"/>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row>
    <row r="73" spans="2:150" s="81" customFormat="1" ht="15" hidden="1" outlineLevel="1" thickBot="1" x14ac:dyDescent="0.35">
      <c r="B73" s="186" t="s">
        <v>213</v>
      </c>
      <c r="C73" s="81">
        <v>8</v>
      </c>
      <c r="D73" s="81" t="str">
        <f t="shared" si="31"/>
        <v>068</v>
      </c>
      <c r="F73" s="10" t="s">
        <v>46</v>
      </c>
      <c r="G73" s="9"/>
      <c r="H73" s="82">
        <f t="shared" si="136"/>
        <v>0</v>
      </c>
      <c r="I73" s="82">
        <f t="shared" si="137"/>
        <v>0</v>
      </c>
      <c r="J73" s="82">
        <f t="shared" si="11"/>
        <v>0</v>
      </c>
      <c r="K73" s="84">
        <f t="shared" si="12"/>
        <v>0</v>
      </c>
      <c r="L73" s="82">
        <f t="shared" si="101"/>
        <v>0</v>
      </c>
      <c r="M73" s="82">
        <f t="shared" si="13"/>
        <v>0</v>
      </c>
      <c r="N73" s="84">
        <f t="shared" si="14"/>
        <v>0</v>
      </c>
      <c r="O73" s="82">
        <f t="shared" si="15"/>
        <v>0</v>
      </c>
      <c r="P73" s="82">
        <f t="shared" si="16"/>
        <v>0</v>
      </c>
      <c r="Q73" s="84">
        <f t="shared" si="17"/>
        <v>0</v>
      </c>
      <c r="R73" s="92"/>
      <c r="S73" s="76"/>
      <c r="T73" s="76"/>
      <c r="U73" s="76"/>
      <c r="V73" s="76"/>
      <c r="W73" s="76"/>
      <c r="X73" s="76"/>
      <c r="Y73" s="76"/>
      <c r="Z73" s="76"/>
      <c r="AA73" s="76"/>
      <c r="AB73" s="76"/>
      <c r="AC73" s="76"/>
      <c r="AD73" s="76"/>
      <c r="AE73" s="76">
        <v>0</v>
      </c>
      <c r="AF73" s="82">
        <f>SUMIF('2023 Budget Expenses Model'!$C:$C,'Summary by Department &amp; Categor'!$D73,'2023 Budget Expenses Model'!I:I)</f>
        <v>0</v>
      </c>
      <c r="AG73" s="82">
        <f>SUMIF('2023 Budget Expenses Model'!$C:$C,'Summary by Department &amp; Categor'!$D73,'2023 Budget Expenses Model'!J:J)</f>
        <v>0</v>
      </c>
      <c r="AH73" s="82">
        <f>SUMIF('2023 Budget Expenses Model'!$C:$C,'Summary by Department &amp; Categor'!$D73,'2023 Budget Expenses Model'!K:K)</f>
        <v>0</v>
      </c>
      <c r="AI73" s="82">
        <f>SUMIF('2023 Budget Expenses Model'!$C:$C,'Summary by Department &amp; Categor'!$D73,'2023 Budget Expenses Model'!L:L)</f>
        <v>0</v>
      </c>
      <c r="AJ73" s="82">
        <f>SUMIF('2023 Budget Expenses Model'!$C:$C,'Summary by Department &amp; Categor'!$D73,'2023 Budget Expenses Model'!M:M)</f>
        <v>0</v>
      </c>
      <c r="AK73" s="82">
        <f>SUMIF('2023 Budget Expenses Model'!$C:$C,'Summary by Department &amp; Categor'!$D73,'2023 Budget Expenses Model'!N:N)</f>
        <v>0</v>
      </c>
      <c r="AL73" s="82">
        <f>SUMIF('2023 Budget Expenses Model'!$C:$C,'Summary by Department &amp; Categor'!$D73,'2023 Budget Expenses Model'!O:O)</f>
        <v>0</v>
      </c>
      <c r="AM73" s="82">
        <f>SUMIF('2023 Budget Expenses Model'!$C:$C,'Summary by Department &amp; Categor'!$D73,'2023 Budget Expenses Model'!P:P)</f>
        <v>0</v>
      </c>
      <c r="AN73" s="82">
        <f>SUMIF('2023 Budget Expenses Model'!$C:$C,'Summary by Department &amp; Categor'!$D73,'2023 Budget Expenses Model'!Q:Q)</f>
        <v>0</v>
      </c>
      <c r="AO73" s="82">
        <f>SUMIF('2023 Budget Expenses Model'!$C:$C,'Summary by Department &amp; Categor'!$D73,'2023 Budget Expenses Model'!R:R)</f>
        <v>0</v>
      </c>
      <c r="AP73" s="82">
        <f>SUMIF('2023 Budget Expenses Model'!$C:$C,'Summary by Department &amp; Categor'!$D73,'2023 Budget Expenses Model'!S:S)</f>
        <v>0</v>
      </c>
      <c r="AQ73" s="82">
        <f>SUMIF('2023 Budget Expenses Model'!$C:$C,'Summary by Department &amp; Categor'!$D73,'2023 Budget Expenses Model'!T:T)</f>
        <v>0</v>
      </c>
      <c r="AR73" s="82">
        <f t="shared" si="18"/>
        <v>0</v>
      </c>
      <c r="AS73" s="82">
        <f t="shared" si="19"/>
        <v>0</v>
      </c>
      <c r="AT73" s="84">
        <f t="shared" si="20"/>
        <v>0</v>
      </c>
      <c r="AU73" s="76"/>
      <c r="AV73" s="76"/>
      <c r="AW73" s="76"/>
      <c r="AX73" s="76"/>
      <c r="AY73" s="76"/>
      <c r="AZ73" s="76"/>
      <c r="BA73" s="76"/>
      <c r="BB73" s="76"/>
      <c r="BC73" s="76"/>
      <c r="BD73" s="76"/>
      <c r="BE73" s="76"/>
      <c r="BF73" s="76"/>
      <c r="BG73" s="82">
        <f t="shared" si="21"/>
        <v>0</v>
      </c>
      <c r="BH73" s="82">
        <f t="shared" si="22"/>
        <v>0</v>
      </c>
      <c r="BI73" s="84">
        <f t="shared" si="23"/>
        <v>0</v>
      </c>
      <c r="BJ73" s="93"/>
      <c r="BK73" s="82">
        <f t="shared" si="24"/>
        <v>0</v>
      </c>
      <c r="BL73" s="94"/>
      <c r="BM73" s="95"/>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row>
    <row r="74" spans="2:150" s="81" customFormat="1" ht="15" collapsed="1" thickBot="1" x14ac:dyDescent="0.35">
      <c r="F74" s="8" t="s">
        <v>433</v>
      </c>
      <c r="G74" s="9"/>
      <c r="H74" s="76">
        <f t="shared" si="136"/>
        <v>0</v>
      </c>
      <c r="I74" s="76">
        <f t="shared" si="137"/>
        <v>5560</v>
      </c>
      <c r="J74" s="76">
        <f t="shared" si="11"/>
        <v>-5560</v>
      </c>
      <c r="K74" s="77">
        <f t="shared" si="12"/>
        <v>-1</v>
      </c>
      <c r="L74" s="76">
        <f t="shared" si="101"/>
        <v>0</v>
      </c>
      <c r="M74" s="76">
        <f t="shared" si="13"/>
        <v>0</v>
      </c>
      <c r="N74" s="77">
        <f t="shared" si="14"/>
        <v>0</v>
      </c>
      <c r="O74" s="76">
        <f t="shared" si="15"/>
        <v>0</v>
      </c>
      <c r="P74" s="76">
        <f t="shared" si="16"/>
        <v>0</v>
      </c>
      <c r="Q74" s="77">
        <f t="shared" si="17"/>
        <v>0</v>
      </c>
      <c r="R74" s="92"/>
      <c r="S74" s="76">
        <f>SUM(S75:S82)</f>
        <v>0</v>
      </c>
      <c r="T74" s="76">
        <f t="shared" ref="T74" si="206">SUM(T75:T82)</f>
        <v>0</v>
      </c>
      <c r="U74" s="76">
        <f t="shared" ref="U74" si="207">SUM(U75:U82)</f>
        <v>0</v>
      </c>
      <c r="V74" s="76">
        <f t="shared" ref="V74" si="208">SUM(V75:V82)</f>
        <v>0</v>
      </c>
      <c r="W74" s="76">
        <f t="shared" ref="W74" si="209">SUM(W75:W82)</f>
        <v>0</v>
      </c>
      <c r="X74" s="76">
        <f t="shared" ref="X74" si="210">SUM(X75:X82)</f>
        <v>0</v>
      </c>
      <c r="Y74" s="76">
        <f t="shared" ref="Y74" si="211">SUM(Y75:Y82)</f>
        <v>0</v>
      </c>
      <c r="Z74" s="76">
        <f t="shared" ref="Z74" si="212">SUM(Z75:Z82)</f>
        <v>0</v>
      </c>
      <c r="AA74" s="76">
        <f t="shared" ref="AA74" si="213">SUM(AA75:AA82)</f>
        <v>0</v>
      </c>
      <c r="AB74" s="76">
        <f t="shared" ref="AB74" si="214">SUM(AB75:AB82)</f>
        <v>0</v>
      </c>
      <c r="AC74" s="76">
        <f t="shared" ref="AC74" si="215">SUM(AC75:AC82)</f>
        <v>0</v>
      </c>
      <c r="AD74" s="76">
        <f t="shared" ref="AD74" si="216">SUM(AD75:AD82)</f>
        <v>0</v>
      </c>
      <c r="AE74" s="76">
        <v>38083.43</v>
      </c>
      <c r="AF74" s="76">
        <f>SUM(AF75:AF82)</f>
        <v>5560</v>
      </c>
      <c r="AG74" s="76">
        <f t="shared" ref="AG74" si="217">SUM(AG75:AG82)</f>
        <v>5560</v>
      </c>
      <c r="AH74" s="76">
        <f t="shared" ref="AH74" si="218">SUM(AH75:AH82)</f>
        <v>15560</v>
      </c>
      <c r="AI74" s="76">
        <f t="shared" ref="AI74" si="219">SUM(AI75:AI82)</f>
        <v>5560</v>
      </c>
      <c r="AJ74" s="76">
        <f t="shared" ref="AJ74" si="220">SUM(AJ75:AJ82)</f>
        <v>5560</v>
      </c>
      <c r="AK74" s="76">
        <f t="shared" ref="AK74" si="221">SUM(AK75:AK82)</f>
        <v>5560</v>
      </c>
      <c r="AL74" s="76">
        <f t="shared" ref="AL74" si="222">SUM(AL75:AL82)</f>
        <v>5560</v>
      </c>
      <c r="AM74" s="76">
        <f t="shared" ref="AM74" si="223">SUM(AM75:AM82)</f>
        <v>5560</v>
      </c>
      <c r="AN74" s="76">
        <f t="shared" ref="AN74" si="224">SUM(AN75:AN82)</f>
        <v>5560</v>
      </c>
      <c r="AO74" s="76">
        <f t="shared" ref="AO74" si="225">SUM(AO75:AO82)</f>
        <v>5560</v>
      </c>
      <c r="AP74" s="76">
        <f t="shared" ref="AP74" si="226">SUM(AP75:AP82)</f>
        <v>30560</v>
      </c>
      <c r="AQ74" s="76">
        <f t="shared" ref="AQ74" si="227">SUM(AQ75:AQ82)</f>
        <v>5560</v>
      </c>
      <c r="AR74" s="76">
        <f t="shared" si="18"/>
        <v>101720</v>
      </c>
      <c r="AS74" s="76">
        <f t="shared" si="19"/>
        <v>-63636.57</v>
      </c>
      <c r="AT74" s="77">
        <f t="shared" si="20"/>
        <v>-0.62560528902870627</v>
      </c>
      <c r="AU74" s="76">
        <f>SUM(AU75:AU82)</f>
        <v>0</v>
      </c>
      <c r="AV74" s="76">
        <f t="shared" ref="AV74" si="228">SUM(AV75:AV82)</f>
        <v>0</v>
      </c>
      <c r="AW74" s="76">
        <f t="shared" ref="AW74" si="229">SUM(AW75:AW82)</f>
        <v>0</v>
      </c>
      <c r="AX74" s="76">
        <f t="shared" ref="AX74" si="230">SUM(AX75:AX82)</f>
        <v>0</v>
      </c>
      <c r="AY74" s="76">
        <f t="shared" ref="AY74" si="231">SUM(AY75:AY82)</f>
        <v>0</v>
      </c>
      <c r="AZ74" s="76">
        <f t="shared" ref="AZ74" si="232">SUM(AZ75:AZ82)</f>
        <v>0</v>
      </c>
      <c r="BA74" s="76">
        <f t="shared" ref="BA74" si="233">SUM(BA75:BA82)</f>
        <v>0</v>
      </c>
      <c r="BB74" s="76">
        <f t="shared" ref="BB74" si="234">SUM(BB75:BB82)</f>
        <v>0</v>
      </c>
      <c r="BC74" s="76">
        <f t="shared" ref="BC74" si="235">SUM(BC75:BC82)</f>
        <v>0</v>
      </c>
      <c r="BD74" s="76">
        <f t="shared" ref="BD74" si="236">SUM(BD75:BD82)</f>
        <v>0</v>
      </c>
      <c r="BE74" s="76">
        <f t="shared" ref="BE74" si="237">SUM(BE75:BE82)</f>
        <v>0</v>
      </c>
      <c r="BF74" s="76">
        <f t="shared" ref="BF74" si="238">SUM(BF75:BF82)</f>
        <v>0</v>
      </c>
      <c r="BG74" s="76">
        <f t="shared" si="21"/>
        <v>0</v>
      </c>
      <c r="BH74" s="76">
        <f t="shared" si="22"/>
        <v>38083.43</v>
      </c>
      <c r="BI74" s="77">
        <f t="shared" si="23"/>
        <v>0</v>
      </c>
      <c r="BJ74" s="93"/>
      <c r="BK74" s="76">
        <f t="shared" ref="BK74" si="239">SUM(BK75:BK82)</f>
        <v>101720</v>
      </c>
      <c r="BL74" s="94"/>
      <c r="BM74" s="95"/>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row>
    <row r="75" spans="2:150" s="81" customFormat="1" ht="15" hidden="1" outlineLevel="1" thickBot="1" x14ac:dyDescent="0.35">
      <c r="B75" s="186" t="s">
        <v>214</v>
      </c>
      <c r="C75" s="81">
        <v>2</v>
      </c>
      <c r="D75" s="81" t="str">
        <f t="shared" si="31"/>
        <v>072</v>
      </c>
      <c r="F75" s="10" t="s">
        <v>225</v>
      </c>
      <c r="G75" s="9"/>
      <c r="H75" s="82">
        <f t="shared" si="136"/>
        <v>0</v>
      </c>
      <c r="I75" s="82">
        <f t="shared" si="137"/>
        <v>5435</v>
      </c>
      <c r="J75" s="82">
        <f t="shared" si="11"/>
        <v>-5435</v>
      </c>
      <c r="K75" s="84">
        <f t="shared" si="12"/>
        <v>-1</v>
      </c>
      <c r="L75" s="82">
        <f t="shared" si="101"/>
        <v>0</v>
      </c>
      <c r="M75" s="82">
        <f t="shared" si="13"/>
        <v>0</v>
      </c>
      <c r="N75" s="84">
        <f t="shared" si="14"/>
        <v>0</v>
      </c>
      <c r="O75" s="82">
        <f t="shared" si="15"/>
        <v>0</v>
      </c>
      <c r="P75" s="82">
        <f t="shared" si="16"/>
        <v>0</v>
      </c>
      <c r="Q75" s="84">
        <f t="shared" si="17"/>
        <v>0</v>
      </c>
      <c r="R75" s="92"/>
      <c r="S75" s="76"/>
      <c r="T75" s="76"/>
      <c r="U75" s="76"/>
      <c r="V75" s="76"/>
      <c r="W75" s="76"/>
      <c r="X75" s="76"/>
      <c r="Y75" s="76"/>
      <c r="Z75" s="76"/>
      <c r="AA75" s="76"/>
      <c r="AB75" s="76"/>
      <c r="AC75" s="76"/>
      <c r="AD75" s="76"/>
      <c r="AE75" s="76">
        <v>23193</v>
      </c>
      <c r="AF75" s="82">
        <f>SUMIF('2023 Budget Expenses Model'!$C:$C,'Summary by Department &amp; Categor'!$D75,'2023 Budget Expenses Model'!I:I)</f>
        <v>5435</v>
      </c>
      <c r="AG75" s="82">
        <f>SUMIF('2023 Budget Expenses Model'!$C:$C,'Summary by Department &amp; Categor'!$D75,'2023 Budget Expenses Model'!J:J)</f>
        <v>5435</v>
      </c>
      <c r="AH75" s="82">
        <f>SUMIF('2023 Budget Expenses Model'!$C:$C,'Summary by Department &amp; Categor'!$D75,'2023 Budget Expenses Model'!K:K)</f>
        <v>5435</v>
      </c>
      <c r="AI75" s="82">
        <f>SUMIF('2023 Budget Expenses Model'!$C:$C,'Summary by Department &amp; Categor'!$D75,'2023 Budget Expenses Model'!L:L)</f>
        <v>5435</v>
      </c>
      <c r="AJ75" s="82">
        <f>SUMIF('2023 Budget Expenses Model'!$C:$C,'Summary by Department &amp; Categor'!$D75,'2023 Budget Expenses Model'!M:M)</f>
        <v>5435</v>
      </c>
      <c r="AK75" s="82">
        <f>SUMIF('2023 Budget Expenses Model'!$C:$C,'Summary by Department &amp; Categor'!$D75,'2023 Budget Expenses Model'!N:N)</f>
        <v>5435</v>
      </c>
      <c r="AL75" s="82">
        <f>SUMIF('2023 Budget Expenses Model'!$C:$C,'Summary by Department &amp; Categor'!$D75,'2023 Budget Expenses Model'!O:O)</f>
        <v>5435</v>
      </c>
      <c r="AM75" s="82">
        <f>SUMIF('2023 Budget Expenses Model'!$C:$C,'Summary by Department &amp; Categor'!$D75,'2023 Budget Expenses Model'!P:P)</f>
        <v>5435</v>
      </c>
      <c r="AN75" s="82">
        <f>SUMIF('2023 Budget Expenses Model'!$C:$C,'Summary by Department &amp; Categor'!$D75,'2023 Budget Expenses Model'!Q:Q)</f>
        <v>5435</v>
      </c>
      <c r="AO75" s="82">
        <f>SUMIF('2023 Budget Expenses Model'!$C:$C,'Summary by Department &amp; Categor'!$D75,'2023 Budget Expenses Model'!R:R)</f>
        <v>5435</v>
      </c>
      <c r="AP75" s="82">
        <f>SUMIF('2023 Budget Expenses Model'!$C:$C,'Summary by Department &amp; Categor'!$D75,'2023 Budget Expenses Model'!S:S)</f>
        <v>5435</v>
      </c>
      <c r="AQ75" s="82">
        <f>SUMIF('2023 Budget Expenses Model'!$C:$C,'Summary by Department &amp; Categor'!$D75,'2023 Budget Expenses Model'!T:T)</f>
        <v>5435</v>
      </c>
      <c r="AR75" s="82">
        <f t="shared" si="18"/>
        <v>65220</v>
      </c>
      <c r="AS75" s="82">
        <f t="shared" si="19"/>
        <v>-42027</v>
      </c>
      <c r="AT75" s="84">
        <f t="shared" si="20"/>
        <v>-0.64438822447102118</v>
      </c>
      <c r="AU75" s="76"/>
      <c r="AV75" s="76"/>
      <c r="AW75" s="76"/>
      <c r="AX75" s="76"/>
      <c r="AY75" s="76"/>
      <c r="AZ75" s="76"/>
      <c r="BA75" s="76"/>
      <c r="BB75" s="76"/>
      <c r="BC75" s="76"/>
      <c r="BD75" s="76"/>
      <c r="BE75" s="76"/>
      <c r="BF75" s="76"/>
      <c r="BG75" s="82">
        <f t="shared" si="21"/>
        <v>0</v>
      </c>
      <c r="BH75" s="82">
        <f t="shared" si="22"/>
        <v>23193</v>
      </c>
      <c r="BI75" s="84">
        <f t="shared" si="23"/>
        <v>0</v>
      </c>
      <c r="BJ75" s="93"/>
      <c r="BK75" s="82">
        <f t="shared" si="24"/>
        <v>65220</v>
      </c>
      <c r="BL75" s="94"/>
      <c r="BM75" s="95"/>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row>
    <row r="76" spans="2:150" s="81" customFormat="1" ht="15" hidden="1" outlineLevel="1" thickBot="1" x14ac:dyDescent="0.35">
      <c r="B76" s="186" t="s">
        <v>214</v>
      </c>
      <c r="C76" s="81">
        <v>1</v>
      </c>
      <c r="D76" s="81" t="str">
        <f t="shared" si="31"/>
        <v>071</v>
      </c>
      <c r="F76" s="10" t="s">
        <v>432</v>
      </c>
      <c r="G76" s="9"/>
      <c r="H76" s="82">
        <f t="shared" si="136"/>
        <v>0</v>
      </c>
      <c r="I76" s="82">
        <f t="shared" si="137"/>
        <v>0</v>
      </c>
      <c r="J76" s="82">
        <f t="shared" si="11"/>
        <v>0</v>
      </c>
      <c r="K76" s="84">
        <f t="shared" si="12"/>
        <v>0</v>
      </c>
      <c r="L76" s="82">
        <f t="shared" si="101"/>
        <v>0</v>
      </c>
      <c r="M76" s="82">
        <f t="shared" si="13"/>
        <v>0</v>
      </c>
      <c r="N76" s="84">
        <f t="shared" si="14"/>
        <v>0</v>
      </c>
      <c r="O76" s="82">
        <f t="shared" si="15"/>
        <v>0</v>
      </c>
      <c r="P76" s="82">
        <f t="shared" si="16"/>
        <v>0</v>
      </c>
      <c r="Q76" s="84">
        <f t="shared" si="17"/>
        <v>0</v>
      </c>
      <c r="R76" s="92"/>
      <c r="S76" s="76"/>
      <c r="T76" s="76"/>
      <c r="U76" s="76"/>
      <c r="V76" s="76"/>
      <c r="W76" s="76"/>
      <c r="X76" s="76"/>
      <c r="Y76" s="76"/>
      <c r="Z76" s="76"/>
      <c r="AA76" s="76"/>
      <c r="AB76" s="76"/>
      <c r="AC76" s="76"/>
      <c r="AD76" s="76"/>
      <c r="AE76" s="76">
        <v>0</v>
      </c>
      <c r="AF76" s="82">
        <f>SUMIF('2023 Budget Expenses Model'!$C:$C,'Summary by Department &amp; Categor'!$D76,'2023 Budget Expenses Model'!I:I)</f>
        <v>0</v>
      </c>
      <c r="AG76" s="82">
        <f>SUMIF('2023 Budget Expenses Model'!$C:$C,'Summary by Department &amp; Categor'!$D76,'2023 Budget Expenses Model'!J:J)</f>
        <v>0</v>
      </c>
      <c r="AH76" s="82">
        <f>SUMIF('2023 Budget Expenses Model'!$C:$C,'Summary by Department &amp; Categor'!$D76,'2023 Budget Expenses Model'!K:K)</f>
        <v>0</v>
      </c>
      <c r="AI76" s="82">
        <f>SUMIF('2023 Budget Expenses Model'!$C:$C,'Summary by Department &amp; Categor'!$D76,'2023 Budget Expenses Model'!L:L)</f>
        <v>0</v>
      </c>
      <c r="AJ76" s="82">
        <f>SUMIF('2023 Budget Expenses Model'!$C:$C,'Summary by Department &amp; Categor'!$D76,'2023 Budget Expenses Model'!M:M)</f>
        <v>0</v>
      </c>
      <c r="AK76" s="82">
        <f>SUMIF('2023 Budget Expenses Model'!$C:$C,'Summary by Department &amp; Categor'!$D76,'2023 Budget Expenses Model'!N:N)</f>
        <v>0</v>
      </c>
      <c r="AL76" s="82">
        <f>SUMIF('2023 Budget Expenses Model'!$C:$C,'Summary by Department &amp; Categor'!$D76,'2023 Budget Expenses Model'!O:O)</f>
        <v>0</v>
      </c>
      <c r="AM76" s="82">
        <f>SUMIF('2023 Budget Expenses Model'!$C:$C,'Summary by Department &amp; Categor'!$D76,'2023 Budget Expenses Model'!P:P)</f>
        <v>0</v>
      </c>
      <c r="AN76" s="82">
        <f>SUMIF('2023 Budget Expenses Model'!$C:$C,'Summary by Department &amp; Categor'!$D76,'2023 Budget Expenses Model'!Q:Q)</f>
        <v>0</v>
      </c>
      <c r="AO76" s="82">
        <f>SUMIF('2023 Budget Expenses Model'!$C:$C,'Summary by Department &amp; Categor'!$D76,'2023 Budget Expenses Model'!R:R)</f>
        <v>0</v>
      </c>
      <c r="AP76" s="82">
        <f>SUMIF('2023 Budget Expenses Model'!$C:$C,'Summary by Department &amp; Categor'!$D76,'2023 Budget Expenses Model'!S:S)</f>
        <v>0</v>
      </c>
      <c r="AQ76" s="82">
        <f>SUMIF('2023 Budget Expenses Model'!$C:$C,'Summary by Department &amp; Categor'!$D76,'2023 Budget Expenses Model'!T:T)</f>
        <v>0</v>
      </c>
      <c r="AR76" s="82">
        <f t="shared" si="18"/>
        <v>0</v>
      </c>
      <c r="AS76" s="82">
        <f t="shared" si="19"/>
        <v>0</v>
      </c>
      <c r="AT76" s="84">
        <f t="shared" si="20"/>
        <v>0</v>
      </c>
      <c r="AU76" s="76"/>
      <c r="AV76" s="76"/>
      <c r="AW76" s="76"/>
      <c r="AX76" s="76"/>
      <c r="AY76" s="76"/>
      <c r="AZ76" s="76"/>
      <c r="BA76" s="76"/>
      <c r="BB76" s="76"/>
      <c r="BC76" s="76"/>
      <c r="BD76" s="76"/>
      <c r="BE76" s="76"/>
      <c r="BF76" s="76"/>
      <c r="BG76" s="82">
        <f t="shared" si="21"/>
        <v>0</v>
      </c>
      <c r="BH76" s="82">
        <f t="shared" si="22"/>
        <v>0</v>
      </c>
      <c r="BI76" s="84">
        <f t="shared" si="23"/>
        <v>0</v>
      </c>
      <c r="BJ76" s="93"/>
      <c r="BK76" s="82">
        <f t="shared" si="24"/>
        <v>0</v>
      </c>
      <c r="BL76" s="94"/>
      <c r="BM76" s="95"/>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row>
    <row r="77" spans="2:150" s="81" customFormat="1" ht="15" hidden="1" outlineLevel="1" thickBot="1" x14ac:dyDescent="0.35">
      <c r="B77" s="186" t="s">
        <v>214</v>
      </c>
      <c r="C77" s="81">
        <v>3</v>
      </c>
      <c r="D77" s="81" t="str">
        <f t="shared" si="31"/>
        <v>073</v>
      </c>
      <c r="F77" s="10" t="s">
        <v>230</v>
      </c>
      <c r="G77" s="9"/>
      <c r="H77" s="82">
        <f t="shared" si="136"/>
        <v>0</v>
      </c>
      <c r="I77" s="82">
        <f t="shared" si="137"/>
        <v>125</v>
      </c>
      <c r="J77" s="82">
        <f t="shared" si="11"/>
        <v>-125</v>
      </c>
      <c r="K77" s="84">
        <f t="shared" si="12"/>
        <v>-1</v>
      </c>
      <c r="L77" s="82">
        <f t="shared" ref="L77:L83" si="240">INDEX($S77:$AD77,MATCH($L$9,$S$9:$AD$9,0))</f>
        <v>0</v>
      </c>
      <c r="M77" s="82">
        <f t="shared" si="13"/>
        <v>0</v>
      </c>
      <c r="N77" s="84">
        <f t="shared" si="14"/>
        <v>0</v>
      </c>
      <c r="O77" s="82">
        <f t="shared" si="15"/>
        <v>0</v>
      </c>
      <c r="P77" s="82">
        <f t="shared" si="16"/>
        <v>0</v>
      </c>
      <c r="Q77" s="84">
        <f t="shared" si="17"/>
        <v>0</v>
      </c>
      <c r="R77" s="92"/>
      <c r="S77" s="76"/>
      <c r="T77" s="76"/>
      <c r="U77" s="76"/>
      <c r="V77" s="76"/>
      <c r="W77" s="76"/>
      <c r="X77" s="76"/>
      <c r="Y77" s="76"/>
      <c r="Z77" s="76"/>
      <c r="AA77" s="76"/>
      <c r="AB77" s="76"/>
      <c r="AC77" s="76"/>
      <c r="AD77" s="76"/>
      <c r="AE77" s="76">
        <v>4701.43</v>
      </c>
      <c r="AF77" s="82">
        <f>SUMIF('2023 Budget Expenses Model'!$C:$C,'Summary by Department &amp; Categor'!$D77,'2023 Budget Expenses Model'!I:I)</f>
        <v>125</v>
      </c>
      <c r="AG77" s="82">
        <f>SUMIF('2023 Budget Expenses Model'!$C:$C,'Summary by Department &amp; Categor'!$D77,'2023 Budget Expenses Model'!J:J)</f>
        <v>125</v>
      </c>
      <c r="AH77" s="82">
        <f>SUMIF('2023 Budget Expenses Model'!$C:$C,'Summary by Department &amp; Categor'!$D77,'2023 Budget Expenses Model'!K:K)</f>
        <v>125</v>
      </c>
      <c r="AI77" s="82">
        <f>SUMIF('2023 Budget Expenses Model'!$C:$C,'Summary by Department &amp; Categor'!$D77,'2023 Budget Expenses Model'!L:L)</f>
        <v>125</v>
      </c>
      <c r="AJ77" s="82">
        <f>SUMIF('2023 Budget Expenses Model'!$C:$C,'Summary by Department &amp; Categor'!$D77,'2023 Budget Expenses Model'!M:M)</f>
        <v>125</v>
      </c>
      <c r="AK77" s="82">
        <f>SUMIF('2023 Budget Expenses Model'!$C:$C,'Summary by Department &amp; Categor'!$D77,'2023 Budget Expenses Model'!N:N)</f>
        <v>125</v>
      </c>
      <c r="AL77" s="82">
        <f>SUMIF('2023 Budget Expenses Model'!$C:$C,'Summary by Department &amp; Categor'!$D77,'2023 Budget Expenses Model'!O:O)</f>
        <v>125</v>
      </c>
      <c r="AM77" s="82">
        <f>SUMIF('2023 Budget Expenses Model'!$C:$C,'Summary by Department &amp; Categor'!$D77,'2023 Budget Expenses Model'!P:P)</f>
        <v>125</v>
      </c>
      <c r="AN77" s="82">
        <f>SUMIF('2023 Budget Expenses Model'!$C:$C,'Summary by Department &amp; Categor'!$D77,'2023 Budget Expenses Model'!Q:Q)</f>
        <v>125</v>
      </c>
      <c r="AO77" s="82">
        <f>SUMIF('2023 Budget Expenses Model'!$C:$C,'Summary by Department &amp; Categor'!$D77,'2023 Budget Expenses Model'!R:R)</f>
        <v>125</v>
      </c>
      <c r="AP77" s="82">
        <f>SUMIF('2023 Budget Expenses Model'!$C:$C,'Summary by Department &amp; Categor'!$D77,'2023 Budget Expenses Model'!S:S)</f>
        <v>125</v>
      </c>
      <c r="AQ77" s="82">
        <f>SUMIF('2023 Budget Expenses Model'!$C:$C,'Summary by Department &amp; Categor'!$D77,'2023 Budget Expenses Model'!T:T)</f>
        <v>125</v>
      </c>
      <c r="AR77" s="82">
        <f t="shared" si="18"/>
        <v>1500</v>
      </c>
      <c r="AS77" s="82">
        <f t="shared" si="19"/>
        <v>3201.4300000000003</v>
      </c>
      <c r="AT77" s="84">
        <f t="shared" si="20"/>
        <v>2.1342866666666667</v>
      </c>
      <c r="AU77" s="76"/>
      <c r="AV77" s="76"/>
      <c r="AW77" s="76"/>
      <c r="AX77" s="76"/>
      <c r="AY77" s="76"/>
      <c r="AZ77" s="76"/>
      <c r="BA77" s="76"/>
      <c r="BB77" s="76"/>
      <c r="BC77" s="76"/>
      <c r="BD77" s="76"/>
      <c r="BE77" s="76"/>
      <c r="BF77" s="76"/>
      <c r="BG77" s="82">
        <f t="shared" si="21"/>
        <v>0</v>
      </c>
      <c r="BH77" s="82">
        <f t="shared" si="22"/>
        <v>4701.43</v>
      </c>
      <c r="BI77" s="84">
        <f t="shared" si="23"/>
        <v>0</v>
      </c>
      <c r="BJ77" s="93"/>
      <c r="BK77" s="82">
        <f t="shared" si="24"/>
        <v>1500</v>
      </c>
      <c r="BL77" s="94"/>
      <c r="BM77" s="95"/>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row>
    <row r="78" spans="2:150" s="81" customFormat="1" ht="15" hidden="1" outlineLevel="1" thickBot="1" x14ac:dyDescent="0.35">
      <c r="B78" s="186" t="s">
        <v>214</v>
      </c>
      <c r="C78" s="81">
        <v>4</v>
      </c>
      <c r="D78" s="81" t="str">
        <f t="shared" si="31"/>
        <v>074</v>
      </c>
      <c r="F78" s="10" t="s">
        <v>236</v>
      </c>
      <c r="G78" s="9"/>
      <c r="H78" s="82">
        <f t="shared" ref="H78:H91" si="241">INDEX($S78:$AD78,MATCH($H$9,$S$9:$AD$9,0))</f>
        <v>0</v>
      </c>
      <c r="I78" s="82">
        <f t="shared" ref="I78:I97" si="242">INDEX($AF78:$AQ78,MATCH($I$9,$AF$9:$AQ$9,0))</f>
        <v>0</v>
      </c>
      <c r="J78" s="82">
        <f t="shared" ref="J78:J83" si="243">H78-I78</f>
        <v>0</v>
      </c>
      <c r="K78" s="84">
        <f t="shared" ref="K78:K83" si="244">IFERROR(J78/I78,0)</f>
        <v>0</v>
      </c>
      <c r="L78" s="82">
        <f t="shared" si="240"/>
        <v>0</v>
      </c>
      <c r="M78" s="82">
        <f t="shared" ref="M78:M83" si="245">H78-L78</f>
        <v>0</v>
      </c>
      <c r="N78" s="84">
        <f t="shared" ref="N78:N83" si="246">IFERROR(M78/L78,0)</f>
        <v>0</v>
      </c>
      <c r="O78" s="82">
        <f t="shared" ref="O78:O108" si="247">INDEX($AU78:$BF78,MATCH($O$9,$AU$9:$BF$9,0))</f>
        <v>0</v>
      </c>
      <c r="P78" s="82">
        <f t="shared" ref="P78:P83" si="248">H78-O78</f>
        <v>0</v>
      </c>
      <c r="Q78" s="84">
        <f t="shared" ref="Q78:Q83" si="249">IFERROR(P78/O78,0)</f>
        <v>0</v>
      </c>
      <c r="R78" s="92"/>
      <c r="S78" s="76"/>
      <c r="T78" s="76"/>
      <c r="U78" s="76"/>
      <c r="V78" s="76"/>
      <c r="W78" s="76"/>
      <c r="X78" s="76"/>
      <c r="Y78" s="76"/>
      <c r="Z78" s="76"/>
      <c r="AA78" s="76"/>
      <c r="AB78" s="76"/>
      <c r="AC78" s="76"/>
      <c r="AD78" s="76"/>
      <c r="AE78" s="76">
        <v>0</v>
      </c>
      <c r="AF78" s="82">
        <f>SUMIF('2023 Budget Expenses Model'!$C:$C,'Summary by Department &amp; Categor'!$D78,'2023 Budget Expenses Model'!I:I)</f>
        <v>0</v>
      </c>
      <c r="AG78" s="82">
        <f>SUMIF('2023 Budget Expenses Model'!$C:$C,'Summary by Department &amp; Categor'!$D78,'2023 Budget Expenses Model'!J:J)</f>
        <v>0</v>
      </c>
      <c r="AH78" s="82">
        <f>SUMIF('2023 Budget Expenses Model'!$C:$C,'Summary by Department &amp; Categor'!$D78,'2023 Budget Expenses Model'!K:K)</f>
        <v>0</v>
      </c>
      <c r="AI78" s="82">
        <f>SUMIF('2023 Budget Expenses Model'!$C:$C,'Summary by Department &amp; Categor'!$D78,'2023 Budget Expenses Model'!L:L)</f>
        <v>0</v>
      </c>
      <c r="AJ78" s="82">
        <f>SUMIF('2023 Budget Expenses Model'!$C:$C,'Summary by Department &amp; Categor'!$D78,'2023 Budget Expenses Model'!M:M)</f>
        <v>0</v>
      </c>
      <c r="AK78" s="82">
        <f>SUMIF('2023 Budget Expenses Model'!$C:$C,'Summary by Department &amp; Categor'!$D78,'2023 Budget Expenses Model'!N:N)</f>
        <v>0</v>
      </c>
      <c r="AL78" s="82">
        <f>SUMIF('2023 Budget Expenses Model'!$C:$C,'Summary by Department &amp; Categor'!$D78,'2023 Budget Expenses Model'!O:O)</f>
        <v>0</v>
      </c>
      <c r="AM78" s="82">
        <f>SUMIF('2023 Budget Expenses Model'!$C:$C,'Summary by Department &amp; Categor'!$D78,'2023 Budget Expenses Model'!P:P)</f>
        <v>0</v>
      </c>
      <c r="AN78" s="82">
        <f>SUMIF('2023 Budget Expenses Model'!$C:$C,'Summary by Department &amp; Categor'!$D78,'2023 Budget Expenses Model'!Q:Q)</f>
        <v>0</v>
      </c>
      <c r="AO78" s="82">
        <f>SUMIF('2023 Budget Expenses Model'!$C:$C,'Summary by Department &amp; Categor'!$D78,'2023 Budget Expenses Model'!R:R)</f>
        <v>0</v>
      </c>
      <c r="AP78" s="82">
        <f>SUMIF('2023 Budget Expenses Model'!$C:$C,'Summary by Department &amp; Categor'!$D78,'2023 Budget Expenses Model'!S:S)</f>
        <v>0</v>
      </c>
      <c r="AQ78" s="82">
        <f>SUMIF('2023 Budget Expenses Model'!$C:$C,'Summary by Department &amp; Categor'!$D78,'2023 Budget Expenses Model'!T:T)</f>
        <v>0</v>
      </c>
      <c r="AR78" s="82">
        <f t="shared" ref="AR78:AR91" si="250">SUMIF($AF$8:$AQ$8,"yes",$AF78:$AQ78)</f>
        <v>0</v>
      </c>
      <c r="AS78" s="82">
        <f t="shared" ref="AS78:AS83" si="251">AE78-AR78</f>
        <v>0</v>
      </c>
      <c r="AT78" s="84">
        <f t="shared" ref="AT78:AT83" si="252">IFERROR(AS78/AR78,0)</f>
        <v>0</v>
      </c>
      <c r="AU78" s="76"/>
      <c r="AV78" s="76"/>
      <c r="AW78" s="76"/>
      <c r="AX78" s="76"/>
      <c r="AY78" s="76"/>
      <c r="AZ78" s="76"/>
      <c r="BA78" s="76"/>
      <c r="BB78" s="76"/>
      <c r="BC78" s="76"/>
      <c r="BD78" s="76"/>
      <c r="BE78" s="76"/>
      <c r="BF78" s="76"/>
      <c r="BG78" s="82">
        <f t="shared" ref="BG78:BG93" si="253">SUMIF($AU$8:$BF$8,"yes",$AU78:$BF78)</f>
        <v>0</v>
      </c>
      <c r="BH78" s="82">
        <f t="shared" ref="BH78:BH83" si="254">AE78-BG78</f>
        <v>0</v>
      </c>
      <c r="BI78" s="84">
        <f t="shared" ref="BI78:BI83" si="255">IFERROR(BH78/BG78,0)</f>
        <v>0</v>
      </c>
      <c r="BJ78" s="93"/>
      <c r="BK78" s="82">
        <f t="shared" si="24"/>
        <v>0</v>
      </c>
      <c r="BL78" s="94"/>
      <c r="BM78" s="95"/>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row>
    <row r="79" spans="2:150" s="81" customFormat="1" ht="15" hidden="1" outlineLevel="1" thickBot="1" x14ac:dyDescent="0.35">
      <c r="B79" s="186" t="s">
        <v>214</v>
      </c>
      <c r="C79" s="81">
        <v>5</v>
      </c>
      <c r="D79" s="81" t="str">
        <f t="shared" si="31"/>
        <v>075</v>
      </c>
      <c r="F79" s="10" t="s">
        <v>243</v>
      </c>
      <c r="G79" s="9"/>
      <c r="H79" s="82">
        <f t="shared" si="241"/>
        <v>0</v>
      </c>
      <c r="I79" s="82">
        <f t="shared" si="242"/>
        <v>0</v>
      </c>
      <c r="J79" s="82">
        <f t="shared" si="243"/>
        <v>0</v>
      </c>
      <c r="K79" s="84">
        <f t="shared" si="244"/>
        <v>0</v>
      </c>
      <c r="L79" s="82">
        <f t="shared" si="240"/>
        <v>0</v>
      </c>
      <c r="M79" s="82">
        <f t="shared" si="245"/>
        <v>0</v>
      </c>
      <c r="N79" s="84">
        <f t="shared" si="246"/>
        <v>0</v>
      </c>
      <c r="O79" s="82">
        <f t="shared" si="247"/>
        <v>0</v>
      </c>
      <c r="P79" s="82">
        <f t="shared" si="248"/>
        <v>0</v>
      </c>
      <c r="Q79" s="84">
        <f t="shared" si="249"/>
        <v>0</v>
      </c>
      <c r="R79" s="92"/>
      <c r="S79" s="76"/>
      <c r="T79" s="76"/>
      <c r="U79" s="76"/>
      <c r="V79" s="76"/>
      <c r="W79" s="76"/>
      <c r="X79" s="76"/>
      <c r="Y79" s="76"/>
      <c r="Z79" s="76"/>
      <c r="AA79" s="76"/>
      <c r="AB79" s="76"/>
      <c r="AC79" s="76"/>
      <c r="AD79" s="76"/>
      <c r="AE79" s="76">
        <v>0</v>
      </c>
      <c r="AF79" s="82">
        <f>SUMIF('2023 Budget Expenses Model'!$C:$C,'Summary by Department &amp; Categor'!$D79,'2023 Budget Expenses Model'!I:I)</f>
        <v>0</v>
      </c>
      <c r="AG79" s="82">
        <f>SUMIF('2023 Budget Expenses Model'!$C:$C,'Summary by Department &amp; Categor'!$D79,'2023 Budget Expenses Model'!J:J)</f>
        <v>0</v>
      </c>
      <c r="AH79" s="82">
        <f>SUMIF('2023 Budget Expenses Model'!$C:$C,'Summary by Department &amp; Categor'!$D79,'2023 Budget Expenses Model'!K:K)</f>
        <v>0</v>
      </c>
      <c r="AI79" s="82">
        <f>SUMIF('2023 Budget Expenses Model'!$C:$C,'Summary by Department &amp; Categor'!$D79,'2023 Budget Expenses Model'!L:L)</f>
        <v>0</v>
      </c>
      <c r="AJ79" s="82">
        <f>SUMIF('2023 Budget Expenses Model'!$C:$C,'Summary by Department &amp; Categor'!$D79,'2023 Budget Expenses Model'!M:M)</f>
        <v>0</v>
      </c>
      <c r="AK79" s="82">
        <f>SUMIF('2023 Budget Expenses Model'!$C:$C,'Summary by Department &amp; Categor'!$D79,'2023 Budget Expenses Model'!N:N)</f>
        <v>0</v>
      </c>
      <c r="AL79" s="82">
        <f>SUMIF('2023 Budget Expenses Model'!$C:$C,'Summary by Department &amp; Categor'!$D79,'2023 Budget Expenses Model'!O:O)</f>
        <v>0</v>
      </c>
      <c r="AM79" s="82">
        <f>SUMIF('2023 Budget Expenses Model'!$C:$C,'Summary by Department &amp; Categor'!$D79,'2023 Budget Expenses Model'!P:P)</f>
        <v>0</v>
      </c>
      <c r="AN79" s="82">
        <f>SUMIF('2023 Budget Expenses Model'!$C:$C,'Summary by Department &amp; Categor'!$D79,'2023 Budget Expenses Model'!Q:Q)</f>
        <v>0</v>
      </c>
      <c r="AO79" s="82">
        <f>SUMIF('2023 Budget Expenses Model'!$C:$C,'Summary by Department &amp; Categor'!$D79,'2023 Budget Expenses Model'!R:R)</f>
        <v>0</v>
      </c>
      <c r="AP79" s="82">
        <f>SUMIF('2023 Budget Expenses Model'!$C:$C,'Summary by Department &amp; Categor'!$D79,'2023 Budget Expenses Model'!S:S)</f>
        <v>0</v>
      </c>
      <c r="AQ79" s="82">
        <f>SUMIF('2023 Budget Expenses Model'!$C:$C,'Summary by Department &amp; Categor'!$D79,'2023 Budget Expenses Model'!T:T)</f>
        <v>0</v>
      </c>
      <c r="AR79" s="82">
        <f t="shared" si="250"/>
        <v>0</v>
      </c>
      <c r="AS79" s="82">
        <f t="shared" si="251"/>
        <v>0</v>
      </c>
      <c r="AT79" s="84">
        <f t="shared" si="252"/>
        <v>0</v>
      </c>
      <c r="AU79" s="76"/>
      <c r="AV79" s="76"/>
      <c r="AW79" s="76"/>
      <c r="AX79" s="76"/>
      <c r="AY79" s="76"/>
      <c r="AZ79" s="76"/>
      <c r="BA79" s="76"/>
      <c r="BB79" s="76"/>
      <c r="BC79" s="76"/>
      <c r="BD79" s="76"/>
      <c r="BE79" s="76"/>
      <c r="BF79" s="76"/>
      <c r="BG79" s="82">
        <f t="shared" si="253"/>
        <v>0</v>
      </c>
      <c r="BH79" s="82">
        <f t="shared" si="254"/>
        <v>0</v>
      </c>
      <c r="BI79" s="84">
        <f t="shared" si="255"/>
        <v>0</v>
      </c>
      <c r="BJ79" s="93"/>
      <c r="BK79" s="82">
        <f t="shared" ref="BK79:BK82" si="256">SUM(AF79:AQ79)</f>
        <v>0</v>
      </c>
      <c r="BL79" s="94"/>
      <c r="BM79" s="95"/>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row>
    <row r="80" spans="2:150" s="81" customFormat="1" ht="15" hidden="1" outlineLevel="1" thickBot="1" x14ac:dyDescent="0.35">
      <c r="B80" s="186" t="s">
        <v>214</v>
      </c>
      <c r="C80" s="81">
        <v>6</v>
      </c>
      <c r="D80" s="81" t="str">
        <f t="shared" si="31"/>
        <v>076</v>
      </c>
      <c r="F80" s="10" t="s">
        <v>31</v>
      </c>
      <c r="G80" s="9"/>
      <c r="H80" s="82">
        <f>INDEX($S80:$AD80,MATCH($H$9,$S$9:$AD$9,0))</f>
        <v>0</v>
      </c>
      <c r="I80" s="82">
        <f t="shared" si="242"/>
        <v>0</v>
      </c>
      <c r="J80" s="82">
        <f t="shared" si="243"/>
        <v>0</v>
      </c>
      <c r="K80" s="84">
        <f t="shared" si="244"/>
        <v>0</v>
      </c>
      <c r="L80" s="82">
        <f t="shared" si="240"/>
        <v>0</v>
      </c>
      <c r="M80" s="82">
        <f t="shared" si="245"/>
        <v>0</v>
      </c>
      <c r="N80" s="84">
        <f t="shared" si="246"/>
        <v>0</v>
      </c>
      <c r="O80" s="82">
        <f t="shared" si="247"/>
        <v>0</v>
      </c>
      <c r="P80" s="82">
        <f t="shared" si="248"/>
        <v>0</v>
      </c>
      <c r="Q80" s="84">
        <f t="shared" si="249"/>
        <v>0</v>
      </c>
      <c r="R80" s="92"/>
      <c r="S80" s="76"/>
      <c r="T80" s="76"/>
      <c r="U80" s="76"/>
      <c r="V80" s="76"/>
      <c r="W80" s="76"/>
      <c r="X80" s="76"/>
      <c r="Y80" s="76"/>
      <c r="Z80" s="76"/>
      <c r="AA80" s="76"/>
      <c r="AB80" s="76"/>
      <c r="AC80" s="76"/>
      <c r="AD80" s="76"/>
      <c r="AE80" s="76">
        <v>10189</v>
      </c>
      <c r="AF80" s="82">
        <f>SUMIF('2023 Budget Expenses Model'!$C:$C,'Summary by Department &amp; Categor'!$D80,'2023 Budget Expenses Model'!I:I)</f>
        <v>0</v>
      </c>
      <c r="AG80" s="82">
        <f>SUMIF('2023 Budget Expenses Model'!$C:$C,'Summary by Department &amp; Categor'!$D80,'2023 Budget Expenses Model'!J:J)</f>
        <v>0</v>
      </c>
      <c r="AH80" s="82">
        <f>SUMIF('2023 Budget Expenses Model'!$C:$C,'Summary by Department &amp; Categor'!$D80,'2023 Budget Expenses Model'!K:K)</f>
        <v>10000</v>
      </c>
      <c r="AI80" s="82">
        <f>SUMIF('2023 Budget Expenses Model'!$C:$C,'Summary by Department &amp; Categor'!$D80,'2023 Budget Expenses Model'!L:L)</f>
        <v>0</v>
      </c>
      <c r="AJ80" s="82">
        <f>SUMIF('2023 Budget Expenses Model'!$C:$C,'Summary by Department &amp; Categor'!$D80,'2023 Budget Expenses Model'!M:M)</f>
        <v>0</v>
      </c>
      <c r="AK80" s="82">
        <f>SUMIF('2023 Budget Expenses Model'!$C:$C,'Summary by Department &amp; Categor'!$D80,'2023 Budget Expenses Model'!N:N)</f>
        <v>0</v>
      </c>
      <c r="AL80" s="82">
        <f>SUMIF('2023 Budget Expenses Model'!$C:$C,'Summary by Department &amp; Categor'!$D80,'2023 Budget Expenses Model'!O:O)</f>
        <v>0</v>
      </c>
      <c r="AM80" s="82">
        <f>SUMIF('2023 Budget Expenses Model'!$C:$C,'Summary by Department &amp; Categor'!$D80,'2023 Budget Expenses Model'!P:P)</f>
        <v>0</v>
      </c>
      <c r="AN80" s="82">
        <f>SUMIF('2023 Budget Expenses Model'!$C:$C,'Summary by Department &amp; Categor'!$D80,'2023 Budget Expenses Model'!Q:Q)</f>
        <v>0</v>
      </c>
      <c r="AO80" s="82">
        <f>SUMIF('2023 Budget Expenses Model'!$C:$C,'Summary by Department &amp; Categor'!$D80,'2023 Budget Expenses Model'!R:R)</f>
        <v>0</v>
      </c>
      <c r="AP80" s="82">
        <f>SUMIF('2023 Budget Expenses Model'!$C:$C,'Summary by Department &amp; Categor'!$D80,'2023 Budget Expenses Model'!S:S)</f>
        <v>25000</v>
      </c>
      <c r="AQ80" s="82">
        <f>SUMIF('2023 Budget Expenses Model'!$C:$C,'Summary by Department &amp; Categor'!$D80,'2023 Budget Expenses Model'!T:T)</f>
        <v>0</v>
      </c>
      <c r="AR80" s="82">
        <f t="shared" si="250"/>
        <v>35000</v>
      </c>
      <c r="AS80" s="82">
        <f t="shared" si="251"/>
        <v>-24811</v>
      </c>
      <c r="AT80" s="84">
        <f t="shared" si="252"/>
        <v>-0.70888571428571434</v>
      </c>
      <c r="AU80" s="76"/>
      <c r="AV80" s="76"/>
      <c r="AW80" s="76"/>
      <c r="AX80" s="76"/>
      <c r="AY80" s="76"/>
      <c r="AZ80" s="76"/>
      <c r="BA80" s="76"/>
      <c r="BB80" s="76"/>
      <c r="BC80" s="76"/>
      <c r="BD80" s="76"/>
      <c r="BE80" s="76"/>
      <c r="BF80" s="76"/>
      <c r="BG80" s="82">
        <f t="shared" si="253"/>
        <v>0</v>
      </c>
      <c r="BH80" s="82">
        <f t="shared" si="254"/>
        <v>10189</v>
      </c>
      <c r="BI80" s="84">
        <f t="shared" si="255"/>
        <v>0</v>
      </c>
      <c r="BJ80" s="93"/>
      <c r="BK80" s="82">
        <f t="shared" si="256"/>
        <v>35000</v>
      </c>
      <c r="BL80" s="94"/>
      <c r="BM80" s="95"/>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row>
    <row r="81" spans="2:150" s="81" customFormat="1" ht="15" hidden="1" outlineLevel="1" thickBot="1" x14ac:dyDescent="0.35">
      <c r="B81" s="186" t="s">
        <v>214</v>
      </c>
      <c r="C81" s="81">
        <v>7</v>
      </c>
      <c r="D81" s="81" t="str">
        <f t="shared" si="31"/>
        <v>077</v>
      </c>
      <c r="F81" s="10" t="s">
        <v>248</v>
      </c>
      <c r="G81" s="9"/>
      <c r="H81" s="82">
        <f t="shared" si="241"/>
        <v>0</v>
      </c>
      <c r="I81" s="82">
        <f t="shared" si="242"/>
        <v>0</v>
      </c>
      <c r="J81" s="82">
        <f t="shared" si="243"/>
        <v>0</v>
      </c>
      <c r="K81" s="84">
        <f t="shared" si="244"/>
        <v>0</v>
      </c>
      <c r="L81" s="82">
        <f t="shared" si="240"/>
        <v>0</v>
      </c>
      <c r="M81" s="82">
        <f t="shared" si="245"/>
        <v>0</v>
      </c>
      <c r="N81" s="84">
        <f t="shared" si="246"/>
        <v>0</v>
      </c>
      <c r="O81" s="82">
        <f t="shared" si="247"/>
        <v>0</v>
      </c>
      <c r="P81" s="82">
        <f t="shared" si="248"/>
        <v>0</v>
      </c>
      <c r="Q81" s="84">
        <f t="shared" si="249"/>
        <v>0</v>
      </c>
      <c r="R81" s="92"/>
      <c r="S81" s="76"/>
      <c r="T81" s="76"/>
      <c r="U81" s="76"/>
      <c r="V81" s="76"/>
      <c r="W81" s="76"/>
      <c r="X81" s="76"/>
      <c r="Y81" s="76"/>
      <c r="Z81" s="76"/>
      <c r="AA81" s="76"/>
      <c r="AB81" s="76"/>
      <c r="AC81" s="76"/>
      <c r="AD81" s="76"/>
      <c r="AE81" s="76">
        <v>0</v>
      </c>
      <c r="AF81" s="82">
        <f>SUMIF('2023 Budget Expenses Model'!$C:$C,'Summary by Department &amp; Categor'!$D81,'2023 Budget Expenses Model'!I:I)</f>
        <v>0</v>
      </c>
      <c r="AG81" s="82">
        <f>SUMIF('2023 Budget Expenses Model'!$C:$C,'Summary by Department &amp; Categor'!$D81,'2023 Budget Expenses Model'!J:J)</f>
        <v>0</v>
      </c>
      <c r="AH81" s="82">
        <f>SUMIF('2023 Budget Expenses Model'!$C:$C,'Summary by Department &amp; Categor'!$D81,'2023 Budget Expenses Model'!K:K)</f>
        <v>0</v>
      </c>
      <c r="AI81" s="82">
        <f>SUMIF('2023 Budget Expenses Model'!$C:$C,'Summary by Department &amp; Categor'!$D81,'2023 Budget Expenses Model'!L:L)</f>
        <v>0</v>
      </c>
      <c r="AJ81" s="82">
        <f>SUMIF('2023 Budget Expenses Model'!$C:$C,'Summary by Department &amp; Categor'!$D81,'2023 Budget Expenses Model'!M:M)</f>
        <v>0</v>
      </c>
      <c r="AK81" s="82">
        <f>SUMIF('2023 Budget Expenses Model'!$C:$C,'Summary by Department &amp; Categor'!$D81,'2023 Budget Expenses Model'!N:N)</f>
        <v>0</v>
      </c>
      <c r="AL81" s="82">
        <f>SUMIF('2023 Budget Expenses Model'!$C:$C,'Summary by Department &amp; Categor'!$D81,'2023 Budget Expenses Model'!O:O)</f>
        <v>0</v>
      </c>
      <c r="AM81" s="82">
        <f>SUMIF('2023 Budget Expenses Model'!$C:$C,'Summary by Department &amp; Categor'!$D81,'2023 Budget Expenses Model'!P:P)</f>
        <v>0</v>
      </c>
      <c r="AN81" s="82">
        <f>SUMIF('2023 Budget Expenses Model'!$C:$C,'Summary by Department &amp; Categor'!$D81,'2023 Budget Expenses Model'!Q:Q)</f>
        <v>0</v>
      </c>
      <c r="AO81" s="82">
        <f>SUMIF('2023 Budget Expenses Model'!$C:$C,'Summary by Department &amp; Categor'!$D81,'2023 Budget Expenses Model'!R:R)</f>
        <v>0</v>
      </c>
      <c r="AP81" s="82">
        <f>SUMIF('2023 Budget Expenses Model'!$C:$C,'Summary by Department &amp; Categor'!$D81,'2023 Budget Expenses Model'!S:S)</f>
        <v>0</v>
      </c>
      <c r="AQ81" s="82">
        <f>SUMIF('2023 Budget Expenses Model'!$C:$C,'Summary by Department &amp; Categor'!$D81,'2023 Budget Expenses Model'!T:T)</f>
        <v>0</v>
      </c>
      <c r="AR81" s="82">
        <f t="shared" si="250"/>
        <v>0</v>
      </c>
      <c r="AS81" s="82">
        <f t="shared" si="251"/>
        <v>0</v>
      </c>
      <c r="AT81" s="84">
        <f t="shared" si="252"/>
        <v>0</v>
      </c>
      <c r="AU81" s="76"/>
      <c r="AV81" s="76"/>
      <c r="AW81" s="76"/>
      <c r="AX81" s="76"/>
      <c r="AY81" s="76"/>
      <c r="AZ81" s="76"/>
      <c r="BA81" s="76"/>
      <c r="BB81" s="76"/>
      <c r="BC81" s="76"/>
      <c r="BD81" s="76"/>
      <c r="BE81" s="76"/>
      <c r="BF81" s="76"/>
      <c r="BG81" s="82">
        <f t="shared" si="253"/>
        <v>0</v>
      </c>
      <c r="BH81" s="82">
        <f t="shared" si="254"/>
        <v>0</v>
      </c>
      <c r="BI81" s="84">
        <f t="shared" si="255"/>
        <v>0</v>
      </c>
      <c r="BJ81" s="93"/>
      <c r="BK81" s="82">
        <f t="shared" si="256"/>
        <v>0</v>
      </c>
      <c r="BL81" s="94"/>
      <c r="BM81" s="95"/>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row>
    <row r="82" spans="2:150" s="81" customFormat="1" ht="15" hidden="1" outlineLevel="1" thickBot="1" x14ac:dyDescent="0.35">
      <c r="B82" s="186" t="s">
        <v>214</v>
      </c>
      <c r="C82" s="81">
        <v>8</v>
      </c>
      <c r="D82" s="81" t="str">
        <f t="shared" si="31"/>
        <v>078</v>
      </c>
      <c r="F82" s="10" t="s">
        <v>46</v>
      </c>
      <c r="G82" s="9"/>
      <c r="H82" s="82">
        <f t="shared" si="241"/>
        <v>0</v>
      </c>
      <c r="I82" s="82">
        <f t="shared" si="242"/>
        <v>0</v>
      </c>
      <c r="J82" s="82">
        <f t="shared" si="243"/>
        <v>0</v>
      </c>
      <c r="K82" s="84">
        <f t="shared" si="244"/>
        <v>0</v>
      </c>
      <c r="L82" s="82">
        <f t="shared" si="240"/>
        <v>0</v>
      </c>
      <c r="M82" s="82">
        <f t="shared" si="245"/>
        <v>0</v>
      </c>
      <c r="N82" s="84">
        <f t="shared" si="246"/>
        <v>0</v>
      </c>
      <c r="O82" s="82">
        <f t="shared" si="247"/>
        <v>0</v>
      </c>
      <c r="P82" s="82">
        <f t="shared" si="248"/>
        <v>0</v>
      </c>
      <c r="Q82" s="84">
        <f t="shared" si="249"/>
        <v>0</v>
      </c>
      <c r="R82" s="92"/>
      <c r="S82" s="76"/>
      <c r="T82" s="76"/>
      <c r="U82" s="76"/>
      <c r="V82" s="76"/>
      <c r="W82" s="76"/>
      <c r="X82" s="76"/>
      <c r="Y82" s="76"/>
      <c r="Z82" s="76"/>
      <c r="AA82" s="76"/>
      <c r="AB82" s="76"/>
      <c r="AC82" s="76"/>
      <c r="AD82" s="76"/>
      <c r="AE82" s="76">
        <v>0</v>
      </c>
      <c r="AF82" s="82">
        <f>SUMIF('2023 Budget Expenses Model'!$C:$C,'Summary by Department &amp; Categor'!$D82,'2023 Budget Expenses Model'!I:I)</f>
        <v>0</v>
      </c>
      <c r="AG82" s="82">
        <f>SUMIF('2023 Budget Expenses Model'!$C:$C,'Summary by Department &amp; Categor'!$D82,'2023 Budget Expenses Model'!J:J)</f>
        <v>0</v>
      </c>
      <c r="AH82" s="82">
        <f>SUMIF('2023 Budget Expenses Model'!$C:$C,'Summary by Department &amp; Categor'!$D82,'2023 Budget Expenses Model'!K:K)</f>
        <v>0</v>
      </c>
      <c r="AI82" s="82">
        <f>SUMIF('2023 Budget Expenses Model'!$C:$C,'Summary by Department &amp; Categor'!$D82,'2023 Budget Expenses Model'!L:L)</f>
        <v>0</v>
      </c>
      <c r="AJ82" s="82">
        <f>SUMIF('2023 Budget Expenses Model'!$C:$C,'Summary by Department &amp; Categor'!$D82,'2023 Budget Expenses Model'!M:M)</f>
        <v>0</v>
      </c>
      <c r="AK82" s="82">
        <f>SUMIF('2023 Budget Expenses Model'!$C:$C,'Summary by Department &amp; Categor'!$D82,'2023 Budget Expenses Model'!N:N)</f>
        <v>0</v>
      </c>
      <c r="AL82" s="82">
        <f>SUMIF('2023 Budget Expenses Model'!$C:$C,'Summary by Department &amp; Categor'!$D82,'2023 Budget Expenses Model'!O:O)</f>
        <v>0</v>
      </c>
      <c r="AM82" s="82">
        <f>SUMIF('2023 Budget Expenses Model'!$C:$C,'Summary by Department &amp; Categor'!$D82,'2023 Budget Expenses Model'!P:P)</f>
        <v>0</v>
      </c>
      <c r="AN82" s="82">
        <f>SUMIF('2023 Budget Expenses Model'!$C:$C,'Summary by Department &amp; Categor'!$D82,'2023 Budget Expenses Model'!Q:Q)</f>
        <v>0</v>
      </c>
      <c r="AO82" s="82">
        <f>SUMIF('2023 Budget Expenses Model'!$C:$C,'Summary by Department &amp; Categor'!$D82,'2023 Budget Expenses Model'!R:R)</f>
        <v>0</v>
      </c>
      <c r="AP82" s="82">
        <f>SUMIF('2023 Budget Expenses Model'!$C:$C,'Summary by Department &amp; Categor'!$D82,'2023 Budget Expenses Model'!S:S)</f>
        <v>0</v>
      </c>
      <c r="AQ82" s="82">
        <f>SUMIF('2023 Budget Expenses Model'!$C:$C,'Summary by Department &amp; Categor'!$D82,'2023 Budget Expenses Model'!T:T)</f>
        <v>0</v>
      </c>
      <c r="AR82" s="82">
        <f t="shared" si="250"/>
        <v>0</v>
      </c>
      <c r="AS82" s="82">
        <f t="shared" si="251"/>
        <v>0</v>
      </c>
      <c r="AT82" s="84">
        <f t="shared" si="252"/>
        <v>0</v>
      </c>
      <c r="AU82" s="76"/>
      <c r="AV82" s="76"/>
      <c r="AW82" s="76"/>
      <c r="AX82" s="76"/>
      <c r="AY82" s="76"/>
      <c r="AZ82" s="76"/>
      <c r="BA82" s="76"/>
      <c r="BB82" s="76"/>
      <c r="BC82" s="76"/>
      <c r="BD82" s="76"/>
      <c r="BE82" s="76"/>
      <c r="BF82" s="76"/>
      <c r="BG82" s="82">
        <f t="shared" si="253"/>
        <v>0</v>
      </c>
      <c r="BH82" s="82">
        <f t="shared" si="254"/>
        <v>0</v>
      </c>
      <c r="BI82" s="84">
        <f t="shared" si="255"/>
        <v>0</v>
      </c>
      <c r="BJ82" s="93"/>
      <c r="BK82" s="82">
        <f t="shared" si="256"/>
        <v>0</v>
      </c>
      <c r="BL82" s="94"/>
      <c r="BM82" s="95"/>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row>
    <row r="83" spans="2:150" s="81" customFormat="1" ht="15" collapsed="1" thickBot="1" x14ac:dyDescent="0.35">
      <c r="F83" s="8" t="s">
        <v>55</v>
      </c>
      <c r="G83" s="9"/>
      <c r="H83" s="76">
        <f t="shared" si="241"/>
        <v>0</v>
      </c>
      <c r="I83" s="76">
        <f t="shared" si="242"/>
        <v>0</v>
      </c>
      <c r="J83" s="76">
        <f t="shared" si="243"/>
        <v>0</v>
      </c>
      <c r="K83" s="77">
        <f t="shared" si="244"/>
        <v>0</v>
      </c>
      <c r="L83" s="76">
        <f t="shared" si="240"/>
        <v>0</v>
      </c>
      <c r="M83" s="76">
        <f t="shared" si="245"/>
        <v>0</v>
      </c>
      <c r="N83" s="77">
        <f t="shared" si="246"/>
        <v>0</v>
      </c>
      <c r="O83" s="76">
        <f t="shared" si="247"/>
        <v>0</v>
      </c>
      <c r="P83" s="76">
        <f t="shared" si="248"/>
        <v>0</v>
      </c>
      <c r="Q83" s="77">
        <f t="shared" si="249"/>
        <v>0</v>
      </c>
      <c r="R83" s="92"/>
      <c r="S83" s="76">
        <f>SUM(S84:S91)</f>
        <v>0</v>
      </c>
      <c r="T83" s="76">
        <f t="shared" ref="T83" si="257">SUM(T84:T91)</f>
        <v>0</v>
      </c>
      <c r="U83" s="76">
        <f t="shared" ref="U83" si="258">SUM(U84:U91)</f>
        <v>0</v>
      </c>
      <c r="V83" s="76">
        <f t="shared" ref="V83" si="259">SUM(V84:V91)</f>
        <v>0</v>
      </c>
      <c r="W83" s="76">
        <f t="shared" ref="W83" si="260">SUM(W84:W91)</f>
        <v>0</v>
      </c>
      <c r="X83" s="76">
        <f t="shared" ref="X83" si="261">SUM(X84:X91)</f>
        <v>0</v>
      </c>
      <c r="Y83" s="76">
        <f t="shared" ref="Y83" si="262">SUM(Y84:Y91)</f>
        <v>0</v>
      </c>
      <c r="Z83" s="76">
        <f t="shared" ref="Z83" si="263">SUM(Z84:Z91)</f>
        <v>0</v>
      </c>
      <c r="AA83" s="76">
        <f t="shared" ref="AA83" si="264">SUM(AA84:AA91)</f>
        <v>0</v>
      </c>
      <c r="AB83" s="76">
        <f t="shared" ref="AB83" si="265">SUM(AB84:AB91)</f>
        <v>0</v>
      </c>
      <c r="AC83" s="76">
        <f t="shared" ref="AC83" si="266">SUM(AC84:AC91)</f>
        <v>0</v>
      </c>
      <c r="AD83" s="76">
        <f t="shared" ref="AD83" si="267">SUM(AD84:AD91)</f>
        <v>0</v>
      </c>
      <c r="AE83" s="76">
        <v>1977.76</v>
      </c>
      <c r="AF83" s="76">
        <f>SUM(AF84:AF91)</f>
        <v>0</v>
      </c>
      <c r="AG83" s="76">
        <f t="shared" ref="AG83" si="268">SUM(AG84:AG91)</f>
        <v>0</v>
      </c>
      <c r="AH83" s="76">
        <f t="shared" ref="AH83" si="269">SUM(AH84:AH91)</f>
        <v>0</v>
      </c>
      <c r="AI83" s="76">
        <f t="shared" ref="AI83" si="270">SUM(AI84:AI91)</f>
        <v>0</v>
      </c>
      <c r="AJ83" s="76">
        <f t="shared" ref="AJ83" si="271">SUM(AJ84:AJ91)</f>
        <v>0</v>
      </c>
      <c r="AK83" s="76">
        <f t="shared" ref="AK83" si="272">SUM(AK84:AK91)</f>
        <v>0</v>
      </c>
      <c r="AL83" s="76">
        <f t="shared" ref="AL83" si="273">SUM(AL84:AL91)</f>
        <v>0</v>
      </c>
      <c r="AM83" s="76">
        <f t="shared" ref="AM83" si="274">SUM(AM84:AM91)</f>
        <v>0</v>
      </c>
      <c r="AN83" s="76">
        <f t="shared" ref="AN83" si="275">SUM(AN84:AN91)</f>
        <v>0</v>
      </c>
      <c r="AO83" s="76">
        <f t="shared" ref="AO83" si="276">SUM(AO84:AO91)</f>
        <v>0</v>
      </c>
      <c r="AP83" s="76">
        <f t="shared" ref="AP83" si="277">SUM(AP84:AP91)</f>
        <v>0</v>
      </c>
      <c r="AQ83" s="76">
        <f t="shared" ref="AQ83" si="278">SUM(AQ84:AQ91)</f>
        <v>0</v>
      </c>
      <c r="AR83" s="76">
        <f t="shared" si="250"/>
        <v>0</v>
      </c>
      <c r="AS83" s="76">
        <f t="shared" si="251"/>
        <v>1977.76</v>
      </c>
      <c r="AT83" s="77">
        <f t="shared" si="252"/>
        <v>0</v>
      </c>
      <c r="AU83" s="76">
        <f>SUM(AU84:AU91)</f>
        <v>0</v>
      </c>
      <c r="AV83" s="76">
        <f t="shared" ref="AV83" si="279">SUM(AV84:AV91)</f>
        <v>0</v>
      </c>
      <c r="AW83" s="76">
        <f t="shared" ref="AW83" si="280">SUM(AW84:AW91)</f>
        <v>0</v>
      </c>
      <c r="AX83" s="76">
        <f t="shared" ref="AX83" si="281">SUM(AX84:AX91)</f>
        <v>0</v>
      </c>
      <c r="AY83" s="76">
        <f t="shared" ref="AY83" si="282">SUM(AY84:AY91)</f>
        <v>0</v>
      </c>
      <c r="AZ83" s="76">
        <f t="shared" ref="AZ83" si="283">SUM(AZ84:AZ91)</f>
        <v>0</v>
      </c>
      <c r="BA83" s="76">
        <f t="shared" ref="BA83" si="284">SUM(BA84:BA91)</f>
        <v>0</v>
      </c>
      <c r="BB83" s="76">
        <f t="shared" ref="BB83" si="285">SUM(BB84:BB91)</f>
        <v>0</v>
      </c>
      <c r="BC83" s="76">
        <f t="shared" ref="BC83" si="286">SUM(BC84:BC91)</f>
        <v>0</v>
      </c>
      <c r="BD83" s="76">
        <f t="shared" ref="BD83" si="287">SUM(BD84:BD91)</f>
        <v>0</v>
      </c>
      <c r="BE83" s="76">
        <f t="shared" ref="BE83" si="288">SUM(BE84:BE91)</f>
        <v>0</v>
      </c>
      <c r="BF83" s="76">
        <f t="shared" ref="BF83" si="289">SUM(BF84:BF91)</f>
        <v>0</v>
      </c>
      <c r="BG83" s="76">
        <f t="shared" si="253"/>
        <v>0</v>
      </c>
      <c r="BH83" s="76">
        <f t="shared" si="254"/>
        <v>1977.76</v>
      </c>
      <c r="BI83" s="77">
        <f t="shared" si="255"/>
        <v>0</v>
      </c>
      <c r="BJ83" s="93"/>
      <c r="BK83" s="76">
        <f t="shared" ref="BK83" si="290">SUM(BK84:BK91)</f>
        <v>0</v>
      </c>
      <c r="BL83" s="94"/>
      <c r="BM83" s="95"/>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row>
    <row r="84" spans="2:150" s="81" customFormat="1" ht="15" hidden="1" outlineLevel="1" thickBot="1" x14ac:dyDescent="0.35">
      <c r="B84" s="186" t="s">
        <v>215</v>
      </c>
      <c r="C84" s="81">
        <v>2</v>
      </c>
      <c r="D84" s="81" t="str">
        <f t="shared" si="31"/>
        <v>082</v>
      </c>
      <c r="F84" s="10" t="s">
        <v>225</v>
      </c>
      <c r="G84" s="9"/>
      <c r="H84" s="76">
        <f t="shared" si="241"/>
        <v>0</v>
      </c>
      <c r="I84" s="76">
        <f t="shared" si="242"/>
        <v>0</v>
      </c>
      <c r="J84" s="76">
        <f t="shared" ref="J84:J93" si="291">H84-I84</f>
        <v>0</v>
      </c>
      <c r="K84" s="77">
        <f t="shared" ref="K84:K93" si="292">IFERROR(J84/I84,0)</f>
        <v>0</v>
      </c>
      <c r="L84" s="76">
        <f t="shared" ref="L84:L108" si="293">INDEX($S84:$AD84,MATCH($L$9,$S$9:$AD$9,0))</f>
        <v>0</v>
      </c>
      <c r="M84" s="76">
        <f t="shared" ref="M84:M93" si="294">H84-L84</f>
        <v>0</v>
      </c>
      <c r="N84" s="77">
        <f t="shared" ref="N84:N93" si="295">IFERROR(M84/L84,0)</f>
        <v>0</v>
      </c>
      <c r="O84" s="76">
        <f t="shared" si="247"/>
        <v>0</v>
      </c>
      <c r="P84" s="76">
        <f t="shared" ref="P84:P93" si="296">H84-O84</f>
        <v>0</v>
      </c>
      <c r="Q84" s="77">
        <f t="shared" ref="Q84:Q93" si="297">IFERROR(P84/O84,0)</f>
        <v>0</v>
      </c>
      <c r="R84" s="92"/>
      <c r="S84" s="76"/>
      <c r="T84" s="76"/>
      <c r="U84" s="76"/>
      <c r="V84" s="76"/>
      <c r="W84" s="76"/>
      <c r="X84" s="76"/>
      <c r="Y84" s="76"/>
      <c r="Z84" s="76"/>
      <c r="AA84" s="76"/>
      <c r="AB84" s="76"/>
      <c r="AC84" s="76"/>
      <c r="AD84" s="76"/>
      <c r="AE84" s="76">
        <v>0</v>
      </c>
      <c r="AF84" s="82">
        <f>SUMIF('2023 Budget Expenses Model'!$C:$C,'Summary by Department &amp; Categor'!$D84,'2023 Budget Expenses Model'!I:I)</f>
        <v>0</v>
      </c>
      <c r="AG84" s="82">
        <f>SUMIF('2023 Budget Expenses Model'!$C:$C,'Summary by Department &amp; Categor'!$D84,'2023 Budget Expenses Model'!J:J)</f>
        <v>0</v>
      </c>
      <c r="AH84" s="82">
        <f>SUMIF('2023 Budget Expenses Model'!$C:$C,'Summary by Department &amp; Categor'!$D84,'2023 Budget Expenses Model'!K:K)</f>
        <v>0</v>
      </c>
      <c r="AI84" s="82">
        <f>SUMIF('2023 Budget Expenses Model'!$C:$C,'Summary by Department &amp; Categor'!$D84,'2023 Budget Expenses Model'!L:L)</f>
        <v>0</v>
      </c>
      <c r="AJ84" s="82">
        <f>SUMIF('2023 Budget Expenses Model'!$C:$C,'Summary by Department &amp; Categor'!$D84,'2023 Budget Expenses Model'!M:M)</f>
        <v>0</v>
      </c>
      <c r="AK84" s="82">
        <f>SUMIF('2023 Budget Expenses Model'!$C:$C,'Summary by Department &amp; Categor'!$D84,'2023 Budget Expenses Model'!N:N)</f>
        <v>0</v>
      </c>
      <c r="AL84" s="82">
        <f>SUMIF('2023 Budget Expenses Model'!$C:$C,'Summary by Department &amp; Categor'!$D84,'2023 Budget Expenses Model'!O:O)</f>
        <v>0</v>
      </c>
      <c r="AM84" s="82">
        <f>SUMIF('2023 Budget Expenses Model'!$C:$C,'Summary by Department &amp; Categor'!$D84,'2023 Budget Expenses Model'!P:P)</f>
        <v>0</v>
      </c>
      <c r="AN84" s="82">
        <f>SUMIF('2023 Budget Expenses Model'!$C:$C,'Summary by Department &amp; Categor'!$D84,'2023 Budget Expenses Model'!Q:Q)</f>
        <v>0</v>
      </c>
      <c r="AO84" s="82">
        <f>SUMIF('2023 Budget Expenses Model'!$C:$C,'Summary by Department &amp; Categor'!$D84,'2023 Budget Expenses Model'!R:R)</f>
        <v>0</v>
      </c>
      <c r="AP84" s="82">
        <f>SUMIF('2023 Budget Expenses Model'!$C:$C,'Summary by Department &amp; Categor'!$D84,'2023 Budget Expenses Model'!S:S)</f>
        <v>0</v>
      </c>
      <c r="AQ84" s="82">
        <f>SUMIF('2023 Budget Expenses Model'!$C:$C,'Summary by Department &amp; Categor'!$D84,'2023 Budget Expenses Model'!T:T)</f>
        <v>0</v>
      </c>
      <c r="AR84" s="76">
        <f t="shared" si="250"/>
        <v>0</v>
      </c>
      <c r="AS84" s="76">
        <f t="shared" ref="AS84:AS93" si="298">AE84-AR84</f>
        <v>0</v>
      </c>
      <c r="AT84" s="77">
        <f t="shared" ref="AT84:AT93" si="299">IFERROR(AS84/AR84,0)</f>
        <v>0</v>
      </c>
      <c r="AU84" s="76"/>
      <c r="AV84" s="76"/>
      <c r="AW84" s="76"/>
      <c r="AX84" s="76"/>
      <c r="AY84" s="76"/>
      <c r="AZ84" s="76"/>
      <c r="BA84" s="76"/>
      <c r="BB84" s="76"/>
      <c r="BC84" s="76"/>
      <c r="BD84" s="76"/>
      <c r="BE84" s="76"/>
      <c r="BF84" s="76"/>
      <c r="BG84" s="76">
        <f t="shared" si="253"/>
        <v>0</v>
      </c>
      <c r="BH84" s="76">
        <f t="shared" ref="BH84:BH91" si="300">AE84-BG84</f>
        <v>0</v>
      </c>
      <c r="BI84" s="77">
        <f t="shared" ref="BI84:BI91" si="301">IFERROR(BH84/BG84,0)</f>
        <v>0</v>
      </c>
      <c r="BJ84" s="93"/>
      <c r="BK84" s="82">
        <f t="shared" ref="BK84:BK91" si="302">SUM(AF84:AQ84)</f>
        <v>0</v>
      </c>
      <c r="BL84" s="94"/>
      <c r="BM84" s="95"/>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row>
    <row r="85" spans="2:150" s="81" customFormat="1" ht="15" hidden="1" outlineLevel="1" thickBot="1" x14ac:dyDescent="0.35">
      <c r="B85" s="186" t="s">
        <v>215</v>
      </c>
      <c r="C85" s="81">
        <v>1</v>
      </c>
      <c r="D85" s="81" t="str">
        <f t="shared" si="31"/>
        <v>081</v>
      </c>
      <c r="F85" s="10" t="s">
        <v>432</v>
      </c>
      <c r="G85" s="9"/>
      <c r="H85" s="76">
        <f t="shared" si="241"/>
        <v>0</v>
      </c>
      <c r="I85" s="76">
        <f t="shared" si="242"/>
        <v>0</v>
      </c>
      <c r="J85" s="76">
        <f t="shared" si="291"/>
        <v>0</v>
      </c>
      <c r="K85" s="77">
        <f t="shared" si="292"/>
        <v>0</v>
      </c>
      <c r="L85" s="76">
        <f t="shared" si="293"/>
        <v>0</v>
      </c>
      <c r="M85" s="76">
        <f t="shared" si="294"/>
        <v>0</v>
      </c>
      <c r="N85" s="77">
        <f t="shared" si="295"/>
        <v>0</v>
      </c>
      <c r="O85" s="76">
        <f t="shared" si="247"/>
        <v>0</v>
      </c>
      <c r="P85" s="76">
        <f t="shared" si="296"/>
        <v>0</v>
      </c>
      <c r="Q85" s="77">
        <f t="shared" si="297"/>
        <v>0</v>
      </c>
      <c r="R85" s="92"/>
      <c r="S85" s="76"/>
      <c r="T85" s="76"/>
      <c r="U85" s="76"/>
      <c r="V85" s="76"/>
      <c r="W85" s="76"/>
      <c r="X85" s="76"/>
      <c r="Y85" s="76"/>
      <c r="Z85" s="76"/>
      <c r="AA85" s="76"/>
      <c r="AB85" s="76"/>
      <c r="AC85" s="76"/>
      <c r="AD85" s="76"/>
      <c r="AE85" s="76">
        <v>0</v>
      </c>
      <c r="AF85" s="82">
        <f>SUMIF('2023 Budget Expenses Model'!$C:$C,'Summary by Department &amp; Categor'!$D85,'2023 Budget Expenses Model'!I:I)</f>
        <v>0</v>
      </c>
      <c r="AG85" s="82">
        <f>SUMIF('2023 Budget Expenses Model'!$C:$C,'Summary by Department &amp; Categor'!$D85,'2023 Budget Expenses Model'!J:J)</f>
        <v>0</v>
      </c>
      <c r="AH85" s="82">
        <f>SUMIF('2023 Budget Expenses Model'!$C:$C,'Summary by Department &amp; Categor'!$D85,'2023 Budget Expenses Model'!K:K)</f>
        <v>0</v>
      </c>
      <c r="AI85" s="82">
        <f>SUMIF('2023 Budget Expenses Model'!$C:$C,'Summary by Department &amp; Categor'!$D85,'2023 Budget Expenses Model'!L:L)</f>
        <v>0</v>
      </c>
      <c r="AJ85" s="82">
        <f>SUMIF('2023 Budget Expenses Model'!$C:$C,'Summary by Department &amp; Categor'!$D85,'2023 Budget Expenses Model'!M:M)</f>
        <v>0</v>
      </c>
      <c r="AK85" s="82">
        <f>SUMIF('2023 Budget Expenses Model'!$C:$C,'Summary by Department &amp; Categor'!$D85,'2023 Budget Expenses Model'!N:N)</f>
        <v>0</v>
      </c>
      <c r="AL85" s="82">
        <f>SUMIF('2023 Budget Expenses Model'!$C:$C,'Summary by Department &amp; Categor'!$D85,'2023 Budget Expenses Model'!O:O)</f>
        <v>0</v>
      </c>
      <c r="AM85" s="82">
        <f>SUMIF('2023 Budget Expenses Model'!$C:$C,'Summary by Department &amp; Categor'!$D85,'2023 Budget Expenses Model'!P:P)</f>
        <v>0</v>
      </c>
      <c r="AN85" s="82">
        <f>SUMIF('2023 Budget Expenses Model'!$C:$C,'Summary by Department &amp; Categor'!$D85,'2023 Budget Expenses Model'!Q:Q)</f>
        <v>0</v>
      </c>
      <c r="AO85" s="82">
        <f>SUMIF('2023 Budget Expenses Model'!$C:$C,'Summary by Department &amp; Categor'!$D85,'2023 Budget Expenses Model'!R:R)</f>
        <v>0</v>
      </c>
      <c r="AP85" s="82">
        <f>SUMIF('2023 Budget Expenses Model'!$C:$C,'Summary by Department &amp; Categor'!$D85,'2023 Budget Expenses Model'!S:S)</f>
        <v>0</v>
      </c>
      <c r="AQ85" s="82">
        <f>SUMIF('2023 Budget Expenses Model'!$C:$C,'Summary by Department &amp; Categor'!$D85,'2023 Budget Expenses Model'!T:T)</f>
        <v>0</v>
      </c>
      <c r="AR85" s="76">
        <f t="shared" si="250"/>
        <v>0</v>
      </c>
      <c r="AS85" s="76">
        <f t="shared" si="298"/>
        <v>0</v>
      </c>
      <c r="AT85" s="77">
        <f t="shared" si="299"/>
        <v>0</v>
      </c>
      <c r="AU85" s="76"/>
      <c r="AV85" s="76"/>
      <c r="AW85" s="76"/>
      <c r="AX85" s="76"/>
      <c r="AY85" s="76"/>
      <c r="AZ85" s="76"/>
      <c r="BA85" s="76"/>
      <c r="BB85" s="76"/>
      <c r="BC85" s="76"/>
      <c r="BD85" s="76"/>
      <c r="BE85" s="76"/>
      <c r="BF85" s="76"/>
      <c r="BG85" s="76">
        <f t="shared" si="253"/>
        <v>0</v>
      </c>
      <c r="BH85" s="76">
        <f t="shared" si="300"/>
        <v>0</v>
      </c>
      <c r="BI85" s="77">
        <f t="shared" si="301"/>
        <v>0</v>
      </c>
      <c r="BJ85" s="93"/>
      <c r="BK85" s="82">
        <f t="shared" si="302"/>
        <v>0</v>
      </c>
      <c r="BL85" s="94"/>
      <c r="BM85" s="95"/>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row>
    <row r="86" spans="2:150" s="81" customFormat="1" ht="15" hidden="1" outlineLevel="1" thickBot="1" x14ac:dyDescent="0.35">
      <c r="B86" s="186" t="s">
        <v>215</v>
      </c>
      <c r="C86" s="81">
        <v>3</v>
      </c>
      <c r="D86" s="81" t="str">
        <f t="shared" ref="D86:D91" si="303">CONCATENATE(B86,C86)</f>
        <v>083</v>
      </c>
      <c r="F86" s="10" t="s">
        <v>230</v>
      </c>
      <c r="G86" s="9"/>
      <c r="H86" s="76">
        <f t="shared" si="241"/>
        <v>0</v>
      </c>
      <c r="I86" s="76">
        <f t="shared" si="242"/>
        <v>0</v>
      </c>
      <c r="J86" s="76">
        <f t="shared" si="291"/>
        <v>0</v>
      </c>
      <c r="K86" s="77">
        <f t="shared" si="292"/>
        <v>0</v>
      </c>
      <c r="L86" s="76">
        <f t="shared" si="293"/>
        <v>0</v>
      </c>
      <c r="M86" s="76">
        <f t="shared" si="294"/>
        <v>0</v>
      </c>
      <c r="N86" s="77">
        <f t="shared" si="295"/>
        <v>0</v>
      </c>
      <c r="O86" s="76">
        <f t="shared" si="247"/>
        <v>0</v>
      </c>
      <c r="P86" s="76">
        <f t="shared" si="296"/>
        <v>0</v>
      </c>
      <c r="Q86" s="77">
        <f t="shared" si="297"/>
        <v>0</v>
      </c>
      <c r="R86" s="92"/>
      <c r="S86" s="76"/>
      <c r="T86" s="76"/>
      <c r="U86" s="76"/>
      <c r="V86" s="76"/>
      <c r="W86" s="76"/>
      <c r="X86" s="76"/>
      <c r="Y86" s="76"/>
      <c r="Z86" s="76"/>
      <c r="AA86" s="76"/>
      <c r="AB86" s="76"/>
      <c r="AC86" s="76"/>
      <c r="AD86" s="76"/>
      <c r="AE86" s="76">
        <v>0</v>
      </c>
      <c r="AF86" s="82">
        <f>SUMIF('2023 Budget Expenses Model'!$C:$C,'Summary by Department &amp; Categor'!$D86,'2023 Budget Expenses Model'!I:I)</f>
        <v>0</v>
      </c>
      <c r="AG86" s="82">
        <f>SUMIF('2023 Budget Expenses Model'!$C:$C,'Summary by Department &amp; Categor'!$D86,'2023 Budget Expenses Model'!J:J)</f>
        <v>0</v>
      </c>
      <c r="AH86" s="82">
        <f>SUMIF('2023 Budget Expenses Model'!$C:$C,'Summary by Department &amp; Categor'!$D86,'2023 Budget Expenses Model'!K:K)</f>
        <v>0</v>
      </c>
      <c r="AI86" s="82">
        <f>SUMIF('2023 Budget Expenses Model'!$C:$C,'Summary by Department &amp; Categor'!$D86,'2023 Budget Expenses Model'!L:L)</f>
        <v>0</v>
      </c>
      <c r="AJ86" s="82">
        <f>SUMIF('2023 Budget Expenses Model'!$C:$C,'Summary by Department &amp; Categor'!$D86,'2023 Budget Expenses Model'!M:M)</f>
        <v>0</v>
      </c>
      <c r="AK86" s="82">
        <f>SUMIF('2023 Budget Expenses Model'!$C:$C,'Summary by Department &amp; Categor'!$D86,'2023 Budget Expenses Model'!N:N)</f>
        <v>0</v>
      </c>
      <c r="AL86" s="82">
        <f>SUMIF('2023 Budget Expenses Model'!$C:$C,'Summary by Department &amp; Categor'!$D86,'2023 Budget Expenses Model'!O:O)</f>
        <v>0</v>
      </c>
      <c r="AM86" s="82">
        <f>SUMIF('2023 Budget Expenses Model'!$C:$C,'Summary by Department &amp; Categor'!$D86,'2023 Budget Expenses Model'!P:P)</f>
        <v>0</v>
      </c>
      <c r="AN86" s="82">
        <f>SUMIF('2023 Budget Expenses Model'!$C:$C,'Summary by Department &amp; Categor'!$D86,'2023 Budget Expenses Model'!Q:Q)</f>
        <v>0</v>
      </c>
      <c r="AO86" s="82">
        <f>SUMIF('2023 Budget Expenses Model'!$C:$C,'Summary by Department &amp; Categor'!$D86,'2023 Budget Expenses Model'!R:R)</f>
        <v>0</v>
      </c>
      <c r="AP86" s="82">
        <f>SUMIF('2023 Budget Expenses Model'!$C:$C,'Summary by Department &amp; Categor'!$D86,'2023 Budget Expenses Model'!S:S)</f>
        <v>0</v>
      </c>
      <c r="AQ86" s="82">
        <f>SUMIF('2023 Budget Expenses Model'!$C:$C,'Summary by Department &amp; Categor'!$D86,'2023 Budget Expenses Model'!T:T)</f>
        <v>0</v>
      </c>
      <c r="AR86" s="76">
        <f t="shared" si="250"/>
        <v>0</v>
      </c>
      <c r="AS86" s="76">
        <f t="shared" si="298"/>
        <v>0</v>
      </c>
      <c r="AT86" s="77">
        <f t="shared" si="299"/>
        <v>0</v>
      </c>
      <c r="AU86" s="76"/>
      <c r="AV86" s="76"/>
      <c r="AW86" s="76"/>
      <c r="AX86" s="76"/>
      <c r="AY86" s="76"/>
      <c r="AZ86" s="76"/>
      <c r="BA86" s="76"/>
      <c r="BB86" s="76"/>
      <c r="BC86" s="76"/>
      <c r="BD86" s="76"/>
      <c r="BE86" s="76"/>
      <c r="BF86" s="76"/>
      <c r="BG86" s="76">
        <f t="shared" si="253"/>
        <v>0</v>
      </c>
      <c r="BH86" s="76">
        <f t="shared" si="300"/>
        <v>0</v>
      </c>
      <c r="BI86" s="77">
        <f t="shared" si="301"/>
        <v>0</v>
      </c>
      <c r="BJ86" s="93"/>
      <c r="BK86" s="82">
        <f t="shared" si="302"/>
        <v>0</v>
      </c>
      <c r="BL86" s="94"/>
      <c r="BM86" s="95"/>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row>
    <row r="87" spans="2:150" s="81" customFormat="1" ht="15" hidden="1" outlineLevel="1" thickBot="1" x14ac:dyDescent="0.35">
      <c r="B87" s="186" t="s">
        <v>215</v>
      </c>
      <c r="C87" s="81">
        <v>4</v>
      </c>
      <c r="D87" s="81" t="str">
        <f t="shared" si="303"/>
        <v>084</v>
      </c>
      <c r="F87" s="10" t="s">
        <v>236</v>
      </c>
      <c r="G87" s="9"/>
      <c r="H87" s="76">
        <f t="shared" si="241"/>
        <v>0</v>
      </c>
      <c r="I87" s="76">
        <f t="shared" si="242"/>
        <v>0</v>
      </c>
      <c r="J87" s="76">
        <f t="shared" si="291"/>
        <v>0</v>
      </c>
      <c r="K87" s="77">
        <f t="shared" si="292"/>
        <v>0</v>
      </c>
      <c r="L87" s="76">
        <f t="shared" si="293"/>
        <v>0</v>
      </c>
      <c r="M87" s="76">
        <f t="shared" si="294"/>
        <v>0</v>
      </c>
      <c r="N87" s="77">
        <f t="shared" si="295"/>
        <v>0</v>
      </c>
      <c r="O87" s="76">
        <f t="shared" si="247"/>
        <v>0</v>
      </c>
      <c r="P87" s="76">
        <f t="shared" si="296"/>
        <v>0</v>
      </c>
      <c r="Q87" s="77">
        <f t="shared" si="297"/>
        <v>0</v>
      </c>
      <c r="R87" s="92"/>
      <c r="S87" s="76"/>
      <c r="T87" s="76"/>
      <c r="U87" s="76"/>
      <c r="V87" s="76"/>
      <c r="W87" s="76"/>
      <c r="X87" s="76"/>
      <c r="Y87" s="76"/>
      <c r="Z87" s="76"/>
      <c r="AA87" s="76"/>
      <c r="AB87" s="76"/>
      <c r="AC87" s="76"/>
      <c r="AD87" s="76"/>
      <c r="AE87" s="76">
        <v>0</v>
      </c>
      <c r="AF87" s="82">
        <f>SUMIF('2023 Budget Expenses Model'!$C:$C,'Summary by Department &amp; Categor'!$D87,'2023 Budget Expenses Model'!I:I)</f>
        <v>0</v>
      </c>
      <c r="AG87" s="82">
        <f>SUMIF('2023 Budget Expenses Model'!$C:$C,'Summary by Department &amp; Categor'!$D87,'2023 Budget Expenses Model'!J:J)</f>
        <v>0</v>
      </c>
      <c r="AH87" s="82">
        <f>SUMIF('2023 Budget Expenses Model'!$C:$C,'Summary by Department &amp; Categor'!$D87,'2023 Budget Expenses Model'!K:K)</f>
        <v>0</v>
      </c>
      <c r="AI87" s="82">
        <f>SUMIF('2023 Budget Expenses Model'!$C:$C,'Summary by Department &amp; Categor'!$D87,'2023 Budget Expenses Model'!L:L)</f>
        <v>0</v>
      </c>
      <c r="AJ87" s="82">
        <f>SUMIF('2023 Budget Expenses Model'!$C:$C,'Summary by Department &amp; Categor'!$D87,'2023 Budget Expenses Model'!M:M)</f>
        <v>0</v>
      </c>
      <c r="AK87" s="82">
        <f>SUMIF('2023 Budget Expenses Model'!$C:$C,'Summary by Department &amp; Categor'!$D87,'2023 Budget Expenses Model'!N:N)</f>
        <v>0</v>
      </c>
      <c r="AL87" s="82">
        <f>SUMIF('2023 Budget Expenses Model'!$C:$C,'Summary by Department &amp; Categor'!$D87,'2023 Budget Expenses Model'!O:O)</f>
        <v>0</v>
      </c>
      <c r="AM87" s="82">
        <f>SUMIF('2023 Budget Expenses Model'!$C:$C,'Summary by Department &amp; Categor'!$D87,'2023 Budget Expenses Model'!P:P)</f>
        <v>0</v>
      </c>
      <c r="AN87" s="82">
        <f>SUMIF('2023 Budget Expenses Model'!$C:$C,'Summary by Department &amp; Categor'!$D87,'2023 Budget Expenses Model'!Q:Q)</f>
        <v>0</v>
      </c>
      <c r="AO87" s="82">
        <f>SUMIF('2023 Budget Expenses Model'!$C:$C,'Summary by Department &amp; Categor'!$D87,'2023 Budget Expenses Model'!R:R)</f>
        <v>0</v>
      </c>
      <c r="AP87" s="82">
        <f>SUMIF('2023 Budget Expenses Model'!$C:$C,'Summary by Department &amp; Categor'!$D87,'2023 Budget Expenses Model'!S:S)</f>
        <v>0</v>
      </c>
      <c r="AQ87" s="82">
        <f>SUMIF('2023 Budget Expenses Model'!$C:$C,'Summary by Department &amp; Categor'!$D87,'2023 Budget Expenses Model'!T:T)</f>
        <v>0</v>
      </c>
      <c r="AR87" s="76">
        <f t="shared" si="250"/>
        <v>0</v>
      </c>
      <c r="AS87" s="76">
        <f t="shared" si="298"/>
        <v>0</v>
      </c>
      <c r="AT87" s="77">
        <f t="shared" si="299"/>
        <v>0</v>
      </c>
      <c r="AU87" s="76"/>
      <c r="AV87" s="76"/>
      <c r="AW87" s="76"/>
      <c r="AX87" s="76"/>
      <c r="AY87" s="76"/>
      <c r="AZ87" s="76"/>
      <c r="BA87" s="76"/>
      <c r="BB87" s="76"/>
      <c r="BC87" s="76"/>
      <c r="BD87" s="76"/>
      <c r="BE87" s="76"/>
      <c r="BF87" s="76"/>
      <c r="BG87" s="76">
        <f t="shared" si="253"/>
        <v>0</v>
      </c>
      <c r="BH87" s="76">
        <f t="shared" si="300"/>
        <v>0</v>
      </c>
      <c r="BI87" s="77">
        <f t="shared" si="301"/>
        <v>0</v>
      </c>
      <c r="BJ87" s="93"/>
      <c r="BK87" s="82">
        <f t="shared" si="302"/>
        <v>0</v>
      </c>
      <c r="BL87" s="94"/>
      <c r="BM87" s="95"/>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row>
    <row r="88" spans="2:150" s="81" customFormat="1" ht="15" hidden="1" outlineLevel="1" thickBot="1" x14ac:dyDescent="0.35">
      <c r="B88" s="186" t="s">
        <v>215</v>
      </c>
      <c r="C88" s="81">
        <v>5</v>
      </c>
      <c r="D88" s="81" t="str">
        <f t="shared" si="303"/>
        <v>085</v>
      </c>
      <c r="F88" s="10" t="s">
        <v>243</v>
      </c>
      <c r="G88" s="9"/>
      <c r="H88" s="76">
        <f t="shared" si="241"/>
        <v>0</v>
      </c>
      <c r="I88" s="76">
        <f t="shared" si="242"/>
        <v>0</v>
      </c>
      <c r="J88" s="76">
        <f t="shared" si="291"/>
        <v>0</v>
      </c>
      <c r="K88" s="77">
        <f t="shared" si="292"/>
        <v>0</v>
      </c>
      <c r="L88" s="76">
        <f t="shared" si="293"/>
        <v>0</v>
      </c>
      <c r="M88" s="76">
        <f t="shared" si="294"/>
        <v>0</v>
      </c>
      <c r="N88" s="77">
        <f t="shared" si="295"/>
        <v>0</v>
      </c>
      <c r="O88" s="76">
        <f t="shared" si="247"/>
        <v>0</v>
      </c>
      <c r="P88" s="76">
        <f t="shared" si="296"/>
        <v>0</v>
      </c>
      <c r="Q88" s="77">
        <f t="shared" si="297"/>
        <v>0</v>
      </c>
      <c r="R88" s="92"/>
      <c r="S88" s="76"/>
      <c r="T88" s="76"/>
      <c r="U88" s="76"/>
      <c r="V88" s="76"/>
      <c r="W88" s="76"/>
      <c r="X88" s="76"/>
      <c r="Y88" s="76"/>
      <c r="Z88" s="76"/>
      <c r="AA88" s="76"/>
      <c r="AB88" s="76"/>
      <c r="AC88" s="76"/>
      <c r="AD88" s="76"/>
      <c r="AE88" s="76">
        <v>1977.76</v>
      </c>
      <c r="AF88" s="82">
        <f>SUMIF('2023 Budget Expenses Model'!$C:$C,'Summary by Department &amp; Categor'!$D88,'2023 Budget Expenses Model'!I:I)</f>
        <v>0</v>
      </c>
      <c r="AG88" s="82">
        <f>SUMIF('2023 Budget Expenses Model'!$C:$C,'Summary by Department &amp; Categor'!$D88,'2023 Budget Expenses Model'!J:J)</f>
        <v>0</v>
      </c>
      <c r="AH88" s="82">
        <f>SUMIF('2023 Budget Expenses Model'!$C:$C,'Summary by Department &amp; Categor'!$D88,'2023 Budget Expenses Model'!K:K)</f>
        <v>0</v>
      </c>
      <c r="AI88" s="82">
        <f>SUMIF('2023 Budget Expenses Model'!$C:$C,'Summary by Department &amp; Categor'!$D88,'2023 Budget Expenses Model'!L:L)</f>
        <v>0</v>
      </c>
      <c r="AJ88" s="82">
        <f>SUMIF('2023 Budget Expenses Model'!$C:$C,'Summary by Department &amp; Categor'!$D88,'2023 Budget Expenses Model'!M:M)</f>
        <v>0</v>
      </c>
      <c r="AK88" s="82">
        <f>SUMIF('2023 Budget Expenses Model'!$C:$C,'Summary by Department &amp; Categor'!$D88,'2023 Budget Expenses Model'!N:N)</f>
        <v>0</v>
      </c>
      <c r="AL88" s="82">
        <f>SUMIF('2023 Budget Expenses Model'!$C:$C,'Summary by Department &amp; Categor'!$D88,'2023 Budget Expenses Model'!O:O)</f>
        <v>0</v>
      </c>
      <c r="AM88" s="82">
        <f>SUMIF('2023 Budget Expenses Model'!$C:$C,'Summary by Department &amp; Categor'!$D88,'2023 Budget Expenses Model'!P:P)</f>
        <v>0</v>
      </c>
      <c r="AN88" s="82">
        <f>SUMIF('2023 Budget Expenses Model'!$C:$C,'Summary by Department &amp; Categor'!$D88,'2023 Budget Expenses Model'!Q:Q)</f>
        <v>0</v>
      </c>
      <c r="AO88" s="82">
        <f>SUMIF('2023 Budget Expenses Model'!$C:$C,'Summary by Department &amp; Categor'!$D88,'2023 Budget Expenses Model'!R:R)</f>
        <v>0</v>
      </c>
      <c r="AP88" s="82">
        <f>SUMIF('2023 Budget Expenses Model'!$C:$C,'Summary by Department &amp; Categor'!$D88,'2023 Budget Expenses Model'!S:S)</f>
        <v>0</v>
      </c>
      <c r="AQ88" s="82">
        <f>SUMIF('2023 Budget Expenses Model'!$C:$C,'Summary by Department &amp; Categor'!$D88,'2023 Budget Expenses Model'!T:T)</f>
        <v>0</v>
      </c>
      <c r="AR88" s="76">
        <f t="shared" si="250"/>
        <v>0</v>
      </c>
      <c r="AS88" s="76">
        <f t="shared" si="298"/>
        <v>1977.76</v>
      </c>
      <c r="AT88" s="77">
        <f t="shared" si="299"/>
        <v>0</v>
      </c>
      <c r="AU88" s="76"/>
      <c r="AV88" s="76"/>
      <c r="AW88" s="76"/>
      <c r="AX88" s="76"/>
      <c r="AY88" s="76"/>
      <c r="AZ88" s="76"/>
      <c r="BA88" s="76"/>
      <c r="BB88" s="76"/>
      <c r="BC88" s="76"/>
      <c r="BD88" s="76"/>
      <c r="BE88" s="76"/>
      <c r="BF88" s="76"/>
      <c r="BG88" s="76">
        <f t="shared" si="253"/>
        <v>0</v>
      </c>
      <c r="BH88" s="76">
        <f t="shared" si="300"/>
        <v>1977.76</v>
      </c>
      <c r="BI88" s="77">
        <f t="shared" si="301"/>
        <v>0</v>
      </c>
      <c r="BJ88" s="93"/>
      <c r="BK88" s="82">
        <f t="shared" si="302"/>
        <v>0</v>
      </c>
      <c r="BL88" s="94"/>
      <c r="BM88" s="95"/>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row>
    <row r="89" spans="2:150" s="81" customFormat="1" ht="15" hidden="1" outlineLevel="1" thickBot="1" x14ac:dyDescent="0.35">
      <c r="B89" s="186" t="s">
        <v>215</v>
      </c>
      <c r="C89" s="81">
        <v>6</v>
      </c>
      <c r="D89" s="81" t="str">
        <f t="shared" si="303"/>
        <v>086</v>
      </c>
      <c r="F89" s="10" t="s">
        <v>31</v>
      </c>
      <c r="G89" s="9"/>
      <c r="H89" s="76">
        <f t="shared" si="241"/>
        <v>0</v>
      </c>
      <c r="I89" s="76">
        <f t="shared" si="242"/>
        <v>0</v>
      </c>
      <c r="J89" s="76">
        <f t="shared" si="291"/>
        <v>0</v>
      </c>
      <c r="K89" s="77">
        <f t="shared" si="292"/>
        <v>0</v>
      </c>
      <c r="L89" s="76">
        <f t="shared" si="293"/>
        <v>0</v>
      </c>
      <c r="M89" s="76">
        <f t="shared" si="294"/>
        <v>0</v>
      </c>
      <c r="N89" s="77">
        <f t="shared" si="295"/>
        <v>0</v>
      </c>
      <c r="O89" s="76">
        <f t="shared" si="247"/>
        <v>0</v>
      </c>
      <c r="P89" s="76">
        <f t="shared" si="296"/>
        <v>0</v>
      </c>
      <c r="Q89" s="77">
        <f t="shared" si="297"/>
        <v>0</v>
      </c>
      <c r="R89" s="92"/>
      <c r="S89" s="76"/>
      <c r="T89" s="76"/>
      <c r="U89" s="76"/>
      <c r="V89" s="76"/>
      <c r="W89" s="76"/>
      <c r="X89" s="76"/>
      <c r="Y89" s="76"/>
      <c r="Z89" s="76"/>
      <c r="AA89" s="76"/>
      <c r="AB89" s="76"/>
      <c r="AC89" s="76"/>
      <c r="AD89" s="76"/>
      <c r="AE89" s="76">
        <v>0</v>
      </c>
      <c r="AF89" s="82">
        <f>SUMIF('2023 Budget Expenses Model'!$C:$C,'Summary by Department &amp; Categor'!$D89,'2023 Budget Expenses Model'!I:I)</f>
        <v>0</v>
      </c>
      <c r="AG89" s="82">
        <f>SUMIF('2023 Budget Expenses Model'!$C:$C,'Summary by Department &amp; Categor'!$D89,'2023 Budget Expenses Model'!J:J)</f>
        <v>0</v>
      </c>
      <c r="AH89" s="82">
        <f>SUMIF('2023 Budget Expenses Model'!$C:$C,'Summary by Department &amp; Categor'!$D89,'2023 Budget Expenses Model'!K:K)</f>
        <v>0</v>
      </c>
      <c r="AI89" s="82">
        <f>SUMIF('2023 Budget Expenses Model'!$C:$C,'Summary by Department &amp; Categor'!$D89,'2023 Budget Expenses Model'!L:L)</f>
        <v>0</v>
      </c>
      <c r="AJ89" s="82">
        <f>SUMIF('2023 Budget Expenses Model'!$C:$C,'Summary by Department &amp; Categor'!$D89,'2023 Budget Expenses Model'!M:M)</f>
        <v>0</v>
      </c>
      <c r="AK89" s="82">
        <f>SUMIF('2023 Budget Expenses Model'!$C:$C,'Summary by Department &amp; Categor'!$D89,'2023 Budget Expenses Model'!N:N)</f>
        <v>0</v>
      </c>
      <c r="AL89" s="82">
        <f>SUMIF('2023 Budget Expenses Model'!$C:$C,'Summary by Department &amp; Categor'!$D89,'2023 Budget Expenses Model'!O:O)</f>
        <v>0</v>
      </c>
      <c r="AM89" s="82">
        <f>SUMIF('2023 Budget Expenses Model'!$C:$C,'Summary by Department &amp; Categor'!$D89,'2023 Budget Expenses Model'!P:P)</f>
        <v>0</v>
      </c>
      <c r="AN89" s="82">
        <f>SUMIF('2023 Budget Expenses Model'!$C:$C,'Summary by Department &amp; Categor'!$D89,'2023 Budget Expenses Model'!Q:Q)</f>
        <v>0</v>
      </c>
      <c r="AO89" s="82">
        <f>SUMIF('2023 Budget Expenses Model'!$C:$C,'Summary by Department &amp; Categor'!$D89,'2023 Budget Expenses Model'!R:R)</f>
        <v>0</v>
      </c>
      <c r="AP89" s="82">
        <f>SUMIF('2023 Budget Expenses Model'!$C:$C,'Summary by Department &amp; Categor'!$D89,'2023 Budget Expenses Model'!S:S)</f>
        <v>0</v>
      </c>
      <c r="AQ89" s="82">
        <f>SUMIF('2023 Budget Expenses Model'!$C:$C,'Summary by Department &amp; Categor'!$D89,'2023 Budget Expenses Model'!T:T)</f>
        <v>0</v>
      </c>
      <c r="AR89" s="76">
        <f t="shared" si="250"/>
        <v>0</v>
      </c>
      <c r="AS89" s="76">
        <f t="shared" si="298"/>
        <v>0</v>
      </c>
      <c r="AT89" s="77">
        <f t="shared" si="299"/>
        <v>0</v>
      </c>
      <c r="AU89" s="76"/>
      <c r="AV89" s="76"/>
      <c r="AW89" s="76"/>
      <c r="AX89" s="76"/>
      <c r="AY89" s="76"/>
      <c r="AZ89" s="76"/>
      <c r="BA89" s="76"/>
      <c r="BB89" s="76"/>
      <c r="BC89" s="76"/>
      <c r="BD89" s="76"/>
      <c r="BE89" s="76"/>
      <c r="BF89" s="76"/>
      <c r="BG89" s="76">
        <f t="shared" si="253"/>
        <v>0</v>
      </c>
      <c r="BH89" s="76">
        <f t="shared" si="300"/>
        <v>0</v>
      </c>
      <c r="BI89" s="77">
        <f t="shared" si="301"/>
        <v>0</v>
      </c>
      <c r="BJ89" s="93"/>
      <c r="BK89" s="82">
        <f t="shared" si="302"/>
        <v>0</v>
      </c>
      <c r="BL89" s="94"/>
      <c r="BM89" s="95"/>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row>
    <row r="90" spans="2:150" s="81" customFormat="1" ht="15" hidden="1" outlineLevel="1" thickBot="1" x14ac:dyDescent="0.35">
      <c r="B90" s="186" t="s">
        <v>215</v>
      </c>
      <c r="C90" s="81">
        <v>7</v>
      </c>
      <c r="D90" s="81" t="str">
        <f t="shared" si="303"/>
        <v>087</v>
      </c>
      <c r="F90" s="10" t="s">
        <v>248</v>
      </c>
      <c r="G90" s="9"/>
      <c r="H90" s="76">
        <f t="shared" si="241"/>
        <v>0</v>
      </c>
      <c r="I90" s="76">
        <f t="shared" si="242"/>
        <v>0</v>
      </c>
      <c r="J90" s="76">
        <f t="shared" si="291"/>
        <v>0</v>
      </c>
      <c r="K90" s="77">
        <f t="shared" si="292"/>
        <v>0</v>
      </c>
      <c r="L90" s="76">
        <f t="shared" si="293"/>
        <v>0</v>
      </c>
      <c r="M90" s="76">
        <f t="shared" si="294"/>
        <v>0</v>
      </c>
      <c r="N90" s="77">
        <f t="shared" si="295"/>
        <v>0</v>
      </c>
      <c r="O90" s="76">
        <f t="shared" si="247"/>
        <v>0</v>
      </c>
      <c r="P90" s="76">
        <f t="shared" si="296"/>
        <v>0</v>
      </c>
      <c r="Q90" s="77">
        <f t="shared" si="297"/>
        <v>0</v>
      </c>
      <c r="R90" s="92"/>
      <c r="S90" s="76"/>
      <c r="T90" s="76"/>
      <c r="U90" s="76"/>
      <c r="V90" s="76"/>
      <c r="W90" s="76"/>
      <c r="X90" s="76"/>
      <c r="Y90" s="76"/>
      <c r="Z90" s="76"/>
      <c r="AA90" s="76"/>
      <c r="AB90" s="76"/>
      <c r="AC90" s="76"/>
      <c r="AD90" s="76"/>
      <c r="AE90" s="76">
        <v>0</v>
      </c>
      <c r="AF90" s="82">
        <f>SUMIF('2023 Budget Expenses Model'!$C:$C,'Summary by Department &amp; Categor'!$D90,'2023 Budget Expenses Model'!I:I)</f>
        <v>0</v>
      </c>
      <c r="AG90" s="82">
        <f>SUMIF('2023 Budget Expenses Model'!$C:$C,'Summary by Department &amp; Categor'!$D90,'2023 Budget Expenses Model'!J:J)</f>
        <v>0</v>
      </c>
      <c r="AH90" s="82">
        <f>SUMIF('2023 Budget Expenses Model'!$C:$C,'Summary by Department &amp; Categor'!$D90,'2023 Budget Expenses Model'!K:K)</f>
        <v>0</v>
      </c>
      <c r="AI90" s="82">
        <f>SUMIF('2023 Budget Expenses Model'!$C:$C,'Summary by Department &amp; Categor'!$D90,'2023 Budget Expenses Model'!L:L)</f>
        <v>0</v>
      </c>
      <c r="AJ90" s="82">
        <f>SUMIF('2023 Budget Expenses Model'!$C:$C,'Summary by Department &amp; Categor'!$D90,'2023 Budget Expenses Model'!M:M)</f>
        <v>0</v>
      </c>
      <c r="AK90" s="82">
        <f>SUMIF('2023 Budget Expenses Model'!$C:$C,'Summary by Department &amp; Categor'!$D90,'2023 Budget Expenses Model'!N:N)</f>
        <v>0</v>
      </c>
      <c r="AL90" s="82">
        <f>SUMIF('2023 Budget Expenses Model'!$C:$C,'Summary by Department &amp; Categor'!$D90,'2023 Budget Expenses Model'!O:O)</f>
        <v>0</v>
      </c>
      <c r="AM90" s="82">
        <f>SUMIF('2023 Budget Expenses Model'!$C:$C,'Summary by Department &amp; Categor'!$D90,'2023 Budget Expenses Model'!P:P)</f>
        <v>0</v>
      </c>
      <c r="AN90" s="82">
        <f>SUMIF('2023 Budget Expenses Model'!$C:$C,'Summary by Department &amp; Categor'!$D90,'2023 Budget Expenses Model'!Q:Q)</f>
        <v>0</v>
      </c>
      <c r="AO90" s="82">
        <f>SUMIF('2023 Budget Expenses Model'!$C:$C,'Summary by Department &amp; Categor'!$D90,'2023 Budget Expenses Model'!R:R)</f>
        <v>0</v>
      </c>
      <c r="AP90" s="82">
        <f>SUMIF('2023 Budget Expenses Model'!$C:$C,'Summary by Department &amp; Categor'!$D90,'2023 Budget Expenses Model'!S:S)</f>
        <v>0</v>
      </c>
      <c r="AQ90" s="82">
        <f>SUMIF('2023 Budget Expenses Model'!$C:$C,'Summary by Department &amp; Categor'!$D90,'2023 Budget Expenses Model'!T:T)</f>
        <v>0</v>
      </c>
      <c r="AR90" s="76">
        <f t="shared" si="250"/>
        <v>0</v>
      </c>
      <c r="AS90" s="76">
        <f t="shared" si="298"/>
        <v>0</v>
      </c>
      <c r="AT90" s="77">
        <f t="shared" si="299"/>
        <v>0</v>
      </c>
      <c r="AU90" s="76"/>
      <c r="AV90" s="76"/>
      <c r="AW90" s="76"/>
      <c r="AX90" s="76"/>
      <c r="AY90" s="76"/>
      <c r="AZ90" s="76"/>
      <c r="BA90" s="76"/>
      <c r="BB90" s="76"/>
      <c r="BC90" s="76"/>
      <c r="BD90" s="76"/>
      <c r="BE90" s="76"/>
      <c r="BF90" s="76"/>
      <c r="BG90" s="76">
        <f t="shared" si="253"/>
        <v>0</v>
      </c>
      <c r="BH90" s="76">
        <f t="shared" si="300"/>
        <v>0</v>
      </c>
      <c r="BI90" s="77">
        <f t="shared" si="301"/>
        <v>0</v>
      </c>
      <c r="BJ90" s="93"/>
      <c r="BK90" s="82">
        <f t="shared" si="302"/>
        <v>0</v>
      </c>
      <c r="BL90" s="94"/>
      <c r="BM90" s="95"/>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row>
    <row r="91" spans="2:150" s="81" customFormat="1" ht="15" hidden="1" outlineLevel="1" thickBot="1" x14ac:dyDescent="0.35">
      <c r="B91" s="186" t="s">
        <v>215</v>
      </c>
      <c r="C91" s="81">
        <v>8</v>
      </c>
      <c r="D91" s="81" t="str">
        <f t="shared" si="303"/>
        <v>088</v>
      </c>
      <c r="F91" s="10" t="s">
        <v>46</v>
      </c>
      <c r="G91" s="9"/>
      <c r="H91" s="76">
        <f t="shared" si="241"/>
        <v>0</v>
      </c>
      <c r="I91" s="76">
        <f t="shared" si="242"/>
        <v>0</v>
      </c>
      <c r="J91" s="76">
        <f t="shared" si="291"/>
        <v>0</v>
      </c>
      <c r="K91" s="77">
        <f t="shared" si="292"/>
        <v>0</v>
      </c>
      <c r="L91" s="76">
        <f t="shared" si="293"/>
        <v>0</v>
      </c>
      <c r="M91" s="76">
        <f t="shared" si="294"/>
        <v>0</v>
      </c>
      <c r="N91" s="77">
        <f t="shared" si="295"/>
        <v>0</v>
      </c>
      <c r="O91" s="76">
        <f t="shared" si="247"/>
        <v>0</v>
      </c>
      <c r="P91" s="76">
        <f t="shared" si="296"/>
        <v>0</v>
      </c>
      <c r="Q91" s="77">
        <f t="shared" si="297"/>
        <v>0</v>
      </c>
      <c r="R91" s="92"/>
      <c r="S91" s="76"/>
      <c r="T91" s="76"/>
      <c r="U91" s="76"/>
      <c r="V91" s="76"/>
      <c r="W91" s="76"/>
      <c r="X91" s="76"/>
      <c r="Y91" s="76"/>
      <c r="Z91" s="76"/>
      <c r="AA91" s="76"/>
      <c r="AB91" s="76"/>
      <c r="AC91" s="76"/>
      <c r="AD91" s="76"/>
      <c r="AE91" s="76">
        <v>0</v>
      </c>
      <c r="AF91" s="82">
        <f>SUMIF('2023 Budget Expenses Model'!$C:$C,'Summary by Department &amp; Categor'!$D91,'2023 Budget Expenses Model'!I:I)</f>
        <v>0</v>
      </c>
      <c r="AG91" s="82">
        <f>SUMIF('2023 Budget Expenses Model'!$C:$C,'Summary by Department &amp; Categor'!$D91,'2023 Budget Expenses Model'!J:J)</f>
        <v>0</v>
      </c>
      <c r="AH91" s="82">
        <f>SUMIF('2023 Budget Expenses Model'!$C:$C,'Summary by Department &amp; Categor'!$D91,'2023 Budget Expenses Model'!K:K)</f>
        <v>0</v>
      </c>
      <c r="AI91" s="82">
        <f>SUMIF('2023 Budget Expenses Model'!$C:$C,'Summary by Department &amp; Categor'!$D91,'2023 Budget Expenses Model'!L:L)</f>
        <v>0</v>
      </c>
      <c r="AJ91" s="82">
        <f>SUMIF('2023 Budget Expenses Model'!$C:$C,'Summary by Department &amp; Categor'!$D91,'2023 Budget Expenses Model'!M:M)</f>
        <v>0</v>
      </c>
      <c r="AK91" s="82">
        <f>SUMIF('2023 Budget Expenses Model'!$C:$C,'Summary by Department &amp; Categor'!$D91,'2023 Budget Expenses Model'!N:N)</f>
        <v>0</v>
      </c>
      <c r="AL91" s="82">
        <f>SUMIF('2023 Budget Expenses Model'!$C:$C,'Summary by Department &amp; Categor'!$D91,'2023 Budget Expenses Model'!O:O)</f>
        <v>0</v>
      </c>
      <c r="AM91" s="82">
        <f>SUMIF('2023 Budget Expenses Model'!$C:$C,'Summary by Department &amp; Categor'!$D91,'2023 Budget Expenses Model'!P:P)</f>
        <v>0</v>
      </c>
      <c r="AN91" s="82">
        <f>SUMIF('2023 Budget Expenses Model'!$C:$C,'Summary by Department &amp; Categor'!$D91,'2023 Budget Expenses Model'!Q:Q)</f>
        <v>0</v>
      </c>
      <c r="AO91" s="82">
        <f>SUMIF('2023 Budget Expenses Model'!$C:$C,'Summary by Department &amp; Categor'!$D91,'2023 Budget Expenses Model'!R:R)</f>
        <v>0</v>
      </c>
      <c r="AP91" s="82">
        <f>SUMIF('2023 Budget Expenses Model'!$C:$C,'Summary by Department &amp; Categor'!$D91,'2023 Budget Expenses Model'!S:S)</f>
        <v>0</v>
      </c>
      <c r="AQ91" s="82">
        <f>SUMIF('2023 Budget Expenses Model'!$C:$C,'Summary by Department &amp; Categor'!$D91,'2023 Budget Expenses Model'!T:T)</f>
        <v>0</v>
      </c>
      <c r="AR91" s="76">
        <f t="shared" si="250"/>
        <v>0</v>
      </c>
      <c r="AS91" s="76">
        <f t="shared" si="298"/>
        <v>0</v>
      </c>
      <c r="AT91" s="77">
        <f t="shared" si="299"/>
        <v>0</v>
      </c>
      <c r="AU91" s="76"/>
      <c r="AV91" s="76"/>
      <c r="AW91" s="76"/>
      <c r="AX91" s="76"/>
      <c r="AY91" s="76"/>
      <c r="AZ91" s="76"/>
      <c r="BA91" s="76"/>
      <c r="BB91" s="76"/>
      <c r="BC91" s="76"/>
      <c r="BD91" s="76"/>
      <c r="BE91" s="76"/>
      <c r="BF91" s="76"/>
      <c r="BG91" s="76">
        <f t="shared" si="253"/>
        <v>0</v>
      </c>
      <c r="BH91" s="76">
        <f t="shared" si="300"/>
        <v>0</v>
      </c>
      <c r="BI91" s="77">
        <f t="shared" si="301"/>
        <v>0</v>
      </c>
      <c r="BJ91" s="93"/>
      <c r="BK91" s="82">
        <f t="shared" si="302"/>
        <v>0</v>
      </c>
      <c r="BL91" s="94"/>
      <c r="BM91" s="95"/>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row>
    <row r="92" spans="2:150" s="88" customFormat="1" ht="15" collapsed="1" thickBot="1" x14ac:dyDescent="0.35">
      <c r="F92" s="10"/>
      <c r="G92" s="11"/>
      <c r="H92" s="76"/>
      <c r="I92" s="76"/>
      <c r="J92" s="76"/>
      <c r="K92" s="77"/>
      <c r="L92" s="76"/>
      <c r="M92" s="76"/>
      <c r="N92" s="77"/>
      <c r="O92" s="76"/>
      <c r="P92" s="76"/>
      <c r="Q92" s="77"/>
      <c r="R92" s="92"/>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c r="AQ92" s="76"/>
      <c r="AR92" s="76"/>
      <c r="AS92" s="76"/>
      <c r="AT92" s="77"/>
      <c r="AU92" s="76"/>
      <c r="AV92" s="76"/>
      <c r="AW92" s="76"/>
      <c r="AX92" s="76"/>
      <c r="AY92" s="76"/>
      <c r="AZ92" s="76"/>
      <c r="BA92" s="76"/>
      <c r="BB92" s="76"/>
      <c r="BC92" s="76"/>
      <c r="BD92" s="76"/>
      <c r="BE92" s="76"/>
      <c r="BF92" s="76"/>
      <c r="BG92" s="76"/>
      <c r="BH92" s="76"/>
      <c r="BI92" s="77"/>
      <c r="BJ92" s="93"/>
      <c r="BK92" s="76"/>
      <c r="BL92" s="98"/>
      <c r="BM92" s="95"/>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row>
    <row r="93" spans="2:150" s="88" customFormat="1" ht="15" thickBot="1" x14ac:dyDescent="0.35">
      <c r="F93" s="8" t="s">
        <v>113</v>
      </c>
      <c r="G93" s="11"/>
      <c r="H93" s="76">
        <f>INDEX($S93:$AD93,MATCH($H$9,$S$9:$AD$9,0))</f>
        <v>0</v>
      </c>
      <c r="I93" s="76">
        <f t="shared" si="242"/>
        <v>138851.16666666669</v>
      </c>
      <c r="J93" s="76">
        <f t="shared" si="291"/>
        <v>-138851.16666666669</v>
      </c>
      <c r="K93" s="77">
        <f t="shared" si="292"/>
        <v>-1</v>
      </c>
      <c r="L93" s="76">
        <f t="shared" si="293"/>
        <v>0</v>
      </c>
      <c r="M93" s="76">
        <f t="shared" si="294"/>
        <v>0</v>
      </c>
      <c r="N93" s="77">
        <f t="shared" si="295"/>
        <v>0</v>
      </c>
      <c r="O93" s="76">
        <f t="shared" si="247"/>
        <v>0</v>
      </c>
      <c r="P93" s="76">
        <f t="shared" si="296"/>
        <v>0</v>
      </c>
      <c r="Q93" s="77">
        <f t="shared" si="297"/>
        <v>0</v>
      </c>
      <c r="R93" s="92"/>
      <c r="S93" s="76">
        <f>S20+S29+S38+S47+S56+S65+S74+S83</f>
        <v>0</v>
      </c>
      <c r="T93" s="76">
        <f t="shared" ref="T93:AQ93" si="304">T20+T29+T38+T47+T56+T65+T74+T83</f>
        <v>0</v>
      </c>
      <c r="U93" s="76">
        <f t="shared" si="304"/>
        <v>0</v>
      </c>
      <c r="V93" s="76">
        <f t="shared" si="304"/>
        <v>0</v>
      </c>
      <c r="W93" s="76">
        <f t="shared" si="304"/>
        <v>0</v>
      </c>
      <c r="X93" s="76">
        <f t="shared" si="304"/>
        <v>0</v>
      </c>
      <c r="Y93" s="76">
        <f t="shared" si="304"/>
        <v>0</v>
      </c>
      <c r="Z93" s="76">
        <f t="shared" si="304"/>
        <v>0</v>
      </c>
      <c r="AA93" s="76">
        <f t="shared" si="304"/>
        <v>0</v>
      </c>
      <c r="AB93" s="76">
        <f t="shared" si="304"/>
        <v>0</v>
      </c>
      <c r="AC93" s="76">
        <f t="shared" si="304"/>
        <v>0</v>
      </c>
      <c r="AD93" s="76">
        <f t="shared" si="304"/>
        <v>0</v>
      </c>
      <c r="AE93" s="76">
        <f t="shared" si="304"/>
        <v>560313.88</v>
      </c>
      <c r="AF93" s="76">
        <f t="shared" si="304"/>
        <v>109316.16666666667</v>
      </c>
      <c r="AG93" s="76">
        <f t="shared" si="304"/>
        <v>120558.16666666667</v>
      </c>
      <c r="AH93" s="76">
        <f t="shared" si="304"/>
        <v>121266.16666666667</v>
      </c>
      <c r="AI93" s="76">
        <f t="shared" si="304"/>
        <v>110966.16666666667</v>
      </c>
      <c r="AJ93" s="76">
        <f t="shared" si="304"/>
        <v>109316.16666666667</v>
      </c>
      <c r="AK93" s="76">
        <f t="shared" si="304"/>
        <v>109866.16666666667</v>
      </c>
      <c r="AL93" s="76">
        <f t="shared" si="304"/>
        <v>123994.16666666667</v>
      </c>
      <c r="AM93" s="76">
        <f t="shared" si="304"/>
        <v>114134.16666666667</v>
      </c>
      <c r="AN93" s="76">
        <f t="shared" si="304"/>
        <v>183478.16666666669</v>
      </c>
      <c r="AO93" s="76">
        <f t="shared" si="304"/>
        <v>138851.16666666669</v>
      </c>
      <c r="AP93" s="76">
        <f t="shared" si="304"/>
        <v>136816.16666666669</v>
      </c>
      <c r="AQ93" s="76">
        <f t="shared" si="304"/>
        <v>115766.16666666667</v>
      </c>
      <c r="AR93" s="76">
        <f>AR20+AR29+AR38+AR47+AR56+AR65+AR74+AR83</f>
        <v>1494329</v>
      </c>
      <c r="AS93" s="76">
        <f t="shared" si="298"/>
        <v>-934015.12</v>
      </c>
      <c r="AT93" s="77">
        <f t="shared" si="299"/>
        <v>-0.62503981385625251</v>
      </c>
      <c r="AU93" s="76">
        <f>AU20+AU29+AU38+AU47+AU56+AU65+AU74+AU83</f>
        <v>0</v>
      </c>
      <c r="AV93" s="76">
        <f t="shared" ref="AV93:BF93" si="305">AV20+AV29+AV38+AV47+AV56+AV65+AV74+AV83</f>
        <v>0</v>
      </c>
      <c r="AW93" s="76">
        <f t="shared" si="305"/>
        <v>0</v>
      </c>
      <c r="AX93" s="76">
        <f t="shared" si="305"/>
        <v>0</v>
      </c>
      <c r="AY93" s="76">
        <f t="shared" si="305"/>
        <v>0</v>
      </c>
      <c r="AZ93" s="76">
        <f t="shared" si="305"/>
        <v>0</v>
      </c>
      <c r="BA93" s="76">
        <f t="shared" si="305"/>
        <v>0</v>
      </c>
      <c r="BB93" s="76">
        <f t="shared" si="305"/>
        <v>0</v>
      </c>
      <c r="BC93" s="76">
        <f t="shared" si="305"/>
        <v>0</v>
      </c>
      <c r="BD93" s="76">
        <f t="shared" si="305"/>
        <v>0</v>
      </c>
      <c r="BE93" s="76">
        <f t="shared" si="305"/>
        <v>0</v>
      </c>
      <c r="BF93" s="76">
        <f t="shared" si="305"/>
        <v>0</v>
      </c>
      <c r="BG93" s="76">
        <f t="shared" si="253"/>
        <v>0</v>
      </c>
      <c r="BH93" s="76">
        <f t="shared" ref="BH93" si="306">AE93-BG93</f>
        <v>560313.88</v>
      </c>
      <c r="BI93" s="77">
        <f t="shared" ref="BI93" si="307">IFERROR(BH93/BG93,0)</f>
        <v>0</v>
      </c>
      <c r="BJ93" s="93"/>
      <c r="BK93" s="76">
        <f>BK20+BK29+BK38+BK47+BK56+BK65+BK74+BK83</f>
        <v>1494329</v>
      </c>
      <c r="BL93" s="98"/>
      <c r="BM93" s="95"/>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row>
    <row r="94" spans="2:150" s="75" customFormat="1" ht="15.75" customHeight="1" thickBot="1" x14ac:dyDescent="0.35">
      <c r="F94" s="73"/>
      <c r="G94" s="99"/>
      <c r="H94" s="260"/>
      <c r="I94" s="261"/>
      <c r="J94" s="261"/>
      <c r="K94" s="261"/>
      <c r="L94" s="261"/>
      <c r="M94" s="261"/>
      <c r="N94" s="261"/>
      <c r="O94" s="261"/>
      <c r="P94" s="261"/>
      <c r="Q94" s="261"/>
      <c r="R94" s="261"/>
      <c r="S94" s="261"/>
      <c r="T94" s="261"/>
      <c r="U94" s="261"/>
      <c r="V94" s="261"/>
      <c r="W94" s="261"/>
      <c r="X94" s="261"/>
      <c r="Y94" s="261"/>
      <c r="Z94" s="261"/>
      <c r="AA94" s="261"/>
      <c r="AB94" s="261"/>
      <c r="AC94" s="261"/>
      <c r="AD94" s="261"/>
      <c r="AE94" s="261"/>
      <c r="AF94" s="261"/>
      <c r="AG94" s="261"/>
      <c r="AH94" s="261"/>
      <c r="AI94" s="261"/>
      <c r="AJ94" s="261"/>
      <c r="AK94" s="261"/>
      <c r="AL94" s="261"/>
      <c r="AM94" s="261"/>
      <c r="AN94" s="261"/>
      <c r="AO94" s="261"/>
      <c r="AP94" s="261"/>
      <c r="AQ94" s="261"/>
      <c r="AR94" s="261"/>
      <c r="AS94" s="261"/>
      <c r="AT94" s="261"/>
      <c r="AU94" s="261"/>
      <c r="AV94" s="261"/>
      <c r="AW94" s="261"/>
      <c r="AX94" s="261"/>
      <c r="AY94" s="261"/>
      <c r="AZ94" s="261"/>
      <c r="BA94" s="261"/>
      <c r="BB94" s="261"/>
      <c r="BC94" s="261"/>
      <c r="BD94" s="261"/>
      <c r="BE94" s="261"/>
      <c r="BF94" s="261"/>
      <c r="BG94" s="261"/>
      <c r="BH94" s="261"/>
      <c r="BI94" s="261"/>
      <c r="BJ94" s="261"/>
      <c r="BK94" s="261"/>
      <c r="BL94" s="74"/>
      <c r="BM94" s="74"/>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row>
    <row r="95" spans="2:150" s="81" customFormat="1" ht="15" thickBot="1" x14ac:dyDescent="0.35">
      <c r="D95" s="81">
        <v>9</v>
      </c>
      <c r="F95" s="8" t="s">
        <v>112</v>
      </c>
      <c r="G95" s="9"/>
      <c r="H95" s="76">
        <f>INDEX($S95:$AD95,MATCH($H$9,$S$9:$AD$9,0))</f>
        <v>0</v>
      </c>
      <c r="I95" s="76">
        <f t="shared" si="242"/>
        <v>0</v>
      </c>
      <c r="J95" s="76">
        <f t="shared" ref="J95" si="308">H95-I95</f>
        <v>0</v>
      </c>
      <c r="K95" s="77">
        <f t="shared" ref="K95" si="309">IFERROR(J95/I95,0)</f>
        <v>0</v>
      </c>
      <c r="L95" s="76">
        <f t="shared" si="293"/>
        <v>0</v>
      </c>
      <c r="M95" s="76">
        <f t="shared" ref="M95" si="310">H95-L95</f>
        <v>0</v>
      </c>
      <c r="N95" s="77">
        <f t="shared" ref="N95" si="311">IFERROR(M95/L95,0)</f>
        <v>0</v>
      </c>
      <c r="O95" s="76">
        <f t="shared" si="247"/>
        <v>0</v>
      </c>
      <c r="P95" s="76">
        <f t="shared" ref="P95" si="312">H95-O95</f>
        <v>0</v>
      </c>
      <c r="Q95" s="77">
        <f t="shared" ref="Q95" si="313">IFERROR(P95/O95,0)</f>
        <v>0</v>
      </c>
      <c r="R95" s="78"/>
      <c r="S95" s="76">
        <f>S13</f>
        <v>0</v>
      </c>
      <c r="T95" s="76">
        <f t="shared" ref="T95:AD95" si="314">T13</f>
        <v>0</v>
      </c>
      <c r="U95" s="76">
        <f t="shared" si="314"/>
        <v>0</v>
      </c>
      <c r="V95" s="76">
        <f t="shared" si="314"/>
        <v>0</v>
      </c>
      <c r="W95" s="76">
        <f t="shared" si="314"/>
        <v>0</v>
      </c>
      <c r="X95" s="76">
        <f t="shared" si="314"/>
        <v>0</v>
      </c>
      <c r="Y95" s="76">
        <f t="shared" si="314"/>
        <v>0</v>
      </c>
      <c r="Z95" s="76">
        <f t="shared" si="314"/>
        <v>0</v>
      </c>
      <c r="AA95" s="76">
        <f t="shared" si="314"/>
        <v>0</v>
      </c>
      <c r="AB95" s="76">
        <f t="shared" si="314"/>
        <v>0</v>
      </c>
      <c r="AC95" s="76">
        <f t="shared" si="314"/>
        <v>0</v>
      </c>
      <c r="AD95" s="76">
        <f t="shared" si="314"/>
        <v>0</v>
      </c>
      <c r="AE95" s="76">
        <f>AE13</f>
        <v>713431.1</v>
      </c>
      <c r="AF95" s="76">
        <f t="shared" ref="AF95:AR95" si="315">AF13</f>
        <v>0</v>
      </c>
      <c r="AG95" s="76">
        <f t="shared" si="315"/>
        <v>0</v>
      </c>
      <c r="AH95" s="76">
        <f t="shared" si="315"/>
        <v>0</v>
      </c>
      <c r="AI95" s="76">
        <f t="shared" si="315"/>
        <v>0</v>
      </c>
      <c r="AJ95" s="76">
        <f t="shared" si="315"/>
        <v>0</v>
      </c>
      <c r="AK95" s="76">
        <f t="shared" si="315"/>
        <v>0</v>
      </c>
      <c r="AL95" s="76">
        <f t="shared" si="315"/>
        <v>0</v>
      </c>
      <c r="AM95" s="76">
        <f t="shared" si="315"/>
        <v>0</v>
      </c>
      <c r="AN95" s="76">
        <f t="shared" si="315"/>
        <v>0</v>
      </c>
      <c r="AO95" s="76">
        <f t="shared" si="315"/>
        <v>0</v>
      </c>
      <c r="AP95" s="76">
        <f t="shared" si="315"/>
        <v>0</v>
      </c>
      <c r="AQ95" s="76">
        <f t="shared" si="315"/>
        <v>0</v>
      </c>
      <c r="AR95" s="76">
        <f t="shared" si="315"/>
        <v>0</v>
      </c>
      <c r="AS95" s="76">
        <f>AE95-AR95</f>
        <v>713431.1</v>
      </c>
      <c r="AT95" s="77">
        <f t="shared" ref="AT95" si="316">IFERROR(AS95/AR95,0)</f>
        <v>0</v>
      </c>
      <c r="AU95" s="76"/>
      <c r="AV95" s="76"/>
      <c r="AW95" s="76"/>
      <c r="AX95" s="76"/>
      <c r="AY95" s="76"/>
      <c r="AZ95" s="76"/>
      <c r="BA95" s="76"/>
      <c r="BB95" s="76"/>
      <c r="BC95" s="76"/>
      <c r="BD95" s="76"/>
      <c r="BE95" s="76"/>
      <c r="BF95" s="76"/>
      <c r="BG95" s="76"/>
      <c r="BH95" s="76"/>
      <c r="BI95" s="77"/>
      <c r="BJ95" s="78"/>
      <c r="BK95" s="76">
        <f t="shared" ref="BK95" si="317">BK13</f>
        <v>0</v>
      </c>
      <c r="BL95" s="79"/>
      <c r="BM95" s="80"/>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row>
    <row r="96" spans="2:150" s="88" customFormat="1" ht="15" thickBot="1" x14ac:dyDescent="0.35">
      <c r="F96" s="8" t="s">
        <v>113</v>
      </c>
      <c r="G96" s="11"/>
      <c r="H96" s="76">
        <f>INDEX($S96:$AD96,MATCH($H$9,$S$9:$AD$9,0))</f>
        <v>0</v>
      </c>
      <c r="I96" s="76">
        <f t="shared" si="242"/>
        <v>138851.16666666669</v>
      </c>
      <c r="J96" s="76">
        <f t="shared" ref="J96:J108" si="318">H96-I96</f>
        <v>-138851.16666666669</v>
      </c>
      <c r="K96" s="77">
        <f t="shared" ref="K96:K108" si="319">IFERROR(J96/I96,0)</f>
        <v>-1</v>
      </c>
      <c r="L96" s="76">
        <f t="shared" si="293"/>
        <v>0</v>
      </c>
      <c r="M96" s="76">
        <f t="shared" ref="M96:M108" si="320">H96-L96</f>
        <v>0</v>
      </c>
      <c r="N96" s="77">
        <f t="shared" ref="N96:N108" si="321">IFERROR(M96/L96,0)</f>
        <v>0</v>
      </c>
      <c r="O96" s="76">
        <f t="shared" si="247"/>
        <v>0</v>
      </c>
      <c r="P96" s="76">
        <f t="shared" ref="P96:P108" si="322">H96-O96</f>
        <v>0</v>
      </c>
      <c r="Q96" s="77">
        <f t="shared" ref="Q96:Q108" si="323">IFERROR(P96/O96,0)</f>
        <v>0</v>
      </c>
      <c r="R96" s="78"/>
      <c r="S96" s="76">
        <f>S93</f>
        <v>0</v>
      </c>
      <c r="T96" s="76">
        <f t="shared" ref="T96:AD96" si="324">T93</f>
        <v>0</v>
      </c>
      <c r="U96" s="76">
        <f t="shared" si="324"/>
        <v>0</v>
      </c>
      <c r="V96" s="76">
        <f t="shared" si="324"/>
        <v>0</v>
      </c>
      <c r="W96" s="76">
        <f t="shared" si="324"/>
        <v>0</v>
      </c>
      <c r="X96" s="76">
        <f t="shared" si="324"/>
        <v>0</v>
      </c>
      <c r="Y96" s="76">
        <f t="shared" si="324"/>
        <v>0</v>
      </c>
      <c r="Z96" s="76">
        <f t="shared" si="324"/>
        <v>0</v>
      </c>
      <c r="AA96" s="76">
        <f t="shared" si="324"/>
        <v>0</v>
      </c>
      <c r="AB96" s="76">
        <f t="shared" si="324"/>
        <v>0</v>
      </c>
      <c r="AC96" s="76">
        <f t="shared" si="324"/>
        <v>0</v>
      </c>
      <c r="AD96" s="76">
        <f t="shared" si="324"/>
        <v>0</v>
      </c>
      <c r="AE96" s="76">
        <f>AE93</f>
        <v>560313.88</v>
      </c>
      <c r="AF96" s="76">
        <f t="shared" ref="AF96:AR96" si="325">AF93</f>
        <v>109316.16666666667</v>
      </c>
      <c r="AG96" s="76">
        <f t="shared" si="325"/>
        <v>120558.16666666667</v>
      </c>
      <c r="AH96" s="76">
        <f t="shared" si="325"/>
        <v>121266.16666666667</v>
      </c>
      <c r="AI96" s="76">
        <f t="shared" si="325"/>
        <v>110966.16666666667</v>
      </c>
      <c r="AJ96" s="76">
        <f t="shared" si="325"/>
        <v>109316.16666666667</v>
      </c>
      <c r="AK96" s="76">
        <f t="shared" si="325"/>
        <v>109866.16666666667</v>
      </c>
      <c r="AL96" s="76">
        <f t="shared" si="325"/>
        <v>123994.16666666667</v>
      </c>
      <c r="AM96" s="76">
        <f t="shared" si="325"/>
        <v>114134.16666666667</v>
      </c>
      <c r="AN96" s="76">
        <f t="shared" si="325"/>
        <v>183478.16666666669</v>
      </c>
      <c r="AO96" s="76">
        <f t="shared" si="325"/>
        <v>138851.16666666669</v>
      </c>
      <c r="AP96" s="76">
        <f t="shared" si="325"/>
        <v>136816.16666666669</v>
      </c>
      <c r="AQ96" s="76">
        <f t="shared" si="325"/>
        <v>115766.16666666667</v>
      </c>
      <c r="AR96" s="76">
        <f t="shared" si="325"/>
        <v>1494329</v>
      </c>
      <c r="AS96" s="76">
        <f t="shared" ref="AS96:AS107" si="326">AE96-AR96</f>
        <v>-934015.12</v>
      </c>
      <c r="AT96" s="77">
        <f t="shared" ref="AT96:AT107" si="327">IFERROR(AS96/AR96,0)</f>
        <v>-0.62503981385625251</v>
      </c>
      <c r="AU96" s="76"/>
      <c r="AV96" s="76"/>
      <c r="AW96" s="76"/>
      <c r="AX96" s="76"/>
      <c r="AY96" s="76"/>
      <c r="AZ96" s="76"/>
      <c r="BA96" s="76"/>
      <c r="BB96" s="76"/>
      <c r="BC96" s="76"/>
      <c r="BD96" s="76"/>
      <c r="BE96" s="76"/>
      <c r="BF96" s="76"/>
      <c r="BG96" s="76"/>
      <c r="BH96" s="76"/>
      <c r="BI96" s="77"/>
      <c r="BJ96" s="78"/>
      <c r="BK96" s="76">
        <f t="shared" ref="BK96" si="328">BK93</f>
        <v>1494329</v>
      </c>
      <c r="BL96" s="79"/>
      <c r="BM96" s="80"/>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row>
    <row r="97" spans="4:150" s="88" customFormat="1" ht="15" thickBot="1" x14ac:dyDescent="0.35">
      <c r="F97" s="8" t="s">
        <v>89</v>
      </c>
      <c r="G97" s="11"/>
      <c r="H97" s="76">
        <f>INDEX($S97:$AD97,MATCH($H$9,$S$9:$AD$9,0))</f>
        <v>0</v>
      </c>
      <c r="I97" s="76">
        <f t="shared" si="242"/>
        <v>-138851.16666666669</v>
      </c>
      <c r="J97" s="76">
        <f t="shared" si="318"/>
        <v>138851.16666666669</v>
      </c>
      <c r="K97" s="77">
        <f t="shared" si="319"/>
        <v>-1</v>
      </c>
      <c r="L97" s="76">
        <f t="shared" si="293"/>
        <v>0</v>
      </c>
      <c r="M97" s="76">
        <f t="shared" si="320"/>
        <v>0</v>
      </c>
      <c r="N97" s="77">
        <f t="shared" si="321"/>
        <v>0</v>
      </c>
      <c r="O97" s="76">
        <f t="shared" si="247"/>
        <v>0</v>
      </c>
      <c r="P97" s="76">
        <f t="shared" si="322"/>
        <v>0</v>
      </c>
      <c r="Q97" s="77">
        <f t="shared" si="323"/>
        <v>0</v>
      </c>
      <c r="R97" s="78"/>
      <c r="S97" s="76">
        <f>S95-S96</f>
        <v>0</v>
      </c>
      <c r="T97" s="76">
        <f t="shared" ref="T97:AF97" si="329">T95-T96</f>
        <v>0</v>
      </c>
      <c r="U97" s="76">
        <f t="shared" si="329"/>
        <v>0</v>
      </c>
      <c r="V97" s="76">
        <f t="shared" si="329"/>
        <v>0</v>
      </c>
      <c r="W97" s="76">
        <f t="shared" si="329"/>
        <v>0</v>
      </c>
      <c r="X97" s="76">
        <f t="shared" si="329"/>
        <v>0</v>
      </c>
      <c r="Y97" s="76">
        <f t="shared" si="329"/>
        <v>0</v>
      </c>
      <c r="Z97" s="76">
        <f t="shared" si="329"/>
        <v>0</v>
      </c>
      <c r="AA97" s="76">
        <f t="shared" si="329"/>
        <v>0</v>
      </c>
      <c r="AB97" s="76">
        <f t="shared" si="329"/>
        <v>0</v>
      </c>
      <c r="AC97" s="76">
        <f t="shared" si="329"/>
        <v>0</v>
      </c>
      <c r="AD97" s="76">
        <f t="shared" si="329"/>
        <v>0</v>
      </c>
      <c r="AE97" s="76">
        <f>AE95-AE96</f>
        <v>153117.21999999997</v>
      </c>
      <c r="AF97" s="76">
        <f t="shared" si="329"/>
        <v>-109316.16666666667</v>
      </c>
      <c r="AG97" s="76">
        <f t="shared" ref="AG97" si="330">AG95-AG96</f>
        <v>-120558.16666666667</v>
      </c>
      <c r="AH97" s="76">
        <f t="shared" ref="AH97" si="331">AH95-AH96</f>
        <v>-121266.16666666667</v>
      </c>
      <c r="AI97" s="76">
        <f t="shared" ref="AI97" si="332">AI95-AI96</f>
        <v>-110966.16666666667</v>
      </c>
      <c r="AJ97" s="76">
        <f t="shared" ref="AJ97" si="333">AJ95-AJ96</f>
        <v>-109316.16666666667</v>
      </c>
      <c r="AK97" s="76">
        <f t="shared" ref="AK97" si="334">AK95-AK96</f>
        <v>-109866.16666666667</v>
      </c>
      <c r="AL97" s="76">
        <f t="shared" ref="AL97" si="335">AL95-AL96</f>
        <v>-123994.16666666667</v>
      </c>
      <c r="AM97" s="76">
        <f t="shared" ref="AM97" si="336">AM95-AM96</f>
        <v>-114134.16666666667</v>
      </c>
      <c r="AN97" s="76">
        <f t="shared" ref="AN97" si="337">AN95-AN96</f>
        <v>-183478.16666666669</v>
      </c>
      <c r="AO97" s="76">
        <f t="shared" ref="AO97" si="338">AO95-AO96</f>
        <v>-138851.16666666669</v>
      </c>
      <c r="AP97" s="76">
        <f t="shared" ref="AP97" si="339">AP95-AP96</f>
        <v>-136816.16666666669</v>
      </c>
      <c r="AQ97" s="76">
        <f t="shared" ref="AQ97" si="340">AQ95-AQ96</f>
        <v>-115766.16666666667</v>
      </c>
      <c r="AR97" s="76">
        <f t="shared" ref="AR97" si="341">AR95-AR96</f>
        <v>-1494329</v>
      </c>
      <c r="AS97" s="76">
        <f t="shared" si="326"/>
        <v>1647446.22</v>
      </c>
      <c r="AT97" s="77">
        <f t="shared" si="327"/>
        <v>-1.1024655346981822</v>
      </c>
      <c r="AU97" s="76"/>
      <c r="AV97" s="76"/>
      <c r="AW97" s="76"/>
      <c r="AX97" s="76"/>
      <c r="AY97" s="76"/>
      <c r="AZ97" s="76"/>
      <c r="BA97" s="76"/>
      <c r="BB97" s="76"/>
      <c r="BC97" s="76"/>
      <c r="BD97" s="76"/>
      <c r="BE97" s="76"/>
      <c r="BF97" s="76"/>
      <c r="BG97" s="76"/>
      <c r="BH97" s="76"/>
      <c r="BI97" s="77"/>
      <c r="BJ97" s="78"/>
      <c r="BK97" s="76">
        <f t="shared" ref="BK97" si="342">BK95-BK96</f>
        <v>-1494329</v>
      </c>
      <c r="BL97" s="79"/>
      <c r="BM97" s="80"/>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row>
    <row r="98" spans="4:150" s="88" customFormat="1" ht="15" thickBot="1" x14ac:dyDescent="0.35">
      <c r="F98" s="8"/>
      <c r="G98" s="11"/>
      <c r="H98" s="82"/>
      <c r="I98" s="82"/>
      <c r="J98" s="76"/>
      <c r="K98" s="77"/>
      <c r="L98" s="76"/>
      <c r="M98" s="76"/>
      <c r="N98" s="77"/>
      <c r="O98" s="76"/>
      <c r="P98" s="76"/>
      <c r="Q98" s="77"/>
      <c r="R98" s="85"/>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76"/>
      <c r="AT98" s="77"/>
      <c r="AU98" s="82"/>
      <c r="AV98" s="82"/>
      <c r="AW98" s="82"/>
      <c r="AX98" s="82"/>
      <c r="AY98" s="82"/>
      <c r="AZ98" s="82"/>
      <c r="BA98" s="82"/>
      <c r="BB98" s="82"/>
      <c r="BC98" s="82"/>
      <c r="BD98" s="82"/>
      <c r="BE98" s="82"/>
      <c r="BF98" s="82"/>
      <c r="BG98" s="82"/>
      <c r="BH98" s="82"/>
      <c r="BI98" s="84"/>
      <c r="BJ98" s="85"/>
      <c r="BK98" s="82"/>
      <c r="BL98" s="86"/>
      <c r="BM98" s="87"/>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row>
    <row r="99" spans="4:150" s="88" customFormat="1" ht="15" thickBot="1" x14ac:dyDescent="0.35">
      <c r="F99" s="8" t="s">
        <v>436</v>
      </c>
      <c r="G99" s="11"/>
      <c r="H99" s="82"/>
      <c r="I99" s="82"/>
      <c r="J99" s="76"/>
      <c r="K99" s="77"/>
      <c r="L99" s="76"/>
      <c r="M99" s="76"/>
      <c r="N99" s="77"/>
      <c r="O99" s="76"/>
      <c r="P99" s="76"/>
      <c r="Q99" s="77"/>
      <c r="R99" s="85"/>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76"/>
      <c r="AT99" s="77"/>
      <c r="AU99" s="82"/>
      <c r="AV99" s="82"/>
      <c r="AW99" s="82"/>
      <c r="AX99" s="82"/>
      <c r="AY99" s="82"/>
      <c r="AZ99" s="82"/>
      <c r="BA99" s="82"/>
      <c r="BB99" s="82"/>
      <c r="BC99" s="82"/>
      <c r="BD99" s="82"/>
      <c r="BE99" s="82"/>
      <c r="BF99" s="82"/>
      <c r="BG99" s="82"/>
      <c r="BH99" s="82"/>
      <c r="BI99" s="84"/>
      <c r="BJ99" s="85"/>
      <c r="BK99" s="82"/>
      <c r="BL99" s="86"/>
      <c r="BM99" s="87"/>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row>
    <row r="100" spans="4:150" s="81" customFormat="1" ht="15" thickBot="1" x14ac:dyDescent="0.35">
      <c r="D100" s="81">
        <v>2</v>
      </c>
      <c r="F100" s="10" t="s">
        <v>225</v>
      </c>
      <c r="G100" s="9"/>
      <c r="H100" s="82">
        <f>INDEX($S100:$AD100,MATCH($H$9,$S$9:$AD$9,0))</f>
        <v>0</v>
      </c>
      <c r="I100" s="82">
        <f t="shared" ref="I100:I107" si="343">INDEX($AF100:$AQ100,MATCH($I$9,$AF$9:$AQ$9,0))</f>
        <v>91053.666666666672</v>
      </c>
      <c r="J100" s="82">
        <f t="shared" si="318"/>
        <v>-91053.666666666672</v>
      </c>
      <c r="K100" s="84">
        <f t="shared" si="319"/>
        <v>-1</v>
      </c>
      <c r="L100" s="82">
        <f t="shared" si="293"/>
        <v>0</v>
      </c>
      <c r="M100" s="82">
        <f t="shared" si="320"/>
        <v>0</v>
      </c>
      <c r="N100" s="84">
        <f t="shared" si="321"/>
        <v>0</v>
      </c>
      <c r="O100" s="82">
        <f t="shared" si="247"/>
        <v>0</v>
      </c>
      <c r="P100" s="82">
        <f t="shared" si="322"/>
        <v>0</v>
      </c>
      <c r="Q100" s="84">
        <f t="shared" si="323"/>
        <v>0</v>
      </c>
      <c r="R100" s="78"/>
      <c r="S100" s="82">
        <f>S21+S30+S39+S48+S57+S66+S75+S84</f>
        <v>0</v>
      </c>
      <c r="T100" s="82">
        <f t="shared" ref="T100:AD100" si="344">T21+T30+T39+T48+T57+T66+T75+T84</f>
        <v>0</v>
      </c>
      <c r="U100" s="82">
        <f t="shared" si="344"/>
        <v>0</v>
      </c>
      <c r="V100" s="82">
        <f t="shared" si="344"/>
        <v>0</v>
      </c>
      <c r="W100" s="82">
        <f t="shared" si="344"/>
        <v>0</v>
      </c>
      <c r="X100" s="82">
        <f t="shared" si="344"/>
        <v>0</v>
      </c>
      <c r="Y100" s="82">
        <f t="shared" si="344"/>
        <v>0</v>
      </c>
      <c r="Z100" s="82">
        <f t="shared" si="344"/>
        <v>0</v>
      </c>
      <c r="AA100" s="82">
        <f t="shared" si="344"/>
        <v>0</v>
      </c>
      <c r="AB100" s="82">
        <f t="shared" si="344"/>
        <v>0</v>
      </c>
      <c r="AC100" s="82">
        <f t="shared" si="344"/>
        <v>0</v>
      </c>
      <c r="AD100" s="82">
        <f t="shared" si="344"/>
        <v>0</v>
      </c>
      <c r="AE100" s="82">
        <f>AE21+AE30+AE39+AE48+AE57+AE66+AE75+AE84</f>
        <v>367782.04000000004</v>
      </c>
      <c r="AF100" s="82">
        <f t="shared" ref="AF100:AR100" si="345">AF21+AF30+AF39+AF48+AF57+AF66+AF75+AF84</f>
        <v>91053.666666666672</v>
      </c>
      <c r="AG100" s="82">
        <f t="shared" si="345"/>
        <v>91053.666666666672</v>
      </c>
      <c r="AH100" s="82">
        <f t="shared" si="345"/>
        <v>91053.666666666672</v>
      </c>
      <c r="AI100" s="82">
        <f t="shared" si="345"/>
        <v>91053.666666666672</v>
      </c>
      <c r="AJ100" s="82">
        <f t="shared" si="345"/>
        <v>91053.666666666672</v>
      </c>
      <c r="AK100" s="82">
        <f t="shared" si="345"/>
        <v>91053.666666666672</v>
      </c>
      <c r="AL100" s="82">
        <f t="shared" si="345"/>
        <v>91053.666666666672</v>
      </c>
      <c r="AM100" s="82">
        <f t="shared" si="345"/>
        <v>91053.666666666672</v>
      </c>
      <c r="AN100" s="82">
        <f t="shared" si="345"/>
        <v>91053.666666666672</v>
      </c>
      <c r="AO100" s="82">
        <f t="shared" si="345"/>
        <v>91053.666666666672</v>
      </c>
      <c r="AP100" s="82">
        <f t="shared" si="345"/>
        <v>91053.666666666672</v>
      </c>
      <c r="AQ100" s="82">
        <f t="shared" si="345"/>
        <v>91053.666666666672</v>
      </c>
      <c r="AR100" s="76">
        <f t="shared" si="345"/>
        <v>1092644</v>
      </c>
      <c r="AS100" s="76">
        <f t="shared" si="326"/>
        <v>-724861.96</v>
      </c>
      <c r="AT100" s="77">
        <f t="shared" si="327"/>
        <v>-0.66340176672365381</v>
      </c>
      <c r="AU100" s="76"/>
      <c r="AV100" s="76"/>
      <c r="AW100" s="76"/>
      <c r="AX100" s="76"/>
      <c r="AY100" s="76"/>
      <c r="AZ100" s="76"/>
      <c r="BA100" s="76"/>
      <c r="BB100" s="76"/>
      <c r="BC100" s="76"/>
      <c r="BD100" s="76"/>
      <c r="BE100" s="76"/>
      <c r="BF100" s="76"/>
      <c r="BG100" s="76"/>
      <c r="BH100" s="76"/>
      <c r="BI100" s="77"/>
      <c r="BJ100" s="78"/>
      <c r="BK100" s="82">
        <f t="shared" ref="BK100" si="346">BK21+BK30+BK39+BK48+BK57+BK66+BK75+BK84</f>
        <v>1092644</v>
      </c>
      <c r="BL100" s="79"/>
      <c r="BM100" s="80"/>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row>
    <row r="101" spans="4:150" s="81" customFormat="1" ht="15" thickBot="1" x14ac:dyDescent="0.35">
      <c r="D101" s="81">
        <v>1</v>
      </c>
      <c r="F101" s="10" t="s">
        <v>432</v>
      </c>
      <c r="G101" s="9"/>
      <c r="H101" s="82">
        <f t="shared" ref="H101:H107" si="347">INDEX($S101:$AD101,MATCH($H$9,$S$9:$AD$9,0))</f>
        <v>0</v>
      </c>
      <c r="I101" s="82">
        <f t="shared" si="343"/>
        <v>25850</v>
      </c>
      <c r="J101" s="82">
        <f t="shared" si="318"/>
        <v>-25850</v>
      </c>
      <c r="K101" s="84">
        <f t="shared" si="319"/>
        <v>-1</v>
      </c>
      <c r="L101" s="82">
        <f t="shared" si="293"/>
        <v>0</v>
      </c>
      <c r="M101" s="82">
        <f t="shared" si="320"/>
        <v>0</v>
      </c>
      <c r="N101" s="84">
        <f t="shared" si="321"/>
        <v>0</v>
      </c>
      <c r="O101" s="82">
        <f t="shared" si="247"/>
        <v>0</v>
      </c>
      <c r="P101" s="82">
        <f t="shared" si="322"/>
        <v>0</v>
      </c>
      <c r="Q101" s="84">
        <f t="shared" si="323"/>
        <v>0</v>
      </c>
      <c r="R101" s="78"/>
      <c r="S101" s="82">
        <f t="shared" ref="S101:AD107" si="348">S22+S31+S40+S49+S58+S67+S76+S85</f>
        <v>0</v>
      </c>
      <c r="T101" s="82">
        <f t="shared" si="348"/>
        <v>0</v>
      </c>
      <c r="U101" s="82">
        <f t="shared" si="348"/>
        <v>0</v>
      </c>
      <c r="V101" s="82">
        <f t="shared" si="348"/>
        <v>0</v>
      </c>
      <c r="W101" s="82">
        <f t="shared" si="348"/>
        <v>0</v>
      </c>
      <c r="X101" s="82">
        <f t="shared" si="348"/>
        <v>0</v>
      </c>
      <c r="Y101" s="82">
        <f t="shared" si="348"/>
        <v>0</v>
      </c>
      <c r="Z101" s="82">
        <f t="shared" si="348"/>
        <v>0</v>
      </c>
      <c r="AA101" s="82">
        <f t="shared" si="348"/>
        <v>0</v>
      </c>
      <c r="AB101" s="82">
        <f t="shared" si="348"/>
        <v>0</v>
      </c>
      <c r="AC101" s="82">
        <f t="shared" si="348"/>
        <v>0</v>
      </c>
      <c r="AD101" s="82">
        <f t="shared" si="348"/>
        <v>0</v>
      </c>
      <c r="AE101" s="82">
        <f t="shared" ref="AE101:AF101" si="349">AE22+AE31+AE40+AE49+AE58+AE67+AE76+AE85</f>
        <v>19155.720000000005</v>
      </c>
      <c r="AF101" s="82">
        <f t="shared" si="349"/>
        <v>0</v>
      </c>
      <c r="AG101" s="82">
        <f t="shared" ref="AG101:AR101" si="350">AG22+AG31+AG40+AG49+AG58+AG67+AG76+AG85</f>
        <v>10220</v>
      </c>
      <c r="AH101" s="82">
        <f t="shared" si="350"/>
        <v>0</v>
      </c>
      <c r="AI101" s="82">
        <f t="shared" si="350"/>
        <v>0</v>
      </c>
      <c r="AJ101" s="82">
        <f t="shared" si="350"/>
        <v>0</v>
      </c>
      <c r="AK101" s="82">
        <f t="shared" si="350"/>
        <v>0</v>
      </c>
      <c r="AL101" s="82">
        <f t="shared" si="350"/>
        <v>12480</v>
      </c>
      <c r="AM101" s="82">
        <f t="shared" si="350"/>
        <v>4380</v>
      </c>
      <c r="AN101" s="82">
        <f t="shared" si="350"/>
        <v>67420</v>
      </c>
      <c r="AO101" s="82">
        <f t="shared" si="350"/>
        <v>25850</v>
      </c>
      <c r="AP101" s="82">
        <f t="shared" si="350"/>
        <v>0</v>
      </c>
      <c r="AQ101" s="82">
        <f t="shared" si="350"/>
        <v>0</v>
      </c>
      <c r="AR101" s="76">
        <f t="shared" si="350"/>
        <v>120350</v>
      </c>
      <c r="AS101" s="76">
        <f t="shared" si="326"/>
        <v>-101194.28</v>
      </c>
      <c r="AT101" s="77">
        <f t="shared" si="327"/>
        <v>-0.84083323639385121</v>
      </c>
      <c r="AU101" s="76"/>
      <c r="AV101" s="76"/>
      <c r="AW101" s="76"/>
      <c r="AX101" s="76"/>
      <c r="AY101" s="76"/>
      <c r="AZ101" s="76"/>
      <c r="BA101" s="76"/>
      <c r="BB101" s="76"/>
      <c r="BC101" s="76"/>
      <c r="BD101" s="76"/>
      <c r="BE101" s="76"/>
      <c r="BF101" s="76"/>
      <c r="BG101" s="76"/>
      <c r="BH101" s="76"/>
      <c r="BI101" s="77"/>
      <c r="BJ101" s="78"/>
      <c r="BK101" s="82">
        <f t="shared" ref="BK101" si="351">BK22+BK31+BK40+BK49+BK58+BK67+BK76+BK85</f>
        <v>120350</v>
      </c>
      <c r="BL101" s="79"/>
      <c r="BM101" s="80"/>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row>
    <row r="102" spans="4:150" s="81" customFormat="1" ht="15" thickBot="1" x14ac:dyDescent="0.35">
      <c r="D102" s="81">
        <v>3</v>
      </c>
      <c r="F102" s="10" t="s">
        <v>230</v>
      </c>
      <c r="G102" s="9"/>
      <c r="H102" s="82">
        <f t="shared" si="347"/>
        <v>0</v>
      </c>
      <c r="I102" s="82">
        <f t="shared" si="343"/>
        <v>12625</v>
      </c>
      <c r="J102" s="82">
        <f t="shared" si="318"/>
        <v>-12625</v>
      </c>
      <c r="K102" s="84">
        <f t="shared" si="319"/>
        <v>-1</v>
      </c>
      <c r="L102" s="82">
        <f t="shared" si="293"/>
        <v>0</v>
      </c>
      <c r="M102" s="82">
        <f t="shared" si="320"/>
        <v>0</v>
      </c>
      <c r="N102" s="84">
        <f t="shared" si="321"/>
        <v>0</v>
      </c>
      <c r="O102" s="82">
        <f t="shared" si="247"/>
        <v>0</v>
      </c>
      <c r="P102" s="82">
        <f t="shared" si="322"/>
        <v>0</v>
      </c>
      <c r="Q102" s="84">
        <f t="shared" si="323"/>
        <v>0</v>
      </c>
      <c r="R102" s="78"/>
      <c r="S102" s="82">
        <f t="shared" si="348"/>
        <v>0</v>
      </c>
      <c r="T102" s="82">
        <f t="shared" si="348"/>
        <v>0</v>
      </c>
      <c r="U102" s="82">
        <f t="shared" si="348"/>
        <v>0</v>
      </c>
      <c r="V102" s="82">
        <f t="shared" si="348"/>
        <v>0</v>
      </c>
      <c r="W102" s="82">
        <f t="shared" si="348"/>
        <v>0</v>
      </c>
      <c r="X102" s="82">
        <f t="shared" si="348"/>
        <v>0</v>
      </c>
      <c r="Y102" s="82">
        <f t="shared" si="348"/>
        <v>0</v>
      </c>
      <c r="Z102" s="82">
        <f t="shared" si="348"/>
        <v>0</v>
      </c>
      <c r="AA102" s="82">
        <f t="shared" si="348"/>
        <v>0</v>
      </c>
      <c r="AB102" s="82">
        <f t="shared" si="348"/>
        <v>0</v>
      </c>
      <c r="AC102" s="82">
        <f t="shared" si="348"/>
        <v>0</v>
      </c>
      <c r="AD102" s="82">
        <f t="shared" si="348"/>
        <v>0</v>
      </c>
      <c r="AE102" s="82">
        <f t="shared" ref="AE102:AF102" si="352">AE23+AE32+AE41+AE50+AE59+AE68+AE77+AE86</f>
        <v>55130.37</v>
      </c>
      <c r="AF102" s="82">
        <f t="shared" si="352"/>
        <v>12625</v>
      </c>
      <c r="AG102" s="82">
        <f t="shared" ref="AG102:AR102" si="353">AG23+AG32+AG41+AG50+AG59+AG68+AG77+AG86</f>
        <v>12625</v>
      </c>
      <c r="AH102" s="82">
        <f t="shared" si="353"/>
        <v>13025</v>
      </c>
      <c r="AI102" s="82">
        <f t="shared" si="353"/>
        <v>12625</v>
      </c>
      <c r="AJ102" s="82">
        <f t="shared" si="353"/>
        <v>12625</v>
      </c>
      <c r="AK102" s="82">
        <f t="shared" si="353"/>
        <v>12625</v>
      </c>
      <c r="AL102" s="82">
        <f t="shared" si="353"/>
        <v>13025</v>
      </c>
      <c r="AM102" s="82">
        <f t="shared" si="353"/>
        <v>12625</v>
      </c>
      <c r="AN102" s="82">
        <f t="shared" si="353"/>
        <v>12625</v>
      </c>
      <c r="AO102" s="82">
        <f t="shared" si="353"/>
        <v>12625</v>
      </c>
      <c r="AP102" s="82">
        <f t="shared" si="353"/>
        <v>12625</v>
      </c>
      <c r="AQ102" s="82">
        <f t="shared" si="353"/>
        <v>13025</v>
      </c>
      <c r="AR102" s="76">
        <f t="shared" si="353"/>
        <v>152700</v>
      </c>
      <c r="AS102" s="76">
        <f t="shared" si="326"/>
        <v>-97569.63</v>
      </c>
      <c r="AT102" s="77">
        <f t="shared" si="327"/>
        <v>-0.63896286836935168</v>
      </c>
      <c r="AU102" s="76"/>
      <c r="AV102" s="76"/>
      <c r="AW102" s="76"/>
      <c r="AX102" s="76"/>
      <c r="AY102" s="76"/>
      <c r="AZ102" s="76"/>
      <c r="BA102" s="76"/>
      <c r="BB102" s="76"/>
      <c r="BC102" s="76"/>
      <c r="BD102" s="76"/>
      <c r="BE102" s="76"/>
      <c r="BF102" s="76"/>
      <c r="BG102" s="76"/>
      <c r="BH102" s="76"/>
      <c r="BI102" s="77"/>
      <c r="BJ102" s="78"/>
      <c r="BK102" s="82">
        <f t="shared" ref="BK102" si="354">BK23+BK32+BK41+BK50+BK59+BK68+BK77+BK86</f>
        <v>152700</v>
      </c>
      <c r="BL102" s="79"/>
      <c r="BM102" s="80"/>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row>
    <row r="103" spans="4:150" s="81" customFormat="1" ht="15" thickBot="1" x14ac:dyDescent="0.35">
      <c r="D103" s="81">
        <v>4</v>
      </c>
      <c r="F103" s="10" t="s">
        <v>236</v>
      </c>
      <c r="G103" s="9"/>
      <c r="H103" s="82">
        <f t="shared" si="347"/>
        <v>0</v>
      </c>
      <c r="I103" s="82">
        <f t="shared" si="343"/>
        <v>5500</v>
      </c>
      <c r="J103" s="82">
        <f t="shared" si="318"/>
        <v>-5500</v>
      </c>
      <c r="K103" s="84">
        <f t="shared" si="319"/>
        <v>-1</v>
      </c>
      <c r="L103" s="82">
        <f t="shared" si="293"/>
        <v>0</v>
      </c>
      <c r="M103" s="82">
        <f t="shared" si="320"/>
        <v>0</v>
      </c>
      <c r="N103" s="84">
        <f t="shared" si="321"/>
        <v>0</v>
      </c>
      <c r="O103" s="82">
        <f t="shared" si="247"/>
        <v>0</v>
      </c>
      <c r="P103" s="82">
        <f t="shared" si="322"/>
        <v>0</v>
      </c>
      <c r="Q103" s="84">
        <f t="shared" si="323"/>
        <v>0</v>
      </c>
      <c r="R103" s="78"/>
      <c r="S103" s="82">
        <f t="shared" si="348"/>
        <v>0</v>
      </c>
      <c r="T103" s="82">
        <f t="shared" si="348"/>
        <v>0</v>
      </c>
      <c r="U103" s="82">
        <f t="shared" si="348"/>
        <v>0</v>
      </c>
      <c r="V103" s="82">
        <f t="shared" si="348"/>
        <v>0</v>
      </c>
      <c r="W103" s="82">
        <f t="shared" si="348"/>
        <v>0</v>
      </c>
      <c r="X103" s="82">
        <f t="shared" si="348"/>
        <v>0</v>
      </c>
      <c r="Y103" s="82">
        <f t="shared" si="348"/>
        <v>0</v>
      </c>
      <c r="Z103" s="82">
        <f t="shared" si="348"/>
        <v>0</v>
      </c>
      <c r="AA103" s="82">
        <f t="shared" si="348"/>
        <v>0</v>
      </c>
      <c r="AB103" s="82">
        <f t="shared" si="348"/>
        <v>0</v>
      </c>
      <c r="AC103" s="82">
        <f t="shared" si="348"/>
        <v>0</v>
      </c>
      <c r="AD103" s="82">
        <f t="shared" si="348"/>
        <v>0</v>
      </c>
      <c r="AE103" s="82">
        <f t="shared" ref="AE103:AF103" si="355">AE24+AE33+AE42+AE51+AE60+AE69+AE78+AE87</f>
        <v>8213.15</v>
      </c>
      <c r="AF103" s="82">
        <f t="shared" si="355"/>
        <v>5500</v>
      </c>
      <c r="AG103" s="82">
        <f t="shared" ref="AG103:AR103" si="356">AG24+AG33+AG42+AG51+AG60+AG69+AG78+AG87</f>
        <v>5500</v>
      </c>
      <c r="AH103" s="82">
        <f t="shared" si="356"/>
        <v>5500</v>
      </c>
      <c r="AI103" s="82">
        <f t="shared" si="356"/>
        <v>5500</v>
      </c>
      <c r="AJ103" s="82">
        <f t="shared" si="356"/>
        <v>5500</v>
      </c>
      <c r="AK103" s="82">
        <f t="shared" si="356"/>
        <v>5500</v>
      </c>
      <c r="AL103" s="82">
        <f t="shared" si="356"/>
        <v>5500</v>
      </c>
      <c r="AM103" s="82">
        <f t="shared" si="356"/>
        <v>5500</v>
      </c>
      <c r="AN103" s="82">
        <f t="shared" si="356"/>
        <v>5500</v>
      </c>
      <c r="AO103" s="82">
        <f t="shared" si="356"/>
        <v>5500</v>
      </c>
      <c r="AP103" s="82">
        <f t="shared" si="356"/>
        <v>5500</v>
      </c>
      <c r="AQ103" s="82">
        <f t="shared" si="356"/>
        <v>5500</v>
      </c>
      <c r="AR103" s="76">
        <f t="shared" si="356"/>
        <v>66000</v>
      </c>
      <c r="AS103" s="76">
        <f t="shared" si="326"/>
        <v>-57786.85</v>
      </c>
      <c r="AT103" s="77">
        <f t="shared" si="327"/>
        <v>-0.87555833333333333</v>
      </c>
      <c r="AU103" s="76"/>
      <c r="AV103" s="76"/>
      <c r="AW103" s="76"/>
      <c r="AX103" s="76"/>
      <c r="AY103" s="76"/>
      <c r="AZ103" s="76"/>
      <c r="BA103" s="76"/>
      <c r="BB103" s="76"/>
      <c r="BC103" s="76"/>
      <c r="BD103" s="76"/>
      <c r="BE103" s="76"/>
      <c r="BF103" s="76"/>
      <c r="BG103" s="76"/>
      <c r="BH103" s="76"/>
      <c r="BI103" s="77"/>
      <c r="BJ103" s="78"/>
      <c r="BK103" s="82">
        <f t="shared" ref="BK103" si="357">BK24+BK33+BK42+BK51+BK60+BK69+BK78+BK87</f>
        <v>66000</v>
      </c>
      <c r="BL103" s="79"/>
      <c r="BM103" s="80"/>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row>
    <row r="104" spans="4:150" s="81" customFormat="1" ht="15" thickBot="1" x14ac:dyDescent="0.35">
      <c r="D104" s="81">
        <v>5</v>
      </c>
      <c r="F104" s="10" t="s">
        <v>243</v>
      </c>
      <c r="G104" s="9"/>
      <c r="H104" s="82">
        <f t="shared" si="347"/>
        <v>0</v>
      </c>
      <c r="I104" s="82">
        <f t="shared" si="343"/>
        <v>3272.5</v>
      </c>
      <c r="J104" s="82">
        <f t="shared" si="318"/>
        <v>-3272.5</v>
      </c>
      <c r="K104" s="84">
        <f t="shared" si="319"/>
        <v>-1</v>
      </c>
      <c r="L104" s="82">
        <f t="shared" si="293"/>
        <v>0</v>
      </c>
      <c r="M104" s="82">
        <f t="shared" si="320"/>
        <v>0</v>
      </c>
      <c r="N104" s="84">
        <f t="shared" si="321"/>
        <v>0</v>
      </c>
      <c r="O104" s="82">
        <f t="shared" si="247"/>
        <v>0</v>
      </c>
      <c r="P104" s="82">
        <f t="shared" si="322"/>
        <v>0</v>
      </c>
      <c r="Q104" s="84">
        <f t="shared" si="323"/>
        <v>0</v>
      </c>
      <c r="R104" s="78"/>
      <c r="S104" s="82">
        <f t="shared" si="348"/>
        <v>0</v>
      </c>
      <c r="T104" s="82">
        <f t="shared" si="348"/>
        <v>0</v>
      </c>
      <c r="U104" s="82">
        <f t="shared" si="348"/>
        <v>0</v>
      </c>
      <c r="V104" s="82">
        <f t="shared" si="348"/>
        <v>0</v>
      </c>
      <c r="W104" s="82">
        <f t="shared" si="348"/>
        <v>0</v>
      </c>
      <c r="X104" s="82">
        <f t="shared" si="348"/>
        <v>0</v>
      </c>
      <c r="Y104" s="82">
        <f t="shared" si="348"/>
        <v>0</v>
      </c>
      <c r="Z104" s="82">
        <f t="shared" si="348"/>
        <v>0</v>
      </c>
      <c r="AA104" s="82">
        <f t="shared" si="348"/>
        <v>0</v>
      </c>
      <c r="AB104" s="82">
        <f t="shared" si="348"/>
        <v>0</v>
      </c>
      <c r="AC104" s="82">
        <f t="shared" si="348"/>
        <v>0</v>
      </c>
      <c r="AD104" s="82">
        <f t="shared" si="348"/>
        <v>0</v>
      </c>
      <c r="AE104" s="82">
        <f t="shared" ref="AE104:AF104" si="358">AE25+AE34+AE43+AE52+AE61+AE70+AE79+AE88</f>
        <v>4929.24</v>
      </c>
      <c r="AF104" s="82">
        <f t="shared" si="358"/>
        <v>137.5</v>
      </c>
      <c r="AG104" s="82">
        <f t="shared" ref="AG104:AR104" si="359">AG25+AG34+AG43+AG52+AG61+AG70+AG79+AG88</f>
        <v>1159.5</v>
      </c>
      <c r="AH104" s="82">
        <f t="shared" si="359"/>
        <v>137.5</v>
      </c>
      <c r="AI104" s="82">
        <f t="shared" si="359"/>
        <v>1787.5</v>
      </c>
      <c r="AJ104" s="82">
        <f t="shared" si="359"/>
        <v>137.5</v>
      </c>
      <c r="AK104" s="82">
        <f t="shared" si="359"/>
        <v>137.5</v>
      </c>
      <c r="AL104" s="82">
        <f t="shared" si="359"/>
        <v>1935.5</v>
      </c>
      <c r="AM104" s="82">
        <f t="shared" si="359"/>
        <v>575.5</v>
      </c>
      <c r="AN104" s="82">
        <f t="shared" si="359"/>
        <v>6879.5</v>
      </c>
      <c r="AO104" s="82">
        <f t="shared" si="359"/>
        <v>3272.5</v>
      </c>
      <c r="AP104" s="82">
        <f t="shared" si="359"/>
        <v>137.5</v>
      </c>
      <c r="AQ104" s="82">
        <f t="shared" si="359"/>
        <v>687.5</v>
      </c>
      <c r="AR104" s="76">
        <f t="shared" si="359"/>
        <v>16985</v>
      </c>
      <c r="AS104" s="76">
        <f t="shared" si="326"/>
        <v>-12055.76</v>
      </c>
      <c r="AT104" s="77">
        <f t="shared" si="327"/>
        <v>-0.70978863703267592</v>
      </c>
      <c r="AU104" s="76"/>
      <c r="AV104" s="76"/>
      <c r="AW104" s="76"/>
      <c r="AX104" s="76"/>
      <c r="AY104" s="76"/>
      <c r="AZ104" s="76"/>
      <c r="BA104" s="76"/>
      <c r="BB104" s="76"/>
      <c r="BC104" s="76"/>
      <c r="BD104" s="76"/>
      <c r="BE104" s="76"/>
      <c r="BF104" s="76"/>
      <c r="BG104" s="76"/>
      <c r="BH104" s="76"/>
      <c r="BI104" s="77"/>
      <c r="BJ104" s="78"/>
      <c r="BK104" s="82">
        <f t="shared" ref="BK104" si="360">BK25+BK34+BK43+BK52+BK61+BK70+BK79+BK88</f>
        <v>16985</v>
      </c>
      <c r="BL104" s="79"/>
      <c r="BM104" s="80"/>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row>
    <row r="105" spans="4:150" s="88" customFormat="1" ht="15" thickBot="1" x14ac:dyDescent="0.35">
      <c r="D105" s="88">
        <v>6</v>
      </c>
      <c r="F105" s="10" t="s">
        <v>31</v>
      </c>
      <c r="G105" s="11"/>
      <c r="H105" s="82">
        <f t="shared" si="347"/>
        <v>0</v>
      </c>
      <c r="I105" s="82">
        <f t="shared" si="343"/>
        <v>550</v>
      </c>
      <c r="J105" s="82">
        <f t="shared" si="318"/>
        <v>-550</v>
      </c>
      <c r="K105" s="84">
        <f t="shared" si="319"/>
        <v>-1</v>
      </c>
      <c r="L105" s="82">
        <f t="shared" si="293"/>
        <v>0</v>
      </c>
      <c r="M105" s="82">
        <f t="shared" si="320"/>
        <v>0</v>
      </c>
      <c r="N105" s="84">
        <f t="shared" si="321"/>
        <v>0</v>
      </c>
      <c r="O105" s="82">
        <f t="shared" si="247"/>
        <v>0</v>
      </c>
      <c r="P105" s="82">
        <f t="shared" si="322"/>
        <v>0</v>
      </c>
      <c r="Q105" s="84">
        <f t="shared" si="323"/>
        <v>0</v>
      </c>
      <c r="R105" s="85"/>
      <c r="S105" s="82">
        <f t="shared" si="348"/>
        <v>0</v>
      </c>
      <c r="T105" s="82">
        <f t="shared" si="348"/>
        <v>0</v>
      </c>
      <c r="U105" s="82">
        <f t="shared" si="348"/>
        <v>0</v>
      </c>
      <c r="V105" s="82">
        <f t="shared" si="348"/>
        <v>0</v>
      </c>
      <c r="W105" s="82">
        <f t="shared" si="348"/>
        <v>0</v>
      </c>
      <c r="X105" s="82">
        <f t="shared" si="348"/>
        <v>0</v>
      </c>
      <c r="Y105" s="82">
        <f t="shared" si="348"/>
        <v>0</v>
      </c>
      <c r="Z105" s="82">
        <f t="shared" si="348"/>
        <v>0</v>
      </c>
      <c r="AA105" s="82">
        <f t="shared" si="348"/>
        <v>0</v>
      </c>
      <c r="AB105" s="82">
        <f t="shared" si="348"/>
        <v>0</v>
      </c>
      <c r="AC105" s="82">
        <f t="shared" si="348"/>
        <v>0</v>
      </c>
      <c r="AD105" s="82">
        <f t="shared" si="348"/>
        <v>0</v>
      </c>
      <c r="AE105" s="82">
        <f t="shared" ref="AE105:AF105" si="361">AE26+AE35+AE44+AE53+AE62+AE71+AE80+AE89</f>
        <v>31250.370000000003</v>
      </c>
      <c r="AF105" s="82">
        <f t="shared" si="361"/>
        <v>0</v>
      </c>
      <c r="AG105" s="82">
        <f t="shared" ref="AG105:AR105" si="362">AG26+AG35+AG44+AG53+AG62+AG71+AG80+AG89</f>
        <v>0</v>
      </c>
      <c r="AH105" s="82">
        <f t="shared" si="362"/>
        <v>11550</v>
      </c>
      <c r="AI105" s="82">
        <f t="shared" si="362"/>
        <v>0</v>
      </c>
      <c r="AJ105" s="82">
        <f t="shared" si="362"/>
        <v>0</v>
      </c>
      <c r="AK105" s="82">
        <f t="shared" si="362"/>
        <v>550</v>
      </c>
      <c r="AL105" s="82">
        <f t="shared" si="362"/>
        <v>0</v>
      </c>
      <c r="AM105" s="82">
        <f t="shared" si="362"/>
        <v>0</v>
      </c>
      <c r="AN105" s="82">
        <f t="shared" si="362"/>
        <v>0</v>
      </c>
      <c r="AO105" s="82">
        <f t="shared" si="362"/>
        <v>550</v>
      </c>
      <c r="AP105" s="82">
        <f t="shared" si="362"/>
        <v>27500</v>
      </c>
      <c r="AQ105" s="82">
        <f t="shared" si="362"/>
        <v>5500</v>
      </c>
      <c r="AR105" s="76">
        <f t="shared" si="362"/>
        <v>45650</v>
      </c>
      <c r="AS105" s="76">
        <f t="shared" si="326"/>
        <v>-14399.629999999997</v>
      </c>
      <c r="AT105" s="77">
        <f t="shared" si="327"/>
        <v>-0.31543548740416205</v>
      </c>
      <c r="AU105" s="82"/>
      <c r="AV105" s="82"/>
      <c r="AW105" s="82"/>
      <c r="AX105" s="82"/>
      <c r="AY105" s="82"/>
      <c r="AZ105" s="82"/>
      <c r="BA105" s="82"/>
      <c r="BB105" s="82"/>
      <c r="BC105" s="82"/>
      <c r="BD105" s="82"/>
      <c r="BE105" s="82"/>
      <c r="BF105" s="82"/>
      <c r="BG105" s="82"/>
      <c r="BH105" s="82"/>
      <c r="BI105" s="84"/>
      <c r="BJ105" s="85"/>
      <c r="BK105" s="82">
        <f t="shared" ref="BK105" si="363">BK26+BK35+BK44+BK53+BK62+BK71+BK80+BK89</f>
        <v>45650</v>
      </c>
      <c r="BL105" s="86"/>
      <c r="BM105" s="87"/>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row>
    <row r="106" spans="4:150" s="88" customFormat="1" ht="15" thickBot="1" x14ac:dyDescent="0.35">
      <c r="D106" s="88">
        <v>7</v>
      </c>
      <c r="F106" s="10" t="s">
        <v>248</v>
      </c>
      <c r="G106" s="11"/>
      <c r="H106" s="82">
        <f t="shared" si="347"/>
        <v>0</v>
      </c>
      <c r="I106" s="82">
        <f t="shared" si="343"/>
        <v>0</v>
      </c>
      <c r="J106" s="82">
        <f t="shared" si="318"/>
        <v>0</v>
      </c>
      <c r="K106" s="84">
        <f t="shared" si="319"/>
        <v>0</v>
      </c>
      <c r="L106" s="82">
        <f t="shared" si="293"/>
        <v>0</v>
      </c>
      <c r="M106" s="82">
        <f t="shared" si="320"/>
        <v>0</v>
      </c>
      <c r="N106" s="84">
        <f t="shared" si="321"/>
        <v>0</v>
      </c>
      <c r="O106" s="82">
        <f t="shared" si="247"/>
        <v>0</v>
      </c>
      <c r="P106" s="82">
        <f t="shared" si="322"/>
        <v>0</v>
      </c>
      <c r="Q106" s="84">
        <f t="shared" si="323"/>
        <v>0</v>
      </c>
      <c r="R106" s="85"/>
      <c r="S106" s="82">
        <f t="shared" si="348"/>
        <v>0</v>
      </c>
      <c r="T106" s="82">
        <f t="shared" si="348"/>
        <v>0</v>
      </c>
      <c r="U106" s="82">
        <f t="shared" si="348"/>
        <v>0</v>
      </c>
      <c r="V106" s="82">
        <f t="shared" si="348"/>
        <v>0</v>
      </c>
      <c r="W106" s="82">
        <f t="shared" si="348"/>
        <v>0</v>
      </c>
      <c r="X106" s="82">
        <f t="shared" si="348"/>
        <v>0</v>
      </c>
      <c r="Y106" s="82">
        <f t="shared" si="348"/>
        <v>0</v>
      </c>
      <c r="Z106" s="82">
        <f t="shared" si="348"/>
        <v>0</v>
      </c>
      <c r="AA106" s="82">
        <f t="shared" si="348"/>
        <v>0</v>
      </c>
      <c r="AB106" s="82">
        <f t="shared" si="348"/>
        <v>0</v>
      </c>
      <c r="AC106" s="82">
        <f t="shared" si="348"/>
        <v>0</v>
      </c>
      <c r="AD106" s="82">
        <f t="shared" si="348"/>
        <v>0</v>
      </c>
      <c r="AE106" s="82">
        <f t="shared" ref="AE106:AF106" si="364">AE27+AE36+AE45+AE54+AE63+AE72+AE81+AE90</f>
        <v>73852.990000000005</v>
      </c>
      <c r="AF106" s="82">
        <f t="shared" si="364"/>
        <v>0</v>
      </c>
      <c r="AG106" s="82">
        <f t="shared" ref="AG106:AR106" si="365">AG27+AG36+AG45+AG54+AG63+AG72+AG81+AG90</f>
        <v>0</v>
      </c>
      <c r="AH106" s="82">
        <f t="shared" si="365"/>
        <v>0</v>
      </c>
      <c r="AI106" s="82">
        <f t="shared" si="365"/>
        <v>0</v>
      </c>
      <c r="AJ106" s="82">
        <f t="shared" si="365"/>
        <v>0</v>
      </c>
      <c r="AK106" s="82">
        <f t="shared" si="365"/>
        <v>0</v>
      </c>
      <c r="AL106" s="82">
        <f t="shared" si="365"/>
        <v>0</v>
      </c>
      <c r="AM106" s="82">
        <f t="shared" si="365"/>
        <v>0</v>
      </c>
      <c r="AN106" s="82">
        <f t="shared" si="365"/>
        <v>0</v>
      </c>
      <c r="AO106" s="82">
        <f t="shared" si="365"/>
        <v>0</v>
      </c>
      <c r="AP106" s="82">
        <f t="shared" si="365"/>
        <v>0</v>
      </c>
      <c r="AQ106" s="82">
        <f t="shared" si="365"/>
        <v>0</v>
      </c>
      <c r="AR106" s="76">
        <f t="shared" si="365"/>
        <v>0</v>
      </c>
      <c r="AS106" s="76">
        <f t="shared" si="326"/>
        <v>73852.990000000005</v>
      </c>
      <c r="AT106" s="77">
        <f t="shared" si="327"/>
        <v>0</v>
      </c>
      <c r="AU106" s="82"/>
      <c r="AV106" s="82"/>
      <c r="AW106" s="82"/>
      <c r="AX106" s="82"/>
      <c r="AY106" s="82"/>
      <c r="AZ106" s="82"/>
      <c r="BA106" s="82"/>
      <c r="BB106" s="82"/>
      <c r="BC106" s="82"/>
      <c r="BD106" s="82"/>
      <c r="BE106" s="82"/>
      <c r="BF106" s="82"/>
      <c r="BG106" s="82"/>
      <c r="BH106" s="82"/>
      <c r="BI106" s="84"/>
      <c r="BJ106" s="85"/>
      <c r="BK106" s="82">
        <f t="shared" ref="BK106" si="366">BK27+BK36+BK45+BK54+BK63+BK72+BK81+BK90</f>
        <v>0</v>
      </c>
      <c r="BL106" s="86"/>
      <c r="BM106" s="87"/>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row>
    <row r="107" spans="4:150" s="88" customFormat="1" ht="15" thickBot="1" x14ac:dyDescent="0.35">
      <c r="D107" s="88">
        <v>8</v>
      </c>
      <c r="F107" s="10" t="s">
        <v>46</v>
      </c>
      <c r="G107" s="11"/>
      <c r="H107" s="82">
        <f t="shared" si="347"/>
        <v>0</v>
      </c>
      <c r="I107" s="82">
        <f t="shared" si="343"/>
        <v>0</v>
      </c>
      <c r="J107" s="82">
        <f t="shared" si="318"/>
        <v>0</v>
      </c>
      <c r="K107" s="84">
        <f t="shared" si="319"/>
        <v>0</v>
      </c>
      <c r="L107" s="82">
        <f t="shared" si="293"/>
        <v>0</v>
      </c>
      <c r="M107" s="82">
        <f t="shared" si="320"/>
        <v>0</v>
      </c>
      <c r="N107" s="84">
        <f t="shared" si="321"/>
        <v>0</v>
      </c>
      <c r="O107" s="82">
        <f t="shared" si="247"/>
        <v>0</v>
      </c>
      <c r="P107" s="82">
        <f t="shared" si="322"/>
        <v>0</v>
      </c>
      <c r="Q107" s="84">
        <f t="shared" si="323"/>
        <v>0</v>
      </c>
      <c r="R107" s="83"/>
      <c r="S107" s="82">
        <f t="shared" si="348"/>
        <v>0</v>
      </c>
      <c r="T107" s="82">
        <f t="shared" si="348"/>
        <v>0</v>
      </c>
      <c r="U107" s="82">
        <f t="shared" si="348"/>
        <v>0</v>
      </c>
      <c r="V107" s="82">
        <f t="shared" si="348"/>
        <v>0</v>
      </c>
      <c r="W107" s="82">
        <f t="shared" si="348"/>
        <v>0</v>
      </c>
      <c r="X107" s="82">
        <f t="shared" si="348"/>
        <v>0</v>
      </c>
      <c r="Y107" s="82">
        <f t="shared" si="348"/>
        <v>0</v>
      </c>
      <c r="Z107" s="82">
        <f t="shared" si="348"/>
        <v>0</v>
      </c>
      <c r="AA107" s="82">
        <f t="shared" si="348"/>
        <v>0</v>
      </c>
      <c r="AB107" s="82">
        <f t="shared" si="348"/>
        <v>0</v>
      </c>
      <c r="AC107" s="82">
        <f t="shared" si="348"/>
        <v>0</v>
      </c>
      <c r="AD107" s="82">
        <f t="shared" si="348"/>
        <v>0</v>
      </c>
      <c r="AE107" s="82">
        <f t="shared" ref="AE107:AF107" si="367">AE28+AE37+AE46+AE55+AE64+AE73+AE82+AE91</f>
        <v>0</v>
      </c>
      <c r="AF107" s="82">
        <f t="shared" si="367"/>
        <v>0</v>
      </c>
      <c r="AG107" s="82">
        <f t="shared" ref="AG107:AR107" si="368">AG28+AG37+AG46+AG55+AG64+AG73+AG82+AG91</f>
        <v>0</v>
      </c>
      <c r="AH107" s="82">
        <f t="shared" si="368"/>
        <v>0</v>
      </c>
      <c r="AI107" s="82">
        <f t="shared" si="368"/>
        <v>0</v>
      </c>
      <c r="AJ107" s="82">
        <f t="shared" si="368"/>
        <v>0</v>
      </c>
      <c r="AK107" s="82">
        <f t="shared" si="368"/>
        <v>0</v>
      </c>
      <c r="AL107" s="82">
        <f t="shared" si="368"/>
        <v>0</v>
      </c>
      <c r="AM107" s="82">
        <f t="shared" si="368"/>
        <v>0</v>
      </c>
      <c r="AN107" s="82">
        <f t="shared" si="368"/>
        <v>0</v>
      </c>
      <c r="AO107" s="82">
        <f t="shared" si="368"/>
        <v>0</v>
      </c>
      <c r="AP107" s="82">
        <f t="shared" si="368"/>
        <v>0</v>
      </c>
      <c r="AQ107" s="82">
        <f t="shared" si="368"/>
        <v>0</v>
      </c>
      <c r="AR107" s="76">
        <f t="shared" si="368"/>
        <v>0</v>
      </c>
      <c r="AS107" s="76">
        <f t="shared" si="326"/>
        <v>0</v>
      </c>
      <c r="AT107" s="77">
        <f t="shared" si="327"/>
        <v>0</v>
      </c>
      <c r="AU107" s="82"/>
      <c r="AV107" s="82"/>
      <c r="AW107" s="82"/>
      <c r="AX107" s="82"/>
      <c r="AY107" s="82"/>
      <c r="AZ107" s="82"/>
      <c r="BA107" s="82"/>
      <c r="BB107" s="82"/>
      <c r="BC107" s="82"/>
      <c r="BD107" s="82"/>
      <c r="BE107" s="82"/>
      <c r="BF107" s="82"/>
      <c r="BG107" s="82"/>
      <c r="BH107" s="82"/>
      <c r="BI107" s="84"/>
      <c r="BJ107" s="83"/>
      <c r="BK107" s="82">
        <f t="shared" ref="BK107" si="369">BK28+BK37+BK46+BK55+BK64+BK73+BK82+BK91</f>
        <v>0</v>
      </c>
      <c r="BL107" s="87"/>
      <c r="BM107" s="87"/>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row>
    <row r="108" spans="4:150" s="88" customFormat="1" ht="15" thickBot="1" x14ac:dyDescent="0.35">
      <c r="F108" s="8"/>
      <c r="G108" s="11"/>
      <c r="H108" s="82">
        <f>SUM(H100:H107)-H96</f>
        <v>0</v>
      </c>
      <c r="I108" s="82">
        <f>SUM(I100:I107)-I96</f>
        <v>0</v>
      </c>
      <c r="J108" s="82">
        <f t="shared" si="318"/>
        <v>0</v>
      </c>
      <c r="K108" s="84">
        <f t="shared" si="319"/>
        <v>0</v>
      </c>
      <c r="L108" s="82">
        <f t="shared" si="293"/>
        <v>0</v>
      </c>
      <c r="M108" s="82">
        <f t="shared" si="320"/>
        <v>0</v>
      </c>
      <c r="N108" s="84">
        <f t="shared" si="321"/>
        <v>0</v>
      </c>
      <c r="O108" s="82">
        <f t="shared" si="247"/>
        <v>0</v>
      </c>
      <c r="P108" s="82">
        <f t="shared" si="322"/>
        <v>0</v>
      </c>
      <c r="Q108" s="84">
        <f t="shared" si="323"/>
        <v>0</v>
      </c>
      <c r="R108" s="83"/>
      <c r="S108" s="82">
        <f>SUM(S100:S107)-S96</f>
        <v>0</v>
      </c>
      <c r="T108" s="82">
        <f t="shared" ref="T108:AD108" si="370">SUM(T100:T107)-T96</f>
        <v>0</v>
      </c>
      <c r="U108" s="82">
        <f t="shared" si="370"/>
        <v>0</v>
      </c>
      <c r="V108" s="82">
        <f t="shared" si="370"/>
        <v>0</v>
      </c>
      <c r="W108" s="82">
        <f t="shared" si="370"/>
        <v>0</v>
      </c>
      <c r="X108" s="82">
        <f t="shared" si="370"/>
        <v>0</v>
      </c>
      <c r="Y108" s="82">
        <f t="shared" si="370"/>
        <v>0</v>
      </c>
      <c r="Z108" s="82">
        <f t="shared" si="370"/>
        <v>0</v>
      </c>
      <c r="AA108" s="82">
        <f t="shared" si="370"/>
        <v>0</v>
      </c>
      <c r="AB108" s="82">
        <f t="shared" si="370"/>
        <v>0</v>
      </c>
      <c r="AC108" s="82">
        <f t="shared" si="370"/>
        <v>0</v>
      </c>
      <c r="AD108" s="82">
        <f t="shared" si="370"/>
        <v>0</v>
      </c>
      <c r="AE108" s="82"/>
      <c r="AF108" s="82">
        <f>SUM(AF100:AF107)-AF96</f>
        <v>0</v>
      </c>
      <c r="AG108" s="82">
        <f t="shared" ref="AG108:AR108" si="371">SUM(AG100:AG107)-AG96</f>
        <v>0</v>
      </c>
      <c r="AH108" s="82">
        <f t="shared" si="371"/>
        <v>0</v>
      </c>
      <c r="AI108" s="82">
        <f t="shared" si="371"/>
        <v>0</v>
      </c>
      <c r="AJ108" s="82">
        <f t="shared" si="371"/>
        <v>0</v>
      </c>
      <c r="AK108" s="82">
        <f t="shared" si="371"/>
        <v>0</v>
      </c>
      <c r="AL108" s="82">
        <f t="shared" si="371"/>
        <v>0</v>
      </c>
      <c r="AM108" s="82">
        <f t="shared" si="371"/>
        <v>0</v>
      </c>
      <c r="AN108" s="82">
        <f t="shared" si="371"/>
        <v>0</v>
      </c>
      <c r="AO108" s="82">
        <f t="shared" si="371"/>
        <v>0</v>
      </c>
      <c r="AP108" s="82">
        <f t="shared" si="371"/>
        <v>0</v>
      </c>
      <c r="AQ108" s="82">
        <f t="shared" si="371"/>
        <v>0</v>
      </c>
      <c r="AR108" s="82">
        <f t="shared" si="371"/>
        <v>0</v>
      </c>
      <c r="AS108" s="82"/>
      <c r="AT108" s="84"/>
      <c r="AU108" s="82"/>
      <c r="AV108" s="82"/>
      <c r="AW108" s="82"/>
      <c r="AX108" s="82"/>
      <c r="AY108" s="82"/>
      <c r="AZ108" s="82"/>
      <c r="BA108" s="82"/>
      <c r="BB108" s="82"/>
      <c r="BC108" s="82"/>
      <c r="BD108" s="82"/>
      <c r="BE108" s="82"/>
      <c r="BF108" s="82"/>
      <c r="BG108" s="82"/>
      <c r="BH108" s="82"/>
      <c r="BI108" s="84"/>
      <c r="BJ108" s="83"/>
      <c r="BK108" s="82">
        <f t="shared" ref="BK108" si="372">SUM(BK100:BK107)-BK96</f>
        <v>0</v>
      </c>
      <c r="BL108" s="87"/>
      <c r="BM108" s="87"/>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row>
    <row r="109" spans="4:150" s="81" customFormat="1" ht="15" thickBot="1" x14ac:dyDescent="0.35">
      <c r="F109" s="8"/>
      <c r="G109" s="9"/>
      <c r="H109" s="89"/>
      <c r="I109" s="89"/>
      <c r="J109" s="76"/>
      <c r="K109" s="77"/>
      <c r="L109" s="76"/>
      <c r="M109" s="76"/>
      <c r="N109" s="77"/>
      <c r="O109" s="76"/>
      <c r="P109" s="76"/>
      <c r="Q109" s="77"/>
      <c r="R109" s="90"/>
      <c r="S109" s="189"/>
      <c r="T109" s="189"/>
      <c r="U109" s="189"/>
      <c r="V109" s="189"/>
      <c r="W109" s="189"/>
      <c r="X109" s="189"/>
      <c r="Y109" s="189"/>
      <c r="Z109" s="189"/>
      <c r="AA109" s="189"/>
      <c r="AB109" s="189"/>
      <c r="AC109" s="189"/>
      <c r="AD109" s="189"/>
      <c r="AE109" s="189"/>
      <c r="AF109" s="189"/>
      <c r="AG109" s="189"/>
      <c r="AH109" s="189"/>
      <c r="AI109" s="189"/>
      <c r="AJ109" s="189"/>
      <c r="AK109" s="189"/>
      <c r="AL109" s="189"/>
      <c r="AM109" s="189"/>
      <c r="AN109" s="189"/>
      <c r="AO109" s="189"/>
      <c r="AP109" s="189"/>
      <c r="AQ109" s="189"/>
      <c r="AR109" s="89"/>
      <c r="AS109" s="89"/>
      <c r="AT109" s="77"/>
      <c r="AU109" s="76"/>
      <c r="AV109" s="76"/>
      <c r="AW109" s="89"/>
      <c r="AX109" s="89"/>
      <c r="AY109" s="89"/>
      <c r="AZ109" s="89"/>
      <c r="BA109" s="89"/>
      <c r="BB109" s="89"/>
      <c r="BC109" s="89"/>
      <c r="BD109" s="89"/>
      <c r="BE109" s="89"/>
      <c r="BF109" s="89"/>
      <c r="BG109" s="89"/>
      <c r="BH109" s="89"/>
      <c r="BI109" s="77"/>
      <c r="BJ109" s="90"/>
      <c r="BK109" s="189"/>
      <c r="BL109" s="91"/>
      <c r="BM109" s="80"/>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row>
    <row r="110" spans="4:150" s="81" customFormat="1" ht="15" thickBot="1" x14ac:dyDescent="0.35">
      <c r="F110" s="8"/>
      <c r="G110" s="9"/>
      <c r="H110" s="89"/>
      <c r="I110" s="89"/>
      <c r="J110" s="90"/>
      <c r="K110" s="77"/>
      <c r="L110" s="89"/>
      <c r="M110" s="90"/>
      <c r="N110" s="77"/>
      <c r="O110" s="89"/>
      <c r="P110" s="90"/>
      <c r="Q110" s="77"/>
      <c r="R110" s="90"/>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77"/>
      <c r="AU110" s="76"/>
      <c r="AV110" s="76"/>
      <c r="AW110" s="89"/>
      <c r="AX110" s="89"/>
      <c r="AY110" s="89"/>
      <c r="AZ110" s="89"/>
      <c r="BA110" s="89"/>
      <c r="BB110" s="89"/>
      <c r="BC110" s="89"/>
      <c r="BD110" s="89"/>
      <c r="BE110" s="89"/>
      <c r="BF110" s="89"/>
      <c r="BG110" s="89"/>
      <c r="BH110" s="89"/>
      <c r="BI110" s="77"/>
      <c r="BJ110" s="90"/>
      <c r="BK110" s="89"/>
      <c r="BL110" s="91"/>
      <c r="BM110" s="80"/>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row>
    <row r="111" spans="4:150" s="75" customFormat="1" ht="15.75" customHeight="1" thickBot="1" x14ac:dyDescent="0.35">
      <c r="F111" s="101"/>
      <c r="G111" s="13"/>
      <c r="H111" s="258"/>
      <c r="I111" s="259"/>
      <c r="J111" s="259"/>
      <c r="K111" s="259"/>
      <c r="L111" s="259"/>
      <c r="M111" s="259"/>
      <c r="N111" s="259"/>
      <c r="O111" s="259"/>
      <c r="P111" s="259"/>
      <c r="Q111" s="259"/>
      <c r="R111" s="259"/>
      <c r="S111" s="259"/>
      <c r="T111" s="259"/>
      <c r="U111" s="259"/>
      <c r="V111" s="259"/>
      <c r="W111" s="259"/>
      <c r="X111" s="259"/>
      <c r="Y111" s="259"/>
      <c r="Z111" s="259"/>
      <c r="AA111" s="259"/>
      <c r="AB111" s="259"/>
      <c r="AC111" s="259"/>
      <c r="AD111" s="259"/>
      <c r="AE111" s="259"/>
      <c r="AF111" s="259"/>
      <c r="AG111" s="259"/>
      <c r="AH111" s="259"/>
      <c r="AI111" s="259"/>
      <c r="AJ111" s="259"/>
      <c r="AK111" s="259"/>
      <c r="AL111" s="259"/>
      <c r="AM111" s="259"/>
      <c r="AN111" s="259"/>
      <c r="AO111" s="259"/>
      <c r="AP111" s="259"/>
      <c r="AQ111" s="259"/>
      <c r="AR111" s="259"/>
      <c r="AS111" s="259"/>
      <c r="AT111" s="259"/>
      <c r="AU111" s="259"/>
      <c r="AV111" s="259"/>
      <c r="AW111" s="259"/>
      <c r="AX111" s="259"/>
      <c r="AY111" s="259"/>
      <c r="AZ111" s="259"/>
      <c r="BA111" s="259"/>
      <c r="BB111" s="259"/>
      <c r="BC111" s="259"/>
      <c r="BD111" s="259"/>
      <c r="BE111" s="259"/>
      <c r="BF111" s="259"/>
      <c r="BG111" s="259"/>
      <c r="BH111" s="259"/>
      <c r="BI111" s="259"/>
      <c r="BJ111" s="259"/>
      <c r="BK111" s="259"/>
      <c r="BL111" s="74"/>
      <c r="BM111" s="74"/>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row>
    <row r="112" spans="4:150" s="1" customFormat="1" x14ac:dyDescent="0.3">
      <c r="F112" s="12"/>
      <c r="G112" s="13"/>
      <c r="H112" s="4"/>
      <c r="I112" s="4"/>
      <c r="J112" s="4"/>
      <c r="K112" s="4"/>
      <c r="L112" s="4"/>
      <c r="M112" s="4"/>
      <c r="N112" s="4"/>
      <c r="O112" s="4"/>
      <c r="P112" s="4"/>
      <c r="Q112" s="4"/>
      <c r="R112" s="4"/>
      <c r="S112" s="4"/>
      <c r="T112" s="4"/>
      <c r="U112" s="1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row>
    <row r="113" spans="6:65" s="1" customFormat="1" ht="9" customHeight="1" thickBot="1" x14ac:dyDescent="0.35">
      <c r="F113" s="15" t="s">
        <v>90</v>
      </c>
      <c r="G113" s="13"/>
      <c r="H113" s="250" t="s">
        <v>91</v>
      </c>
      <c r="I113" s="250"/>
      <c r="J113" s="250"/>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row>
    <row r="114" spans="6:65" s="1" customFormat="1" ht="15" thickBot="1" x14ac:dyDescent="0.35">
      <c r="F114" s="16"/>
      <c r="G114" s="142"/>
      <c r="H114" s="250" t="s">
        <v>92</v>
      </c>
      <c r="I114" s="250"/>
      <c r="J114" s="250"/>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row>
    <row r="115" spans="6:65" s="1" customFormat="1" ht="15" thickBot="1" x14ac:dyDescent="0.35">
      <c r="F115" s="16"/>
      <c r="G115" s="143"/>
      <c r="H115" s="250" t="s">
        <v>93</v>
      </c>
      <c r="I115" s="250"/>
      <c r="J115" s="250"/>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row>
    <row r="116" spans="6:65" s="1" customFormat="1" ht="15" thickBot="1" x14ac:dyDescent="0.35">
      <c r="G116" s="89"/>
      <c r="H116" s="1" t="s">
        <v>94</v>
      </c>
    </row>
    <row r="117" spans="6:65" s="1" customFormat="1" x14ac:dyDescent="0.3"/>
    <row r="118" spans="6:65" s="1" customFormat="1" x14ac:dyDescent="0.3"/>
    <row r="119" spans="6:65" s="1" customFormat="1" x14ac:dyDescent="0.3"/>
    <row r="120" spans="6:65" s="1" customFormat="1" ht="13.5" customHeight="1" thickBot="1" x14ac:dyDescent="0.35">
      <c r="F120" s="131"/>
      <c r="G120" s="17"/>
      <c r="H120" s="251" t="s">
        <v>100</v>
      </c>
      <c r="I120" s="252"/>
      <c r="J120" s="252"/>
      <c r="K120" s="252"/>
      <c r="L120" s="252"/>
      <c r="M120" s="252"/>
      <c r="N120" s="252"/>
      <c r="O120" s="252"/>
      <c r="P120" s="252"/>
      <c r="Q120" s="252"/>
      <c r="R120" s="252"/>
      <c r="S120" s="252"/>
      <c r="T120" s="252"/>
      <c r="U120" s="252"/>
      <c r="V120" s="252"/>
      <c r="W120" s="252"/>
      <c r="X120" s="252"/>
      <c r="Y120" s="252"/>
      <c r="Z120" s="252"/>
      <c r="AA120" s="252"/>
      <c r="AB120" s="252"/>
      <c r="AC120" s="252"/>
      <c r="AD120" s="252"/>
      <c r="AE120" s="252"/>
      <c r="AF120" s="252"/>
      <c r="AG120" s="252"/>
      <c r="AH120" s="252"/>
      <c r="AI120" s="252"/>
      <c r="AJ120" s="252"/>
      <c r="AK120" s="252"/>
      <c r="AL120" s="252"/>
      <c r="AM120" s="252"/>
      <c r="AN120" s="252"/>
      <c r="AO120" s="252"/>
      <c r="AP120" s="252"/>
      <c r="AQ120" s="252"/>
      <c r="AR120" s="252"/>
      <c r="AS120" s="252"/>
      <c r="AT120" s="252"/>
      <c r="AU120" s="252"/>
      <c r="AV120" s="252"/>
      <c r="AW120" s="252"/>
      <c r="AX120" s="252"/>
      <c r="AY120" s="252"/>
      <c r="AZ120" s="252"/>
      <c r="BA120" s="252"/>
      <c r="BB120" s="252"/>
      <c r="BC120" s="252"/>
      <c r="BD120" s="252"/>
      <c r="BE120" s="252"/>
      <c r="BF120" s="252"/>
      <c r="BG120" s="252"/>
      <c r="BH120" s="252"/>
      <c r="BI120" s="252"/>
      <c r="BJ120" s="252"/>
      <c r="BK120" s="252"/>
      <c r="BL120" s="252"/>
      <c r="BM120" s="253"/>
    </row>
    <row r="121" spans="6:65" s="1" customFormat="1" ht="15.75" customHeight="1" thickBot="1" x14ac:dyDescent="0.35">
      <c r="F121" s="18"/>
      <c r="G121" s="17"/>
      <c r="H121" s="254"/>
      <c r="I121" s="255"/>
      <c r="J121" s="255"/>
      <c r="K121" s="255"/>
      <c r="L121" s="255"/>
      <c r="M121" s="255"/>
      <c r="N121" s="255"/>
      <c r="O121" s="255"/>
      <c r="P121" s="255"/>
      <c r="Q121" s="255"/>
      <c r="R121" s="255"/>
      <c r="S121" s="255"/>
      <c r="T121" s="255"/>
      <c r="U121" s="255"/>
      <c r="V121" s="255"/>
      <c r="W121" s="255"/>
      <c r="X121" s="255"/>
      <c r="Y121" s="255"/>
      <c r="Z121" s="255"/>
      <c r="AA121" s="255"/>
      <c r="AB121" s="255"/>
      <c r="AC121" s="255"/>
      <c r="AD121" s="255"/>
      <c r="AE121" s="255"/>
      <c r="AF121" s="255"/>
      <c r="AG121" s="255"/>
      <c r="AH121" s="255"/>
      <c r="AI121" s="255"/>
      <c r="AJ121" s="255"/>
      <c r="AK121" s="255"/>
      <c r="AL121" s="255"/>
      <c r="AM121" s="255"/>
      <c r="AN121" s="255"/>
      <c r="AO121" s="255"/>
      <c r="AP121" s="255"/>
      <c r="AQ121" s="255"/>
      <c r="AR121" s="255"/>
      <c r="AS121" s="255"/>
      <c r="AT121" s="255"/>
      <c r="AU121" s="255"/>
      <c r="AV121" s="255"/>
      <c r="AW121" s="255"/>
      <c r="AX121" s="255"/>
      <c r="AY121" s="255"/>
      <c r="AZ121" s="255"/>
      <c r="BA121" s="255"/>
      <c r="BB121" s="255"/>
      <c r="BC121" s="255"/>
      <c r="BD121" s="255"/>
      <c r="BE121" s="255"/>
      <c r="BF121" s="255"/>
      <c r="BG121" s="255"/>
      <c r="BH121" s="255"/>
      <c r="BI121" s="255"/>
      <c r="BJ121" s="255"/>
      <c r="BK121" s="255"/>
      <c r="BL121" s="255"/>
      <c r="BM121" s="255"/>
    </row>
    <row r="122" spans="6:65" s="1" customFormat="1" ht="41.25" customHeight="1" thickBot="1" x14ac:dyDescent="0.35">
      <c r="F122" s="19"/>
      <c r="G122" s="17"/>
      <c r="H122" s="247"/>
      <c r="I122" s="248"/>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c r="AX122" s="248"/>
      <c r="AY122" s="248"/>
      <c r="AZ122" s="248"/>
      <c r="BA122" s="248"/>
      <c r="BB122" s="248"/>
      <c r="BC122" s="248"/>
      <c r="BD122" s="248"/>
      <c r="BE122" s="248"/>
      <c r="BF122" s="248"/>
      <c r="BG122" s="248"/>
      <c r="BH122" s="248"/>
      <c r="BI122" s="248"/>
      <c r="BJ122" s="248"/>
      <c r="BK122" s="248"/>
      <c r="BL122" s="248"/>
      <c r="BM122" s="249"/>
    </row>
    <row r="123" spans="6:65" s="1" customFormat="1" ht="24.75" customHeight="1" thickBot="1" x14ac:dyDescent="0.35">
      <c r="F123" s="19"/>
      <c r="G123" s="17"/>
      <c r="H123" s="247"/>
      <c r="I123" s="248"/>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9"/>
    </row>
    <row r="124" spans="6:65" s="1" customFormat="1" ht="27" customHeight="1" thickBot="1" x14ac:dyDescent="0.35">
      <c r="F124" s="19"/>
      <c r="G124" s="17"/>
      <c r="H124" s="247"/>
      <c r="I124" s="248"/>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c r="AX124" s="248"/>
      <c r="AY124" s="248"/>
      <c r="AZ124" s="248"/>
      <c r="BA124" s="248"/>
      <c r="BB124" s="248"/>
      <c r="BC124" s="248"/>
      <c r="BD124" s="248"/>
      <c r="BE124" s="248"/>
      <c r="BF124" s="248"/>
      <c r="BG124" s="248"/>
      <c r="BH124" s="248"/>
      <c r="BI124" s="248"/>
      <c r="BJ124" s="248"/>
      <c r="BK124" s="248"/>
      <c r="BL124" s="248"/>
      <c r="BM124" s="249"/>
    </row>
    <row r="125" spans="6:65" s="1" customFormat="1" ht="14.1" customHeight="1" thickBot="1" x14ac:dyDescent="0.35">
      <c r="F125" s="19"/>
      <c r="G125" s="17"/>
      <c r="H125" s="247"/>
      <c r="I125" s="248"/>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c r="AX125" s="248"/>
      <c r="AY125" s="248"/>
      <c r="AZ125" s="248"/>
      <c r="BA125" s="248"/>
      <c r="BB125" s="248"/>
      <c r="BC125" s="248"/>
      <c r="BD125" s="248"/>
      <c r="BE125" s="248"/>
      <c r="BF125" s="248"/>
      <c r="BG125" s="248"/>
      <c r="BH125" s="248"/>
      <c r="BI125" s="248"/>
      <c r="BJ125" s="248"/>
      <c r="BK125" s="248"/>
      <c r="BL125" s="248"/>
      <c r="BM125" s="249"/>
    </row>
    <row r="126" spans="6:65" s="1" customFormat="1" ht="13.5" customHeight="1" thickBot="1" x14ac:dyDescent="0.35">
      <c r="F126" s="19"/>
      <c r="G126" s="17"/>
      <c r="H126" s="247"/>
      <c r="I126" s="248"/>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c r="AX126" s="248"/>
      <c r="AY126" s="248"/>
      <c r="AZ126" s="248"/>
      <c r="BA126" s="248"/>
      <c r="BB126" s="248"/>
      <c r="BC126" s="248"/>
      <c r="BD126" s="248"/>
      <c r="BE126" s="248"/>
      <c r="BF126" s="248"/>
      <c r="BG126" s="248"/>
      <c r="BH126" s="248"/>
      <c r="BI126" s="248"/>
      <c r="BJ126" s="248"/>
      <c r="BK126" s="248"/>
      <c r="BL126" s="248"/>
      <c r="BM126" s="249"/>
    </row>
    <row r="127" spans="6:65" s="1" customFormat="1" ht="14.1" customHeight="1" thickBot="1" x14ac:dyDescent="0.35">
      <c r="F127" s="19"/>
      <c r="G127" s="17"/>
      <c r="H127" s="247"/>
      <c r="I127" s="248"/>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c r="AX127" s="248"/>
      <c r="AY127" s="248"/>
      <c r="AZ127" s="248"/>
      <c r="BA127" s="248"/>
      <c r="BB127" s="248"/>
      <c r="BC127" s="248"/>
      <c r="BD127" s="248"/>
      <c r="BE127" s="248"/>
      <c r="BF127" s="248"/>
      <c r="BG127" s="248"/>
      <c r="BH127" s="248"/>
      <c r="BI127" s="248"/>
      <c r="BJ127" s="248"/>
      <c r="BK127" s="248"/>
      <c r="BL127" s="248"/>
      <c r="BM127" s="249"/>
    </row>
    <row r="128" spans="6:65" s="1" customFormat="1" ht="14.1" customHeight="1" thickBot="1" x14ac:dyDescent="0.35">
      <c r="F128" s="19"/>
      <c r="G128" s="17"/>
      <c r="H128" s="247"/>
      <c r="I128" s="248"/>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c r="AX128" s="248"/>
      <c r="AY128" s="248"/>
      <c r="AZ128" s="248"/>
      <c r="BA128" s="248"/>
      <c r="BB128" s="248"/>
      <c r="BC128" s="248"/>
      <c r="BD128" s="248"/>
      <c r="BE128" s="248"/>
      <c r="BF128" s="248"/>
      <c r="BG128" s="248"/>
      <c r="BH128" s="248"/>
      <c r="BI128" s="248"/>
      <c r="BJ128" s="248"/>
      <c r="BK128" s="248"/>
      <c r="BL128" s="248"/>
      <c r="BM128" s="249"/>
    </row>
    <row r="129" spans="6:65" s="1" customFormat="1" ht="28.5" customHeight="1" thickBot="1" x14ac:dyDescent="0.35">
      <c r="F129" s="19"/>
      <c r="G129" s="17"/>
      <c r="H129" s="247"/>
      <c r="I129" s="248"/>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9"/>
    </row>
    <row r="130" spans="6:65" s="1" customFormat="1" ht="28.5" customHeight="1" thickBot="1" x14ac:dyDescent="0.35">
      <c r="F130" s="19"/>
      <c r="G130" s="17"/>
      <c r="H130" s="247"/>
      <c r="I130" s="248"/>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c r="AX130" s="248"/>
      <c r="AY130" s="248"/>
      <c r="AZ130" s="248"/>
      <c r="BA130" s="248"/>
      <c r="BB130" s="248"/>
      <c r="BC130" s="248"/>
      <c r="BD130" s="248"/>
      <c r="BE130" s="248"/>
      <c r="BF130" s="248"/>
      <c r="BG130" s="248"/>
      <c r="BH130" s="248"/>
      <c r="BI130" s="248"/>
      <c r="BJ130" s="248"/>
      <c r="BK130" s="248"/>
      <c r="BL130" s="248"/>
      <c r="BM130" s="249"/>
    </row>
    <row r="131" spans="6:65" s="1" customFormat="1" ht="14.1" customHeight="1" thickBot="1" x14ac:dyDescent="0.35">
      <c r="F131" s="19"/>
      <c r="G131" s="17"/>
      <c r="H131" s="247"/>
      <c r="I131" s="248"/>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c r="AX131" s="248"/>
      <c r="AY131" s="248"/>
      <c r="AZ131" s="248"/>
      <c r="BA131" s="248"/>
      <c r="BB131" s="248"/>
      <c r="BC131" s="248"/>
      <c r="BD131" s="248"/>
      <c r="BE131" s="248"/>
      <c r="BF131" s="248"/>
      <c r="BG131" s="248"/>
      <c r="BH131" s="248"/>
      <c r="BI131" s="248"/>
      <c r="BJ131" s="248"/>
      <c r="BK131" s="248"/>
      <c r="BL131" s="248"/>
      <c r="BM131" s="249"/>
    </row>
    <row r="132" spans="6:65" s="1" customFormat="1" x14ac:dyDescent="0.3"/>
    <row r="133" spans="6:65" s="1" customFormat="1" x14ac:dyDescent="0.3"/>
    <row r="134" spans="6:65" s="1" customFormat="1" x14ac:dyDescent="0.3"/>
    <row r="135" spans="6:65" s="1" customFormat="1" x14ac:dyDescent="0.3"/>
    <row r="136" spans="6:65" s="1" customFormat="1" x14ac:dyDescent="0.3"/>
    <row r="137" spans="6:65" s="1" customFormat="1" x14ac:dyDescent="0.3"/>
    <row r="138" spans="6:65" s="1" customFormat="1" x14ac:dyDescent="0.3"/>
    <row r="139" spans="6:65" s="1" customFormat="1" x14ac:dyDescent="0.3"/>
    <row r="140" spans="6:65" s="1" customFormat="1" x14ac:dyDescent="0.3"/>
    <row r="141" spans="6:65" s="1" customFormat="1" x14ac:dyDescent="0.3"/>
    <row r="142" spans="6:65" s="1" customFormat="1" x14ac:dyDescent="0.3"/>
    <row r="143" spans="6:65" s="1" customFormat="1" x14ac:dyDescent="0.3"/>
    <row r="144" spans="6:65" s="1" customFormat="1" x14ac:dyDescent="0.3"/>
    <row r="145" s="1" customFormat="1" x14ac:dyDescent="0.3"/>
    <row r="146" s="1" customFormat="1" x14ac:dyDescent="0.3"/>
    <row r="147" s="1" customFormat="1" x14ac:dyDescent="0.3"/>
    <row r="148" s="1" customFormat="1" x14ac:dyDescent="0.3"/>
    <row r="149" s="1" customFormat="1" x14ac:dyDescent="0.3"/>
    <row r="150" s="1" customFormat="1" x14ac:dyDescent="0.3"/>
    <row r="151" s="1" customFormat="1" x14ac:dyDescent="0.3"/>
    <row r="152" s="1" customFormat="1" x14ac:dyDescent="0.3"/>
    <row r="153" s="1" customFormat="1" x14ac:dyDescent="0.3"/>
    <row r="154" s="1" customFormat="1" x14ac:dyDescent="0.3"/>
    <row r="155" s="1" customFormat="1" x14ac:dyDescent="0.3"/>
    <row r="156" s="1" customFormat="1" x14ac:dyDescent="0.3"/>
    <row r="157" s="1" customFormat="1" x14ac:dyDescent="0.3"/>
    <row r="158" s="1" customFormat="1" x14ac:dyDescent="0.3"/>
    <row r="159" s="1" customFormat="1" x14ac:dyDescent="0.3"/>
    <row r="160" s="1" customFormat="1" x14ac:dyDescent="0.3"/>
    <row r="161" s="1" customFormat="1" x14ac:dyDescent="0.3"/>
    <row r="162" s="1" customFormat="1" x14ac:dyDescent="0.3"/>
    <row r="163" s="1" customFormat="1" x14ac:dyDescent="0.3"/>
    <row r="164" s="1" customFormat="1" x14ac:dyDescent="0.3"/>
    <row r="165" s="1" customFormat="1" x14ac:dyDescent="0.3"/>
    <row r="166" s="1" customFormat="1" x14ac:dyDescent="0.3"/>
    <row r="167" s="1" customFormat="1" x14ac:dyDescent="0.3"/>
    <row r="168" s="1" customFormat="1" x14ac:dyDescent="0.3"/>
    <row r="169" s="1" customFormat="1" x14ac:dyDescent="0.3"/>
    <row r="170" s="1" customFormat="1" x14ac:dyDescent="0.3"/>
    <row r="171" s="1" customFormat="1" x14ac:dyDescent="0.3"/>
    <row r="172" s="1" customFormat="1" x14ac:dyDescent="0.3"/>
    <row r="173" s="1" customFormat="1" x14ac:dyDescent="0.3"/>
    <row r="174" s="1" customFormat="1" x14ac:dyDescent="0.3"/>
    <row r="175" s="1" customFormat="1" x14ac:dyDescent="0.3"/>
    <row r="176" s="1" customFormat="1" x14ac:dyDescent="0.3"/>
    <row r="177" s="1" customFormat="1" x14ac:dyDescent="0.3"/>
    <row r="178" s="1" customFormat="1" x14ac:dyDescent="0.3"/>
    <row r="179" s="1" customFormat="1" x14ac:dyDescent="0.3"/>
    <row r="180" s="1" customFormat="1" x14ac:dyDescent="0.3"/>
    <row r="181" s="1" customFormat="1" x14ac:dyDescent="0.3"/>
    <row r="182" s="1" customFormat="1" x14ac:dyDescent="0.3"/>
    <row r="183" s="1" customFormat="1" x14ac:dyDescent="0.3"/>
    <row r="184" s="1" customFormat="1" x14ac:dyDescent="0.3"/>
    <row r="185" s="1" customFormat="1" x14ac:dyDescent="0.3"/>
    <row r="186" s="1" customFormat="1" x14ac:dyDescent="0.3"/>
    <row r="187" s="1" customFormat="1" x14ac:dyDescent="0.3"/>
    <row r="188" s="1" customFormat="1" x14ac:dyDescent="0.3"/>
    <row r="189" s="1" customFormat="1" x14ac:dyDescent="0.3"/>
    <row r="190" s="1" customFormat="1" x14ac:dyDescent="0.3"/>
    <row r="191" s="1" customFormat="1" x14ac:dyDescent="0.3"/>
    <row r="192" s="1" customFormat="1" x14ac:dyDescent="0.3"/>
    <row r="193" s="1" customFormat="1" x14ac:dyDescent="0.3"/>
    <row r="194" s="1" customFormat="1" x14ac:dyDescent="0.3"/>
    <row r="195" s="1" customFormat="1" x14ac:dyDescent="0.3"/>
    <row r="196" s="1" customFormat="1" x14ac:dyDescent="0.3"/>
    <row r="197" s="1" customFormat="1" x14ac:dyDescent="0.3"/>
    <row r="198" s="1" customFormat="1" x14ac:dyDescent="0.3"/>
    <row r="199" s="1" customFormat="1" x14ac:dyDescent="0.3"/>
    <row r="200" s="1" customFormat="1" x14ac:dyDescent="0.3"/>
    <row r="201" s="1" customFormat="1" x14ac:dyDescent="0.3"/>
    <row r="202" s="1" customFormat="1" x14ac:dyDescent="0.3"/>
    <row r="203" s="1" customFormat="1" x14ac:dyDescent="0.3"/>
    <row r="204" s="1" customFormat="1" x14ac:dyDescent="0.3"/>
    <row r="205" s="1" customFormat="1" x14ac:dyDescent="0.3"/>
    <row r="206" s="1" customFormat="1" x14ac:dyDescent="0.3"/>
    <row r="207" s="1" customFormat="1" x14ac:dyDescent="0.3"/>
    <row r="208" s="1" customFormat="1" x14ac:dyDescent="0.3"/>
    <row r="209" s="1" customFormat="1" x14ac:dyDescent="0.3"/>
    <row r="210" s="1" customFormat="1" x14ac:dyDescent="0.3"/>
    <row r="211" s="1" customFormat="1" x14ac:dyDescent="0.3"/>
    <row r="212" s="1" customFormat="1" x14ac:dyDescent="0.3"/>
    <row r="213" s="1" customFormat="1" x14ac:dyDescent="0.3"/>
    <row r="214" s="1" customFormat="1" x14ac:dyDescent="0.3"/>
    <row r="215" s="1" customFormat="1" x14ac:dyDescent="0.3"/>
    <row r="216" s="1" customFormat="1" x14ac:dyDescent="0.3"/>
    <row r="217" s="1" customFormat="1" x14ac:dyDescent="0.3"/>
    <row r="218" s="1" customFormat="1" x14ac:dyDescent="0.3"/>
    <row r="219" s="1" customFormat="1" x14ac:dyDescent="0.3"/>
    <row r="220" s="1" customFormat="1" x14ac:dyDescent="0.3"/>
    <row r="221" s="1" customFormat="1" x14ac:dyDescent="0.3"/>
    <row r="222" s="1" customFormat="1" x14ac:dyDescent="0.3"/>
    <row r="223" s="1" customFormat="1" x14ac:dyDescent="0.3"/>
    <row r="224" s="1" customFormat="1" x14ac:dyDescent="0.3"/>
    <row r="225" s="1" customFormat="1" x14ac:dyDescent="0.3"/>
    <row r="226" s="1" customFormat="1" x14ac:dyDescent="0.3"/>
    <row r="227" s="1" customFormat="1" x14ac:dyDescent="0.3"/>
    <row r="228" s="1" customFormat="1" x14ac:dyDescent="0.3"/>
    <row r="229" s="1" customFormat="1" x14ac:dyDescent="0.3"/>
    <row r="230" s="1" customFormat="1" x14ac:dyDescent="0.3"/>
    <row r="231" s="1" customFormat="1" x14ac:dyDescent="0.3"/>
    <row r="232" s="1" customFormat="1" x14ac:dyDescent="0.3"/>
    <row r="233" s="1" customFormat="1" x14ac:dyDescent="0.3"/>
    <row r="234" s="1" customFormat="1" x14ac:dyDescent="0.3"/>
    <row r="235" s="1" customFormat="1" x14ac:dyDescent="0.3"/>
    <row r="236" s="1" customFormat="1" x14ac:dyDescent="0.3"/>
    <row r="237" s="1" customFormat="1" x14ac:dyDescent="0.3"/>
    <row r="238" s="1" customFormat="1" x14ac:dyDescent="0.3"/>
    <row r="239" s="1" customFormat="1" x14ac:dyDescent="0.3"/>
    <row r="240" s="1" customFormat="1" x14ac:dyDescent="0.3"/>
    <row r="241" s="1" customFormat="1" x14ac:dyDescent="0.3"/>
    <row r="242" s="1" customFormat="1" x14ac:dyDescent="0.3"/>
    <row r="243" s="1" customFormat="1" x14ac:dyDescent="0.3"/>
    <row r="244" s="1" customFormat="1" x14ac:dyDescent="0.3"/>
    <row r="245" s="1" customFormat="1" x14ac:dyDescent="0.3"/>
    <row r="246" s="1" customFormat="1" x14ac:dyDescent="0.3"/>
    <row r="247" s="1" customFormat="1" x14ac:dyDescent="0.3"/>
    <row r="248" s="1" customFormat="1" x14ac:dyDescent="0.3"/>
    <row r="249" s="1" customFormat="1" x14ac:dyDescent="0.3"/>
    <row r="250" s="1" customFormat="1" x14ac:dyDescent="0.3"/>
    <row r="251" s="1" customFormat="1" x14ac:dyDescent="0.3"/>
    <row r="252" s="1" customFormat="1" x14ac:dyDescent="0.3"/>
    <row r="253" s="1" customFormat="1" x14ac:dyDescent="0.3"/>
    <row r="254" s="1" customFormat="1" x14ac:dyDescent="0.3"/>
    <row r="255" s="1" customFormat="1" x14ac:dyDescent="0.3"/>
    <row r="256" s="1" customFormat="1" x14ac:dyDescent="0.3"/>
    <row r="257" s="1" customFormat="1" x14ac:dyDescent="0.3"/>
    <row r="258" s="1" customFormat="1" x14ac:dyDescent="0.3"/>
    <row r="259" s="1" customFormat="1" x14ac:dyDescent="0.3"/>
    <row r="260" s="1" customFormat="1" x14ac:dyDescent="0.3"/>
    <row r="261" s="1" customFormat="1" x14ac:dyDescent="0.3"/>
    <row r="262" s="1" customFormat="1" x14ac:dyDescent="0.3"/>
    <row r="263" s="1" customFormat="1" x14ac:dyDescent="0.3"/>
    <row r="264" s="1" customFormat="1" x14ac:dyDescent="0.3"/>
    <row r="265" s="1" customFormat="1" x14ac:dyDescent="0.3"/>
    <row r="266" s="1" customFormat="1" x14ac:dyDescent="0.3"/>
    <row r="267" s="1" customFormat="1" x14ac:dyDescent="0.3"/>
    <row r="268" s="1" customFormat="1" x14ac:dyDescent="0.3"/>
    <row r="269" s="1" customFormat="1" x14ac:dyDescent="0.3"/>
    <row r="270" s="1" customFormat="1" x14ac:dyDescent="0.3"/>
    <row r="271" s="1" customFormat="1" x14ac:dyDescent="0.3"/>
    <row r="272" s="1" customFormat="1" x14ac:dyDescent="0.3"/>
    <row r="273" s="1" customFormat="1" x14ac:dyDescent="0.3"/>
    <row r="274" s="1" customFormat="1" x14ac:dyDescent="0.3"/>
    <row r="275" s="1" customFormat="1" x14ac:dyDescent="0.3"/>
    <row r="276" s="1" customFormat="1" x14ac:dyDescent="0.3"/>
    <row r="277" s="1" customFormat="1" x14ac:dyDescent="0.3"/>
    <row r="278" s="1" customFormat="1" x14ac:dyDescent="0.3"/>
    <row r="279" s="1" customFormat="1" x14ac:dyDescent="0.3"/>
    <row r="280" s="1" customFormat="1" x14ac:dyDescent="0.3"/>
    <row r="281" s="1" customFormat="1" x14ac:dyDescent="0.3"/>
    <row r="282" s="1" customFormat="1" x14ac:dyDescent="0.3"/>
    <row r="283" s="1" customFormat="1" x14ac:dyDescent="0.3"/>
    <row r="284" s="1" customFormat="1" x14ac:dyDescent="0.3"/>
    <row r="285" s="1" customFormat="1" x14ac:dyDescent="0.3"/>
    <row r="286" s="1" customFormat="1" x14ac:dyDescent="0.3"/>
    <row r="287" s="1" customFormat="1" x14ac:dyDescent="0.3"/>
    <row r="288" s="1" customFormat="1" x14ac:dyDescent="0.3"/>
    <row r="289" s="1" customFormat="1" x14ac:dyDescent="0.3"/>
    <row r="290" s="1" customFormat="1" x14ac:dyDescent="0.3"/>
    <row r="291" s="1" customFormat="1" x14ac:dyDescent="0.3"/>
    <row r="292" s="1" customFormat="1" x14ac:dyDescent="0.3"/>
    <row r="293" s="1" customFormat="1" x14ac:dyDescent="0.3"/>
    <row r="294" s="1" customFormat="1" x14ac:dyDescent="0.3"/>
    <row r="295" s="1" customFormat="1" x14ac:dyDescent="0.3"/>
    <row r="296" s="1" customFormat="1" x14ac:dyDescent="0.3"/>
    <row r="297" s="1" customFormat="1" x14ac:dyDescent="0.3"/>
    <row r="298" s="1" customFormat="1" x14ac:dyDescent="0.3"/>
    <row r="299" s="1" customFormat="1" x14ac:dyDescent="0.3"/>
    <row r="300" s="1" customFormat="1" x14ac:dyDescent="0.3"/>
    <row r="301" s="1" customFormat="1" x14ac:dyDescent="0.3"/>
    <row r="302" s="1" customFormat="1" x14ac:dyDescent="0.3"/>
    <row r="303" s="1" customFormat="1" x14ac:dyDescent="0.3"/>
    <row r="304" s="1" customFormat="1" x14ac:dyDescent="0.3"/>
    <row r="305" s="1" customFormat="1" x14ac:dyDescent="0.3"/>
    <row r="306" s="1" customFormat="1" x14ac:dyDescent="0.3"/>
    <row r="307" s="1" customFormat="1" x14ac:dyDescent="0.3"/>
    <row r="308" s="1" customFormat="1" x14ac:dyDescent="0.3"/>
    <row r="309" s="1" customFormat="1" x14ac:dyDescent="0.3"/>
    <row r="310" s="1" customFormat="1" x14ac:dyDescent="0.3"/>
    <row r="311" s="1" customFormat="1" x14ac:dyDescent="0.3"/>
    <row r="312" s="1" customFormat="1" x14ac:dyDescent="0.3"/>
    <row r="313" s="1" customFormat="1" x14ac:dyDescent="0.3"/>
    <row r="314" s="1" customFormat="1" x14ac:dyDescent="0.3"/>
    <row r="315" s="1" customFormat="1" x14ac:dyDescent="0.3"/>
    <row r="316" s="1" customFormat="1" x14ac:dyDescent="0.3"/>
    <row r="317" s="1" customFormat="1" x14ac:dyDescent="0.3"/>
    <row r="318" s="1" customFormat="1" x14ac:dyDescent="0.3"/>
    <row r="319" s="1" customFormat="1" x14ac:dyDescent="0.3"/>
    <row r="320" s="1" customFormat="1" x14ac:dyDescent="0.3"/>
    <row r="321" s="1" customFormat="1" x14ac:dyDescent="0.3"/>
    <row r="322" s="1" customFormat="1" x14ac:dyDescent="0.3"/>
    <row r="323" s="1" customFormat="1" x14ac:dyDescent="0.3"/>
    <row r="324" s="1" customFormat="1" x14ac:dyDescent="0.3"/>
    <row r="325" s="1" customFormat="1" x14ac:dyDescent="0.3"/>
    <row r="326" s="1" customFormat="1" x14ac:dyDescent="0.3"/>
    <row r="327" s="1" customFormat="1" x14ac:dyDescent="0.3"/>
    <row r="328" s="1" customFormat="1" x14ac:dyDescent="0.3"/>
    <row r="329" s="1" customFormat="1" x14ac:dyDescent="0.3"/>
    <row r="330" s="1" customFormat="1" x14ac:dyDescent="0.3"/>
    <row r="331" s="1" customFormat="1" x14ac:dyDescent="0.3"/>
    <row r="332" s="1" customFormat="1" x14ac:dyDescent="0.3"/>
    <row r="333" s="1" customFormat="1" x14ac:dyDescent="0.3"/>
    <row r="334" s="1" customFormat="1" x14ac:dyDescent="0.3"/>
    <row r="335" s="1" customFormat="1" x14ac:dyDescent="0.3"/>
    <row r="336" s="1" customFormat="1" x14ac:dyDescent="0.3"/>
    <row r="337" s="1" customFormat="1" x14ac:dyDescent="0.3"/>
    <row r="338" s="1" customFormat="1" x14ac:dyDescent="0.3"/>
    <row r="339" s="1" customFormat="1" x14ac:dyDescent="0.3"/>
    <row r="340" s="1" customFormat="1" x14ac:dyDescent="0.3"/>
    <row r="341" s="1" customFormat="1" x14ac:dyDescent="0.3"/>
    <row r="342" s="1" customFormat="1" x14ac:dyDescent="0.3"/>
    <row r="343" s="1" customFormat="1" x14ac:dyDescent="0.3"/>
    <row r="344" s="1" customFormat="1" x14ac:dyDescent="0.3"/>
    <row r="345" s="1" customFormat="1" x14ac:dyDescent="0.3"/>
    <row r="346" s="1" customFormat="1" x14ac:dyDescent="0.3"/>
    <row r="347" s="1" customFormat="1" x14ac:dyDescent="0.3"/>
    <row r="348" s="1" customFormat="1" x14ac:dyDescent="0.3"/>
    <row r="349" s="1" customFormat="1" x14ac:dyDescent="0.3"/>
    <row r="350" s="1" customFormat="1" x14ac:dyDescent="0.3"/>
    <row r="351" s="1" customFormat="1" x14ac:dyDescent="0.3"/>
    <row r="352" s="1" customFormat="1" x14ac:dyDescent="0.3"/>
    <row r="353" s="1" customFormat="1" x14ac:dyDescent="0.3"/>
    <row r="354" s="1" customFormat="1" x14ac:dyDescent="0.3"/>
    <row r="355" s="1" customFormat="1" x14ac:dyDescent="0.3"/>
    <row r="356" s="1" customFormat="1" x14ac:dyDescent="0.3"/>
    <row r="357" s="1" customFormat="1" x14ac:dyDescent="0.3"/>
    <row r="358" s="1" customFormat="1" x14ac:dyDescent="0.3"/>
    <row r="359" s="1" customFormat="1" x14ac:dyDescent="0.3"/>
    <row r="360" s="1" customFormat="1" x14ac:dyDescent="0.3"/>
    <row r="361" s="1" customFormat="1" x14ac:dyDescent="0.3"/>
    <row r="362" s="1" customFormat="1" x14ac:dyDescent="0.3"/>
    <row r="363" s="1" customFormat="1" x14ac:dyDescent="0.3"/>
    <row r="364" s="1" customFormat="1" x14ac:dyDescent="0.3"/>
    <row r="365" s="1" customFormat="1" x14ac:dyDescent="0.3"/>
    <row r="366" s="1" customFormat="1" x14ac:dyDescent="0.3"/>
    <row r="367" s="1" customFormat="1" x14ac:dyDescent="0.3"/>
    <row r="368" s="1" customFormat="1" x14ac:dyDescent="0.3"/>
    <row r="369" s="1" customFormat="1" x14ac:dyDescent="0.3"/>
    <row r="370" s="1" customFormat="1" x14ac:dyDescent="0.3"/>
    <row r="371" s="1" customFormat="1" x14ac:dyDescent="0.3"/>
    <row r="372" s="1" customFormat="1" x14ac:dyDescent="0.3"/>
    <row r="373" s="1" customFormat="1" x14ac:dyDescent="0.3"/>
    <row r="374" s="1" customFormat="1" x14ac:dyDescent="0.3"/>
    <row r="375" s="1" customFormat="1" x14ac:dyDescent="0.3"/>
    <row r="376" s="1" customFormat="1" x14ac:dyDescent="0.3"/>
    <row r="377" s="1" customFormat="1" x14ac:dyDescent="0.3"/>
    <row r="378" s="1" customFormat="1" x14ac:dyDescent="0.3"/>
    <row r="379" s="1" customFormat="1" x14ac:dyDescent="0.3"/>
    <row r="380" s="1" customFormat="1" x14ac:dyDescent="0.3"/>
    <row r="381" s="1" customFormat="1" x14ac:dyDescent="0.3"/>
    <row r="382" s="1" customFormat="1" x14ac:dyDescent="0.3"/>
    <row r="383" s="1" customFormat="1" x14ac:dyDescent="0.3"/>
    <row r="384" s="1" customFormat="1" x14ac:dyDescent="0.3"/>
    <row r="385" s="1" customFormat="1" x14ac:dyDescent="0.3"/>
    <row r="386" s="1" customFormat="1" x14ac:dyDescent="0.3"/>
    <row r="387" s="1" customFormat="1" x14ac:dyDescent="0.3"/>
    <row r="388" s="1" customFormat="1" x14ac:dyDescent="0.3"/>
    <row r="389" s="1" customFormat="1" x14ac:dyDescent="0.3"/>
    <row r="390" s="1" customFormat="1" x14ac:dyDescent="0.3"/>
    <row r="391" s="1" customFormat="1" x14ac:dyDescent="0.3"/>
    <row r="392" s="1" customFormat="1" x14ac:dyDescent="0.3"/>
    <row r="393" s="1" customFormat="1" x14ac:dyDescent="0.3"/>
    <row r="394" s="1" customFormat="1" x14ac:dyDescent="0.3"/>
    <row r="395" s="1" customFormat="1" x14ac:dyDescent="0.3"/>
    <row r="396" s="1" customFormat="1" x14ac:dyDescent="0.3"/>
    <row r="397" s="1" customFormat="1" x14ac:dyDescent="0.3"/>
    <row r="398" s="1" customFormat="1" x14ac:dyDescent="0.3"/>
    <row r="399" s="1" customFormat="1" x14ac:dyDescent="0.3"/>
    <row r="400" s="1" customFormat="1" x14ac:dyDescent="0.3"/>
    <row r="401" s="1" customFormat="1" x14ac:dyDescent="0.3"/>
    <row r="402" s="1" customFormat="1" x14ac:dyDescent="0.3"/>
    <row r="403" s="1" customFormat="1" x14ac:dyDescent="0.3"/>
    <row r="404" s="1" customFormat="1" x14ac:dyDescent="0.3"/>
    <row r="405" s="1" customFormat="1" x14ac:dyDescent="0.3"/>
  </sheetData>
  <mergeCells count="20">
    <mergeCell ref="F10:F11"/>
    <mergeCell ref="H12:BK12"/>
    <mergeCell ref="H94:BK94"/>
    <mergeCell ref="H111:BK111"/>
    <mergeCell ref="H113:J113"/>
    <mergeCell ref="H4:I4"/>
    <mergeCell ref="H131:BM131"/>
    <mergeCell ref="H125:BM125"/>
    <mergeCell ref="H126:BM126"/>
    <mergeCell ref="H127:BM127"/>
    <mergeCell ref="H128:BM128"/>
    <mergeCell ref="H129:BM129"/>
    <mergeCell ref="H130:BM130"/>
    <mergeCell ref="H124:BM124"/>
    <mergeCell ref="H114:J114"/>
    <mergeCell ref="H115:J115"/>
    <mergeCell ref="H120:BM120"/>
    <mergeCell ref="H121:BM121"/>
    <mergeCell ref="H122:BM122"/>
    <mergeCell ref="H123:BM123"/>
  </mergeCells>
  <phoneticPr fontId="4" type="noConversion"/>
  <conditionalFormatting sqref="AT108:AT110 K13:K93 AT13:AT93">
    <cfRule type="cellIs" dxfId="51" priority="441" operator="equal">
      <formula>0</formula>
    </cfRule>
    <cfRule type="cellIs" priority="442" stopIfTrue="1" operator="equal">
      <formula>0</formula>
    </cfRule>
    <cfRule type="cellIs" dxfId="50" priority="443" operator="lessThan">
      <formula>-0.05</formula>
    </cfRule>
    <cfRule type="cellIs" dxfId="49" priority="444" operator="greaterThan">
      <formula>0.05</formula>
    </cfRule>
    <cfRule type="cellIs" dxfId="48" priority="445" operator="between">
      <formula>-0.05</formula>
      <formula>0.05</formula>
    </cfRule>
  </conditionalFormatting>
  <conditionalFormatting sqref="K110">
    <cfRule type="cellIs" dxfId="47" priority="426" operator="equal">
      <formula>0</formula>
    </cfRule>
    <cfRule type="cellIs" priority="427" stopIfTrue="1" operator="equal">
      <formula>0</formula>
    </cfRule>
    <cfRule type="cellIs" dxfId="46" priority="428" operator="lessThan">
      <formula>-0.05</formula>
    </cfRule>
    <cfRule type="cellIs" dxfId="45" priority="429" operator="greaterThan">
      <formula>0.05</formula>
    </cfRule>
    <cfRule type="cellIs" dxfId="44" priority="430" operator="between">
      <formula>-0.05</formula>
      <formula>0.05</formula>
    </cfRule>
  </conditionalFormatting>
  <conditionalFormatting sqref="N13:N93">
    <cfRule type="cellIs" dxfId="43" priority="421" operator="equal">
      <formula>0</formula>
    </cfRule>
    <cfRule type="cellIs" priority="422" stopIfTrue="1" operator="equal">
      <formula>0</formula>
    </cfRule>
    <cfRule type="cellIs" dxfId="42" priority="423" operator="lessThan">
      <formula>-0.05</formula>
    </cfRule>
    <cfRule type="cellIs" dxfId="41" priority="424" operator="greaterThan">
      <formula>0.05</formula>
    </cfRule>
    <cfRule type="cellIs" dxfId="40" priority="425" operator="between">
      <formula>-0.05</formula>
      <formula>0.05</formula>
    </cfRule>
  </conditionalFormatting>
  <conditionalFormatting sqref="N110">
    <cfRule type="cellIs" dxfId="39" priority="406" operator="equal">
      <formula>0</formula>
    </cfRule>
    <cfRule type="cellIs" priority="407" stopIfTrue="1" operator="equal">
      <formula>0</formula>
    </cfRule>
    <cfRule type="cellIs" dxfId="38" priority="408" operator="lessThan">
      <formula>-0.05</formula>
    </cfRule>
    <cfRule type="cellIs" dxfId="37" priority="409" operator="greaterThan">
      <formula>0.05</formula>
    </cfRule>
    <cfRule type="cellIs" dxfId="36" priority="410" operator="between">
      <formula>-0.05</formula>
      <formula>0.05</formula>
    </cfRule>
  </conditionalFormatting>
  <conditionalFormatting sqref="Q13:Q93">
    <cfRule type="cellIs" dxfId="35" priority="176" operator="equal">
      <formula>0</formula>
    </cfRule>
    <cfRule type="cellIs" priority="177" stopIfTrue="1" operator="equal">
      <formula>0</formula>
    </cfRule>
    <cfRule type="cellIs" dxfId="34" priority="178" operator="lessThan">
      <formula>-0.05</formula>
    </cfRule>
    <cfRule type="cellIs" dxfId="33" priority="179" operator="greaterThan">
      <formula>0.05</formula>
    </cfRule>
    <cfRule type="cellIs" dxfId="32" priority="180" operator="between">
      <formula>-0.05</formula>
      <formula>0.05</formula>
    </cfRule>
  </conditionalFormatting>
  <conditionalFormatting sqref="Q110">
    <cfRule type="cellIs" dxfId="31" priority="101" operator="equal">
      <formula>0</formula>
    </cfRule>
    <cfRule type="cellIs" priority="102" stopIfTrue="1" operator="equal">
      <formula>0</formula>
    </cfRule>
    <cfRule type="cellIs" dxfId="30" priority="103" operator="lessThan">
      <formula>-0.05</formula>
    </cfRule>
    <cfRule type="cellIs" dxfId="29" priority="104" operator="greaterThan">
      <formula>0.05</formula>
    </cfRule>
    <cfRule type="cellIs" dxfId="28" priority="105" operator="between">
      <formula>-0.05</formula>
      <formula>0.05</formula>
    </cfRule>
  </conditionalFormatting>
  <conditionalFormatting sqref="BI13:BI93">
    <cfRule type="cellIs" dxfId="27" priority="46" operator="equal">
      <formula>0</formula>
    </cfRule>
    <cfRule type="cellIs" priority="47" stopIfTrue="1" operator="equal">
      <formula>0</formula>
    </cfRule>
    <cfRule type="cellIs" dxfId="26" priority="48" operator="lessThan">
      <formula>-0.05</formula>
    </cfRule>
    <cfRule type="cellIs" dxfId="25" priority="49" operator="greaterThan">
      <formula>0.05</formula>
    </cfRule>
    <cfRule type="cellIs" dxfId="24" priority="50" operator="between">
      <formula>-0.05</formula>
      <formula>0.05</formula>
    </cfRule>
  </conditionalFormatting>
  <conditionalFormatting sqref="BI95:BI110">
    <cfRule type="cellIs" dxfId="23" priority="36" operator="equal">
      <formula>0</formula>
    </cfRule>
    <cfRule type="cellIs" priority="37" stopIfTrue="1" operator="equal">
      <formula>0</formula>
    </cfRule>
    <cfRule type="cellIs" dxfId="22" priority="38" operator="lessThan">
      <formula>-0.05</formula>
    </cfRule>
    <cfRule type="cellIs" dxfId="21" priority="39" operator="greaterThan">
      <formula>0.05</formula>
    </cfRule>
    <cfRule type="cellIs" dxfId="20" priority="40" operator="between">
      <formula>-0.05</formula>
      <formula>0.05</formula>
    </cfRule>
  </conditionalFormatting>
  <conditionalFormatting sqref="G114">
    <cfRule type="cellIs" dxfId="19" priority="31" operator="equal">
      <formula>0</formula>
    </cfRule>
    <cfRule type="cellIs" priority="32" stopIfTrue="1" operator="equal">
      <formula>0%</formula>
    </cfRule>
    <cfRule type="cellIs" dxfId="18" priority="33" operator="between">
      <formula>0.05</formula>
      <formula>-0.05</formula>
    </cfRule>
    <cfRule type="cellIs" dxfId="17" priority="34" operator="greaterThan">
      <formula>0.05</formula>
    </cfRule>
    <cfRule type="cellIs" dxfId="16" priority="35" operator="lessThan">
      <formula>0.05</formula>
    </cfRule>
  </conditionalFormatting>
  <conditionalFormatting sqref="Q95:Q109">
    <cfRule type="cellIs" dxfId="15" priority="1" operator="equal">
      <formula>0</formula>
    </cfRule>
    <cfRule type="cellIs" priority="2" stopIfTrue="1" operator="equal">
      <formula>0</formula>
    </cfRule>
    <cfRule type="cellIs" dxfId="14" priority="3" operator="lessThan">
      <formula>-0.05</formula>
    </cfRule>
    <cfRule type="cellIs" dxfId="13" priority="4" operator="greaterThan">
      <formula>0.05</formula>
    </cfRule>
    <cfRule type="cellIs" dxfId="12" priority="5" operator="between">
      <formula>-0.05</formula>
      <formula>0.05</formula>
    </cfRule>
  </conditionalFormatting>
  <conditionalFormatting sqref="AT95:AT107">
    <cfRule type="cellIs" dxfId="11" priority="16" operator="equal">
      <formula>0</formula>
    </cfRule>
    <cfRule type="cellIs" priority="17" stopIfTrue="1" operator="equal">
      <formula>0</formula>
    </cfRule>
    <cfRule type="cellIs" dxfId="10" priority="18" operator="lessThan">
      <formula>-0.05</formula>
    </cfRule>
    <cfRule type="cellIs" dxfId="9" priority="19" operator="greaterThan">
      <formula>0.05</formula>
    </cfRule>
    <cfRule type="cellIs" dxfId="8" priority="20" operator="between">
      <formula>-0.05</formula>
      <formula>0.05</formula>
    </cfRule>
  </conditionalFormatting>
  <conditionalFormatting sqref="K95:K109">
    <cfRule type="cellIs" dxfId="7" priority="11" operator="equal">
      <formula>0</formula>
    </cfRule>
    <cfRule type="cellIs" priority="12" stopIfTrue="1" operator="equal">
      <formula>0</formula>
    </cfRule>
    <cfRule type="cellIs" dxfId="6" priority="13" operator="lessThan">
      <formula>-0.05</formula>
    </cfRule>
    <cfRule type="cellIs" dxfId="5" priority="14" operator="greaterThan">
      <formula>0.05</formula>
    </cfRule>
    <cfRule type="cellIs" dxfId="4" priority="15" operator="between">
      <formula>-0.05</formula>
      <formula>0.05</formula>
    </cfRule>
  </conditionalFormatting>
  <conditionalFormatting sqref="N95:N109">
    <cfRule type="cellIs" dxfId="3" priority="6" operator="equal">
      <formula>0</formula>
    </cfRule>
    <cfRule type="cellIs" priority="7" stopIfTrue="1" operator="equal">
      <formula>0</formula>
    </cfRule>
    <cfRule type="cellIs" dxfId="2" priority="8" operator="lessThan">
      <formula>-0.05</formula>
    </cfRule>
    <cfRule type="cellIs" dxfId="1" priority="9" operator="greaterThan">
      <formula>0.05</formula>
    </cfRule>
    <cfRule type="cellIs" dxfId="0" priority="10" operator="between">
      <formula>-0.05</formula>
      <formula>0.05</formula>
    </cfRule>
  </conditionalFormatting>
  <dataValidations count="1">
    <dataValidation type="list" allowBlank="1" showInputMessage="1" showErrorMessage="1" sqref="AR6 BG6 O6 H6:I6 AE6 L6" xr:uid="{E2EEE73F-41FB-4219-97F4-83AEEFC9EE2E}">
      <formula1>$CZ$1:$CZ$12</formula1>
    </dataValidation>
  </dataValidations>
  <pageMargins left="0.7" right="0.7" top="0.75" bottom="0.75" header="0.3" footer="0.3"/>
  <pageSetup orientation="portrait" r:id="rId1"/>
  <ignoredErrors>
    <ignoredError sqref="D21" unlockedFormula="1"/>
    <ignoredError sqref="BK29 BK38:BK74"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F8C58-5667-401D-A032-84A33D2AA6A2}">
  <dimension ref="A1"/>
  <sheetViews>
    <sheetView workbookViewId="0">
      <selection activeCell="J14" sqref="J14"/>
    </sheetView>
  </sheetViews>
  <sheetFormatPr defaultColWidth="8.77734375" defaultRowHeight="16.5"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95ACD-7603-4ED2-A45A-A82EAA10C976}">
  <dimension ref="C1:K12"/>
  <sheetViews>
    <sheetView showGridLines="0" zoomScale="90" zoomScaleNormal="90" workbookViewId="0">
      <pane ySplit="1" topLeftCell="A2" activePane="bottomLeft" state="frozen"/>
      <selection pane="bottomLeft" activeCell="F6" sqref="F6"/>
    </sheetView>
  </sheetViews>
  <sheetFormatPr defaultColWidth="9.77734375" defaultRowHeight="18" x14ac:dyDescent="0.35"/>
  <cols>
    <col min="1" max="1" width="9.77734375" style="145"/>
    <col min="2" max="2" width="5.109375" style="145" customWidth="1"/>
    <col min="3" max="3" width="18.109375" style="145" customWidth="1"/>
    <col min="4" max="4" width="16.44140625" style="145" customWidth="1"/>
    <col min="5" max="5" width="22.77734375" style="145" customWidth="1"/>
    <col min="6" max="6" width="26.44140625" style="145" customWidth="1"/>
    <col min="7" max="7" width="23.44140625" style="145" customWidth="1"/>
    <col min="8" max="8" width="25.44140625" style="145" customWidth="1"/>
    <col min="9" max="9" width="24.77734375" style="145" customWidth="1"/>
    <col min="10" max="10" width="26.77734375" style="145" customWidth="1"/>
    <col min="11" max="16384" width="9.77734375" style="145"/>
  </cols>
  <sheetData>
    <row r="1" spans="3:11" x14ac:dyDescent="0.35">
      <c r="C1" s="147"/>
      <c r="D1" s="152" t="s">
        <v>119</v>
      </c>
      <c r="E1" s="152" t="s">
        <v>120</v>
      </c>
      <c r="F1" s="152" t="s">
        <v>121</v>
      </c>
      <c r="G1" s="152" t="s">
        <v>122</v>
      </c>
      <c r="H1" s="152" t="s">
        <v>123</v>
      </c>
      <c r="I1" s="152" t="s">
        <v>124</v>
      </c>
      <c r="J1" s="152" t="s">
        <v>125</v>
      </c>
    </row>
    <row r="2" spans="3:11" ht="36" x14ac:dyDescent="0.35">
      <c r="C2" s="149" t="s">
        <v>170</v>
      </c>
      <c r="D2" s="149"/>
      <c r="E2" s="149" t="s">
        <v>126</v>
      </c>
      <c r="F2" s="148" t="s">
        <v>127</v>
      </c>
      <c r="G2" s="150" t="s">
        <v>128</v>
      </c>
      <c r="H2" s="150" t="s">
        <v>128</v>
      </c>
      <c r="I2" s="150" t="s">
        <v>128</v>
      </c>
      <c r="J2" s="150" t="s">
        <v>169</v>
      </c>
    </row>
    <row r="3" spans="3:11" ht="251.25" customHeight="1" x14ac:dyDescent="0.35">
      <c r="C3" s="149" t="s">
        <v>172</v>
      </c>
      <c r="D3" s="150" t="s">
        <v>129</v>
      </c>
      <c r="E3" s="150" t="s">
        <v>130</v>
      </c>
      <c r="F3" s="151" t="s">
        <v>131</v>
      </c>
      <c r="G3" s="150" t="s">
        <v>132</v>
      </c>
      <c r="H3" s="150" t="s">
        <v>133</v>
      </c>
      <c r="I3" s="151" t="s">
        <v>134</v>
      </c>
      <c r="J3" s="151" t="s">
        <v>168</v>
      </c>
      <c r="K3" s="146"/>
    </row>
    <row r="4" spans="3:11" ht="36" x14ac:dyDescent="0.35">
      <c r="C4" s="149" t="s">
        <v>135</v>
      </c>
      <c r="D4" s="149"/>
      <c r="E4" s="150" t="s">
        <v>136</v>
      </c>
      <c r="F4" s="150" t="s">
        <v>137</v>
      </c>
      <c r="G4" s="150" t="s">
        <v>138</v>
      </c>
      <c r="H4" s="150" t="s">
        <v>138</v>
      </c>
      <c r="I4" s="150" t="s">
        <v>139</v>
      </c>
      <c r="J4" s="150" t="s">
        <v>139</v>
      </c>
    </row>
    <row r="5" spans="3:11" ht="252" x14ac:dyDescent="0.35">
      <c r="C5" s="149" t="s">
        <v>140</v>
      </c>
      <c r="D5" s="149"/>
      <c r="E5" s="150" t="s">
        <v>141</v>
      </c>
      <c r="F5" s="150" t="s">
        <v>142</v>
      </c>
      <c r="G5" s="150" t="s">
        <v>143</v>
      </c>
      <c r="H5" s="150" t="s">
        <v>144</v>
      </c>
      <c r="I5" s="150" t="s">
        <v>145</v>
      </c>
      <c r="J5" s="150" t="s">
        <v>146</v>
      </c>
    </row>
    <row r="6" spans="3:11" ht="198" x14ac:dyDescent="0.35">
      <c r="C6" s="149" t="s">
        <v>147</v>
      </c>
      <c r="D6" s="149"/>
      <c r="E6" s="150" t="s">
        <v>148</v>
      </c>
      <c r="F6" s="150" t="s">
        <v>149</v>
      </c>
      <c r="G6" s="150" t="s">
        <v>150</v>
      </c>
      <c r="H6" s="150" t="s">
        <v>151</v>
      </c>
      <c r="I6" s="150" t="s">
        <v>152</v>
      </c>
      <c r="J6" s="150" t="s">
        <v>153</v>
      </c>
    </row>
    <row r="7" spans="3:11" ht="54" x14ac:dyDescent="0.35">
      <c r="C7" s="149" t="s">
        <v>154</v>
      </c>
      <c r="D7" s="149" t="s">
        <v>155</v>
      </c>
      <c r="E7" s="150" t="s">
        <v>156</v>
      </c>
      <c r="F7" s="150" t="s">
        <v>157</v>
      </c>
      <c r="G7" s="150"/>
      <c r="H7" s="147"/>
      <c r="I7" s="147" t="s">
        <v>158</v>
      </c>
      <c r="J7" s="147" t="s">
        <v>159</v>
      </c>
    </row>
    <row r="8" spans="3:11" ht="119.25" customHeight="1" x14ac:dyDescent="0.35">
      <c r="C8" s="147" t="s">
        <v>171</v>
      </c>
      <c r="D8" s="147"/>
      <c r="E8" s="147"/>
      <c r="F8" s="147" t="s">
        <v>160</v>
      </c>
      <c r="G8" s="148" t="s">
        <v>177</v>
      </c>
      <c r="H8" s="148" t="s">
        <v>175</v>
      </c>
      <c r="I8" s="148" t="s">
        <v>175</v>
      </c>
      <c r="J8" s="148" t="s">
        <v>176</v>
      </c>
    </row>
    <row r="9" spans="3:11" x14ac:dyDescent="0.35">
      <c r="C9" s="147" t="s">
        <v>173</v>
      </c>
      <c r="D9" s="147"/>
      <c r="E9" s="147" t="s">
        <v>184</v>
      </c>
      <c r="F9" s="147" t="s">
        <v>185</v>
      </c>
      <c r="G9" s="147" t="s">
        <v>178</v>
      </c>
      <c r="H9" s="147" t="s">
        <v>181</v>
      </c>
      <c r="I9" s="147" t="s">
        <v>183</v>
      </c>
      <c r="J9" s="147" t="s">
        <v>182</v>
      </c>
    </row>
    <row r="10" spans="3:11" x14ac:dyDescent="0.35">
      <c r="C10" s="147" t="s">
        <v>161</v>
      </c>
      <c r="D10" s="147"/>
      <c r="E10" s="147" t="s">
        <v>162</v>
      </c>
      <c r="F10" s="148" t="s">
        <v>163</v>
      </c>
      <c r="G10" s="149"/>
      <c r="H10" s="147"/>
      <c r="I10" s="148" t="s">
        <v>163</v>
      </c>
      <c r="J10" s="148" t="s">
        <v>163</v>
      </c>
    </row>
    <row r="11" spans="3:11" x14ac:dyDescent="0.35">
      <c r="C11" s="147"/>
      <c r="D11" s="147"/>
      <c r="E11" s="147"/>
      <c r="F11" s="147"/>
      <c r="G11" s="147"/>
      <c r="H11" s="147"/>
      <c r="I11" s="147"/>
      <c r="J11" s="147"/>
    </row>
    <row r="12" spans="3:11" x14ac:dyDescent="0.35">
      <c r="C12" s="147" t="s">
        <v>164</v>
      </c>
      <c r="D12" s="147"/>
      <c r="E12" s="152" t="s">
        <v>165</v>
      </c>
      <c r="F12" s="152" t="s">
        <v>166</v>
      </c>
      <c r="G12" s="152" t="s">
        <v>174</v>
      </c>
      <c r="H12" s="152" t="s">
        <v>179</v>
      </c>
      <c r="I12" s="152" t="s">
        <v>180</v>
      </c>
      <c r="J12" s="152" t="s">
        <v>167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A766-6346-449D-BDC6-B14A5C53D942}">
  <dimension ref="B3:F35"/>
  <sheetViews>
    <sheetView topLeftCell="B6" workbookViewId="0">
      <selection activeCell="B4" sqref="B4:F32"/>
    </sheetView>
  </sheetViews>
  <sheetFormatPr defaultColWidth="8.77734375" defaultRowHeight="16.5" x14ac:dyDescent="0.3"/>
  <cols>
    <col min="2" max="2" width="15.109375" customWidth="1"/>
    <col min="3" max="3" width="15.33203125" customWidth="1"/>
    <col min="4" max="4" width="10" bestFit="1" customWidth="1"/>
  </cols>
  <sheetData>
    <row r="3" spans="2:5" x14ac:dyDescent="0.3">
      <c r="B3" s="41"/>
    </row>
    <row r="4" spans="2:5" x14ac:dyDescent="0.3">
      <c r="B4" s="41"/>
      <c r="D4" s="226"/>
    </row>
    <row r="5" spans="2:5" x14ac:dyDescent="0.3">
      <c r="B5" s="41"/>
      <c r="D5" s="227"/>
    </row>
    <row r="6" spans="2:5" x14ac:dyDescent="0.3">
      <c r="B6" s="41"/>
      <c r="D6" s="226"/>
    </row>
    <row r="7" spans="2:5" x14ac:dyDescent="0.3">
      <c r="B7" s="41"/>
      <c r="D7" s="226"/>
    </row>
    <row r="8" spans="2:5" x14ac:dyDescent="0.3">
      <c r="B8" s="41"/>
      <c r="D8" s="226"/>
    </row>
    <row r="9" spans="2:5" x14ac:dyDescent="0.3">
      <c r="B9" s="41"/>
    </row>
    <row r="10" spans="2:5" x14ac:dyDescent="0.3">
      <c r="B10" s="41"/>
      <c r="D10" s="226"/>
    </row>
    <row r="11" spans="2:5" x14ac:dyDescent="0.3">
      <c r="B11" s="41"/>
    </row>
    <row r="12" spans="2:5" x14ac:dyDescent="0.3">
      <c r="B12" s="41"/>
      <c r="D12" s="46"/>
    </row>
    <row r="13" spans="2:5" x14ac:dyDescent="0.3">
      <c r="B13" s="41" t="s">
        <v>589</v>
      </c>
      <c r="D13">
        <v>10000</v>
      </c>
      <c r="E13" t="s">
        <v>4</v>
      </c>
    </row>
    <row r="18" spans="2:6" x14ac:dyDescent="0.3">
      <c r="B18" t="s">
        <v>590</v>
      </c>
      <c r="D18">
        <v>20000</v>
      </c>
      <c r="E18" t="s">
        <v>595</v>
      </c>
    </row>
    <row r="22" spans="2:6" x14ac:dyDescent="0.3">
      <c r="B22" t="s">
        <v>591</v>
      </c>
      <c r="D22">
        <v>25000</v>
      </c>
      <c r="E22" t="s">
        <v>594</v>
      </c>
    </row>
    <row r="26" spans="2:6" x14ac:dyDescent="0.3">
      <c r="B26" t="s">
        <v>592</v>
      </c>
      <c r="D26">
        <v>15000</v>
      </c>
      <c r="E26" t="s">
        <v>594</v>
      </c>
    </row>
    <row r="29" spans="2:6" x14ac:dyDescent="0.3">
      <c r="B29" t="s">
        <v>593</v>
      </c>
      <c r="D29">
        <v>10000</v>
      </c>
      <c r="E29" t="s">
        <v>594</v>
      </c>
      <c r="F29">
        <f>50000/3</f>
        <v>16666.666666666668</v>
      </c>
    </row>
    <row r="32" spans="2:6" x14ac:dyDescent="0.3">
      <c r="B32" t="s">
        <v>596</v>
      </c>
      <c r="D32">
        <v>10000</v>
      </c>
      <c r="E32" t="s">
        <v>597</v>
      </c>
    </row>
    <row r="35" spans="2:5" x14ac:dyDescent="0.3">
      <c r="B35" t="s">
        <v>46</v>
      </c>
      <c r="D35">
        <v>10000</v>
      </c>
      <c r="E35" t="s">
        <v>598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9A7B2-2667-4832-8E8E-481A677854F4}">
  <dimension ref="A1:V361"/>
  <sheetViews>
    <sheetView showGridLines="0" topLeftCell="F1" workbookViewId="0">
      <selection activeCell="K24" sqref="K24"/>
    </sheetView>
  </sheetViews>
  <sheetFormatPr defaultColWidth="8.77734375" defaultRowHeight="15" x14ac:dyDescent="0.3"/>
  <cols>
    <col min="1" max="1" width="14.44140625" style="20" hidden="1" customWidth="1"/>
    <col min="2" max="2" width="10.44140625" style="20" hidden="1" customWidth="1"/>
    <col min="3" max="5" width="0" style="20" hidden="1" customWidth="1"/>
    <col min="6" max="6" width="9.33203125" style="20" customWidth="1"/>
    <col min="7" max="7" width="53.109375" style="20" customWidth="1"/>
    <col min="8" max="8" width="8.77734375" style="20"/>
    <col min="9" max="20" width="11.77734375" style="20" customWidth="1"/>
    <col min="21" max="21" width="12.77734375" style="20" customWidth="1"/>
    <col min="22" max="16384" width="8.77734375" style="20"/>
  </cols>
  <sheetData>
    <row r="1" spans="1:21" x14ac:dyDescent="0.3">
      <c r="G1" s="138" t="s">
        <v>609</v>
      </c>
    </row>
    <row r="3" spans="1:21" x14ac:dyDescent="0.3">
      <c r="G3" s="138"/>
      <c r="H3" s="138"/>
      <c r="I3" s="234"/>
      <c r="J3" s="138"/>
      <c r="K3" s="138"/>
      <c r="L3" s="138"/>
      <c r="M3" s="138"/>
      <c r="N3" s="138"/>
      <c r="O3" s="138"/>
      <c r="P3" s="138"/>
      <c r="Q3" s="138"/>
      <c r="R3" s="138"/>
      <c r="S3" s="138"/>
      <c r="T3" s="138"/>
      <c r="U3" s="138"/>
    </row>
    <row r="5" spans="1:21" x14ac:dyDescent="0.3">
      <c r="G5" s="20" t="s">
        <v>583</v>
      </c>
    </row>
    <row r="6" spans="1:21" x14ac:dyDescent="0.3">
      <c r="E6" s="228"/>
      <c r="I6" s="230" t="s">
        <v>187</v>
      </c>
      <c r="J6" s="230" t="s">
        <v>188</v>
      </c>
      <c r="K6" s="230" t="s">
        <v>32</v>
      </c>
      <c r="L6" s="230" t="s">
        <v>33</v>
      </c>
      <c r="M6" s="230" t="s">
        <v>7</v>
      </c>
      <c r="N6" s="230" t="s">
        <v>34</v>
      </c>
      <c r="O6" s="230" t="s">
        <v>9</v>
      </c>
      <c r="P6" s="230" t="s">
        <v>35</v>
      </c>
      <c r="Q6" s="230" t="s">
        <v>189</v>
      </c>
      <c r="R6" s="230" t="s">
        <v>190</v>
      </c>
      <c r="S6" s="230" t="s">
        <v>191</v>
      </c>
      <c r="T6" s="230" t="s">
        <v>192</v>
      </c>
    </row>
    <row r="7" spans="1:21" s="136" customFormat="1" x14ac:dyDescent="0.3">
      <c r="A7" s="123" t="s">
        <v>434</v>
      </c>
      <c r="B7" s="123" t="s">
        <v>435</v>
      </c>
      <c r="C7" s="123"/>
      <c r="D7" s="123"/>
      <c r="E7" s="123"/>
      <c r="G7" s="132" t="s">
        <v>50</v>
      </c>
      <c r="H7" s="133"/>
      <c r="I7" s="231">
        <v>44197</v>
      </c>
      <c r="J7" s="231">
        <v>44228</v>
      </c>
      <c r="K7" s="231">
        <v>44256</v>
      </c>
      <c r="L7" s="231">
        <v>44287</v>
      </c>
      <c r="M7" s="231">
        <v>44317</v>
      </c>
      <c r="N7" s="231">
        <v>44348</v>
      </c>
      <c r="O7" s="231">
        <v>44378</v>
      </c>
      <c r="P7" s="231">
        <v>44409</v>
      </c>
      <c r="Q7" s="231">
        <v>44440</v>
      </c>
      <c r="R7" s="231">
        <v>44470</v>
      </c>
      <c r="S7" s="231">
        <v>44501</v>
      </c>
      <c r="T7" s="231">
        <v>44531</v>
      </c>
      <c r="U7" s="137" t="s">
        <v>1</v>
      </c>
    </row>
    <row r="8" spans="1:21" s="116" customFormat="1" x14ac:dyDescent="0.3">
      <c r="G8" s="117"/>
      <c r="H8" s="118"/>
      <c r="I8" s="119"/>
      <c r="J8" s="119"/>
      <c r="K8" s="119"/>
      <c r="L8" s="119"/>
      <c r="M8" s="119"/>
      <c r="N8" s="119"/>
      <c r="O8" s="119"/>
      <c r="P8" s="119"/>
      <c r="Q8" s="119"/>
      <c r="R8" s="119"/>
      <c r="S8" s="119"/>
      <c r="T8" s="119"/>
      <c r="U8" s="125"/>
    </row>
    <row r="9" spans="1:21" s="116" customFormat="1" x14ac:dyDescent="0.3">
      <c r="G9" s="22" t="s">
        <v>114</v>
      </c>
      <c r="H9" s="118"/>
      <c r="I9" s="24"/>
      <c r="J9" s="24"/>
      <c r="K9" s="24"/>
      <c r="L9" s="24"/>
      <c r="M9" s="24"/>
      <c r="N9" s="24"/>
      <c r="O9" s="24"/>
      <c r="P9" s="24"/>
      <c r="Q9" s="24"/>
      <c r="R9" s="24"/>
      <c r="S9" s="24"/>
      <c r="T9" s="24"/>
      <c r="U9" s="125"/>
    </row>
    <row r="10" spans="1:21" s="120" customFormat="1" ht="16.5" x14ac:dyDescent="0.3">
      <c r="A10" s="120">
        <v>9</v>
      </c>
      <c r="B10" s="188" t="s">
        <v>208</v>
      </c>
      <c r="C10" s="120" t="str">
        <f>CONCATENATE(B10,A10)</f>
        <v>009</v>
      </c>
      <c r="D10" s="120" t="s">
        <v>88</v>
      </c>
      <c r="E10" t="s">
        <v>383</v>
      </c>
      <c r="G10" s="126" t="s">
        <v>101</v>
      </c>
      <c r="H10" s="121"/>
      <c r="I10" s="235">
        <v>83600</v>
      </c>
      <c r="J10" s="229">
        <v>80000</v>
      </c>
      <c r="K10" s="229">
        <v>80000</v>
      </c>
      <c r="L10" s="229">
        <v>80000</v>
      </c>
      <c r="M10" s="229">
        <v>80000</v>
      </c>
      <c r="N10" s="229">
        <v>80000</v>
      </c>
      <c r="O10" s="229">
        <v>80000</v>
      </c>
      <c r="P10" s="229">
        <v>80000</v>
      </c>
      <c r="Q10" s="229">
        <v>80000</v>
      </c>
      <c r="R10" s="229">
        <v>80000</v>
      </c>
      <c r="S10" s="229">
        <v>80000</v>
      </c>
      <c r="T10" s="229">
        <v>80000</v>
      </c>
      <c r="U10" s="224">
        <f>SUM(I10:T10)</f>
        <v>963600</v>
      </c>
    </row>
    <row r="11" spans="1:21" s="120" customFormat="1" ht="16.5" x14ac:dyDescent="0.3">
      <c r="A11" s="120">
        <v>9</v>
      </c>
      <c r="B11" s="188" t="s">
        <v>208</v>
      </c>
      <c r="C11" s="120" t="str">
        <f t="shared" ref="C11:C63" si="0">CONCATENATE(B11,A11)</f>
        <v>009</v>
      </c>
      <c r="D11" s="120" t="s">
        <v>88</v>
      </c>
      <c r="E11" t="s">
        <v>387</v>
      </c>
      <c r="G11" s="126" t="s">
        <v>53</v>
      </c>
      <c r="H11" s="121"/>
      <c r="I11" s="24"/>
      <c r="J11" s="24"/>
      <c r="K11" s="24"/>
      <c r="L11" s="24"/>
      <c r="M11" s="24"/>
      <c r="N11" s="24"/>
      <c r="O11" s="24"/>
      <c r="P11" s="24"/>
      <c r="Q11" s="24"/>
      <c r="R11" s="24"/>
      <c r="S11" s="24"/>
      <c r="T11" s="24"/>
      <c r="U11" s="224">
        <f t="shared" ref="U11:U14" si="1">SUM(I11:T11)</f>
        <v>0</v>
      </c>
    </row>
    <row r="12" spans="1:21" s="120" customFormat="1" ht="16.5" x14ac:dyDescent="0.3">
      <c r="A12" s="120">
        <v>9</v>
      </c>
      <c r="B12" s="188" t="s">
        <v>208</v>
      </c>
      <c r="C12" s="120" t="str">
        <f t="shared" si="0"/>
        <v>009</v>
      </c>
      <c r="D12" s="120" t="s">
        <v>88</v>
      </c>
      <c r="E12" t="s">
        <v>385</v>
      </c>
      <c r="G12" s="126" t="s">
        <v>115</v>
      </c>
      <c r="H12" s="121"/>
      <c r="I12" s="24"/>
      <c r="J12" s="24"/>
      <c r="K12" s="24"/>
      <c r="L12" s="24"/>
      <c r="M12" s="24"/>
      <c r="N12" s="24"/>
      <c r="O12" s="24"/>
      <c r="P12" s="24"/>
      <c r="Q12" s="24"/>
      <c r="R12" s="24"/>
      <c r="S12" s="24"/>
      <c r="T12" s="24"/>
      <c r="U12" s="224">
        <f t="shared" si="1"/>
        <v>0</v>
      </c>
    </row>
    <row r="13" spans="1:21" s="123" customFormat="1" ht="16.5" x14ac:dyDescent="0.3">
      <c r="A13" s="120">
        <v>9</v>
      </c>
      <c r="B13" s="188" t="s">
        <v>208</v>
      </c>
      <c r="C13" s="120" t="str">
        <f t="shared" si="0"/>
        <v>009</v>
      </c>
      <c r="D13" s="120" t="s">
        <v>88</v>
      </c>
      <c r="E13" t="s">
        <v>389</v>
      </c>
      <c r="G13" s="126" t="s">
        <v>395</v>
      </c>
      <c r="I13" s="24"/>
      <c r="J13" s="24"/>
      <c r="K13" s="24"/>
      <c r="L13" s="24"/>
      <c r="M13" s="24"/>
      <c r="N13" s="24"/>
      <c r="O13" s="24"/>
      <c r="P13" s="24"/>
      <c r="Q13" s="24"/>
      <c r="R13" s="24"/>
      <c r="S13" s="24"/>
      <c r="T13" s="24"/>
      <c r="U13" s="224">
        <f t="shared" si="1"/>
        <v>0</v>
      </c>
    </row>
    <row r="14" spans="1:21" s="123" customFormat="1" ht="16.5" x14ac:dyDescent="0.3">
      <c r="A14" s="120">
        <v>9</v>
      </c>
      <c r="B14" s="188" t="s">
        <v>208</v>
      </c>
      <c r="C14" s="120" t="str">
        <f t="shared" si="0"/>
        <v>009</v>
      </c>
      <c r="D14" s="120" t="s">
        <v>88</v>
      </c>
      <c r="E14" t="s">
        <v>393</v>
      </c>
      <c r="G14" s="126" t="s">
        <v>116</v>
      </c>
      <c r="U14" s="224">
        <f t="shared" si="1"/>
        <v>0</v>
      </c>
    </row>
    <row r="15" spans="1:21" s="123" customFormat="1" ht="15.75" thickBot="1" x14ac:dyDescent="0.35">
      <c r="A15" s="120"/>
      <c r="B15" s="120"/>
      <c r="C15" s="120" t="str">
        <f t="shared" si="0"/>
        <v/>
      </c>
      <c r="D15" s="120"/>
      <c r="E15" s="120"/>
      <c r="G15" s="127" t="s">
        <v>112</v>
      </c>
      <c r="H15" s="128"/>
      <c r="I15" s="129">
        <f>SUM(I10:I14)</f>
        <v>83600</v>
      </c>
      <c r="J15" s="129">
        <f t="shared" ref="J15:T15" si="2">SUM(J10:J14)</f>
        <v>80000</v>
      </c>
      <c r="K15" s="129">
        <f t="shared" si="2"/>
        <v>80000</v>
      </c>
      <c r="L15" s="129">
        <f t="shared" si="2"/>
        <v>80000</v>
      </c>
      <c r="M15" s="129">
        <f t="shared" si="2"/>
        <v>80000</v>
      </c>
      <c r="N15" s="129">
        <f t="shared" si="2"/>
        <v>80000</v>
      </c>
      <c r="O15" s="129">
        <f t="shared" si="2"/>
        <v>80000</v>
      </c>
      <c r="P15" s="129">
        <f t="shared" si="2"/>
        <v>80000</v>
      </c>
      <c r="Q15" s="129">
        <f t="shared" si="2"/>
        <v>80000</v>
      </c>
      <c r="R15" s="129">
        <f t="shared" si="2"/>
        <v>80000</v>
      </c>
      <c r="S15" s="129">
        <f t="shared" si="2"/>
        <v>80000</v>
      </c>
      <c r="T15" s="129">
        <f t="shared" si="2"/>
        <v>80000</v>
      </c>
      <c r="U15" s="29">
        <f>SUM(U10:U14)</f>
        <v>963600</v>
      </c>
    </row>
    <row r="16" spans="1:21" s="123" customFormat="1" ht="15.75" thickTop="1" x14ac:dyDescent="0.3">
      <c r="A16" s="120"/>
      <c r="B16" s="120"/>
      <c r="C16" s="120" t="str">
        <f t="shared" si="0"/>
        <v/>
      </c>
      <c r="D16" s="120"/>
      <c r="E16" s="120"/>
      <c r="G16" s="124"/>
      <c r="U16" s="125"/>
    </row>
    <row r="17" spans="1:21" x14ac:dyDescent="0.3">
      <c r="A17" s="120"/>
      <c r="B17" s="120"/>
      <c r="C17" s="120" t="str">
        <f t="shared" si="0"/>
        <v/>
      </c>
      <c r="D17" s="120"/>
      <c r="E17" s="120"/>
      <c r="G17" s="22" t="s">
        <v>36</v>
      </c>
      <c r="U17" s="21"/>
    </row>
    <row r="18" spans="1:21" ht="16.5" x14ac:dyDescent="0.3">
      <c r="A18" s="120">
        <v>2</v>
      </c>
      <c r="B18" s="188" t="s">
        <v>204</v>
      </c>
      <c r="C18" s="120" t="str">
        <f t="shared" si="0"/>
        <v>012</v>
      </c>
      <c r="D18" s="120" t="s">
        <v>225</v>
      </c>
      <c r="E18" t="s">
        <v>271</v>
      </c>
      <c r="G18" s="23" t="s">
        <v>587</v>
      </c>
      <c r="I18" s="24">
        <f>200000/12</f>
        <v>16666.666666666668</v>
      </c>
      <c r="J18" s="24">
        <f t="shared" ref="J18:T18" si="3">200000/12</f>
        <v>16666.666666666668</v>
      </c>
      <c r="K18" s="24">
        <f t="shared" si="3"/>
        <v>16666.666666666668</v>
      </c>
      <c r="L18" s="24">
        <f t="shared" si="3"/>
        <v>16666.666666666668</v>
      </c>
      <c r="M18" s="24">
        <f t="shared" si="3"/>
        <v>16666.666666666668</v>
      </c>
      <c r="N18" s="24">
        <f t="shared" si="3"/>
        <v>16666.666666666668</v>
      </c>
      <c r="O18" s="24">
        <f t="shared" si="3"/>
        <v>16666.666666666668</v>
      </c>
      <c r="P18" s="24">
        <f t="shared" si="3"/>
        <v>16666.666666666668</v>
      </c>
      <c r="Q18" s="24">
        <f t="shared" si="3"/>
        <v>16666.666666666668</v>
      </c>
      <c r="R18" s="24">
        <f t="shared" si="3"/>
        <v>16666.666666666668</v>
      </c>
      <c r="S18" s="24">
        <f t="shared" si="3"/>
        <v>16666.666666666668</v>
      </c>
      <c r="T18" s="24">
        <f t="shared" si="3"/>
        <v>16666.666666666668</v>
      </c>
      <c r="U18" s="25">
        <f>SUM(I18:T18)</f>
        <v>199999.99999999997</v>
      </c>
    </row>
    <row r="19" spans="1:21" ht="16.5" x14ac:dyDescent="0.3">
      <c r="A19" s="120">
        <v>2</v>
      </c>
      <c r="B19" s="188" t="s">
        <v>210</v>
      </c>
      <c r="C19" s="120" t="str">
        <f t="shared" si="0"/>
        <v>032</v>
      </c>
      <c r="D19" s="120" t="s">
        <v>225</v>
      </c>
      <c r="E19" t="s">
        <v>325</v>
      </c>
      <c r="G19" s="23" t="s">
        <v>584</v>
      </c>
      <c r="I19" s="24">
        <v>8000</v>
      </c>
      <c r="J19" s="24">
        <v>8000</v>
      </c>
      <c r="K19" s="24">
        <v>8000</v>
      </c>
      <c r="L19" s="24">
        <v>8000</v>
      </c>
      <c r="M19" s="24">
        <v>8000</v>
      </c>
      <c r="N19" s="24">
        <v>8000</v>
      </c>
      <c r="O19" s="24">
        <v>8000</v>
      </c>
      <c r="P19" s="24">
        <v>8000</v>
      </c>
      <c r="Q19" s="24">
        <v>8000</v>
      </c>
      <c r="R19" s="24">
        <v>8000</v>
      </c>
      <c r="S19" s="24">
        <v>8000</v>
      </c>
      <c r="T19" s="24">
        <v>8000</v>
      </c>
      <c r="U19" s="25">
        <f>SUM(I19:T19)</f>
        <v>96000</v>
      </c>
    </row>
    <row r="20" spans="1:21" ht="16.5" x14ac:dyDescent="0.3">
      <c r="A20" s="120">
        <v>2</v>
      </c>
      <c r="B20" s="188" t="s">
        <v>214</v>
      </c>
      <c r="C20" s="120" t="str">
        <f t="shared" si="0"/>
        <v>072</v>
      </c>
      <c r="D20" s="120" t="s">
        <v>225</v>
      </c>
      <c r="E20" t="s">
        <v>357</v>
      </c>
      <c r="G20" s="23" t="s">
        <v>585</v>
      </c>
      <c r="I20" s="24">
        <v>2000</v>
      </c>
      <c r="J20" s="24">
        <v>2000</v>
      </c>
      <c r="K20" s="24">
        <v>2000</v>
      </c>
      <c r="L20" s="24">
        <v>2000</v>
      </c>
      <c r="M20" s="24">
        <v>2000</v>
      </c>
      <c r="N20" s="24">
        <v>2000</v>
      </c>
      <c r="O20" s="24">
        <v>2000</v>
      </c>
      <c r="P20" s="24">
        <v>2000</v>
      </c>
      <c r="Q20" s="24">
        <v>2000</v>
      </c>
      <c r="R20" s="24">
        <v>2000</v>
      </c>
      <c r="S20" s="24">
        <v>2000</v>
      </c>
      <c r="T20" s="24">
        <v>2000</v>
      </c>
      <c r="U20" s="25">
        <f>SUM(I20:T20)</f>
        <v>24000</v>
      </c>
    </row>
    <row r="21" spans="1:21" ht="16.5" x14ac:dyDescent="0.3">
      <c r="A21" s="120">
        <v>2</v>
      </c>
      <c r="B21" s="188" t="s">
        <v>209</v>
      </c>
      <c r="C21" s="120" t="str">
        <f t="shared" si="0"/>
        <v>022</v>
      </c>
      <c r="D21" s="120"/>
      <c r="E21" t="s">
        <v>602</v>
      </c>
      <c r="G21" s="23" t="s">
        <v>586</v>
      </c>
      <c r="I21" s="24">
        <f>50000/12</f>
        <v>4166.666666666667</v>
      </c>
      <c r="J21" s="24">
        <f t="shared" ref="J21:T21" si="4">50000/12</f>
        <v>4166.666666666667</v>
      </c>
      <c r="K21" s="24">
        <f t="shared" si="4"/>
        <v>4166.666666666667</v>
      </c>
      <c r="L21" s="24">
        <f t="shared" si="4"/>
        <v>4166.666666666667</v>
      </c>
      <c r="M21" s="24">
        <f t="shared" si="4"/>
        <v>4166.666666666667</v>
      </c>
      <c r="N21" s="24">
        <f t="shared" si="4"/>
        <v>4166.666666666667</v>
      </c>
      <c r="O21" s="24">
        <f t="shared" si="4"/>
        <v>4166.666666666667</v>
      </c>
      <c r="P21" s="24">
        <f t="shared" si="4"/>
        <v>4166.666666666667</v>
      </c>
      <c r="Q21" s="24">
        <f t="shared" si="4"/>
        <v>4166.666666666667</v>
      </c>
      <c r="R21" s="24">
        <f t="shared" si="4"/>
        <v>4166.666666666667</v>
      </c>
      <c r="S21" s="24">
        <f t="shared" si="4"/>
        <v>4166.666666666667</v>
      </c>
      <c r="T21" s="24">
        <f t="shared" si="4"/>
        <v>4166.666666666667</v>
      </c>
      <c r="U21" s="25">
        <f t="shared" ref="U21:U24" si="5">SUM(I21:T21)</f>
        <v>49999.999999999993</v>
      </c>
    </row>
    <row r="22" spans="1:21" ht="16.5" x14ac:dyDescent="0.3">
      <c r="A22" s="120">
        <v>2</v>
      </c>
      <c r="B22" s="188" t="s">
        <v>210</v>
      </c>
      <c r="C22" s="120" t="str">
        <f t="shared" si="0"/>
        <v>032</v>
      </c>
      <c r="D22" s="120"/>
      <c r="E22" t="s">
        <v>325</v>
      </c>
      <c r="G22" s="23" t="s">
        <v>588</v>
      </c>
      <c r="I22" s="24">
        <v>2000</v>
      </c>
      <c r="J22" s="24">
        <v>2000</v>
      </c>
      <c r="K22" s="24">
        <v>2000</v>
      </c>
      <c r="L22" s="24">
        <v>2000</v>
      </c>
      <c r="M22" s="24">
        <v>2000</v>
      </c>
      <c r="N22" s="24">
        <v>2000</v>
      </c>
      <c r="O22" s="24">
        <v>2000</v>
      </c>
      <c r="P22" s="24">
        <v>2000</v>
      </c>
      <c r="Q22" s="24">
        <v>2000</v>
      </c>
      <c r="R22" s="24">
        <v>2000</v>
      </c>
      <c r="S22" s="24">
        <v>2000</v>
      </c>
      <c r="T22" s="24">
        <v>2000</v>
      </c>
      <c r="U22" s="25">
        <f t="shared" si="5"/>
        <v>24000</v>
      </c>
    </row>
    <row r="23" spans="1:21" ht="16.5" x14ac:dyDescent="0.3">
      <c r="A23" s="120"/>
      <c r="B23" s="188"/>
      <c r="C23" s="120"/>
      <c r="D23" s="120"/>
      <c r="E23"/>
      <c r="G23" s="23" t="s">
        <v>608</v>
      </c>
      <c r="I23" s="24"/>
      <c r="J23" s="24"/>
      <c r="K23" s="24">
        <v>10000</v>
      </c>
      <c r="L23" s="24">
        <v>10000</v>
      </c>
      <c r="M23" s="24">
        <v>10000</v>
      </c>
      <c r="N23" s="24">
        <v>10000</v>
      </c>
      <c r="O23" s="24">
        <v>10000</v>
      </c>
      <c r="P23" s="24">
        <v>10000</v>
      </c>
      <c r="Q23" s="24">
        <v>10000</v>
      </c>
      <c r="R23" s="24">
        <v>10000</v>
      </c>
      <c r="S23" s="24">
        <v>10000</v>
      </c>
      <c r="T23" s="24">
        <v>10000</v>
      </c>
      <c r="U23" s="25">
        <f t="shared" si="5"/>
        <v>100000</v>
      </c>
    </row>
    <row r="24" spans="1:21" ht="16.5" x14ac:dyDescent="0.3">
      <c r="A24" s="120"/>
      <c r="B24" s="188"/>
      <c r="C24" s="120"/>
      <c r="D24" s="120"/>
      <c r="E24"/>
      <c r="G24" s="23" t="s">
        <v>610</v>
      </c>
      <c r="I24" s="24"/>
      <c r="J24" s="24"/>
      <c r="K24" s="24">
        <f>(3*10000)*50%</f>
        <v>15000</v>
      </c>
      <c r="L24" s="24">
        <f t="shared" ref="L24:T24" si="6">(3*10000)*50%</f>
        <v>15000</v>
      </c>
      <c r="M24" s="24">
        <f t="shared" si="6"/>
        <v>15000</v>
      </c>
      <c r="N24" s="24">
        <f t="shared" si="6"/>
        <v>15000</v>
      </c>
      <c r="O24" s="24">
        <f t="shared" si="6"/>
        <v>15000</v>
      </c>
      <c r="P24" s="24">
        <f t="shared" si="6"/>
        <v>15000</v>
      </c>
      <c r="Q24" s="24">
        <f t="shared" si="6"/>
        <v>15000</v>
      </c>
      <c r="R24" s="24">
        <f t="shared" si="6"/>
        <v>15000</v>
      </c>
      <c r="S24" s="24">
        <f t="shared" si="6"/>
        <v>15000</v>
      </c>
      <c r="T24" s="24">
        <f t="shared" si="6"/>
        <v>15000</v>
      </c>
      <c r="U24" s="25">
        <f t="shared" si="5"/>
        <v>150000</v>
      </c>
    </row>
    <row r="25" spans="1:21" x14ac:dyDescent="0.3">
      <c r="A25" s="120">
        <v>4</v>
      </c>
      <c r="B25" s="188" t="s">
        <v>204</v>
      </c>
      <c r="C25" s="120" t="str">
        <f t="shared" si="0"/>
        <v>014</v>
      </c>
      <c r="D25" s="120" t="s">
        <v>225</v>
      </c>
      <c r="E25" s="120" t="s">
        <v>601</v>
      </c>
      <c r="G25" s="23" t="s">
        <v>599</v>
      </c>
      <c r="I25" s="24">
        <v>1500</v>
      </c>
      <c r="J25" s="24">
        <v>1500</v>
      </c>
      <c r="K25" s="24">
        <v>1500</v>
      </c>
      <c r="L25" s="24">
        <v>1500</v>
      </c>
      <c r="M25" s="24">
        <v>1500</v>
      </c>
      <c r="N25" s="24">
        <v>1500</v>
      </c>
      <c r="O25" s="24">
        <v>1500</v>
      </c>
      <c r="P25" s="24">
        <v>1500</v>
      </c>
      <c r="Q25" s="24">
        <v>1500</v>
      </c>
      <c r="R25" s="24">
        <v>1500</v>
      </c>
      <c r="S25" s="24">
        <v>1500</v>
      </c>
      <c r="T25" s="24">
        <v>1500</v>
      </c>
      <c r="U25" s="25">
        <f>SUM(I25:T25)</f>
        <v>18000</v>
      </c>
    </row>
    <row r="26" spans="1:21" ht="15.75" thickBot="1" x14ac:dyDescent="0.35">
      <c r="A26" s="120"/>
      <c r="B26" s="120"/>
      <c r="C26" s="120" t="str">
        <f t="shared" si="0"/>
        <v/>
      </c>
      <c r="D26" s="120"/>
      <c r="E26" s="120"/>
      <c r="G26" s="26" t="s">
        <v>1</v>
      </c>
      <c r="H26" s="27"/>
      <c r="I26" s="28">
        <f>SUM(I18:I25)</f>
        <v>34333.333333333336</v>
      </c>
      <c r="J26" s="28">
        <f t="shared" ref="J26:T26" si="7">SUM(J18:J25)</f>
        <v>34333.333333333336</v>
      </c>
      <c r="K26" s="28">
        <f t="shared" si="7"/>
        <v>59333.333333333336</v>
      </c>
      <c r="L26" s="28">
        <f t="shared" si="7"/>
        <v>59333.333333333336</v>
      </c>
      <c r="M26" s="28">
        <f t="shared" si="7"/>
        <v>59333.333333333336</v>
      </c>
      <c r="N26" s="28">
        <f t="shared" si="7"/>
        <v>59333.333333333336</v>
      </c>
      <c r="O26" s="28">
        <f t="shared" si="7"/>
        <v>59333.333333333336</v>
      </c>
      <c r="P26" s="28">
        <f t="shared" si="7"/>
        <v>59333.333333333336</v>
      </c>
      <c r="Q26" s="28">
        <f t="shared" si="7"/>
        <v>59333.333333333336</v>
      </c>
      <c r="R26" s="28">
        <f t="shared" si="7"/>
        <v>59333.333333333336</v>
      </c>
      <c r="S26" s="28">
        <f t="shared" si="7"/>
        <v>59333.333333333336</v>
      </c>
      <c r="T26" s="28">
        <f t="shared" si="7"/>
        <v>59333.333333333336</v>
      </c>
      <c r="U26" s="29">
        <f>SUM(U18:U25)</f>
        <v>662000</v>
      </c>
    </row>
    <row r="27" spans="1:21" ht="15.75" thickTop="1" x14ac:dyDescent="0.3">
      <c r="A27" s="120"/>
      <c r="B27" s="120"/>
      <c r="C27" s="120" t="str">
        <f t="shared" si="0"/>
        <v/>
      </c>
      <c r="D27" s="120"/>
      <c r="E27" s="120"/>
      <c r="G27" s="22" t="s">
        <v>31</v>
      </c>
      <c r="U27" s="30"/>
    </row>
    <row r="28" spans="1:21" ht="16.5" x14ac:dyDescent="0.3">
      <c r="A28" s="120">
        <v>6</v>
      </c>
      <c r="B28" s="188" t="s">
        <v>214</v>
      </c>
      <c r="C28" s="120" t="str">
        <f t="shared" si="0"/>
        <v>076</v>
      </c>
      <c r="D28" s="120" t="s">
        <v>31</v>
      </c>
      <c r="E28" t="s">
        <v>361</v>
      </c>
      <c r="G28" s="23" t="s">
        <v>40</v>
      </c>
      <c r="I28" s="24"/>
      <c r="J28" s="24"/>
      <c r="K28" s="24"/>
      <c r="L28" s="24"/>
      <c r="M28" s="24"/>
      <c r="N28" s="24">
        <v>7500</v>
      </c>
      <c r="O28" s="24"/>
      <c r="P28" s="24"/>
      <c r="Q28" s="24"/>
      <c r="R28" s="24"/>
      <c r="S28" s="24">
        <v>7500</v>
      </c>
      <c r="T28" s="24"/>
      <c r="U28" s="25">
        <f>SUM(I28:T28)</f>
        <v>15000</v>
      </c>
    </row>
    <row r="29" spans="1:21" ht="16.5" x14ac:dyDescent="0.3">
      <c r="A29" s="120">
        <v>6</v>
      </c>
      <c r="B29" s="188" t="s">
        <v>204</v>
      </c>
      <c r="C29" s="120" t="str">
        <f t="shared" si="0"/>
        <v>016</v>
      </c>
      <c r="D29" s="120" t="s">
        <v>31</v>
      </c>
      <c r="E29" t="s">
        <v>291</v>
      </c>
      <c r="G29" s="23" t="s">
        <v>48</v>
      </c>
      <c r="I29" s="24"/>
      <c r="J29" s="24"/>
      <c r="K29" s="24">
        <v>500</v>
      </c>
      <c r="L29" s="24"/>
      <c r="M29" s="24"/>
      <c r="N29" s="24">
        <v>500</v>
      </c>
      <c r="O29" s="24"/>
      <c r="P29" s="24"/>
      <c r="Q29" s="24"/>
      <c r="R29" s="24">
        <v>500</v>
      </c>
      <c r="S29" s="24"/>
      <c r="T29" s="24">
        <v>500</v>
      </c>
      <c r="U29" s="25">
        <f>SUM(I29:T29)</f>
        <v>2000</v>
      </c>
    </row>
    <row r="30" spans="1:21" ht="16.5" x14ac:dyDescent="0.3">
      <c r="A30" s="120">
        <v>6</v>
      </c>
      <c r="B30" s="188" t="s">
        <v>204</v>
      </c>
      <c r="C30" s="120" t="str">
        <f t="shared" si="0"/>
        <v>016</v>
      </c>
      <c r="D30" s="120" t="s">
        <v>31</v>
      </c>
      <c r="E30" t="s">
        <v>291</v>
      </c>
      <c r="G30" s="23" t="s">
        <v>49</v>
      </c>
      <c r="I30" s="24"/>
      <c r="J30" s="24"/>
      <c r="K30" s="24"/>
      <c r="L30" s="24"/>
      <c r="M30" s="24"/>
      <c r="N30" s="24"/>
      <c r="O30" s="24"/>
      <c r="P30" s="24"/>
      <c r="Q30" s="24"/>
      <c r="R30" s="24"/>
      <c r="S30" s="24"/>
      <c r="T30" s="24"/>
      <c r="U30" s="25">
        <f>SUM(I30:T30)</f>
        <v>0</v>
      </c>
    </row>
    <row r="31" spans="1:21" ht="16.5" x14ac:dyDescent="0.3">
      <c r="A31" s="120">
        <v>6</v>
      </c>
      <c r="B31" s="188" t="s">
        <v>204</v>
      </c>
      <c r="C31" s="120" t="str">
        <f t="shared" si="0"/>
        <v>016</v>
      </c>
      <c r="D31" s="120" t="s">
        <v>31</v>
      </c>
      <c r="E31" t="s">
        <v>291</v>
      </c>
      <c r="F31" s="31">
        <v>0.1</v>
      </c>
      <c r="G31" s="32" t="str">
        <f>"Contigency"&amp;" "&amp;"at"&amp;" "&amp;(F31*100)&amp;"%"</f>
        <v>Contigency at 10%</v>
      </c>
      <c r="H31" s="33"/>
      <c r="I31" s="34">
        <f>SUM(I28:I30)*$F$31</f>
        <v>0</v>
      </c>
      <c r="J31" s="34">
        <f t="shared" ref="J31:T31" si="8">SUM(J28:J30)*$F$31</f>
        <v>0</v>
      </c>
      <c r="K31" s="34">
        <f t="shared" si="8"/>
        <v>50</v>
      </c>
      <c r="L31" s="34">
        <f t="shared" si="8"/>
        <v>0</v>
      </c>
      <c r="M31" s="34">
        <f t="shared" si="8"/>
        <v>0</v>
      </c>
      <c r="N31" s="34">
        <f t="shared" si="8"/>
        <v>800</v>
      </c>
      <c r="O31" s="34">
        <f t="shared" si="8"/>
        <v>0</v>
      </c>
      <c r="P31" s="34">
        <f t="shared" si="8"/>
        <v>0</v>
      </c>
      <c r="Q31" s="34">
        <f t="shared" si="8"/>
        <v>0</v>
      </c>
      <c r="R31" s="34">
        <f t="shared" si="8"/>
        <v>50</v>
      </c>
      <c r="S31" s="34">
        <f t="shared" si="8"/>
        <v>750</v>
      </c>
      <c r="T31" s="34">
        <f t="shared" si="8"/>
        <v>50</v>
      </c>
      <c r="U31" s="35">
        <f>SUM(I31:T31)</f>
        <v>1700</v>
      </c>
    </row>
    <row r="32" spans="1:21" ht="15.75" thickBot="1" x14ac:dyDescent="0.35">
      <c r="A32" s="120"/>
      <c r="B32" s="120"/>
      <c r="C32" s="120" t="str">
        <f t="shared" si="0"/>
        <v/>
      </c>
      <c r="D32" s="120"/>
      <c r="E32" s="120"/>
      <c r="G32" s="26" t="s">
        <v>1</v>
      </c>
      <c r="H32" s="27"/>
      <c r="I32" s="28">
        <f>SUM(I28:I31)</f>
        <v>0</v>
      </c>
      <c r="J32" s="28">
        <f t="shared" ref="J32:T32" si="9">SUM(J28:J31)</f>
        <v>0</v>
      </c>
      <c r="K32" s="28">
        <f t="shared" si="9"/>
        <v>550</v>
      </c>
      <c r="L32" s="28">
        <f t="shared" si="9"/>
        <v>0</v>
      </c>
      <c r="M32" s="28">
        <f t="shared" si="9"/>
        <v>0</v>
      </c>
      <c r="N32" s="28">
        <f t="shared" si="9"/>
        <v>8800</v>
      </c>
      <c r="O32" s="28">
        <f t="shared" si="9"/>
        <v>0</v>
      </c>
      <c r="P32" s="28">
        <f t="shared" si="9"/>
        <v>0</v>
      </c>
      <c r="Q32" s="28">
        <f t="shared" si="9"/>
        <v>0</v>
      </c>
      <c r="R32" s="28">
        <f t="shared" si="9"/>
        <v>550</v>
      </c>
      <c r="S32" s="28">
        <f t="shared" si="9"/>
        <v>8250</v>
      </c>
      <c r="T32" s="28">
        <f t="shared" si="9"/>
        <v>550</v>
      </c>
      <c r="U32" s="29">
        <f>SUM(U28:U31)</f>
        <v>18700</v>
      </c>
    </row>
    <row r="33" spans="1:21" ht="15.75" thickTop="1" x14ac:dyDescent="0.3">
      <c r="A33" s="120"/>
      <c r="B33" s="120"/>
      <c r="C33" s="120" t="str">
        <f t="shared" si="0"/>
        <v/>
      </c>
      <c r="D33" s="120"/>
      <c r="E33" s="120"/>
      <c r="G33" s="22" t="s">
        <v>196</v>
      </c>
      <c r="U33" s="30"/>
    </row>
    <row r="34" spans="1:21" ht="16.5" x14ac:dyDescent="0.3">
      <c r="A34" s="120">
        <v>4</v>
      </c>
      <c r="B34" s="188" t="s">
        <v>204</v>
      </c>
      <c r="C34" s="120" t="str">
        <f t="shared" si="0"/>
        <v>014</v>
      </c>
      <c r="D34" s="120" t="s">
        <v>236</v>
      </c>
      <c r="E34" t="s">
        <v>287</v>
      </c>
      <c r="G34" s="23" t="s">
        <v>41</v>
      </c>
      <c r="I34" s="24">
        <v>600</v>
      </c>
      <c r="J34" s="24">
        <v>600</v>
      </c>
      <c r="K34" s="24">
        <v>600</v>
      </c>
      <c r="L34" s="24">
        <v>600</v>
      </c>
      <c r="M34" s="24">
        <v>600</v>
      </c>
      <c r="N34" s="24">
        <v>600</v>
      </c>
      <c r="O34" s="24">
        <v>600</v>
      </c>
      <c r="P34" s="24">
        <v>600</v>
      </c>
      <c r="Q34" s="24">
        <v>600</v>
      </c>
      <c r="R34" s="24">
        <v>600</v>
      </c>
      <c r="S34" s="24">
        <v>600</v>
      </c>
      <c r="T34" s="24">
        <v>600</v>
      </c>
      <c r="U34" s="25">
        <f>SUM(I34:T34)</f>
        <v>7200</v>
      </c>
    </row>
    <row r="35" spans="1:21" ht="16.5" x14ac:dyDescent="0.3">
      <c r="A35" s="120">
        <v>3</v>
      </c>
      <c r="B35" s="188" t="s">
        <v>204</v>
      </c>
      <c r="C35" s="120" t="str">
        <f t="shared" si="0"/>
        <v>013</v>
      </c>
      <c r="D35" s="120" t="s">
        <v>230</v>
      </c>
      <c r="E35" t="s">
        <v>277</v>
      </c>
      <c r="G35" s="23" t="s">
        <v>194</v>
      </c>
      <c r="I35" s="24"/>
      <c r="J35" s="24"/>
      <c r="K35" s="24"/>
      <c r="L35" s="24"/>
      <c r="M35" s="24"/>
      <c r="N35" s="24"/>
      <c r="O35" s="24"/>
      <c r="P35" s="24"/>
      <c r="Q35" s="24"/>
      <c r="R35" s="24"/>
      <c r="S35" s="24"/>
      <c r="T35" s="24"/>
      <c r="U35" s="25">
        <f t="shared" ref="U35:U40" si="10">SUM(I35:T35)</f>
        <v>0</v>
      </c>
    </row>
    <row r="36" spans="1:21" ht="16.5" x14ac:dyDescent="0.3">
      <c r="A36" s="120">
        <v>3</v>
      </c>
      <c r="B36" s="188" t="s">
        <v>214</v>
      </c>
      <c r="C36" s="120" t="str">
        <f t="shared" si="0"/>
        <v>073</v>
      </c>
      <c r="D36" s="120" t="s">
        <v>230</v>
      </c>
      <c r="E36" t="s">
        <v>359</v>
      </c>
      <c r="G36" s="23" t="s">
        <v>193</v>
      </c>
      <c r="I36" s="24">
        <v>125</v>
      </c>
      <c r="J36" s="24">
        <v>125</v>
      </c>
      <c r="K36" s="24">
        <v>125</v>
      </c>
      <c r="L36" s="24">
        <v>125</v>
      </c>
      <c r="M36" s="24">
        <v>125</v>
      </c>
      <c r="N36" s="24">
        <v>125</v>
      </c>
      <c r="O36" s="24">
        <v>125</v>
      </c>
      <c r="P36" s="24">
        <v>125</v>
      </c>
      <c r="Q36" s="24">
        <v>125</v>
      </c>
      <c r="R36" s="24">
        <v>125</v>
      </c>
      <c r="S36" s="24">
        <v>125</v>
      </c>
      <c r="T36" s="24">
        <v>125</v>
      </c>
      <c r="U36" s="25">
        <f t="shared" si="10"/>
        <v>1500</v>
      </c>
    </row>
    <row r="37" spans="1:21" ht="16.5" x14ac:dyDescent="0.3">
      <c r="A37" s="120">
        <v>3</v>
      </c>
      <c r="B37" s="188" t="s">
        <v>204</v>
      </c>
      <c r="C37" s="120" t="str">
        <f t="shared" si="0"/>
        <v>013</v>
      </c>
      <c r="D37" s="120" t="s">
        <v>230</v>
      </c>
      <c r="E37" t="s">
        <v>273</v>
      </c>
      <c r="G37" s="23" t="s">
        <v>195</v>
      </c>
      <c r="I37" s="24">
        <v>400</v>
      </c>
      <c r="J37" s="24">
        <v>400</v>
      </c>
      <c r="K37" s="24">
        <v>400</v>
      </c>
      <c r="L37" s="24">
        <v>400</v>
      </c>
      <c r="M37" s="24">
        <v>400</v>
      </c>
      <c r="N37" s="24">
        <v>400</v>
      </c>
      <c r="O37" s="24">
        <v>400</v>
      </c>
      <c r="P37" s="24">
        <v>400</v>
      </c>
      <c r="Q37" s="24">
        <v>400</v>
      </c>
      <c r="R37" s="24">
        <v>400</v>
      </c>
      <c r="S37" s="24">
        <v>400</v>
      </c>
      <c r="T37" s="24">
        <v>400</v>
      </c>
      <c r="U37" s="25">
        <f t="shared" si="10"/>
        <v>4800</v>
      </c>
    </row>
    <row r="38" spans="1:21" ht="16.5" x14ac:dyDescent="0.3">
      <c r="A38" s="120">
        <v>4</v>
      </c>
      <c r="B38" s="188" t="s">
        <v>204</v>
      </c>
      <c r="C38" s="120" t="str">
        <f t="shared" si="0"/>
        <v>014</v>
      </c>
      <c r="D38" s="120" t="s">
        <v>236</v>
      </c>
      <c r="E38" t="s">
        <v>285</v>
      </c>
      <c r="G38" s="23" t="s">
        <v>45</v>
      </c>
      <c r="I38" s="24">
        <v>250</v>
      </c>
      <c r="J38" s="24">
        <v>250</v>
      </c>
      <c r="K38" s="24">
        <v>250</v>
      </c>
      <c r="L38" s="24">
        <v>250</v>
      </c>
      <c r="M38" s="24">
        <v>250</v>
      </c>
      <c r="N38" s="24">
        <v>250</v>
      </c>
      <c r="O38" s="24">
        <v>250</v>
      </c>
      <c r="P38" s="24">
        <v>250</v>
      </c>
      <c r="Q38" s="24">
        <v>250</v>
      </c>
      <c r="R38" s="24">
        <v>250</v>
      </c>
      <c r="S38" s="24">
        <v>250</v>
      </c>
      <c r="T38" s="24">
        <v>250</v>
      </c>
      <c r="U38" s="25">
        <f t="shared" si="10"/>
        <v>3000</v>
      </c>
    </row>
    <row r="39" spans="1:21" ht="16.5" x14ac:dyDescent="0.3">
      <c r="A39" s="120">
        <v>4</v>
      </c>
      <c r="B39" s="188" t="s">
        <v>204</v>
      </c>
      <c r="C39" s="120" t="str">
        <f t="shared" si="0"/>
        <v>014</v>
      </c>
      <c r="D39" s="120" t="s">
        <v>236</v>
      </c>
      <c r="E39" t="s">
        <v>289</v>
      </c>
      <c r="G39" s="23" t="s">
        <v>46</v>
      </c>
      <c r="I39" s="24">
        <v>250</v>
      </c>
      <c r="J39" s="24">
        <v>250</v>
      </c>
      <c r="K39" s="24">
        <v>250</v>
      </c>
      <c r="L39" s="24">
        <v>250</v>
      </c>
      <c r="M39" s="24">
        <v>250</v>
      </c>
      <c r="N39" s="24">
        <v>250</v>
      </c>
      <c r="O39" s="24">
        <v>250</v>
      </c>
      <c r="P39" s="24">
        <v>250</v>
      </c>
      <c r="Q39" s="24">
        <v>250</v>
      </c>
      <c r="R39" s="24">
        <v>250</v>
      </c>
      <c r="S39" s="24">
        <v>250</v>
      </c>
      <c r="T39" s="24">
        <v>250</v>
      </c>
      <c r="U39" s="25">
        <f t="shared" si="10"/>
        <v>3000</v>
      </c>
    </row>
    <row r="40" spans="1:21" ht="16.5" x14ac:dyDescent="0.3">
      <c r="A40" s="120">
        <v>4</v>
      </c>
      <c r="B40" s="188" t="s">
        <v>204</v>
      </c>
      <c r="C40" s="120" t="str">
        <f t="shared" si="0"/>
        <v>014</v>
      </c>
      <c r="D40" s="120" t="s">
        <v>236</v>
      </c>
      <c r="E40" t="s">
        <v>289</v>
      </c>
      <c r="F40" s="31">
        <v>0.25</v>
      </c>
      <c r="G40" s="32" t="str">
        <f>"Contigency"&amp;" "&amp;"at"&amp;" "&amp;(F40*100)&amp;"%"</f>
        <v>Contigency at 25%</v>
      </c>
      <c r="H40" s="33"/>
      <c r="I40" s="34">
        <f t="shared" ref="I40:T40" si="11">SUM(I34:I39)*$F$40</f>
        <v>406.25</v>
      </c>
      <c r="J40" s="34">
        <f t="shared" si="11"/>
        <v>406.25</v>
      </c>
      <c r="K40" s="34">
        <f t="shared" si="11"/>
        <v>406.25</v>
      </c>
      <c r="L40" s="34">
        <f t="shared" si="11"/>
        <v>406.25</v>
      </c>
      <c r="M40" s="34">
        <f t="shared" si="11"/>
        <v>406.25</v>
      </c>
      <c r="N40" s="34">
        <f t="shared" si="11"/>
        <v>406.25</v>
      </c>
      <c r="O40" s="34">
        <f t="shared" si="11"/>
        <v>406.25</v>
      </c>
      <c r="P40" s="34">
        <f t="shared" si="11"/>
        <v>406.25</v>
      </c>
      <c r="Q40" s="34">
        <f t="shared" si="11"/>
        <v>406.25</v>
      </c>
      <c r="R40" s="34">
        <f t="shared" si="11"/>
        <v>406.25</v>
      </c>
      <c r="S40" s="34">
        <f t="shared" si="11"/>
        <v>406.25</v>
      </c>
      <c r="T40" s="34">
        <f t="shared" si="11"/>
        <v>406.25</v>
      </c>
      <c r="U40" s="35">
        <f t="shared" si="10"/>
        <v>4875</v>
      </c>
    </row>
    <row r="41" spans="1:21" ht="15.75" thickBot="1" x14ac:dyDescent="0.35">
      <c r="A41" s="120"/>
      <c r="B41" s="120"/>
      <c r="C41" s="120" t="str">
        <f t="shared" si="0"/>
        <v/>
      </c>
      <c r="D41" s="120"/>
      <c r="E41" s="120"/>
      <c r="G41" s="26" t="s">
        <v>1</v>
      </c>
      <c r="H41" s="27"/>
      <c r="I41" s="28">
        <f>SUM(I34:I40)</f>
        <v>2031.25</v>
      </c>
      <c r="J41" s="28">
        <f t="shared" ref="J41:T41" si="12">SUM(J34:J40)</f>
        <v>2031.25</v>
      </c>
      <c r="K41" s="28">
        <f t="shared" si="12"/>
        <v>2031.25</v>
      </c>
      <c r="L41" s="28">
        <f t="shared" si="12"/>
        <v>2031.25</v>
      </c>
      <c r="M41" s="28">
        <f t="shared" si="12"/>
        <v>2031.25</v>
      </c>
      <c r="N41" s="28">
        <f t="shared" si="12"/>
        <v>2031.25</v>
      </c>
      <c r="O41" s="28">
        <f t="shared" si="12"/>
        <v>2031.25</v>
      </c>
      <c r="P41" s="28">
        <f t="shared" si="12"/>
        <v>2031.25</v>
      </c>
      <c r="Q41" s="28">
        <f t="shared" si="12"/>
        <v>2031.25</v>
      </c>
      <c r="R41" s="28">
        <f t="shared" si="12"/>
        <v>2031.25</v>
      </c>
      <c r="S41" s="28">
        <f t="shared" si="12"/>
        <v>2031.25</v>
      </c>
      <c r="T41" s="28">
        <f t="shared" si="12"/>
        <v>2031.25</v>
      </c>
      <c r="U41" s="29">
        <f>SUM(U34:U40)</f>
        <v>24375</v>
      </c>
    </row>
    <row r="42" spans="1:21" ht="15.75" thickTop="1" x14ac:dyDescent="0.3">
      <c r="A42" s="120"/>
      <c r="B42" s="120"/>
      <c r="C42" s="120" t="str">
        <f t="shared" si="0"/>
        <v/>
      </c>
      <c r="D42" s="120"/>
      <c r="E42" s="120"/>
      <c r="G42" s="22" t="s">
        <v>431</v>
      </c>
      <c r="I42" s="24"/>
      <c r="J42" s="24"/>
      <c r="K42" s="24"/>
      <c r="L42" s="24"/>
      <c r="M42" s="24"/>
      <c r="N42" s="24"/>
      <c r="O42" s="24"/>
      <c r="P42" s="24"/>
      <c r="Q42" s="24"/>
      <c r="R42" s="24"/>
      <c r="S42" s="24"/>
      <c r="T42" s="24"/>
      <c r="U42" s="30"/>
    </row>
    <row r="43" spans="1:21" ht="16.5" x14ac:dyDescent="0.3">
      <c r="A43" s="120">
        <v>3</v>
      </c>
      <c r="B43" s="188" t="s">
        <v>211</v>
      </c>
      <c r="C43" s="120" t="str">
        <f t="shared" si="0"/>
        <v>043</v>
      </c>
      <c r="D43" s="120" t="s">
        <v>230</v>
      </c>
      <c r="E43" t="s">
        <v>335</v>
      </c>
      <c r="G43" s="157" t="s">
        <v>336</v>
      </c>
      <c r="I43" s="24">
        <v>5000</v>
      </c>
      <c r="J43" s="24">
        <v>1000</v>
      </c>
      <c r="K43" s="24">
        <v>1000</v>
      </c>
      <c r="L43" s="24">
        <v>5000</v>
      </c>
      <c r="M43" s="24">
        <v>1000</v>
      </c>
      <c r="N43" s="24">
        <v>1000</v>
      </c>
      <c r="O43" s="24">
        <v>5000</v>
      </c>
      <c r="P43" s="24">
        <v>1000</v>
      </c>
      <c r="Q43" s="24">
        <v>1000</v>
      </c>
      <c r="R43" s="24">
        <v>5000</v>
      </c>
      <c r="S43" s="24">
        <v>1000</v>
      </c>
      <c r="T43" s="24">
        <v>1000</v>
      </c>
      <c r="U43" s="25">
        <f>SUM(I43:T43)</f>
        <v>28000</v>
      </c>
    </row>
    <row r="44" spans="1:21" ht="16.5" x14ac:dyDescent="0.3">
      <c r="A44" s="120">
        <v>3</v>
      </c>
      <c r="B44" s="188" t="s">
        <v>211</v>
      </c>
      <c r="C44" s="120" t="str">
        <f t="shared" si="0"/>
        <v>043</v>
      </c>
      <c r="D44" s="120" t="s">
        <v>230</v>
      </c>
      <c r="E44" t="s">
        <v>337</v>
      </c>
      <c r="G44" s="157" t="s">
        <v>338</v>
      </c>
      <c r="I44" s="24">
        <v>5000</v>
      </c>
      <c r="J44" s="24">
        <v>5000</v>
      </c>
      <c r="K44" s="24">
        <v>5000</v>
      </c>
      <c r="L44" s="24">
        <v>5000</v>
      </c>
      <c r="M44" s="24">
        <v>5000</v>
      </c>
      <c r="N44" s="24">
        <v>5000</v>
      </c>
      <c r="O44" s="24">
        <v>5000</v>
      </c>
      <c r="P44" s="24">
        <v>5000</v>
      </c>
      <c r="Q44" s="24">
        <v>5000</v>
      </c>
      <c r="R44" s="24">
        <v>5000</v>
      </c>
      <c r="S44" s="24">
        <v>5000</v>
      </c>
      <c r="T44" s="24">
        <v>5000</v>
      </c>
      <c r="U44" s="25">
        <f t="shared" ref="U44:U50" si="13">SUM(I44:T44)</f>
        <v>60000</v>
      </c>
    </row>
    <row r="45" spans="1:21" ht="16.5" x14ac:dyDescent="0.3">
      <c r="A45" s="120">
        <v>3</v>
      </c>
      <c r="B45" s="188" t="s">
        <v>212</v>
      </c>
      <c r="C45" s="120" t="str">
        <f t="shared" si="0"/>
        <v>053</v>
      </c>
      <c r="D45" s="120" t="s">
        <v>230</v>
      </c>
      <c r="E45" t="s">
        <v>343</v>
      </c>
      <c r="G45" s="157" t="s">
        <v>344</v>
      </c>
      <c r="I45" s="24"/>
      <c r="J45" s="24"/>
      <c r="K45" s="24"/>
      <c r="L45" s="24"/>
      <c r="M45" s="24"/>
      <c r="N45" s="24"/>
      <c r="O45" s="24"/>
      <c r="P45" s="24"/>
      <c r="Q45" s="24"/>
      <c r="R45" s="24"/>
      <c r="S45" s="24"/>
      <c r="T45" s="24"/>
      <c r="U45" s="25">
        <f t="shared" si="13"/>
        <v>0</v>
      </c>
    </row>
    <row r="46" spans="1:21" ht="16.5" x14ac:dyDescent="0.3">
      <c r="A46" s="120">
        <v>7</v>
      </c>
      <c r="B46" s="188" t="s">
        <v>211</v>
      </c>
      <c r="C46" s="120" t="str">
        <f t="shared" si="0"/>
        <v>047</v>
      </c>
      <c r="D46" s="120" t="s">
        <v>248</v>
      </c>
      <c r="E46" t="s">
        <v>341</v>
      </c>
      <c r="G46" s="157" t="s">
        <v>342</v>
      </c>
      <c r="I46" s="233"/>
      <c r="J46" s="233"/>
      <c r="K46" s="233"/>
      <c r="L46" s="233"/>
      <c r="M46" s="233"/>
      <c r="N46" s="233"/>
      <c r="O46" s="233"/>
      <c r="P46" s="233"/>
      <c r="Q46" s="233"/>
      <c r="R46" s="233"/>
      <c r="S46" s="233"/>
      <c r="T46" s="233"/>
      <c r="U46" s="25">
        <f t="shared" si="13"/>
        <v>0</v>
      </c>
    </row>
    <row r="47" spans="1:21" ht="16.5" x14ac:dyDescent="0.3">
      <c r="A47" s="120">
        <v>7</v>
      </c>
      <c r="B47" s="188" t="s">
        <v>212</v>
      </c>
      <c r="C47" s="120" t="str">
        <f t="shared" si="0"/>
        <v>057</v>
      </c>
      <c r="D47" s="120" t="s">
        <v>248</v>
      </c>
      <c r="E47" t="s">
        <v>349</v>
      </c>
      <c r="G47" s="157" t="s">
        <v>350</v>
      </c>
      <c r="I47" s="233"/>
      <c r="J47" s="233">
        <v>10000</v>
      </c>
      <c r="K47" s="233">
        <v>20000</v>
      </c>
      <c r="L47" s="233">
        <v>17000</v>
      </c>
      <c r="M47" s="233">
        <v>17000</v>
      </c>
      <c r="N47" s="233">
        <v>17000</v>
      </c>
      <c r="O47" s="233"/>
      <c r="P47" s="233"/>
      <c r="Q47" s="233">
        <v>10000</v>
      </c>
      <c r="R47" s="233"/>
      <c r="S47" s="233"/>
      <c r="T47" s="233">
        <v>10000</v>
      </c>
      <c r="U47" s="25">
        <f t="shared" si="13"/>
        <v>101000</v>
      </c>
    </row>
    <row r="48" spans="1:21" ht="16.5" x14ac:dyDescent="0.3">
      <c r="A48" s="120"/>
      <c r="B48" s="120"/>
      <c r="C48" s="120" t="str">
        <f t="shared" si="0"/>
        <v/>
      </c>
      <c r="D48" s="120"/>
      <c r="E48"/>
      <c r="G48" s="157" t="s">
        <v>154</v>
      </c>
      <c r="I48" s="233"/>
      <c r="J48" s="233"/>
      <c r="K48" s="233"/>
      <c r="L48" s="233"/>
      <c r="M48" s="233"/>
      <c r="N48" s="233"/>
      <c r="O48" s="233"/>
      <c r="P48" s="233"/>
      <c r="Q48" s="233"/>
      <c r="R48" s="233"/>
      <c r="S48" s="233"/>
      <c r="T48" s="233"/>
      <c r="U48" s="25">
        <f t="shared" si="13"/>
        <v>0</v>
      </c>
    </row>
    <row r="49" spans="1:21" x14ac:dyDescent="0.3">
      <c r="A49" s="120"/>
      <c r="B49" s="120"/>
      <c r="C49" s="120" t="str">
        <f t="shared" si="0"/>
        <v/>
      </c>
      <c r="D49" s="120"/>
      <c r="E49" s="120"/>
      <c r="G49" s="157" t="s">
        <v>46</v>
      </c>
      <c r="I49" s="24"/>
      <c r="J49" s="24"/>
      <c r="K49" s="24"/>
      <c r="L49" s="24"/>
      <c r="M49" s="24"/>
      <c r="N49" s="24"/>
      <c r="O49" s="24"/>
      <c r="P49" s="24"/>
      <c r="Q49" s="24"/>
      <c r="R49" s="24"/>
      <c r="S49" s="24"/>
      <c r="T49" s="24"/>
      <c r="U49" s="25">
        <f t="shared" si="13"/>
        <v>0</v>
      </c>
    </row>
    <row r="50" spans="1:21" ht="16.5" x14ac:dyDescent="0.3">
      <c r="A50" s="120">
        <v>3</v>
      </c>
      <c r="B50" s="188" t="s">
        <v>211</v>
      </c>
      <c r="C50" s="120" t="str">
        <f t="shared" si="0"/>
        <v>043</v>
      </c>
      <c r="D50" s="120" t="s">
        <v>230</v>
      </c>
      <c r="E50" t="s">
        <v>335</v>
      </c>
      <c r="F50" s="31">
        <v>0.1</v>
      </c>
      <c r="G50" s="32" t="str">
        <f>"Contigency"&amp;" "&amp;"at"&amp;" "&amp;(F50*100)&amp;"%"</f>
        <v>Contigency at 10%</v>
      </c>
      <c r="I50" s="24">
        <f t="shared" ref="I50:T50" si="14">SUM(I43:I49)*$F$50</f>
        <v>1000</v>
      </c>
      <c r="J50" s="24">
        <f t="shared" si="14"/>
        <v>1600</v>
      </c>
      <c r="K50" s="24">
        <f t="shared" si="14"/>
        <v>2600</v>
      </c>
      <c r="L50" s="24">
        <f t="shared" si="14"/>
        <v>2700</v>
      </c>
      <c r="M50" s="24">
        <f t="shared" si="14"/>
        <v>2300</v>
      </c>
      <c r="N50" s="24">
        <f t="shared" si="14"/>
        <v>2300</v>
      </c>
      <c r="O50" s="24">
        <f t="shared" si="14"/>
        <v>1000</v>
      </c>
      <c r="P50" s="24">
        <f t="shared" si="14"/>
        <v>600</v>
      </c>
      <c r="Q50" s="24">
        <f t="shared" si="14"/>
        <v>1600</v>
      </c>
      <c r="R50" s="24">
        <f t="shared" si="14"/>
        <v>1000</v>
      </c>
      <c r="S50" s="24">
        <f t="shared" si="14"/>
        <v>600</v>
      </c>
      <c r="T50" s="24">
        <f t="shared" si="14"/>
        <v>1600</v>
      </c>
      <c r="U50" s="25">
        <f t="shared" si="13"/>
        <v>18900</v>
      </c>
    </row>
    <row r="51" spans="1:21" ht="15.75" thickBot="1" x14ac:dyDescent="0.35">
      <c r="A51" s="120"/>
      <c r="B51" s="120"/>
      <c r="C51" s="120" t="str">
        <f t="shared" si="0"/>
        <v/>
      </c>
      <c r="D51" s="120"/>
      <c r="E51" s="120"/>
      <c r="G51" s="26" t="s">
        <v>1</v>
      </c>
      <c r="H51" s="27"/>
      <c r="I51" s="28">
        <f t="shared" ref="I51:U51" si="15">SUM(I43:I50)</f>
        <v>11000</v>
      </c>
      <c r="J51" s="28">
        <f t="shared" si="15"/>
        <v>17600</v>
      </c>
      <c r="K51" s="28">
        <f t="shared" si="15"/>
        <v>28600</v>
      </c>
      <c r="L51" s="28">
        <f t="shared" si="15"/>
        <v>29700</v>
      </c>
      <c r="M51" s="28">
        <f t="shared" si="15"/>
        <v>25300</v>
      </c>
      <c r="N51" s="28">
        <f t="shared" si="15"/>
        <v>25300</v>
      </c>
      <c r="O51" s="28">
        <f t="shared" si="15"/>
        <v>11000</v>
      </c>
      <c r="P51" s="28">
        <f t="shared" si="15"/>
        <v>6600</v>
      </c>
      <c r="Q51" s="28">
        <f t="shared" si="15"/>
        <v>17600</v>
      </c>
      <c r="R51" s="28">
        <f t="shared" si="15"/>
        <v>11000</v>
      </c>
      <c r="S51" s="28">
        <f t="shared" si="15"/>
        <v>6600</v>
      </c>
      <c r="T51" s="28">
        <f t="shared" si="15"/>
        <v>17600</v>
      </c>
      <c r="U51" s="29">
        <f t="shared" si="15"/>
        <v>207900</v>
      </c>
    </row>
    <row r="52" spans="1:21" ht="15.75" thickTop="1" x14ac:dyDescent="0.3">
      <c r="A52" s="120"/>
      <c r="B52" s="120"/>
      <c r="C52" s="120" t="str">
        <f t="shared" si="0"/>
        <v/>
      </c>
      <c r="D52" s="120"/>
      <c r="E52" s="120"/>
      <c r="G52" s="22" t="s">
        <v>58</v>
      </c>
      <c r="U52" s="30"/>
    </row>
    <row r="53" spans="1:21" ht="16.5" x14ac:dyDescent="0.3">
      <c r="A53" s="120">
        <v>1</v>
      </c>
      <c r="B53" s="188" t="s">
        <v>209</v>
      </c>
      <c r="C53" s="120" t="str">
        <f t="shared" si="0"/>
        <v>021</v>
      </c>
      <c r="D53" s="120" t="s">
        <v>30</v>
      </c>
      <c r="E53" t="s">
        <v>313</v>
      </c>
      <c r="G53" s="23" t="s">
        <v>47</v>
      </c>
      <c r="I53" s="24"/>
      <c r="J53" s="24"/>
      <c r="K53" s="24"/>
      <c r="L53" s="24"/>
      <c r="M53" s="24"/>
      <c r="N53" s="24"/>
      <c r="O53" s="24"/>
      <c r="P53" s="24"/>
      <c r="Q53" s="24"/>
      <c r="R53" s="24"/>
      <c r="S53" s="24"/>
      <c r="T53" s="24">
        <v>5000</v>
      </c>
      <c r="U53" s="25">
        <f>SUM(I53:T53)</f>
        <v>5000</v>
      </c>
    </row>
    <row r="54" spans="1:21" ht="16.5" x14ac:dyDescent="0.3">
      <c r="A54" s="120">
        <v>1</v>
      </c>
      <c r="B54" s="188" t="s">
        <v>209</v>
      </c>
      <c r="C54" s="120" t="str">
        <f t="shared" si="0"/>
        <v>021</v>
      </c>
      <c r="D54" s="120" t="s">
        <v>30</v>
      </c>
      <c r="E54" t="s">
        <v>301</v>
      </c>
      <c r="G54" s="23" t="s">
        <v>220</v>
      </c>
      <c r="I54" s="24"/>
      <c r="J54" s="24"/>
      <c r="K54" s="24"/>
      <c r="L54" s="24"/>
      <c r="M54" s="24"/>
      <c r="N54" s="24"/>
      <c r="O54" s="24"/>
      <c r="P54" s="24"/>
      <c r="Q54" s="24"/>
      <c r="R54" s="24"/>
      <c r="S54" s="24"/>
      <c r="T54" s="24">
        <f>4*2000</f>
        <v>8000</v>
      </c>
      <c r="U54" s="25">
        <f t="shared" ref="U54:U63" si="16">SUM(I54:T54)</f>
        <v>8000</v>
      </c>
    </row>
    <row r="55" spans="1:21" ht="16.5" x14ac:dyDescent="0.3">
      <c r="A55" s="120">
        <v>1</v>
      </c>
      <c r="B55" s="188" t="s">
        <v>209</v>
      </c>
      <c r="C55" s="120" t="str">
        <f t="shared" si="0"/>
        <v>021</v>
      </c>
      <c r="D55" s="120" t="s">
        <v>30</v>
      </c>
      <c r="E55" t="s">
        <v>303</v>
      </c>
      <c r="G55" s="23" t="s">
        <v>221</v>
      </c>
      <c r="I55" s="24"/>
      <c r="J55" s="24"/>
      <c r="K55" s="24"/>
      <c r="L55" s="24"/>
      <c r="M55" s="24"/>
      <c r="N55" s="24"/>
      <c r="O55" s="24"/>
      <c r="P55" s="24"/>
      <c r="Q55" s="24"/>
      <c r="R55" s="24"/>
      <c r="S55" s="24"/>
      <c r="T55" s="24">
        <f>4*2000</f>
        <v>8000</v>
      </c>
      <c r="U55" s="25">
        <f t="shared" si="16"/>
        <v>8000</v>
      </c>
    </row>
    <row r="56" spans="1:21" ht="16.5" x14ac:dyDescent="0.3">
      <c r="A56" s="120">
        <v>1</v>
      </c>
      <c r="B56" s="188" t="s">
        <v>209</v>
      </c>
      <c r="C56" s="120" t="str">
        <f t="shared" si="0"/>
        <v>021</v>
      </c>
      <c r="D56" s="120" t="s">
        <v>30</v>
      </c>
      <c r="E56" t="s">
        <v>305</v>
      </c>
      <c r="G56" s="23" t="s">
        <v>397</v>
      </c>
      <c r="I56" s="24"/>
      <c r="J56" s="24"/>
      <c r="K56" s="24"/>
      <c r="L56" s="24"/>
      <c r="M56" s="24"/>
      <c r="N56" s="24"/>
      <c r="O56" s="24"/>
      <c r="P56" s="24"/>
      <c r="Q56" s="24"/>
      <c r="R56" s="24"/>
      <c r="S56" s="24"/>
      <c r="T56" s="24">
        <f>1000</f>
        <v>1000</v>
      </c>
      <c r="U56" s="25">
        <f t="shared" si="16"/>
        <v>1000</v>
      </c>
    </row>
    <row r="57" spans="1:21" ht="16.5" x14ac:dyDescent="0.3">
      <c r="A57" s="120">
        <v>1</v>
      </c>
      <c r="B57" s="188" t="s">
        <v>209</v>
      </c>
      <c r="C57" s="120" t="str">
        <f t="shared" si="0"/>
        <v>021</v>
      </c>
      <c r="D57" s="120" t="s">
        <v>30</v>
      </c>
      <c r="E57" t="s">
        <v>307</v>
      </c>
      <c r="G57" s="23" t="s">
        <v>396</v>
      </c>
      <c r="I57" s="24"/>
      <c r="J57" s="24"/>
      <c r="K57" s="24"/>
      <c r="L57" s="24"/>
      <c r="M57" s="24"/>
      <c r="N57" s="24"/>
      <c r="O57" s="24"/>
      <c r="P57" s="24"/>
      <c r="Q57" s="24"/>
      <c r="R57" s="24"/>
      <c r="S57" s="24"/>
      <c r="T57" s="24">
        <v>1000</v>
      </c>
      <c r="U57" s="25">
        <f t="shared" si="16"/>
        <v>1000</v>
      </c>
    </row>
    <row r="58" spans="1:21" ht="16.5" x14ac:dyDescent="0.3">
      <c r="A58" s="120">
        <v>1</v>
      </c>
      <c r="B58" s="188" t="s">
        <v>209</v>
      </c>
      <c r="C58" s="120" t="str">
        <f t="shared" si="0"/>
        <v>021</v>
      </c>
      <c r="D58" s="120" t="s">
        <v>30</v>
      </c>
      <c r="E58" t="s">
        <v>309</v>
      </c>
      <c r="G58" s="23" t="s">
        <v>223</v>
      </c>
      <c r="I58" s="24"/>
      <c r="J58" s="24"/>
      <c r="K58" s="24"/>
      <c r="L58" s="24"/>
      <c r="M58" s="24"/>
      <c r="N58" s="24"/>
      <c r="O58" s="24"/>
      <c r="P58" s="24"/>
      <c r="Q58" s="24"/>
      <c r="R58" s="24"/>
      <c r="S58" s="24"/>
      <c r="T58" s="24"/>
      <c r="U58" s="25">
        <f t="shared" si="16"/>
        <v>0</v>
      </c>
    </row>
    <row r="59" spans="1:21" ht="16.5" x14ac:dyDescent="0.3">
      <c r="A59" s="120">
        <v>5</v>
      </c>
      <c r="B59" s="188" t="s">
        <v>209</v>
      </c>
      <c r="C59" s="120" t="str">
        <f t="shared" si="0"/>
        <v>025</v>
      </c>
      <c r="D59" s="120" t="s">
        <v>243</v>
      </c>
      <c r="E59" t="s">
        <v>315</v>
      </c>
      <c r="G59" s="23" t="s">
        <v>53</v>
      </c>
      <c r="I59" s="24"/>
      <c r="J59" s="24"/>
      <c r="K59" s="24"/>
      <c r="L59" s="24"/>
      <c r="M59" s="24"/>
      <c r="N59" s="24"/>
      <c r="O59" s="24"/>
      <c r="P59" s="24"/>
      <c r="Q59" s="24"/>
      <c r="R59" s="24"/>
      <c r="S59" s="24"/>
      <c r="T59" s="24"/>
      <c r="U59" s="25">
        <f t="shared" si="16"/>
        <v>0</v>
      </c>
    </row>
    <row r="60" spans="1:21" ht="16.5" x14ac:dyDescent="0.3">
      <c r="A60" s="120">
        <v>5</v>
      </c>
      <c r="B60" s="188" t="s">
        <v>209</v>
      </c>
      <c r="C60" s="120" t="str">
        <f t="shared" si="0"/>
        <v>025</v>
      </c>
      <c r="D60" s="120" t="s">
        <v>243</v>
      </c>
      <c r="E60" t="s">
        <v>401</v>
      </c>
      <c r="G60" s="23" t="s">
        <v>398</v>
      </c>
      <c r="I60" s="24">
        <v>125</v>
      </c>
      <c r="J60" s="24">
        <v>125</v>
      </c>
      <c r="K60" s="24">
        <v>125</v>
      </c>
      <c r="L60" s="24">
        <v>125</v>
      </c>
      <c r="M60" s="24">
        <v>125</v>
      </c>
      <c r="N60" s="24">
        <v>125</v>
      </c>
      <c r="O60" s="24">
        <v>125</v>
      </c>
      <c r="P60" s="24">
        <v>125</v>
      </c>
      <c r="Q60" s="24">
        <v>125</v>
      </c>
      <c r="R60" s="24">
        <v>125</v>
      </c>
      <c r="S60" s="24">
        <v>125</v>
      </c>
      <c r="T60" s="24">
        <v>125</v>
      </c>
      <c r="U60" s="25">
        <f t="shared" si="16"/>
        <v>1500</v>
      </c>
    </row>
    <row r="61" spans="1:21" ht="16.5" x14ac:dyDescent="0.3">
      <c r="A61" s="120">
        <v>5</v>
      </c>
      <c r="B61" s="188" t="s">
        <v>209</v>
      </c>
      <c r="C61" s="120" t="str">
        <f t="shared" si="0"/>
        <v>025</v>
      </c>
      <c r="D61" s="120" t="s">
        <v>243</v>
      </c>
      <c r="E61" t="s">
        <v>402</v>
      </c>
      <c r="G61" s="23" t="s">
        <v>399</v>
      </c>
      <c r="I61" s="24"/>
      <c r="J61" s="24">
        <v>1000</v>
      </c>
      <c r="K61" s="24"/>
      <c r="L61" s="24">
        <v>500</v>
      </c>
      <c r="M61" s="24"/>
      <c r="N61" s="24"/>
      <c r="O61" s="24">
        <v>500</v>
      </c>
      <c r="P61" s="24"/>
      <c r="Q61" s="24"/>
      <c r="R61" s="24">
        <v>500</v>
      </c>
      <c r="S61" s="24"/>
      <c r="T61" s="24">
        <v>500</v>
      </c>
      <c r="U61" s="25">
        <f t="shared" si="16"/>
        <v>3000</v>
      </c>
    </row>
    <row r="62" spans="1:21" ht="16.5" x14ac:dyDescent="0.3">
      <c r="A62" s="120">
        <v>5</v>
      </c>
      <c r="B62" s="188" t="s">
        <v>209</v>
      </c>
      <c r="C62" s="120" t="str">
        <f t="shared" si="0"/>
        <v>025</v>
      </c>
      <c r="D62" s="120" t="s">
        <v>243</v>
      </c>
      <c r="E62" t="s">
        <v>402</v>
      </c>
      <c r="G62" s="23" t="s">
        <v>46</v>
      </c>
      <c r="I62" s="24"/>
      <c r="J62" s="24"/>
      <c r="K62" s="24"/>
      <c r="L62" s="24"/>
      <c r="M62" s="24"/>
      <c r="N62" s="24"/>
      <c r="O62" s="24"/>
      <c r="P62" s="24"/>
      <c r="Q62" s="24"/>
      <c r="R62" s="24"/>
      <c r="S62" s="24"/>
      <c r="T62" s="24"/>
      <c r="U62" s="25">
        <f t="shared" si="16"/>
        <v>0</v>
      </c>
    </row>
    <row r="63" spans="1:21" ht="16.5" x14ac:dyDescent="0.3">
      <c r="A63" s="120">
        <v>5</v>
      </c>
      <c r="B63" s="188" t="s">
        <v>209</v>
      </c>
      <c r="C63" s="120" t="str">
        <f t="shared" si="0"/>
        <v>025</v>
      </c>
      <c r="D63" s="120" t="s">
        <v>243</v>
      </c>
      <c r="E63" t="s">
        <v>402</v>
      </c>
      <c r="F63" s="31">
        <v>0.1</v>
      </c>
      <c r="G63" s="32" t="str">
        <f>"Contigency"&amp;" "&amp;"at"&amp;" "&amp;(F63*100)&amp;"%"</f>
        <v>Contigency at 10%</v>
      </c>
      <c r="H63" s="33"/>
      <c r="I63" s="34">
        <f t="shared" ref="I63:T63" si="17">SUM(I53:I62)*$F$63</f>
        <v>12.5</v>
      </c>
      <c r="J63" s="34">
        <f t="shared" si="17"/>
        <v>112.5</v>
      </c>
      <c r="K63" s="34">
        <f t="shared" si="17"/>
        <v>12.5</v>
      </c>
      <c r="L63" s="34">
        <f t="shared" si="17"/>
        <v>62.5</v>
      </c>
      <c r="M63" s="34">
        <f t="shared" si="17"/>
        <v>12.5</v>
      </c>
      <c r="N63" s="34">
        <f t="shared" si="17"/>
        <v>12.5</v>
      </c>
      <c r="O63" s="34">
        <f t="shared" si="17"/>
        <v>62.5</v>
      </c>
      <c r="P63" s="34">
        <f t="shared" si="17"/>
        <v>12.5</v>
      </c>
      <c r="Q63" s="34">
        <f t="shared" si="17"/>
        <v>12.5</v>
      </c>
      <c r="R63" s="34">
        <f t="shared" si="17"/>
        <v>62.5</v>
      </c>
      <c r="S63" s="34">
        <f t="shared" si="17"/>
        <v>12.5</v>
      </c>
      <c r="T63" s="34">
        <f t="shared" si="17"/>
        <v>2362.5</v>
      </c>
      <c r="U63" s="25">
        <f t="shared" si="16"/>
        <v>2750</v>
      </c>
    </row>
    <row r="64" spans="1:21" ht="15.75" thickBot="1" x14ac:dyDescent="0.35">
      <c r="A64" s="120"/>
      <c r="B64" s="120"/>
      <c r="C64" s="120"/>
      <c r="D64" s="120"/>
      <c r="E64" s="120"/>
      <c r="G64" s="26" t="s">
        <v>1</v>
      </c>
      <c r="H64" s="27"/>
      <c r="I64" s="28">
        <f t="shared" ref="I64:U64" si="18">SUM(I53:I63)</f>
        <v>137.5</v>
      </c>
      <c r="J64" s="28">
        <f t="shared" si="18"/>
        <v>1237.5</v>
      </c>
      <c r="K64" s="28">
        <f t="shared" si="18"/>
        <v>137.5</v>
      </c>
      <c r="L64" s="28">
        <f t="shared" si="18"/>
        <v>687.5</v>
      </c>
      <c r="M64" s="28">
        <f t="shared" si="18"/>
        <v>137.5</v>
      </c>
      <c r="N64" s="28">
        <f t="shared" si="18"/>
        <v>137.5</v>
      </c>
      <c r="O64" s="28">
        <f t="shared" si="18"/>
        <v>687.5</v>
      </c>
      <c r="P64" s="28">
        <f t="shared" si="18"/>
        <v>137.5</v>
      </c>
      <c r="Q64" s="28">
        <f t="shared" si="18"/>
        <v>137.5</v>
      </c>
      <c r="R64" s="28">
        <f t="shared" si="18"/>
        <v>687.5</v>
      </c>
      <c r="S64" s="28">
        <f t="shared" si="18"/>
        <v>137.5</v>
      </c>
      <c r="T64" s="28">
        <f t="shared" si="18"/>
        <v>25987.5</v>
      </c>
      <c r="U64" s="29">
        <f t="shared" si="18"/>
        <v>30250</v>
      </c>
    </row>
    <row r="65" spans="1:22" ht="15.75" hidden="1" thickTop="1" x14ac:dyDescent="0.3">
      <c r="A65" s="120"/>
      <c r="B65" s="120"/>
      <c r="C65" s="120"/>
      <c r="D65" s="120"/>
      <c r="E65" s="120"/>
      <c r="G65" s="22"/>
      <c r="U65" s="30"/>
    </row>
    <row r="66" spans="1:22" ht="16.5" hidden="1" x14ac:dyDescent="0.3">
      <c r="A66" s="120"/>
      <c r="B66" s="188"/>
      <c r="C66" s="120"/>
      <c r="D66" s="120"/>
      <c r="E66"/>
      <c r="G66" s="23"/>
      <c r="U66" s="25"/>
    </row>
    <row r="67" spans="1:22" ht="16.5" hidden="1" x14ac:dyDescent="0.3">
      <c r="A67" s="120"/>
      <c r="B67" s="188"/>
      <c r="C67" s="120"/>
      <c r="D67" s="120"/>
      <c r="E67"/>
      <c r="G67" s="23"/>
      <c r="U67" s="25"/>
    </row>
    <row r="68" spans="1:22" ht="16.5" hidden="1" x14ac:dyDescent="0.3">
      <c r="A68" s="120"/>
      <c r="B68" s="188"/>
      <c r="C68" s="120"/>
      <c r="D68" s="120"/>
      <c r="E68"/>
      <c r="G68" s="23"/>
      <c r="U68" s="25"/>
    </row>
    <row r="69" spans="1:22" ht="16.5" hidden="1" x14ac:dyDescent="0.3">
      <c r="A69" s="120"/>
      <c r="B69" s="188"/>
      <c r="C69" s="120"/>
      <c r="D69" s="120"/>
      <c r="E69"/>
      <c r="G69" s="23"/>
      <c r="U69" s="25"/>
    </row>
    <row r="70" spans="1:22" ht="16.5" hidden="1" x14ac:dyDescent="0.3">
      <c r="A70" s="120"/>
      <c r="B70" s="188"/>
      <c r="C70" s="120"/>
      <c r="D70" s="120"/>
      <c r="E70"/>
      <c r="G70" s="23"/>
      <c r="U70" s="25"/>
    </row>
    <row r="71" spans="1:22" ht="16.5" hidden="1" x14ac:dyDescent="0.3">
      <c r="A71" s="120"/>
      <c r="B71" s="188"/>
      <c r="C71" s="120"/>
      <c r="D71" s="120"/>
      <c r="E71"/>
      <c r="F71" s="31"/>
      <c r="G71" s="32"/>
      <c r="I71" s="24"/>
      <c r="J71" s="24"/>
      <c r="K71" s="24"/>
      <c r="L71" s="24"/>
      <c r="M71" s="24"/>
      <c r="N71" s="24"/>
      <c r="O71" s="24"/>
      <c r="P71" s="24"/>
      <c r="Q71" s="24"/>
      <c r="R71" s="24"/>
      <c r="S71" s="24"/>
      <c r="T71" s="24"/>
      <c r="U71" s="25"/>
    </row>
    <row r="72" spans="1:22" ht="15.75" hidden="1" thickBot="1" x14ac:dyDescent="0.35">
      <c r="A72" s="120"/>
      <c r="B72" s="120"/>
      <c r="C72" s="120"/>
      <c r="D72" s="120"/>
      <c r="E72" s="120"/>
      <c r="G72" s="26" t="s">
        <v>1</v>
      </c>
      <c r="H72" s="27"/>
      <c r="I72" s="28">
        <f>SUM(I66:I71)</f>
        <v>0</v>
      </c>
      <c r="J72" s="28">
        <f t="shared" ref="J72:T72" si="19">SUM(J66:J71)</f>
        <v>0</v>
      </c>
      <c r="K72" s="28">
        <f t="shared" si="19"/>
        <v>0</v>
      </c>
      <c r="L72" s="28">
        <f t="shared" si="19"/>
        <v>0</v>
      </c>
      <c r="M72" s="28">
        <f t="shared" si="19"/>
        <v>0</v>
      </c>
      <c r="N72" s="28">
        <f t="shared" si="19"/>
        <v>0</v>
      </c>
      <c r="O72" s="28">
        <f t="shared" si="19"/>
        <v>0</v>
      </c>
      <c r="P72" s="28">
        <f t="shared" si="19"/>
        <v>0</v>
      </c>
      <c r="Q72" s="28">
        <f t="shared" si="19"/>
        <v>0</v>
      </c>
      <c r="R72" s="28">
        <f t="shared" si="19"/>
        <v>0</v>
      </c>
      <c r="S72" s="28">
        <f t="shared" si="19"/>
        <v>0</v>
      </c>
      <c r="T72" s="28">
        <f t="shared" si="19"/>
        <v>0</v>
      </c>
      <c r="U72" s="29">
        <f>SUM(U66:U71)</f>
        <v>0</v>
      </c>
    </row>
    <row r="73" spans="1:22" ht="15.75" thickTop="1" x14ac:dyDescent="0.3">
      <c r="A73" s="120"/>
      <c r="B73" s="120"/>
      <c r="C73" s="120"/>
      <c r="D73" s="120"/>
      <c r="E73" s="120"/>
      <c r="G73" s="38"/>
      <c r="H73" s="33"/>
      <c r="I73" s="33"/>
      <c r="J73" s="33"/>
      <c r="K73" s="33"/>
      <c r="L73" s="33"/>
      <c r="M73" s="33"/>
      <c r="N73" s="33"/>
      <c r="O73" s="33"/>
      <c r="P73" s="33"/>
      <c r="Q73" s="33"/>
      <c r="R73" s="33"/>
      <c r="S73" s="33"/>
      <c r="T73" s="33"/>
      <c r="U73" s="39"/>
    </row>
    <row r="74" spans="1:22" ht="15.75" thickBot="1" x14ac:dyDescent="0.35">
      <c r="A74" s="120"/>
      <c r="B74" s="120"/>
      <c r="C74" s="120"/>
      <c r="D74" s="120"/>
      <c r="E74" s="120"/>
      <c r="G74" s="127" t="s">
        <v>113</v>
      </c>
      <c r="H74" s="128"/>
      <c r="I74" s="129">
        <f t="shared" ref="I74:T74" si="20">I26+I32+I41+I51+I64+I72</f>
        <v>47502.083333333336</v>
      </c>
      <c r="J74" s="129">
        <f t="shared" si="20"/>
        <v>55202.083333333336</v>
      </c>
      <c r="K74" s="129">
        <f t="shared" si="20"/>
        <v>90652.083333333343</v>
      </c>
      <c r="L74" s="129">
        <f t="shared" si="20"/>
        <v>91752.083333333343</v>
      </c>
      <c r="M74" s="129">
        <f t="shared" si="20"/>
        <v>86802.083333333343</v>
      </c>
      <c r="N74" s="129">
        <f t="shared" si="20"/>
        <v>95602.083333333343</v>
      </c>
      <c r="O74" s="129">
        <f t="shared" si="20"/>
        <v>73052.083333333343</v>
      </c>
      <c r="P74" s="129">
        <f t="shared" si="20"/>
        <v>68102.083333333343</v>
      </c>
      <c r="Q74" s="129">
        <f t="shared" si="20"/>
        <v>79102.083333333343</v>
      </c>
      <c r="R74" s="129">
        <f t="shared" si="20"/>
        <v>73602.083333333343</v>
      </c>
      <c r="S74" s="129">
        <f t="shared" si="20"/>
        <v>76352.083333333343</v>
      </c>
      <c r="T74" s="129">
        <f t="shared" si="20"/>
        <v>105502.08333333334</v>
      </c>
      <c r="U74" s="40">
        <f>SUM(I74:T74)</f>
        <v>943225.00000000035</v>
      </c>
      <c r="V74" s="225"/>
    </row>
    <row r="75" spans="1:22" ht="15.75" thickTop="1" x14ac:dyDescent="0.3">
      <c r="A75" s="120"/>
      <c r="B75" s="120"/>
      <c r="C75" s="120"/>
      <c r="D75" s="120"/>
      <c r="E75" s="120"/>
    </row>
    <row r="76" spans="1:22" ht="15.75" thickBot="1" x14ac:dyDescent="0.35">
      <c r="A76" s="120"/>
      <c r="B76" s="120"/>
      <c r="C76" s="120"/>
      <c r="D76" s="120"/>
      <c r="E76" s="120"/>
      <c r="G76" s="127" t="s">
        <v>582</v>
      </c>
      <c r="H76" s="128"/>
      <c r="I76" s="129">
        <f t="shared" ref="I76:T76" si="21">I15-I74</f>
        <v>36097.916666666664</v>
      </c>
      <c r="J76" s="129">
        <f t="shared" si="21"/>
        <v>24797.916666666664</v>
      </c>
      <c r="K76" s="129">
        <f t="shared" si="21"/>
        <v>-10652.083333333343</v>
      </c>
      <c r="L76" s="129">
        <f t="shared" si="21"/>
        <v>-11752.083333333343</v>
      </c>
      <c r="M76" s="129">
        <f t="shared" si="21"/>
        <v>-6802.083333333343</v>
      </c>
      <c r="N76" s="129">
        <f t="shared" si="21"/>
        <v>-15602.083333333343</v>
      </c>
      <c r="O76" s="129">
        <f t="shared" si="21"/>
        <v>6947.916666666657</v>
      </c>
      <c r="P76" s="129">
        <f t="shared" si="21"/>
        <v>11897.916666666657</v>
      </c>
      <c r="Q76" s="129">
        <f t="shared" si="21"/>
        <v>897.91666666665697</v>
      </c>
      <c r="R76" s="129">
        <f t="shared" si="21"/>
        <v>6397.916666666657</v>
      </c>
      <c r="S76" s="129">
        <f t="shared" si="21"/>
        <v>3647.916666666657</v>
      </c>
      <c r="T76" s="129">
        <f t="shared" si="21"/>
        <v>-25502.083333333343</v>
      </c>
      <c r="U76" s="40">
        <f>SUM(I76:T76)</f>
        <v>20374.999999999898</v>
      </c>
      <c r="V76" s="225"/>
    </row>
    <row r="77" spans="1:22" ht="15.75" thickTop="1" x14ac:dyDescent="0.3">
      <c r="A77" s="120"/>
      <c r="B77" s="120"/>
      <c r="C77" s="120"/>
      <c r="D77" s="120"/>
      <c r="E77" s="120"/>
    </row>
    <row r="78" spans="1:22" x14ac:dyDescent="0.3">
      <c r="A78" s="120"/>
      <c r="B78" s="120"/>
      <c r="C78" s="120"/>
      <c r="D78" s="120"/>
      <c r="E78" s="120"/>
    </row>
    <row r="79" spans="1:22" x14ac:dyDescent="0.3">
      <c r="A79" s="120"/>
      <c r="B79" s="120"/>
      <c r="C79" s="120"/>
      <c r="D79" s="120"/>
      <c r="E79" s="120"/>
    </row>
    <row r="80" spans="1:22" x14ac:dyDescent="0.3">
      <c r="A80" s="120"/>
      <c r="B80" s="120"/>
      <c r="C80" s="120"/>
      <c r="D80" s="120"/>
      <c r="E80" s="120"/>
    </row>
    <row r="81" spans="1:21" x14ac:dyDescent="0.3">
      <c r="A81" s="120"/>
      <c r="B81" s="120"/>
      <c r="C81" s="120"/>
      <c r="D81" s="120"/>
      <c r="E81" s="120"/>
    </row>
    <row r="82" spans="1:21" x14ac:dyDescent="0.3">
      <c r="A82" s="120"/>
      <c r="B82" s="120"/>
      <c r="C82" s="120"/>
      <c r="D82" s="120"/>
      <c r="E82" s="120"/>
    </row>
    <row r="83" spans="1:21" hidden="1" x14ac:dyDescent="0.3">
      <c r="A83" s="120"/>
      <c r="B83" s="120"/>
      <c r="C83" s="120"/>
      <c r="D83" s="120"/>
      <c r="E83" s="120"/>
    </row>
    <row r="84" spans="1:21" hidden="1" x14ac:dyDescent="0.3">
      <c r="A84" s="120"/>
      <c r="B84" s="120"/>
      <c r="C84" s="120"/>
      <c r="D84" s="120"/>
      <c r="E84" s="120"/>
    </row>
    <row r="85" spans="1:21" hidden="1" x14ac:dyDescent="0.3">
      <c r="A85" s="120"/>
      <c r="B85" s="120"/>
      <c r="C85" s="120"/>
      <c r="D85" s="120"/>
      <c r="E85" s="120"/>
    </row>
    <row r="86" spans="1:21" hidden="1" x14ac:dyDescent="0.3">
      <c r="A86" s="120"/>
      <c r="B86" s="120"/>
      <c r="C86" s="120"/>
      <c r="D86" s="120"/>
      <c r="E86" s="120"/>
      <c r="F86" s="136"/>
      <c r="G86" s="132" t="s">
        <v>50</v>
      </c>
      <c r="H86" s="133"/>
      <c r="I86" s="134">
        <v>43831</v>
      </c>
      <c r="J86" s="134">
        <v>43862</v>
      </c>
      <c r="K86" s="134">
        <v>43891</v>
      </c>
      <c r="L86" s="134">
        <v>43922</v>
      </c>
      <c r="M86" s="134">
        <v>43952</v>
      </c>
      <c r="N86" s="134">
        <v>43983</v>
      </c>
      <c r="O86" s="134">
        <v>44013</v>
      </c>
      <c r="P86" s="134">
        <v>44044</v>
      </c>
      <c r="Q86" s="134">
        <v>44075</v>
      </c>
      <c r="R86" s="134">
        <v>44105</v>
      </c>
      <c r="S86" s="134">
        <v>44136</v>
      </c>
      <c r="T86" s="135">
        <v>44166</v>
      </c>
      <c r="U86" s="137" t="s">
        <v>1</v>
      </c>
    </row>
    <row r="87" spans="1:21" hidden="1" x14ac:dyDescent="0.3">
      <c r="A87" s="120"/>
      <c r="B87" s="120"/>
      <c r="C87" s="120"/>
      <c r="D87" s="120"/>
      <c r="E87" s="120"/>
      <c r="F87" s="116"/>
      <c r="G87" s="117"/>
      <c r="H87" s="118"/>
      <c r="I87" s="119"/>
      <c r="J87" s="119"/>
      <c r="K87" s="119"/>
      <c r="L87" s="119"/>
      <c r="M87" s="119"/>
      <c r="N87" s="119"/>
      <c r="O87" s="119"/>
      <c r="P87" s="119"/>
      <c r="Q87" s="119"/>
      <c r="R87" s="119"/>
      <c r="S87" s="119"/>
      <c r="T87" s="119"/>
      <c r="U87" s="125"/>
    </row>
    <row r="88" spans="1:21" hidden="1" x14ac:dyDescent="0.3">
      <c r="A88" s="120"/>
      <c r="B88" s="120"/>
      <c r="C88" s="120"/>
      <c r="D88" s="120"/>
      <c r="E88" s="120"/>
      <c r="F88" s="116"/>
      <c r="G88" s="22" t="s">
        <v>114</v>
      </c>
      <c r="H88" s="118"/>
      <c r="I88" s="119"/>
      <c r="J88" s="119"/>
      <c r="K88" s="119"/>
      <c r="L88" s="119"/>
      <c r="M88" s="119"/>
      <c r="N88" s="119"/>
      <c r="O88" s="119"/>
      <c r="P88" s="119"/>
      <c r="Q88" s="119"/>
      <c r="R88" s="119"/>
      <c r="S88" s="119"/>
      <c r="T88" s="119"/>
      <c r="U88" s="125"/>
    </row>
    <row r="89" spans="1:21" hidden="1" x14ac:dyDescent="0.3">
      <c r="A89" s="120"/>
      <c r="B89" s="120"/>
      <c r="C89" s="120"/>
      <c r="D89" s="120"/>
      <c r="E89" s="120"/>
      <c r="F89" s="120"/>
      <c r="G89" s="126" t="s">
        <v>101</v>
      </c>
      <c r="H89" s="121"/>
      <c r="I89" s="122"/>
      <c r="J89" s="122"/>
      <c r="K89" s="122"/>
      <c r="L89" s="122"/>
      <c r="M89" s="122"/>
      <c r="N89" s="122"/>
      <c r="O89" s="122"/>
      <c r="P89" s="122"/>
      <c r="Q89" s="122"/>
      <c r="R89" s="122"/>
      <c r="S89" s="122"/>
      <c r="T89" s="122"/>
      <c r="U89" s="125"/>
    </row>
    <row r="90" spans="1:21" hidden="1" x14ac:dyDescent="0.3">
      <c r="A90" s="120"/>
      <c r="B90" s="120"/>
      <c r="C90" s="120"/>
      <c r="D90" s="120"/>
      <c r="E90" s="120"/>
      <c r="F90" s="120"/>
      <c r="G90" s="126" t="s">
        <v>53</v>
      </c>
      <c r="H90" s="121"/>
      <c r="I90" s="122"/>
      <c r="J90" s="122"/>
      <c r="K90" s="122"/>
      <c r="L90" s="122"/>
      <c r="M90" s="122"/>
      <c r="N90" s="122"/>
      <c r="O90" s="122"/>
      <c r="P90" s="122"/>
      <c r="Q90" s="122"/>
      <c r="R90" s="122"/>
      <c r="S90" s="122"/>
      <c r="T90" s="122"/>
      <c r="U90" s="125"/>
    </row>
    <row r="91" spans="1:21" hidden="1" x14ac:dyDescent="0.3">
      <c r="A91" s="120"/>
      <c r="B91" s="120"/>
      <c r="C91" s="120"/>
      <c r="D91" s="120"/>
      <c r="E91" s="120"/>
      <c r="F91" s="120"/>
      <c r="G91" s="126" t="s">
        <v>115</v>
      </c>
      <c r="H91" s="121"/>
      <c r="I91" s="122"/>
      <c r="J91" s="122"/>
      <c r="K91" s="122"/>
      <c r="L91" s="122"/>
      <c r="M91" s="122"/>
      <c r="N91" s="122"/>
      <c r="O91" s="122"/>
      <c r="P91" s="122"/>
      <c r="Q91" s="122"/>
      <c r="R91" s="122"/>
      <c r="S91" s="122"/>
      <c r="T91" s="122"/>
      <c r="U91" s="125"/>
    </row>
    <row r="92" spans="1:21" hidden="1" x14ac:dyDescent="0.3">
      <c r="A92" s="120"/>
      <c r="B92" s="120"/>
      <c r="C92" s="120"/>
      <c r="D92" s="120"/>
      <c r="E92" s="120"/>
      <c r="F92" s="123"/>
      <c r="G92" s="126" t="s">
        <v>102</v>
      </c>
      <c r="H92" s="123"/>
      <c r="I92" s="123"/>
      <c r="J92" s="123"/>
      <c r="K92" s="123"/>
      <c r="L92" s="123"/>
      <c r="M92" s="123"/>
      <c r="N92" s="123"/>
      <c r="O92" s="123"/>
      <c r="P92" s="123"/>
      <c r="Q92" s="123"/>
      <c r="R92" s="123"/>
      <c r="S92" s="123"/>
      <c r="T92" s="123"/>
      <c r="U92" s="125"/>
    </row>
    <row r="93" spans="1:21" hidden="1" x14ac:dyDescent="0.3">
      <c r="A93" s="120"/>
      <c r="B93" s="120"/>
      <c r="C93" s="120"/>
      <c r="D93" s="120"/>
      <c r="E93" s="120"/>
      <c r="F93" s="123"/>
      <c r="G93" s="126" t="s">
        <v>116</v>
      </c>
      <c r="H93" s="123"/>
      <c r="I93" s="123"/>
      <c r="J93" s="123"/>
      <c r="K93" s="123"/>
      <c r="L93" s="123"/>
      <c r="M93" s="123"/>
      <c r="N93" s="123"/>
      <c r="O93" s="123"/>
      <c r="P93" s="123"/>
      <c r="Q93" s="123"/>
      <c r="R93" s="123"/>
      <c r="S93" s="123"/>
      <c r="T93" s="123"/>
      <c r="U93" s="125"/>
    </row>
    <row r="94" spans="1:21" ht="15.75" hidden="1" thickBot="1" x14ac:dyDescent="0.35">
      <c r="A94" s="120"/>
      <c r="B94" s="120"/>
      <c r="C94" s="120"/>
      <c r="D94" s="120"/>
      <c r="E94" s="120"/>
      <c r="F94" s="123"/>
      <c r="G94" s="26" t="s">
        <v>1</v>
      </c>
      <c r="H94" s="27"/>
      <c r="I94" s="28">
        <f t="shared" ref="I94:U94" si="22">SUM(I89:I93)</f>
        <v>0</v>
      </c>
      <c r="J94" s="28">
        <f t="shared" si="22"/>
        <v>0</v>
      </c>
      <c r="K94" s="28">
        <f t="shared" si="22"/>
        <v>0</v>
      </c>
      <c r="L94" s="28">
        <f t="shared" si="22"/>
        <v>0</v>
      </c>
      <c r="M94" s="28">
        <f t="shared" si="22"/>
        <v>0</v>
      </c>
      <c r="N94" s="28">
        <f t="shared" si="22"/>
        <v>0</v>
      </c>
      <c r="O94" s="28">
        <f t="shared" si="22"/>
        <v>0</v>
      </c>
      <c r="P94" s="28">
        <f t="shared" si="22"/>
        <v>0</v>
      </c>
      <c r="Q94" s="28">
        <f t="shared" si="22"/>
        <v>0</v>
      </c>
      <c r="R94" s="28">
        <f t="shared" si="22"/>
        <v>0</v>
      </c>
      <c r="S94" s="28">
        <f t="shared" si="22"/>
        <v>0</v>
      </c>
      <c r="T94" s="28">
        <f t="shared" si="22"/>
        <v>0</v>
      </c>
      <c r="U94" s="29">
        <f t="shared" si="22"/>
        <v>0</v>
      </c>
    </row>
    <row r="95" spans="1:21" hidden="1" x14ac:dyDescent="0.3">
      <c r="A95" s="120"/>
      <c r="B95" s="120"/>
      <c r="C95" s="120"/>
      <c r="D95" s="120"/>
      <c r="E95" s="120"/>
      <c r="F95" s="123"/>
      <c r="G95" s="124"/>
      <c r="H95" s="123"/>
      <c r="I95" s="123"/>
      <c r="J95" s="123"/>
      <c r="K95" s="123"/>
      <c r="L95" s="123"/>
      <c r="M95" s="123"/>
      <c r="N95" s="123"/>
      <c r="O95" s="123"/>
      <c r="P95" s="123"/>
      <c r="Q95" s="123"/>
      <c r="R95" s="123"/>
      <c r="S95" s="123"/>
      <c r="T95" s="123"/>
      <c r="U95" s="125"/>
    </row>
    <row r="96" spans="1:21" hidden="1" x14ac:dyDescent="0.3">
      <c r="A96" s="120"/>
      <c r="B96" s="120"/>
      <c r="C96" s="120"/>
      <c r="D96" s="120"/>
      <c r="E96" s="120"/>
      <c r="G96" s="22" t="s">
        <v>36</v>
      </c>
      <c r="U96" s="21"/>
    </row>
    <row r="97" spans="1:21" hidden="1" x14ac:dyDescent="0.3">
      <c r="A97" s="120"/>
      <c r="B97" s="120"/>
      <c r="C97" s="120"/>
      <c r="D97" s="120"/>
      <c r="E97" s="120"/>
      <c r="G97" s="23" t="s">
        <v>37</v>
      </c>
      <c r="I97" s="24">
        <f>200000/12</f>
        <v>16666.666666666668</v>
      </c>
      <c r="J97" s="24">
        <f t="shared" ref="J97:T97" si="23">200000/12</f>
        <v>16666.666666666668</v>
      </c>
      <c r="K97" s="24">
        <f t="shared" si="23"/>
        <v>16666.666666666668</v>
      </c>
      <c r="L97" s="24">
        <f t="shared" si="23"/>
        <v>16666.666666666668</v>
      </c>
      <c r="M97" s="24">
        <f t="shared" si="23"/>
        <v>16666.666666666668</v>
      </c>
      <c r="N97" s="24">
        <f t="shared" si="23"/>
        <v>16666.666666666668</v>
      </c>
      <c r="O97" s="24">
        <f t="shared" si="23"/>
        <v>16666.666666666668</v>
      </c>
      <c r="P97" s="24">
        <f t="shared" si="23"/>
        <v>16666.666666666668</v>
      </c>
      <c r="Q97" s="24">
        <f t="shared" si="23"/>
        <v>16666.666666666668</v>
      </c>
      <c r="R97" s="24">
        <f t="shared" si="23"/>
        <v>16666.666666666668</v>
      </c>
      <c r="S97" s="24">
        <f t="shared" si="23"/>
        <v>16666.666666666668</v>
      </c>
      <c r="T97" s="24">
        <f t="shared" si="23"/>
        <v>16666.666666666668</v>
      </c>
      <c r="U97" s="25">
        <f>SUM(I97:T97)</f>
        <v>199999.99999999997</v>
      </c>
    </row>
    <row r="98" spans="1:21" hidden="1" x14ac:dyDescent="0.3">
      <c r="A98" s="120"/>
      <c r="B98" s="120"/>
      <c r="C98" s="120"/>
      <c r="D98" s="120"/>
      <c r="E98" s="120"/>
      <c r="G98" s="23" t="s">
        <v>39</v>
      </c>
      <c r="I98" s="24">
        <f>10000</f>
        <v>10000</v>
      </c>
      <c r="J98" s="24">
        <f>10000</f>
        <v>10000</v>
      </c>
      <c r="K98" s="24">
        <f>10000</f>
        <v>10000</v>
      </c>
      <c r="L98" s="24">
        <f>10000</f>
        <v>10000</v>
      </c>
      <c r="M98" s="24">
        <f>10000</f>
        <v>10000</v>
      </c>
      <c r="N98" s="24">
        <f>10000</f>
        <v>10000</v>
      </c>
      <c r="O98" s="24">
        <f>10000</f>
        <v>10000</v>
      </c>
      <c r="P98" s="24">
        <f>10000</f>
        <v>10000</v>
      </c>
      <c r="Q98" s="24">
        <f>10000</f>
        <v>10000</v>
      </c>
      <c r="R98" s="24">
        <f>10000</f>
        <v>10000</v>
      </c>
      <c r="S98" s="24">
        <f>10000</f>
        <v>10000</v>
      </c>
      <c r="T98" s="24">
        <f>10000</f>
        <v>10000</v>
      </c>
      <c r="U98" s="25">
        <f>SUM(I98:T98)</f>
        <v>120000</v>
      </c>
    </row>
    <row r="99" spans="1:21" hidden="1" x14ac:dyDescent="0.3">
      <c r="A99" s="120"/>
      <c r="B99" s="120"/>
      <c r="C99" s="120"/>
      <c r="D99" s="120"/>
      <c r="E99" s="120"/>
      <c r="G99" s="23" t="s">
        <v>38</v>
      </c>
      <c r="I99" s="24">
        <f>20*65*4</f>
        <v>5200</v>
      </c>
      <c r="J99" s="24">
        <f t="shared" ref="J99:T99" si="24">20*65*4</f>
        <v>5200</v>
      </c>
      <c r="K99" s="24">
        <f t="shared" si="24"/>
        <v>5200</v>
      </c>
      <c r="L99" s="24">
        <f t="shared" si="24"/>
        <v>5200</v>
      </c>
      <c r="M99" s="24">
        <f t="shared" si="24"/>
        <v>5200</v>
      </c>
      <c r="N99" s="24">
        <f t="shared" si="24"/>
        <v>5200</v>
      </c>
      <c r="O99" s="24">
        <f t="shared" si="24"/>
        <v>5200</v>
      </c>
      <c r="P99" s="24">
        <f t="shared" si="24"/>
        <v>5200</v>
      </c>
      <c r="Q99" s="24">
        <f t="shared" si="24"/>
        <v>5200</v>
      </c>
      <c r="R99" s="24">
        <f t="shared" si="24"/>
        <v>5200</v>
      </c>
      <c r="S99" s="24">
        <f t="shared" si="24"/>
        <v>5200</v>
      </c>
      <c r="T99" s="24">
        <f t="shared" si="24"/>
        <v>5200</v>
      </c>
      <c r="U99" s="25">
        <f>SUM(I99:T99)</f>
        <v>62400</v>
      </c>
    </row>
    <row r="100" spans="1:21" hidden="1" x14ac:dyDescent="0.3">
      <c r="A100" s="120"/>
      <c r="B100" s="120"/>
      <c r="C100" s="120"/>
      <c r="D100" s="120"/>
      <c r="E100" s="120"/>
      <c r="G100" s="23" t="s">
        <v>59</v>
      </c>
      <c r="I100" s="24"/>
      <c r="J100" s="24"/>
      <c r="K100" s="24"/>
      <c r="L100" s="24"/>
      <c r="M100" s="24"/>
      <c r="N100" s="24"/>
      <c r="O100" s="24"/>
      <c r="P100" s="24"/>
      <c r="Q100" s="24"/>
      <c r="R100" s="24"/>
      <c r="S100" s="24"/>
      <c r="T100" s="24"/>
      <c r="U100" s="25">
        <f>SUM(I100:T100)</f>
        <v>0</v>
      </c>
    </row>
    <row r="101" spans="1:21" ht="15.75" hidden="1" thickBot="1" x14ac:dyDescent="0.35">
      <c r="A101" s="120"/>
      <c r="B101" s="120"/>
      <c r="C101" s="120"/>
      <c r="D101" s="120"/>
      <c r="E101" s="120"/>
      <c r="G101" s="26" t="s">
        <v>1</v>
      </c>
      <c r="H101" s="27"/>
      <c r="I101" s="28">
        <f>SUM(I97:I100)</f>
        <v>31866.666666666668</v>
      </c>
      <c r="J101" s="28">
        <f t="shared" ref="J101:U101" si="25">SUM(J97:J100)</f>
        <v>31866.666666666668</v>
      </c>
      <c r="K101" s="28">
        <f t="shared" si="25"/>
        <v>31866.666666666668</v>
      </c>
      <c r="L101" s="28">
        <f t="shared" si="25"/>
        <v>31866.666666666668</v>
      </c>
      <c r="M101" s="28">
        <f t="shared" si="25"/>
        <v>31866.666666666668</v>
      </c>
      <c r="N101" s="28">
        <f t="shared" si="25"/>
        <v>31866.666666666668</v>
      </c>
      <c r="O101" s="28">
        <f t="shared" si="25"/>
        <v>31866.666666666668</v>
      </c>
      <c r="P101" s="28">
        <f t="shared" si="25"/>
        <v>31866.666666666668</v>
      </c>
      <c r="Q101" s="28">
        <f t="shared" si="25"/>
        <v>31866.666666666668</v>
      </c>
      <c r="R101" s="28">
        <f t="shared" si="25"/>
        <v>31866.666666666668</v>
      </c>
      <c r="S101" s="28">
        <f t="shared" si="25"/>
        <v>31866.666666666668</v>
      </c>
      <c r="T101" s="28">
        <f t="shared" si="25"/>
        <v>31866.666666666668</v>
      </c>
      <c r="U101" s="29">
        <f t="shared" si="25"/>
        <v>382400</v>
      </c>
    </row>
    <row r="102" spans="1:21" hidden="1" x14ac:dyDescent="0.3">
      <c r="A102" s="120"/>
      <c r="B102" s="120"/>
      <c r="C102" s="120"/>
      <c r="D102" s="120"/>
      <c r="E102" s="120"/>
      <c r="G102" s="22" t="s">
        <v>31</v>
      </c>
      <c r="U102" s="30"/>
    </row>
    <row r="103" spans="1:21" hidden="1" x14ac:dyDescent="0.3">
      <c r="A103" s="120"/>
      <c r="B103" s="120"/>
      <c r="C103" s="120"/>
      <c r="D103" s="120"/>
      <c r="E103" s="120"/>
      <c r="G103" s="23" t="s">
        <v>40</v>
      </c>
      <c r="I103" s="24"/>
      <c r="J103" s="24"/>
      <c r="K103" s="24">
        <v>300</v>
      </c>
      <c r="L103" s="24"/>
      <c r="M103" s="24"/>
      <c r="N103" s="24">
        <v>300</v>
      </c>
      <c r="O103" s="24"/>
      <c r="P103" s="24">
        <v>10000</v>
      </c>
      <c r="Q103" s="24">
        <v>300</v>
      </c>
      <c r="R103" s="24"/>
      <c r="S103" s="24"/>
      <c r="T103" s="24">
        <v>300</v>
      </c>
      <c r="U103" s="25">
        <f>SUM(I103:T103)</f>
        <v>11200</v>
      </c>
    </row>
    <row r="104" spans="1:21" hidden="1" x14ac:dyDescent="0.3">
      <c r="A104" s="120"/>
      <c r="B104" s="120"/>
      <c r="C104" s="120"/>
      <c r="D104" s="120"/>
      <c r="E104" s="120"/>
      <c r="G104" s="23" t="s">
        <v>48</v>
      </c>
      <c r="I104" s="24"/>
      <c r="J104" s="24"/>
      <c r="K104" s="24"/>
      <c r="L104" s="24"/>
      <c r="M104" s="24"/>
      <c r="N104" s="24"/>
      <c r="O104" s="24"/>
      <c r="P104" s="24"/>
      <c r="Q104" s="24"/>
      <c r="R104" s="24"/>
      <c r="S104" s="24"/>
      <c r="T104" s="24">
        <v>2000</v>
      </c>
      <c r="U104" s="25">
        <f>SUM(I104:T104)</f>
        <v>2000</v>
      </c>
    </row>
    <row r="105" spans="1:21" hidden="1" x14ac:dyDescent="0.3">
      <c r="A105" s="120"/>
      <c r="B105" s="120"/>
      <c r="C105" s="120"/>
      <c r="D105" s="120"/>
      <c r="E105" s="120"/>
      <c r="G105" s="23" t="s">
        <v>49</v>
      </c>
      <c r="I105" s="24"/>
      <c r="J105" s="24"/>
      <c r="K105" s="24"/>
      <c r="L105" s="24"/>
      <c r="M105" s="24"/>
      <c r="N105" s="24"/>
      <c r="O105" s="24"/>
      <c r="P105" s="24"/>
      <c r="Q105" s="24"/>
      <c r="R105" s="24"/>
      <c r="S105" s="24"/>
      <c r="T105" s="24"/>
      <c r="U105" s="25">
        <f>SUM(I105:T105)</f>
        <v>0</v>
      </c>
    </row>
    <row r="106" spans="1:21" hidden="1" x14ac:dyDescent="0.3">
      <c r="A106" s="120"/>
      <c r="B106" s="120"/>
      <c r="C106" s="120"/>
      <c r="D106" s="120"/>
      <c r="E106" s="120"/>
      <c r="F106" s="31">
        <v>0.1</v>
      </c>
      <c r="G106" s="32" t="str">
        <f>"Contigency"&amp;" "&amp;"at"&amp;" "&amp;(F106*100)&amp;"%"</f>
        <v>Contigency at 10%</v>
      </c>
      <c r="H106" s="33"/>
      <c r="I106" s="34">
        <f>SUM(I103:I105)*$F$31</f>
        <v>0</v>
      </c>
      <c r="J106" s="34">
        <f>SUM(J103:J105)*$F$31</f>
        <v>0</v>
      </c>
      <c r="K106" s="34">
        <f t="shared" ref="K106:T106" si="26">SUM(K103:K105)*$F$31</f>
        <v>30</v>
      </c>
      <c r="L106" s="34">
        <f t="shared" si="26"/>
        <v>0</v>
      </c>
      <c r="M106" s="34">
        <f t="shared" si="26"/>
        <v>0</v>
      </c>
      <c r="N106" s="34">
        <f t="shared" si="26"/>
        <v>30</v>
      </c>
      <c r="O106" s="34">
        <f t="shared" si="26"/>
        <v>0</v>
      </c>
      <c r="P106" s="34">
        <f t="shared" si="26"/>
        <v>1000</v>
      </c>
      <c r="Q106" s="34">
        <f t="shared" si="26"/>
        <v>30</v>
      </c>
      <c r="R106" s="34">
        <f t="shared" si="26"/>
        <v>0</v>
      </c>
      <c r="S106" s="34">
        <f t="shared" si="26"/>
        <v>0</v>
      </c>
      <c r="T106" s="34">
        <f t="shared" si="26"/>
        <v>230</v>
      </c>
      <c r="U106" s="35">
        <f>SUM(I106:T106)</f>
        <v>1320</v>
      </c>
    </row>
    <row r="107" spans="1:21" ht="15.75" hidden="1" thickBot="1" x14ac:dyDescent="0.35">
      <c r="A107" s="120"/>
      <c r="B107" s="120"/>
      <c r="C107" s="120"/>
      <c r="D107" s="120"/>
      <c r="E107" s="120"/>
      <c r="G107" s="26" t="s">
        <v>1</v>
      </c>
      <c r="H107" s="27"/>
      <c r="I107" s="28">
        <f>SUM(I103:I106)</f>
        <v>0</v>
      </c>
      <c r="J107" s="28">
        <f t="shared" ref="J107:U107" si="27">SUM(J103:J106)</f>
        <v>0</v>
      </c>
      <c r="K107" s="28">
        <f t="shared" si="27"/>
        <v>330</v>
      </c>
      <c r="L107" s="28">
        <f t="shared" si="27"/>
        <v>0</v>
      </c>
      <c r="M107" s="28">
        <f t="shared" si="27"/>
        <v>0</v>
      </c>
      <c r="N107" s="28">
        <f t="shared" si="27"/>
        <v>330</v>
      </c>
      <c r="O107" s="28">
        <f t="shared" si="27"/>
        <v>0</v>
      </c>
      <c r="P107" s="28">
        <f t="shared" si="27"/>
        <v>11000</v>
      </c>
      <c r="Q107" s="28">
        <f t="shared" si="27"/>
        <v>330</v>
      </c>
      <c r="R107" s="28">
        <f t="shared" si="27"/>
        <v>0</v>
      </c>
      <c r="S107" s="28">
        <f t="shared" si="27"/>
        <v>0</v>
      </c>
      <c r="T107" s="28">
        <f t="shared" si="27"/>
        <v>2530</v>
      </c>
      <c r="U107" s="29">
        <f t="shared" si="27"/>
        <v>14520</v>
      </c>
    </row>
    <row r="108" spans="1:21" hidden="1" x14ac:dyDescent="0.3">
      <c r="A108" s="120"/>
      <c r="B108" s="120"/>
      <c r="C108" s="120"/>
      <c r="D108" s="120"/>
      <c r="E108" s="120"/>
      <c r="G108" s="22" t="s">
        <v>57</v>
      </c>
      <c r="U108" s="30"/>
    </row>
    <row r="109" spans="1:21" hidden="1" x14ac:dyDescent="0.3">
      <c r="A109" s="120"/>
      <c r="B109" s="120"/>
      <c r="C109" s="120"/>
      <c r="D109" s="120"/>
      <c r="E109" s="120"/>
      <c r="G109" s="23" t="s">
        <v>41</v>
      </c>
      <c r="I109" s="24">
        <v>100</v>
      </c>
      <c r="J109" s="24">
        <v>100</v>
      </c>
      <c r="K109" s="24">
        <v>100</v>
      </c>
      <c r="L109" s="24">
        <v>100</v>
      </c>
      <c r="M109" s="24">
        <v>100</v>
      </c>
      <c r="N109" s="24">
        <v>100</v>
      </c>
      <c r="O109" s="24">
        <v>100</v>
      </c>
      <c r="P109" s="24">
        <v>100</v>
      </c>
      <c r="Q109" s="24">
        <v>100</v>
      </c>
      <c r="R109" s="24">
        <v>100</v>
      </c>
      <c r="S109" s="24">
        <v>100</v>
      </c>
      <c r="T109" s="24">
        <v>100</v>
      </c>
      <c r="U109" s="25">
        <f>SUM(I109:T109)</f>
        <v>1200</v>
      </c>
    </row>
    <row r="110" spans="1:21" hidden="1" x14ac:dyDescent="0.3">
      <c r="A110" s="120"/>
      <c r="B110" s="120"/>
      <c r="C110" s="120"/>
      <c r="D110" s="120"/>
      <c r="E110" s="120"/>
      <c r="G110" s="23" t="s">
        <v>194</v>
      </c>
      <c r="I110" s="24">
        <v>2000</v>
      </c>
      <c r="J110" s="24">
        <v>2000</v>
      </c>
      <c r="K110" s="24">
        <v>2000</v>
      </c>
      <c r="L110" s="24">
        <v>2000</v>
      </c>
      <c r="M110" s="24">
        <v>2000</v>
      </c>
      <c r="N110" s="24">
        <v>2000</v>
      </c>
      <c r="O110" s="24">
        <v>2000</v>
      </c>
      <c r="P110" s="24">
        <v>2000</v>
      </c>
      <c r="Q110" s="24">
        <v>2000</v>
      </c>
      <c r="R110" s="24">
        <v>2000</v>
      </c>
      <c r="S110" s="24">
        <v>2000</v>
      </c>
      <c r="T110" s="24">
        <v>2000</v>
      </c>
      <c r="U110" s="25">
        <f t="shared" ref="U110:U115" si="28">SUM(I110:T110)</f>
        <v>24000</v>
      </c>
    </row>
    <row r="111" spans="1:21" hidden="1" x14ac:dyDescent="0.3">
      <c r="A111" s="120"/>
      <c r="B111" s="120"/>
      <c r="C111" s="120"/>
      <c r="D111" s="120"/>
      <c r="E111" s="120"/>
      <c r="G111" s="23" t="s">
        <v>193</v>
      </c>
      <c r="I111" s="24">
        <v>75</v>
      </c>
      <c r="J111" s="24">
        <v>75</v>
      </c>
      <c r="K111" s="24">
        <v>75</v>
      </c>
      <c r="L111" s="24">
        <v>75</v>
      </c>
      <c r="M111" s="24">
        <v>75</v>
      </c>
      <c r="N111" s="24">
        <v>75</v>
      </c>
      <c r="O111" s="24">
        <v>75</v>
      </c>
      <c r="P111" s="24">
        <v>75</v>
      </c>
      <c r="Q111" s="24">
        <v>75</v>
      </c>
      <c r="R111" s="24">
        <v>75</v>
      </c>
      <c r="S111" s="24">
        <v>75</v>
      </c>
      <c r="T111" s="24">
        <v>75</v>
      </c>
      <c r="U111" s="25">
        <f t="shared" si="28"/>
        <v>900</v>
      </c>
    </row>
    <row r="112" spans="1:21" hidden="1" x14ac:dyDescent="0.3">
      <c r="A112" s="120"/>
      <c r="B112" s="120"/>
      <c r="C112" s="120"/>
      <c r="D112" s="120"/>
      <c r="E112" s="120"/>
      <c r="G112" s="23" t="s">
        <v>195</v>
      </c>
      <c r="I112" s="24">
        <v>250</v>
      </c>
      <c r="J112" s="24">
        <v>250</v>
      </c>
      <c r="K112" s="24">
        <v>250</v>
      </c>
      <c r="L112" s="24">
        <v>250</v>
      </c>
      <c r="M112" s="24">
        <v>250</v>
      </c>
      <c r="N112" s="24">
        <v>250</v>
      </c>
      <c r="O112" s="24">
        <v>250</v>
      </c>
      <c r="P112" s="24">
        <v>250</v>
      </c>
      <c r="Q112" s="24">
        <v>250</v>
      </c>
      <c r="R112" s="24">
        <v>250</v>
      </c>
      <c r="S112" s="24">
        <v>250</v>
      </c>
      <c r="T112" s="24">
        <v>250</v>
      </c>
      <c r="U112" s="25">
        <f t="shared" si="28"/>
        <v>3000</v>
      </c>
    </row>
    <row r="113" spans="1:21" hidden="1" x14ac:dyDescent="0.3">
      <c r="A113" s="120"/>
      <c r="B113" s="120"/>
      <c r="C113" s="120"/>
      <c r="D113" s="120"/>
      <c r="E113" s="120"/>
      <c r="G113" s="23" t="s">
        <v>45</v>
      </c>
      <c r="I113" s="24">
        <v>200</v>
      </c>
      <c r="J113" s="24">
        <v>200</v>
      </c>
      <c r="K113" s="24">
        <v>200</v>
      </c>
      <c r="L113" s="24">
        <v>200</v>
      </c>
      <c r="M113" s="24">
        <v>200</v>
      </c>
      <c r="N113" s="24">
        <v>200</v>
      </c>
      <c r="O113" s="24">
        <v>200</v>
      </c>
      <c r="P113" s="24">
        <v>200</v>
      </c>
      <c r="Q113" s="24">
        <v>200</v>
      </c>
      <c r="R113" s="24">
        <v>200</v>
      </c>
      <c r="S113" s="24">
        <v>200</v>
      </c>
      <c r="T113" s="24">
        <v>200</v>
      </c>
      <c r="U113" s="25">
        <f t="shared" si="28"/>
        <v>2400</v>
      </c>
    </row>
    <row r="114" spans="1:21" hidden="1" x14ac:dyDescent="0.3">
      <c r="A114" s="120"/>
      <c r="B114" s="120"/>
      <c r="C114" s="120"/>
      <c r="D114" s="120"/>
      <c r="E114" s="120"/>
      <c r="G114" s="23" t="s">
        <v>46</v>
      </c>
      <c r="I114" s="24">
        <v>100</v>
      </c>
      <c r="J114" s="24">
        <v>100</v>
      </c>
      <c r="K114" s="24">
        <v>100</v>
      </c>
      <c r="L114" s="24">
        <v>100</v>
      </c>
      <c r="M114" s="24">
        <v>100</v>
      </c>
      <c r="N114" s="24">
        <v>100</v>
      </c>
      <c r="O114" s="24">
        <v>100</v>
      </c>
      <c r="P114" s="24">
        <v>100</v>
      </c>
      <c r="Q114" s="24">
        <v>100</v>
      </c>
      <c r="R114" s="24">
        <v>100</v>
      </c>
      <c r="S114" s="24">
        <v>100</v>
      </c>
      <c r="T114" s="24">
        <v>100</v>
      </c>
      <c r="U114" s="25">
        <f t="shared" si="28"/>
        <v>1200</v>
      </c>
    </row>
    <row r="115" spans="1:21" hidden="1" x14ac:dyDescent="0.3">
      <c r="A115" s="120"/>
      <c r="B115" s="120"/>
      <c r="C115" s="120"/>
      <c r="D115" s="120"/>
      <c r="E115" s="120"/>
      <c r="F115" s="31">
        <v>0.25</v>
      </c>
      <c r="G115" s="32" t="str">
        <f>"Contigency"&amp;" "&amp;"at"&amp;" "&amp;(F115*100)&amp;"%"</f>
        <v>Contigency at 25%</v>
      </c>
      <c r="H115" s="33"/>
      <c r="I115" s="34">
        <f>SUM(I109:I114)*$F$40</f>
        <v>681.25</v>
      </c>
      <c r="J115" s="34">
        <f>SUM(J109:J114)*$F$40</f>
        <v>681.25</v>
      </c>
      <c r="K115" s="34">
        <f t="shared" ref="K115:T115" si="29">SUM(K109:K114)*$F$40</f>
        <v>681.25</v>
      </c>
      <c r="L115" s="34">
        <f t="shared" si="29"/>
        <v>681.25</v>
      </c>
      <c r="M115" s="34">
        <f t="shared" si="29"/>
        <v>681.25</v>
      </c>
      <c r="N115" s="34">
        <f t="shared" si="29"/>
        <v>681.25</v>
      </c>
      <c r="O115" s="34">
        <f t="shared" si="29"/>
        <v>681.25</v>
      </c>
      <c r="P115" s="34">
        <f t="shared" si="29"/>
        <v>681.25</v>
      </c>
      <c r="Q115" s="34">
        <f t="shared" si="29"/>
        <v>681.25</v>
      </c>
      <c r="R115" s="34">
        <f t="shared" si="29"/>
        <v>681.25</v>
      </c>
      <c r="S115" s="34">
        <f t="shared" si="29"/>
        <v>681.25</v>
      </c>
      <c r="T115" s="34">
        <f t="shared" si="29"/>
        <v>681.25</v>
      </c>
      <c r="U115" s="35">
        <f t="shared" si="28"/>
        <v>8175</v>
      </c>
    </row>
    <row r="116" spans="1:21" ht="15.75" hidden="1" thickBot="1" x14ac:dyDescent="0.35">
      <c r="A116" s="120"/>
      <c r="B116" s="120"/>
      <c r="C116" s="120"/>
      <c r="D116" s="120"/>
      <c r="E116" s="120"/>
      <c r="G116" s="26" t="s">
        <v>1</v>
      </c>
      <c r="H116" s="27"/>
      <c r="I116" s="28">
        <f>SUM(I109:I114)</f>
        <v>2725</v>
      </c>
      <c r="J116" s="28">
        <f t="shared" ref="J116:U116" si="30">SUM(J109:J114)</f>
        <v>2725</v>
      </c>
      <c r="K116" s="28">
        <f t="shared" si="30"/>
        <v>2725</v>
      </c>
      <c r="L116" s="28">
        <f t="shared" si="30"/>
        <v>2725</v>
      </c>
      <c r="M116" s="28">
        <f t="shared" si="30"/>
        <v>2725</v>
      </c>
      <c r="N116" s="28">
        <f t="shared" si="30"/>
        <v>2725</v>
      </c>
      <c r="O116" s="28">
        <f t="shared" si="30"/>
        <v>2725</v>
      </c>
      <c r="P116" s="28">
        <f t="shared" si="30"/>
        <v>2725</v>
      </c>
      <c r="Q116" s="28">
        <f t="shared" si="30"/>
        <v>2725</v>
      </c>
      <c r="R116" s="28">
        <f t="shared" si="30"/>
        <v>2725</v>
      </c>
      <c r="S116" s="28">
        <f t="shared" si="30"/>
        <v>2725</v>
      </c>
      <c r="T116" s="28">
        <f t="shared" si="30"/>
        <v>2725</v>
      </c>
      <c r="U116" s="29">
        <f t="shared" si="30"/>
        <v>32700</v>
      </c>
    </row>
    <row r="117" spans="1:21" hidden="1" x14ac:dyDescent="0.3">
      <c r="A117" s="120"/>
      <c r="B117" s="120"/>
      <c r="C117" s="120"/>
      <c r="D117" s="120"/>
      <c r="E117" s="120"/>
      <c r="G117" s="22" t="s">
        <v>56</v>
      </c>
      <c r="I117" s="24"/>
      <c r="J117" s="24"/>
      <c r="K117" s="24"/>
      <c r="L117" s="24"/>
      <c r="M117" s="24"/>
      <c r="N117" s="24"/>
      <c r="O117" s="24"/>
      <c r="P117" s="24"/>
      <c r="Q117" s="24"/>
      <c r="R117" s="24"/>
      <c r="S117" s="24"/>
      <c r="T117" s="24"/>
      <c r="U117" s="30"/>
    </row>
    <row r="118" spans="1:21" hidden="1" x14ac:dyDescent="0.3">
      <c r="A118" s="120"/>
      <c r="B118" s="120"/>
      <c r="C118" s="120"/>
      <c r="D118" s="120"/>
      <c r="E118" s="120"/>
      <c r="G118" s="36" t="s">
        <v>52</v>
      </c>
      <c r="I118" s="24"/>
      <c r="J118" s="24"/>
      <c r="K118" s="24"/>
      <c r="L118" s="24"/>
      <c r="M118" s="24"/>
      <c r="N118" s="24"/>
      <c r="O118" s="24"/>
      <c r="P118" s="24"/>
      <c r="Q118" s="24"/>
      <c r="R118" s="24"/>
      <c r="S118" s="24"/>
      <c r="T118" s="24"/>
      <c r="U118" s="37">
        <f>SUM(I118:T118)</f>
        <v>0</v>
      </c>
    </row>
    <row r="119" spans="1:21" hidden="1" x14ac:dyDescent="0.3">
      <c r="A119" s="120"/>
      <c r="B119" s="120"/>
      <c r="C119" s="120"/>
      <c r="D119" s="120"/>
      <c r="E119" s="120"/>
      <c r="G119" s="36" t="s">
        <v>46</v>
      </c>
      <c r="I119" s="24"/>
      <c r="J119" s="24"/>
      <c r="K119" s="24"/>
      <c r="L119" s="24"/>
      <c r="M119" s="24"/>
      <c r="N119" s="24"/>
      <c r="O119" s="24"/>
      <c r="P119" s="24"/>
      <c r="Q119" s="24"/>
      <c r="R119" s="24"/>
      <c r="S119" s="24"/>
      <c r="T119" s="24"/>
      <c r="U119" s="37">
        <f>SUM(I119:T119)</f>
        <v>0</v>
      </c>
    </row>
    <row r="120" spans="1:21" hidden="1" x14ac:dyDescent="0.3">
      <c r="A120" s="120"/>
      <c r="B120" s="120"/>
      <c r="C120" s="120"/>
      <c r="D120" s="120"/>
      <c r="E120" s="120"/>
      <c r="F120" s="31">
        <v>0.1</v>
      </c>
      <c r="G120" s="32" t="str">
        <f>"Contigency"&amp;" "&amp;"at"&amp;" "&amp;(F120*100)&amp;"%"</f>
        <v>Contigency at 10%</v>
      </c>
      <c r="I120" s="24">
        <f>SUM(I118:I119)*$F$50</f>
        <v>0</v>
      </c>
      <c r="J120" s="24">
        <f>SUM(J118:J119)*$F$50</f>
        <v>0</v>
      </c>
      <c r="K120" s="24">
        <f t="shared" ref="K120:T120" si="31">SUM(K118:K119)*$F$50</f>
        <v>0</v>
      </c>
      <c r="L120" s="24">
        <f t="shared" si="31"/>
        <v>0</v>
      </c>
      <c r="M120" s="24">
        <f t="shared" si="31"/>
        <v>0</v>
      </c>
      <c r="N120" s="24">
        <f t="shared" si="31"/>
        <v>0</v>
      </c>
      <c r="O120" s="24">
        <f t="shared" si="31"/>
        <v>0</v>
      </c>
      <c r="P120" s="24">
        <f t="shared" si="31"/>
        <v>0</v>
      </c>
      <c r="Q120" s="24">
        <f t="shared" si="31"/>
        <v>0</v>
      </c>
      <c r="R120" s="24">
        <f t="shared" si="31"/>
        <v>0</v>
      </c>
      <c r="S120" s="24">
        <f t="shared" si="31"/>
        <v>0</v>
      </c>
      <c r="T120" s="24">
        <f t="shared" si="31"/>
        <v>0</v>
      </c>
      <c r="U120" s="37">
        <f>SUM(I120:T120)</f>
        <v>0</v>
      </c>
    </row>
    <row r="121" spans="1:21" ht="15.75" hidden="1" thickBot="1" x14ac:dyDescent="0.35">
      <c r="A121" s="120"/>
      <c r="B121" s="120"/>
      <c r="C121" s="120"/>
      <c r="D121" s="120"/>
      <c r="E121" s="120"/>
      <c r="G121" s="26" t="s">
        <v>1</v>
      </c>
      <c r="H121" s="27"/>
      <c r="I121" s="28">
        <f>SUM(I118:I120)</f>
        <v>0</v>
      </c>
      <c r="J121" s="28">
        <f t="shared" ref="J121:T121" si="32">SUM(J118:J120)</f>
        <v>0</v>
      </c>
      <c r="K121" s="28">
        <f t="shared" si="32"/>
        <v>0</v>
      </c>
      <c r="L121" s="28">
        <f t="shared" si="32"/>
        <v>0</v>
      </c>
      <c r="M121" s="28">
        <f t="shared" si="32"/>
        <v>0</v>
      </c>
      <c r="N121" s="28">
        <f t="shared" si="32"/>
        <v>0</v>
      </c>
      <c r="O121" s="28">
        <f t="shared" si="32"/>
        <v>0</v>
      </c>
      <c r="P121" s="28">
        <f t="shared" si="32"/>
        <v>0</v>
      </c>
      <c r="Q121" s="28">
        <f t="shared" si="32"/>
        <v>0</v>
      </c>
      <c r="R121" s="28">
        <f t="shared" si="32"/>
        <v>0</v>
      </c>
      <c r="S121" s="28">
        <f t="shared" si="32"/>
        <v>0</v>
      </c>
      <c r="T121" s="28">
        <f t="shared" si="32"/>
        <v>0</v>
      </c>
      <c r="U121" s="29">
        <f>SUM(U115:U119)</f>
        <v>40875</v>
      </c>
    </row>
    <row r="122" spans="1:21" hidden="1" x14ac:dyDescent="0.3">
      <c r="A122" s="120"/>
      <c r="B122" s="120"/>
      <c r="C122" s="120"/>
      <c r="D122" s="120"/>
      <c r="E122" s="120"/>
      <c r="G122" s="22" t="s">
        <v>58</v>
      </c>
      <c r="U122" s="30"/>
    </row>
    <row r="123" spans="1:21" hidden="1" x14ac:dyDescent="0.3">
      <c r="A123" s="120"/>
      <c r="B123" s="120"/>
      <c r="C123" s="120"/>
      <c r="D123" s="120"/>
      <c r="E123" s="120"/>
      <c r="G123" s="23" t="s">
        <v>47</v>
      </c>
      <c r="I123" s="24"/>
      <c r="J123" s="24"/>
      <c r="K123" s="24"/>
      <c r="L123" s="24"/>
      <c r="M123" s="24"/>
      <c r="N123" s="24"/>
      <c r="O123" s="24"/>
      <c r="P123" s="24"/>
      <c r="Q123" s="24"/>
      <c r="R123" s="24"/>
      <c r="S123" s="24"/>
      <c r="T123" s="24"/>
      <c r="U123" s="25"/>
    </row>
    <row r="124" spans="1:21" hidden="1" x14ac:dyDescent="0.3">
      <c r="A124" s="120"/>
      <c r="B124" s="120"/>
      <c r="C124" s="120"/>
      <c r="D124" s="120"/>
      <c r="E124" s="120"/>
      <c r="G124" s="23" t="s">
        <v>30</v>
      </c>
      <c r="I124" s="24" t="e">
        <f>INDEX(#REF!,MATCH('Budget 2020'!I$6,#REF!,0))</f>
        <v>#REF!</v>
      </c>
      <c r="J124" s="24" t="e">
        <f>INDEX(#REF!,MATCH('Budget 2020'!J$6,#REF!,0))</f>
        <v>#REF!</v>
      </c>
      <c r="K124" s="24" t="e">
        <f>INDEX(#REF!,MATCH('Budget 2020'!K$6,#REF!,0))</f>
        <v>#REF!</v>
      </c>
      <c r="L124" s="24" t="e">
        <f>INDEX(#REF!,MATCH('Budget 2020'!L$6,#REF!,0))</f>
        <v>#REF!</v>
      </c>
      <c r="M124" s="24" t="e">
        <f>INDEX(#REF!,MATCH('Budget 2020'!M$6,#REF!,0))</f>
        <v>#REF!</v>
      </c>
      <c r="N124" s="24" t="e">
        <f>INDEX(#REF!,MATCH('Budget 2020'!N$6,#REF!,0))</f>
        <v>#REF!</v>
      </c>
      <c r="O124" s="24" t="e">
        <f>INDEX(#REF!,MATCH('Budget 2020'!O$6,#REF!,0))</f>
        <v>#REF!</v>
      </c>
      <c r="P124" s="24" t="e">
        <f>INDEX(#REF!,MATCH('Budget 2020'!P$6,#REF!,0))</f>
        <v>#REF!</v>
      </c>
      <c r="Q124" s="24" t="e">
        <f>INDEX(#REF!,MATCH('Budget 2020'!Q$6,#REF!,0))</f>
        <v>#REF!</v>
      </c>
      <c r="R124" s="24" t="e">
        <f>INDEX(#REF!,MATCH('Budget 2020'!R$6,#REF!,0))</f>
        <v>#REF!</v>
      </c>
      <c r="S124" s="24" t="e">
        <f>INDEX(#REF!,MATCH('Budget 2020'!S$6,#REF!,0))</f>
        <v>#REF!</v>
      </c>
      <c r="T124" s="24" t="e">
        <f>INDEX(#REF!,MATCH('Budget 2020'!T$6,#REF!,0))</f>
        <v>#REF!</v>
      </c>
      <c r="U124" s="25" t="e">
        <f>SUM(I124:T124)</f>
        <v>#REF!</v>
      </c>
    </row>
    <row r="125" spans="1:21" hidden="1" x14ac:dyDescent="0.3">
      <c r="A125" s="120"/>
      <c r="B125" s="120"/>
      <c r="C125" s="120"/>
      <c r="D125" s="120"/>
      <c r="E125" s="120"/>
      <c r="G125" s="23" t="s">
        <v>53</v>
      </c>
      <c r="I125" s="24"/>
      <c r="J125" s="24"/>
      <c r="K125" s="24"/>
      <c r="L125" s="24"/>
      <c r="M125" s="24"/>
      <c r="N125" s="24"/>
      <c r="O125" s="24"/>
      <c r="P125" s="24"/>
      <c r="Q125" s="24"/>
      <c r="R125" s="24"/>
      <c r="S125" s="24"/>
      <c r="T125" s="24"/>
      <c r="U125" s="25">
        <f>SUM(I125:T125)</f>
        <v>0</v>
      </c>
    </row>
    <row r="126" spans="1:21" hidden="1" x14ac:dyDescent="0.3">
      <c r="A126" s="120"/>
      <c r="B126" s="120"/>
      <c r="C126" s="120"/>
      <c r="D126" s="120"/>
      <c r="E126" s="120"/>
      <c r="G126" s="23" t="s">
        <v>54</v>
      </c>
      <c r="I126" s="24"/>
      <c r="J126" s="24">
        <v>1000</v>
      </c>
      <c r="K126" s="24"/>
      <c r="L126" s="24"/>
      <c r="M126" s="24"/>
      <c r="N126" s="24"/>
      <c r="O126" s="24"/>
      <c r="P126" s="24"/>
      <c r="Q126" s="24"/>
      <c r="R126" s="24"/>
      <c r="S126" s="24"/>
      <c r="T126" s="24"/>
      <c r="U126" s="25">
        <f>SUM(I126:T126)</f>
        <v>1000</v>
      </c>
    </row>
    <row r="127" spans="1:21" hidden="1" x14ac:dyDescent="0.3">
      <c r="A127" s="120"/>
      <c r="B127" s="120"/>
      <c r="C127" s="120"/>
      <c r="D127" s="120"/>
      <c r="E127" s="120"/>
      <c r="G127" s="23" t="s">
        <v>46</v>
      </c>
      <c r="I127" s="24"/>
      <c r="J127" s="24"/>
      <c r="K127" s="24"/>
      <c r="L127" s="24"/>
      <c r="M127" s="24"/>
      <c r="N127" s="24"/>
      <c r="O127" s="24"/>
      <c r="P127" s="24"/>
      <c r="Q127" s="24"/>
      <c r="R127" s="24"/>
      <c r="S127" s="24"/>
      <c r="T127" s="24"/>
      <c r="U127" s="25">
        <f>SUM(I127:T127)</f>
        <v>0</v>
      </c>
    </row>
    <row r="128" spans="1:21" hidden="1" x14ac:dyDescent="0.3">
      <c r="A128" s="120"/>
      <c r="B128" s="120"/>
      <c r="C128" s="120"/>
      <c r="D128" s="120"/>
      <c r="E128" s="120"/>
      <c r="F128" s="31">
        <v>0.1</v>
      </c>
      <c r="G128" s="32" t="str">
        <f>"Contigency"&amp;" "&amp;"at"&amp;" "&amp;(F128*100)&amp;"%"</f>
        <v>Contigency at 10%</v>
      </c>
      <c r="H128" s="33"/>
      <c r="I128" s="34" t="e">
        <f>SUM(I123:I127)*$F$63</f>
        <v>#REF!</v>
      </c>
      <c r="J128" s="34" t="e">
        <f>SUM(J123:J127)*$F$63</f>
        <v>#REF!</v>
      </c>
      <c r="K128" s="34" t="e">
        <f t="shared" ref="K128:T128" si="33">SUM(K123:K127)*$F$63</f>
        <v>#REF!</v>
      </c>
      <c r="L128" s="34" t="e">
        <f t="shared" si="33"/>
        <v>#REF!</v>
      </c>
      <c r="M128" s="34" t="e">
        <f t="shared" si="33"/>
        <v>#REF!</v>
      </c>
      <c r="N128" s="34" t="e">
        <f t="shared" si="33"/>
        <v>#REF!</v>
      </c>
      <c r="O128" s="34" t="e">
        <f t="shared" si="33"/>
        <v>#REF!</v>
      </c>
      <c r="P128" s="34" t="e">
        <f t="shared" si="33"/>
        <v>#REF!</v>
      </c>
      <c r="Q128" s="34" t="e">
        <f t="shared" si="33"/>
        <v>#REF!</v>
      </c>
      <c r="R128" s="34" t="e">
        <f t="shared" si="33"/>
        <v>#REF!</v>
      </c>
      <c r="S128" s="34" t="e">
        <f t="shared" si="33"/>
        <v>#REF!</v>
      </c>
      <c r="T128" s="34" t="e">
        <f t="shared" si="33"/>
        <v>#REF!</v>
      </c>
      <c r="U128" s="35" t="e">
        <f>SUM(I128:T128)</f>
        <v>#REF!</v>
      </c>
    </row>
    <row r="129" spans="1:21" ht="15.75" hidden="1" thickBot="1" x14ac:dyDescent="0.35">
      <c r="A129" s="120"/>
      <c r="B129" s="120"/>
      <c r="C129" s="120"/>
      <c r="D129" s="120"/>
      <c r="E129" s="120"/>
      <c r="G129" s="26" t="s">
        <v>1</v>
      </c>
      <c r="H129" s="27"/>
      <c r="I129" s="28" t="e">
        <f>SUM(I123:I128)</f>
        <v>#REF!</v>
      </c>
      <c r="J129" s="28" t="e">
        <f t="shared" ref="J129:T129" si="34">SUM(J123:J128)</f>
        <v>#REF!</v>
      </c>
      <c r="K129" s="28" t="e">
        <f t="shared" si="34"/>
        <v>#REF!</v>
      </c>
      <c r="L129" s="28" t="e">
        <f t="shared" si="34"/>
        <v>#REF!</v>
      </c>
      <c r="M129" s="28" t="e">
        <f t="shared" si="34"/>
        <v>#REF!</v>
      </c>
      <c r="N129" s="28" t="e">
        <f t="shared" si="34"/>
        <v>#REF!</v>
      </c>
      <c r="O129" s="28" t="e">
        <f t="shared" si="34"/>
        <v>#REF!</v>
      </c>
      <c r="P129" s="28" t="e">
        <f t="shared" si="34"/>
        <v>#REF!</v>
      </c>
      <c r="Q129" s="28" t="e">
        <f t="shared" si="34"/>
        <v>#REF!</v>
      </c>
      <c r="R129" s="28" t="e">
        <f t="shared" si="34"/>
        <v>#REF!</v>
      </c>
      <c r="S129" s="28" t="e">
        <f t="shared" si="34"/>
        <v>#REF!</v>
      </c>
      <c r="T129" s="28" t="e">
        <f t="shared" si="34"/>
        <v>#REF!</v>
      </c>
      <c r="U129" s="29" t="e">
        <f>SUM(U123:U127)</f>
        <v>#REF!</v>
      </c>
    </row>
    <row r="130" spans="1:21" hidden="1" x14ac:dyDescent="0.3">
      <c r="A130" s="120"/>
      <c r="B130" s="120"/>
      <c r="C130" s="120"/>
      <c r="D130" s="120"/>
      <c r="E130" s="120"/>
      <c r="G130" s="22" t="s">
        <v>55</v>
      </c>
      <c r="U130" s="30"/>
    </row>
    <row r="131" spans="1:21" hidden="1" x14ac:dyDescent="0.3">
      <c r="A131" s="120"/>
      <c r="B131" s="120"/>
      <c r="C131" s="120"/>
      <c r="D131" s="120"/>
      <c r="E131" s="120"/>
      <c r="G131" s="23" t="s">
        <v>60</v>
      </c>
      <c r="U131" s="25">
        <f>SUM(I131:T131)</f>
        <v>0</v>
      </c>
    </row>
    <row r="132" spans="1:21" hidden="1" x14ac:dyDescent="0.3">
      <c r="A132" s="120"/>
      <c r="B132" s="120"/>
      <c r="C132" s="120"/>
      <c r="D132" s="120"/>
      <c r="E132" s="120"/>
      <c r="G132" s="23" t="s">
        <v>61</v>
      </c>
      <c r="U132" s="25">
        <f>SUM(I132:T132)</f>
        <v>0</v>
      </c>
    </row>
    <row r="133" spans="1:21" hidden="1" x14ac:dyDescent="0.3">
      <c r="A133" s="120"/>
      <c r="B133" s="120"/>
      <c r="C133" s="120"/>
      <c r="D133" s="120"/>
      <c r="E133" s="120"/>
      <c r="G133" s="23" t="s">
        <v>62</v>
      </c>
      <c r="U133" s="25">
        <f>SUM(I133:T133)</f>
        <v>0</v>
      </c>
    </row>
    <row r="134" spans="1:21" hidden="1" x14ac:dyDescent="0.3">
      <c r="A134" s="120"/>
      <c r="B134" s="120"/>
      <c r="C134" s="120"/>
      <c r="D134" s="120"/>
      <c r="E134" s="120"/>
      <c r="G134" s="23" t="s">
        <v>46</v>
      </c>
      <c r="U134" s="25">
        <f>SUM(I134:T134)</f>
        <v>0</v>
      </c>
    </row>
    <row r="135" spans="1:21" hidden="1" x14ac:dyDescent="0.3">
      <c r="A135" s="120"/>
      <c r="B135" s="120"/>
      <c r="C135" s="120"/>
      <c r="D135" s="120"/>
      <c r="E135" s="120"/>
      <c r="F135" s="31">
        <v>0.1</v>
      </c>
      <c r="G135" s="32" t="str">
        <f>"Contigency"&amp;" "&amp;"at"&amp;" "&amp;(F135*100)&amp;"%"</f>
        <v>Contigency at 10%</v>
      </c>
      <c r="I135" s="24">
        <f>SUM(I131:I134)*$F$71</f>
        <v>0</v>
      </c>
      <c r="J135" s="24">
        <f>SUM(J131:J134)*$F$71</f>
        <v>0</v>
      </c>
      <c r="K135" s="24">
        <f t="shared" ref="K135:T135" si="35">SUM(K131:K134)*$F$71</f>
        <v>0</v>
      </c>
      <c r="L135" s="24">
        <f t="shared" si="35"/>
        <v>0</v>
      </c>
      <c r="M135" s="24">
        <f t="shared" si="35"/>
        <v>0</v>
      </c>
      <c r="N135" s="24">
        <f t="shared" si="35"/>
        <v>0</v>
      </c>
      <c r="O135" s="24">
        <f t="shared" si="35"/>
        <v>0</v>
      </c>
      <c r="P135" s="24">
        <f t="shared" si="35"/>
        <v>0</v>
      </c>
      <c r="Q135" s="24">
        <f t="shared" si="35"/>
        <v>0</v>
      </c>
      <c r="R135" s="24">
        <f t="shared" si="35"/>
        <v>0</v>
      </c>
      <c r="S135" s="24">
        <f t="shared" si="35"/>
        <v>0</v>
      </c>
      <c r="T135" s="24">
        <f t="shared" si="35"/>
        <v>0</v>
      </c>
      <c r="U135" s="25">
        <f>SUM(I135:T135)</f>
        <v>0</v>
      </c>
    </row>
    <row r="136" spans="1:21" ht="15.75" hidden="1" thickBot="1" x14ac:dyDescent="0.35">
      <c r="A136" s="120"/>
      <c r="B136" s="120"/>
      <c r="C136" s="120"/>
      <c r="D136" s="120"/>
      <c r="E136" s="120"/>
      <c r="G136" s="26" t="s">
        <v>1</v>
      </c>
      <c r="H136" s="27"/>
      <c r="I136" s="28">
        <f t="shared" ref="I136:T136" si="36">SUM(I131:I135)</f>
        <v>0</v>
      </c>
      <c r="J136" s="28">
        <f t="shared" si="36"/>
        <v>0</v>
      </c>
      <c r="K136" s="28">
        <f t="shared" si="36"/>
        <v>0</v>
      </c>
      <c r="L136" s="28">
        <f t="shared" si="36"/>
        <v>0</v>
      </c>
      <c r="M136" s="28">
        <f t="shared" si="36"/>
        <v>0</v>
      </c>
      <c r="N136" s="28">
        <f t="shared" si="36"/>
        <v>0</v>
      </c>
      <c r="O136" s="28">
        <f t="shared" si="36"/>
        <v>0</v>
      </c>
      <c r="P136" s="28">
        <f t="shared" si="36"/>
        <v>0</v>
      </c>
      <c r="Q136" s="28">
        <f t="shared" si="36"/>
        <v>0</v>
      </c>
      <c r="R136" s="28">
        <f t="shared" si="36"/>
        <v>0</v>
      </c>
      <c r="S136" s="28">
        <f t="shared" si="36"/>
        <v>0</v>
      </c>
      <c r="T136" s="28">
        <f t="shared" si="36"/>
        <v>0</v>
      </c>
      <c r="U136" s="29">
        <f>SUM(U131:U134)</f>
        <v>0</v>
      </c>
    </row>
    <row r="137" spans="1:21" hidden="1" x14ac:dyDescent="0.3">
      <c r="A137" s="120"/>
      <c r="B137" s="120"/>
      <c r="C137" s="120"/>
      <c r="D137" s="120"/>
      <c r="E137" s="120"/>
      <c r="G137" s="38"/>
      <c r="H137" s="33"/>
      <c r="I137" s="33"/>
      <c r="J137" s="33"/>
      <c r="K137" s="33"/>
      <c r="L137" s="33"/>
      <c r="M137" s="33"/>
      <c r="N137" s="33"/>
      <c r="O137" s="33"/>
      <c r="P137" s="33"/>
      <c r="Q137" s="33"/>
      <c r="R137" s="33"/>
      <c r="S137" s="33"/>
      <c r="T137" s="33"/>
      <c r="U137" s="39"/>
    </row>
    <row r="138" spans="1:21" ht="15.75" hidden="1" thickBot="1" x14ac:dyDescent="0.35">
      <c r="A138" s="120"/>
      <c r="B138" s="120"/>
      <c r="C138" s="120"/>
      <c r="D138" s="120"/>
      <c r="E138" s="120"/>
      <c r="G138" s="127" t="s">
        <v>63</v>
      </c>
      <c r="H138" s="128"/>
      <c r="I138" s="129" t="e">
        <f t="shared" ref="I138:U138" si="37">I101+I107+I116+I120+I129+I136</f>
        <v>#REF!</v>
      </c>
      <c r="J138" s="129" t="e">
        <f t="shared" si="37"/>
        <v>#REF!</v>
      </c>
      <c r="K138" s="129" t="e">
        <f t="shared" si="37"/>
        <v>#REF!</v>
      </c>
      <c r="L138" s="129" t="e">
        <f t="shared" si="37"/>
        <v>#REF!</v>
      </c>
      <c r="M138" s="129" t="e">
        <f t="shared" si="37"/>
        <v>#REF!</v>
      </c>
      <c r="N138" s="129" t="e">
        <f t="shared" si="37"/>
        <v>#REF!</v>
      </c>
      <c r="O138" s="129" t="e">
        <f t="shared" si="37"/>
        <v>#REF!</v>
      </c>
      <c r="P138" s="129" t="e">
        <f t="shared" si="37"/>
        <v>#REF!</v>
      </c>
      <c r="Q138" s="129" t="e">
        <f t="shared" si="37"/>
        <v>#REF!</v>
      </c>
      <c r="R138" s="129" t="e">
        <f t="shared" si="37"/>
        <v>#REF!</v>
      </c>
      <c r="S138" s="129" t="e">
        <f t="shared" si="37"/>
        <v>#REF!</v>
      </c>
      <c r="T138" s="129" t="e">
        <f t="shared" si="37"/>
        <v>#REF!</v>
      </c>
      <c r="U138" s="40" t="e">
        <f t="shared" si="37"/>
        <v>#REF!</v>
      </c>
    </row>
    <row r="139" spans="1:21" hidden="1" x14ac:dyDescent="0.3">
      <c r="A139" s="120"/>
      <c r="B139" s="120"/>
      <c r="C139" s="120"/>
      <c r="D139" s="120"/>
      <c r="E139" s="120"/>
    </row>
    <row r="140" spans="1:21" hidden="1" x14ac:dyDescent="0.3">
      <c r="A140" s="120"/>
      <c r="B140" s="120"/>
      <c r="C140" s="120"/>
      <c r="D140" s="120"/>
      <c r="E140" s="120"/>
    </row>
    <row r="141" spans="1:21" hidden="1" x14ac:dyDescent="0.3">
      <c r="A141" s="120"/>
      <c r="B141" s="120"/>
      <c r="C141" s="120"/>
      <c r="D141" s="120"/>
      <c r="E141" s="120"/>
    </row>
    <row r="142" spans="1:21" hidden="1" x14ac:dyDescent="0.3">
      <c r="A142" s="120"/>
      <c r="B142" s="120"/>
      <c r="C142" s="120"/>
      <c r="D142" s="120"/>
      <c r="E142" s="120"/>
    </row>
    <row r="143" spans="1:21" hidden="1" x14ac:dyDescent="0.3">
      <c r="A143" s="120"/>
      <c r="B143" s="120"/>
      <c r="C143" s="120"/>
      <c r="D143" s="120"/>
      <c r="E143" s="120"/>
    </row>
    <row r="144" spans="1:21" hidden="1" x14ac:dyDescent="0.3">
      <c r="A144" s="120"/>
      <c r="B144" s="120"/>
      <c r="C144" s="120"/>
      <c r="D144" s="120"/>
      <c r="E144" s="120"/>
    </row>
    <row r="145" spans="1:21" hidden="1" x14ac:dyDescent="0.3">
      <c r="A145" s="120"/>
      <c r="B145" s="120"/>
      <c r="C145" s="120"/>
      <c r="D145" s="120"/>
      <c r="E145" s="120"/>
    </row>
    <row r="146" spans="1:21" hidden="1" x14ac:dyDescent="0.3">
      <c r="A146" s="120"/>
      <c r="B146" s="120"/>
      <c r="C146" s="120"/>
      <c r="D146" s="120"/>
      <c r="E146" s="120"/>
    </row>
    <row r="147" spans="1:21" hidden="1" x14ac:dyDescent="0.3">
      <c r="A147" s="120"/>
      <c r="B147" s="120"/>
      <c r="C147" s="120"/>
      <c r="D147" s="120"/>
      <c r="E147" s="120"/>
    </row>
    <row r="148" spans="1:21" hidden="1" x14ac:dyDescent="0.3">
      <c r="A148" s="120"/>
      <c r="B148" s="120"/>
      <c r="C148" s="120"/>
      <c r="D148" s="120"/>
      <c r="E148" s="120"/>
    </row>
    <row r="149" spans="1:21" hidden="1" x14ac:dyDescent="0.3">
      <c r="A149" s="120"/>
      <c r="B149" s="120"/>
      <c r="C149" s="120"/>
      <c r="D149" s="120"/>
      <c r="E149" s="120"/>
    </row>
    <row r="150" spans="1:21" hidden="1" x14ac:dyDescent="0.3">
      <c r="A150" s="120"/>
      <c r="B150" s="120"/>
      <c r="C150" s="120"/>
      <c r="D150" s="120"/>
      <c r="E150" s="120"/>
    </row>
    <row r="151" spans="1:21" hidden="1" x14ac:dyDescent="0.3">
      <c r="A151" s="120"/>
      <c r="B151" s="120"/>
      <c r="C151" s="120"/>
      <c r="D151" s="120"/>
      <c r="E151" s="120"/>
    </row>
    <row r="152" spans="1:21" hidden="1" x14ac:dyDescent="0.3">
      <c r="A152" s="120"/>
      <c r="B152" s="120"/>
      <c r="C152" s="120"/>
      <c r="D152" s="120"/>
      <c r="E152" s="120"/>
      <c r="F152" s="136"/>
      <c r="G152" s="153" t="s">
        <v>50</v>
      </c>
      <c r="H152" s="154"/>
      <c r="I152" s="155">
        <v>43831</v>
      </c>
      <c r="J152" s="155">
        <v>43862</v>
      </c>
      <c r="K152" s="155">
        <v>43891</v>
      </c>
      <c r="L152" s="155">
        <v>43922</v>
      </c>
      <c r="M152" s="155">
        <v>43952</v>
      </c>
      <c r="N152" s="155">
        <v>43983</v>
      </c>
      <c r="O152" s="155">
        <v>44013</v>
      </c>
      <c r="P152" s="155">
        <v>44044</v>
      </c>
      <c r="Q152" s="155">
        <v>44075</v>
      </c>
      <c r="R152" s="155">
        <v>44105</v>
      </c>
      <c r="S152" s="155">
        <v>44136</v>
      </c>
      <c r="T152" s="156">
        <v>44166</v>
      </c>
      <c r="U152" s="137" t="s">
        <v>1</v>
      </c>
    </row>
    <row r="153" spans="1:21" hidden="1" x14ac:dyDescent="0.3">
      <c r="A153" s="120"/>
      <c r="B153" s="120"/>
      <c r="C153" s="120"/>
      <c r="D153" s="120"/>
      <c r="E153" s="120"/>
      <c r="F153" s="116"/>
      <c r="G153" s="117"/>
      <c r="H153" s="118"/>
      <c r="I153" s="119"/>
      <c r="J153" s="119"/>
      <c r="K153" s="119"/>
      <c r="L153" s="119"/>
      <c r="M153" s="119"/>
      <c r="N153" s="119"/>
      <c r="O153" s="119"/>
      <c r="P153" s="119"/>
      <c r="Q153" s="119"/>
      <c r="R153" s="119"/>
      <c r="S153" s="119"/>
      <c r="T153" s="119"/>
      <c r="U153" s="125"/>
    </row>
    <row r="154" spans="1:21" hidden="1" x14ac:dyDescent="0.3">
      <c r="A154" s="120"/>
      <c r="B154" s="120"/>
      <c r="C154" s="120"/>
      <c r="D154" s="120"/>
      <c r="E154" s="120"/>
      <c r="F154" s="116"/>
      <c r="G154" s="22" t="s">
        <v>114</v>
      </c>
      <c r="H154" s="118"/>
      <c r="I154" s="119"/>
      <c r="J154" s="119"/>
      <c r="K154" s="119"/>
      <c r="L154" s="119"/>
      <c r="M154" s="119"/>
      <c r="N154" s="119"/>
      <c r="O154" s="119"/>
      <c r="P154" s="119"/>
      <c r="Q154" s="119"/>
      <c r="R154" s="119"/>
      <c r="S154" s="119"/>
      <c r="T154" s="119"/>
      <c r="U154" s="125"/>
    </row>
    <row r="155" spans="1:21" hidden="1" x14ac:dyDescent="0.3">
      <c r="A155" s="120"/>
      <c r="B155" s="120"/>
      <c r="C155" s="120"/>
      <c r="D155" s="120"/>
      <c r="E155" s="120"/>
      <c r="F155" s="120"/>
      <c r="G155" s="126" t="s">
        <v>101</v>
      </c>
      <c r="H155" s="121"/>
      <c r="I155" s="122"/>
      <c r="J155" s="122"/>
      <c r="K155" s="122"/>
      <c r="L155" s="122"/>
      <c r="M155" s="122"/>
      <c r="N155" s="122"/>
      <c r="O155" s="122"/>
      <c r="P155" s="122"/>
      <c r="Q155" s="122"/>
      <c r="R155" s="122"/>
      <c r="S155" s="122"/>
      <c r="T155" s="122"/>
      <c r="U155" s="125"/>
    </row>
    <row r="156" spans="1:21" hidden="1" x14ac:dyDescent="0.3">
      <c r="A156" s="120"/>
      <c r="B156" s="120"/>
      <c r="C156" s="120"/>
      <c r="D156" s="120"/>
      <c r="E156" s="120"/>
      <c r="F156" s="120"/>
      <c r="G156" s="126" t="s">
        <v>53</v>
      </c>
      <c r="H156" s="121"/>
      <c r="I156" s="122"/>
      <c r="J156" s="122"/>
      <c r="K156" s="122"/>
      <c r="L156" s="122"/>
      <c r="M156" s="122"/>
      <c r="N156" s="122"/>
      <c r="O156" s="122"/>
      <c r="P156" s="122"/>
      <c r="Q156" s="122"/>
      <c r="R156" s="122"/>
      <c r="S156" s="122"/>
      <c r="T156" s="122"/>
      <c r="U156" s="125"/>
    </row>
    <row r="157" spans="1:21" hidden="1" x14ac:dyDescent="0.3">
      <c r="A157" s="120"/>
      <c r="B157" s="120"/>
      <c r="C157" s="120"/>
      <c r="D157" s="120"/>
      <c r="E157" s="120"/>
      <c r="F157" s="120"/>
      <c r="G157" s="126" t="s">
        <v>115</v>
      </c>
      <c r="H157" s="121"/>
      <c r="I157" s="122"/>
      <c r="J157" s="122"/>
      <c r="K157" s="122"/>
      <c r="L157" s="122"/>
      <c r="M157" s="122"/>
      <c r="N157" s="122"/>
      <c r="O157" s="122"/>
      <c r="P157" s="122"/>
      <c r="Q157" s="122"/>
      <c r="R157" s="122"/>
      <c r="S157" s="122"/>
      <c r="T157" s="122"/>
      <c r="U157" s="125"/>
    </row>
    <row r="158" spans="1:21" hidden="1" x14ac:dyDescent="0.3">
      <c r="A158" s="120"/>
      <c r="B158" s="120"/>
      <c r="C158" s="120"/>
      <c r="D158" s="120"/>
      <c r="E158" s="120"/>
      <c r="F158" s="123"/>
      <c r="G158" s="126" t="s">
        <v>102</v>
      </c>
      <c r="H158" s="123"/>
      <c r="I158" s="123"/>
      <c r="J158" s="123"/>
      <c r="K158" s="123"/>
      <c r="L158" s="123"/>
      <c r="M158" s="123"/>
      <c r="N158" s="123"/>
      <c r="O158" s="123"/>
      <c r="P158" s="123"/>
      <c r="Q158" s="123"/>
      <c r="R158" s="123"/>
      <c r="S158" s="123"/>
      <c r="T158" s="123"/>
      <c r="U158" s="125"/>
    </row>
    <row r="159" spans="1:21" hidden="1" x14ac:dyDescent="0.3">
      <c r="A159" s="120"/>
      <c r="B159" s="120"/>
      <c r="C159" s="120"/>
      <c r="D159" s="120"/>
      <c r="E159" s="120"/>
      <c r="F159" s="123"/>
      <c r="G159" s="126" t="s">
        <v>116</v>
      </c>
      <c r="H159" s="123"/>
      <c r="I159" s="123"/>
      <c r="J159" s="123"/>
      <c r="K159" s="123"/>
      <c r="L159" s="123"/>
      <c r="M159" s="123"/>
      <c r="N159" s="123"/>
      <c r="O159" s="123"/>
      <c r="P159" s="123"/>
      <c r="Q159" s="123"/>
      <c r="R159" s="123"/>
      <c r="S159" s="123"/>
      <c r="T159" s="123"/>
      <c r="U159" s="125"/>
    </row>
    <row r="160" spans="1:21" ht="15.75" hidden="1" thickBot="1" x14ac:dyDescent="0.35">
      <c r="A160" s="120"/>
      <c r="B160" s="120"/>
      <c r="C160" s="120"/>
      <c r="D160" s="120"/>
      <c r="E160" s="120"/>
      <c r="F160" s="123"/>
      <c r="G160" s="26" t="s">
        <v>1</v>
      </c>
      <c r="H160" s="27"/>
      <c r="I160" s="28">
        <f t="shared" ref="I160:U160" si="38">SUM(I155:I159)</f>
        <v>0</v>
      </c>
      <c r="J160" s="28">
        <f t="shared" si="38"/>
        <v>0</v>
      </c>
      <c r="K160" s="28">
        <f t="shared" si="38"/>
        <v>0</v>
      </c>
      <c r="L160" s="28">
        <f t="shared" si="38"/>
        <v>0</v>
      </c>
      <c r="M160" s="28">
        <f t="shared" si="38"/>
        <v>0</v>
      </c>
      <c r="N160" s="28">
        <f t="shared" si="38"/>
        <v>0</v>
      </c>
      <c r="O160" s="28">
        <f t="shared" si="38"/>
        <v>0</v>
      </c>
      <c r="P160" s="28">
        <f t="shared" si="38"/>
        <v>0</v>
      </c>
      <c r="Q160" s="28">
        <f t="shared" si="38"/>
        <v>0</v>
      </c>
      <c r="R160" s="28">
        <f t="shared" si="38"/>
        <v>0</v>
      </c>
      <c r="S160" s="28">
        <f t="shared" si="38"/>
        <v>0</v>
      </c>
      <c r="T160" s="28">
        <f t="shared" si="38"/>
        <v>0</v>
      </c>
      <c r="U160" s="29">
        <f t="shared" si="38"/>
        <v>0</v>
      </c>
    </row>
    <row r="161" spans="1:21" hidden="1" x14ac:dyDescent="0.3">
      <c r="A161" s="120"/>
      <c r="B161" s="120"/>
      <c r="C161" s="120"/>
      <c r="D161" s="120"/>
      <c r="E161" s="120"/>
      <c r="F161" s="123"/>
      <c r="G161" s="124"/>
      <c r="H161" s="123"/>
      <c r="I161" s="123"/>
      <c r="J161" s="123"/>
      <c r="K161" s="123"/>
      <c r="L161" s="123"/>
      <c r="M161" s="123"/>
      <c r="N161" s="123"/>
      <c r="O161" s="123"/>
      <c r="P161" s="123"/>
      <c r="Q161" s="123"/>
      <c r="R161" s="123"/>
      <c r="S161" s="123"/>
      <c r="T161" s="123"/>
      <c r="U161" s="125"/>
    </row>
    <row r="162" spans="1:21" hidden="1" x14ac:dyDescent="0.3">
      <c r="A162" s="120"/>
      <c r="B162" s="120"/>
      <c r="C162" s="120"/>
      <c r="D162" s="120"/>
      <c r="E162" s="120"/>
      <c r="G162" s="22" t="s">
        <v>36</v>
      </c>
      <c r="U162" s="21"/>
    </row>
    <row r="163" spans="1:21" hidden="1" x14ac:dyDescent="0.3">
      <c r="A163" s="120"/>
      <c r="B163" s="120"/>
      <c r="C163" s="120"/>
      <c r="D163" s="120"/>
      <c r="E163" s="120"/>
      <c r="G163" s="23" t="s">
        <v>37</v>
      </c>
      <c r="I163" s="24">
        <f>200000/12</f>
        <v>16666.666666666668</v>
      </c>
      <c r="J163" s="24">
        <f t="shared" ref="J163:T163" si="39">200000/12</f>
        <v>16666.666666666668</v>
      </c>
      <c r="K163" s="24">
        <f t="shared" si="39"/>
        <v>16666.666666666668</v>
      </c>
      <c r="L163" s="24">
        <f t="shared" si="39"/>
        <v>16666.666666666668</v>
      </c>
      <c r="M163" s="24">
        <f t="shared" si="39"/>
        <v>16666.666666666668</v>
      </c>
      <c r="N163" s="24">
        <f t="shared" si="39"/>
        <v>16666.666666666668</v>
      </c>
      <c r="O163" s="24">
        <f t="shared" si="39"/>
        <v>16666.666666666668</v>
      </c>
      <c r="P163" s="24">
        <f t="shared" si="39"/>
        <v>16666.666666666668</v>
      </c>
      <c r="Q163" s="24">
        <f t="shared" si="39"/>
        <v>16666.666666666668</v>
      </c>
      <c r="R163" s="24">
        <f t="shared" si="39"/>
        <v>16666.666666666668</v>
      </c>
      <c r="S163" s="24">
        <f t="shared" si="39"/>
        <v>16666.666666666668</v>
      </c>
      <c r="T163" s="24">
        <f t="shared" si="39"/>
        <v>16666.666666666668</v>
      </c>
      <c r="U163" s="25">
        <f>SUM(I163:T163)</f>
        <v>199999.99999999997</v>
      </c>
    </row>
    <row r="164" spans="1:21" hidden="1" x14ac:dyDescent="0.3">
      <c r="A164" s="120"/>
      <c r="B164" s="120"/>
      <c r="C164" s="120"/>
      <c r="D164" s="120"/>
      <c r="E164" s="120"/>
      <c r="G164" s="23" t="s">
        <v>39</v>
      </c>
      <c r="I164" s="24">
        <f>10000</f>
        <v>10000</v>
      </c>
      <c r="J164" s="24">
        <f>10000</f>
        <v>10000</v>
      </c>
      <c r="K164" s="24">
        <f>10000</f>
        <v>10000</v>
      </c>
      <c r="L164" s="24">
        <f>10000</f>
        <v>10000</v>
      </c>
      <c r="M164" s="24">
        <f>10000</f>
        <v>10000</v>
      </c>
      <c r="N164" s="24">
        <f>10000</f>
        <v>10000</v>
      </c>
      <c r="O164" s="24">
        <f>10000</f>
        <v>10000</v>
      </c>
      <c r="P164" s="24">
        <f>10000</f>
        <v>10000</v>
      </c>
      <c r="Q164" s="24">
        <f>10000</f>
        <v>10000</v>
      </c>
      <c r="R164" s="24">
        <f>10000</f>
        <v>10000</v>
      </c>
      <c r="S164" s="24">
        <f>10000</f>
        <v>10000</v>
      </c>
      <c r="T164" s="24">
        <f>10000</f>
        <v>10000</v>
      </c>
      <c r="U164" s="25">
        <f>SUM(I164:T164)</f>
        <v>120000</v>
      </c>
    </row>
    <row r="165" spans="1:21" hidden="1" x14ac:dyDescent="0.3">
      <c r="A165" s="120"/>
      <c r="B165" s="120"/>
      <c r="C165" s="120"/>
      <c r="D165" s="120"/>
      <c r="E165" s="120"/>
      <c r="G165" s="23" t="s">
        <v>38</v>
      </c>
      <c r="I165" s="24">
        <f>30*65*4</f>
        <v>7800</v>
      </c>
      <c r="J165" s="24">
        <f t="shared" ref="J165:T165" si="40">30*65*4</f>
        <v>7800</v>
      </c>
      <c r="K165" s="24">
        <f t="shared" si="40"/>
        <v>7800</v>
      </c>
      <c r="L165" s="24">
        <f t="shared" si="40"/>
        <v>7800</v>
      </c>
      <c r="M165" s="24">
        <f t="shared" si="40"/>
        <v>7800</v>
      </c>
      <c r="N165" s="24">
        <f t="shared" si="40"/>
        <v>7800</v>
      </c>
      <c r="O165" s="24">
        <f t="shared" si="40"/>
        <v>7800</v>
      </c>
      <c r="P165" s="24">
        <f t="shared" si="40"/>
        <v>7800</v>
      </c>
      <c r="Q165" s="24">
        <f t="shared" si="40"/>
        <v>7800</v>
      </c>
      <c r="R165" s="24">
        <f t="shared" si="40"/>
        <v>7800</v>
      </c>
      <c r="S165" s="24">
        <f t="shared" si="40"/>
        <v>7800</v>
      </c>
      <c r="T165" s="24">
        <f t="shared" si="40"/>
        <v>7800</v>
      </c>
      <c r="U165" s="25">
        <f>SUM(I165:T165)</f>
        <v>93600</v>
      </c>
    </row>
    <row r="166" spans="1:21" hidden="1" x14ac:dyDescent="0.3">
      <c r="A166" s="120"/>
      <c r="B166" s="120"/>
      <c r="C166" s="120"/>
      <c r="D166" s="120"/>
      <c r="E166" s="120"/>
      <c r="G166" s="23" t="s">
        <v>59</v>
      </c>
      <c r="I166" s="24"/>
      <c r="J166" s="24"/>
      <c r="K166" s="24"/>
      <c r="L166" s="24"/>
      <c r="M166" s="24"/>
      <c r="N166" s="24"/>
      <c r="O166" s="24"/>
      <c r="P166" s="24"/>
      <c r="Q166" s="24"/>
      <c r="R166" s="24"/>
      <c r="S166" s="24"/>
      <c r="T166" s="24"/>
      <c r="U166" s="25">
        <f>SUM(I166:T166)</f>
        <v>0</v>
      </c>
    </row>
    <row r="167" spans="1:21" ht="15.75" hidden="1" thickBot="1" x14ac:dyDescent="0.35">
      <c r="A167" s="120"/>
      <c r="B167" s="120"/>
      <c r="C167" s="120"/>
      <c r="D167" s="120"/>
      <c r="E167" s="120"/>
      <c r="G167" s="26" t="s">
        <v>1</v>
      </c>
      <c r="H167" s="27"/>
      <c r="I167" s="28">
        <f>SUM(I163:I166)</f>
        <v>34466.666666666672</v>
      </c>
      <c r="J167" s="28">
        <f t="shared" ref="J167:U167" si="41">SUM(J163:J166)</f>
        <v>34466.666666666672</v>
      </c>
      <c r="K167" s="28">
        <f t="shared" si="41"/>
        <v>34466.666666666672</v>
      </c>
      <c r="L167" s="28">
        <f t="shared" si="41"/>
        <v>34466.666666666672</v>
      </c>
      <c r="M167" s="28">
        <f t="shared" si="41"/>
        <v>34466.666666666672</v>
      </c>
      <c r="N167" s="28">
        <f t="shared" si="41"/>
        <v>34466.666666666672</v>
      </c>
      <c r="O167" s="28">
        <f t="shared" si="41"/>
        <v>34466.666666666672</v>
      </c>
      <c r="P167" s="28">
        <f t="shared" si="41"/>
        <v>34466.666666666672</v>
      </c>
      <c r="Q167" s="28">
        <f t="shared" si="41"/>
        <v>34466.666666666672</v>
      </c>
      <c r="R167" s="28">
        <f t="shared" si="41"/>
        <v>34466.666666666672</v>
      </c>
      <c r="S167" s="28">
        <f t="shared" si="41"/>
        <v>34466.666666666672</v>
      </c>
      <c r="T167" s="28">
        <f t="shared" si="41"/>
        <v>34466.666666666672</v>
      </c>
      <c r="U167" s="29">
        <f t="shared" si="41"/>
        <v>413600</v>
      </c>
    </row>
    <row r="168" spans="1:21" hidden="1" x14ac:dyDescent="0.3">
      <c r="A168" s="120"/>
      <c r="B168" s="120"/>
      <c r="C168" s="120"/>
      <c r="D168" s="120"/>
      <c r="E168" s="120"/>
      <c r="G168" s="22" t="s">
        <v>31</v>
      </c>
      <c r="U168" s="30"/>
    </row>
    <row r="169" spans="1:21" hidden="1" x14ac:dyDescent="0.3">
      <c r="A169" s="120"/>
      <c r="B169" s="120"/>
      <c r="C169" s="120"/>
      <c r="D169" s="120"/>
      <c r="E169" s="120"/>
      <c r="G169" s="23" t="s">
        <v>40</v>
      </c>
      <c r="I169" s="24"/>
      <c r="J169" s="24"/>
      <c r="K169" s="24"/>
      <c r="L169" s="24"/>
      <c r="M169" s="24"/>
      <c r="N169" s="24"/>
      <c r="O169" s="24"/>
      <c r="P169" s="24">
        <v>10000</v>
      </c>
      <c r="Q169" s="24"/>
      <c r="R169" s="24"/>
      <c r="S169" s="24"/>
      <c r="T169" s="24"/>
      <c r="U169" s="25">
        <f>SUM(I169:T169)</f>
        <v>10000</v>
      </c>
    </row>
    <row r="170" spans="1:21" hidden="1" x14ac:dyDescent="0.3">
      <c r="A170" s="120"/>
      <c r="B170" s="120"/>
      <c r="C170" s="120"/>
      <c r="D170" s="120"/>
      <c r="E170" s="120"/>
      <c r="G170" s="23" t="s">
        <v>48</v>
      </c>
      <c r="I170" s="24"/>
      <c r="J170" s="24"/>
      <c r="K170" s="24">
        <v>5000</v>
      </c>
      <c r="L170" s="24"/>
      <c r="M170" s="24"/>
      <c r="N170" s="24">
        <v>5000</v>
      </c>
      <c r="O170" s="24"/>
      <c r="P170" s="24"/>
      <c r="Q170" s="24">
        <v>5000</v>
      </c>
      <c r="R170" s="24"/>
      <c r="S170" s="24"/>
      <c r="T170" s="24">
        <v>5000</v>
      </c>
      <c r="U170" s="25">
        <f>SUM(I170:T170)</f>
        <v>20000</v>
      </c>
    </row>
    <row r="171" spans="1:21" hidden="1" x14ac:dyDescent="0.3">
      <c r="A171" s="120"/>
      <c r="B171" s="120"/>
      <c r="C171" s="120"/>
      <c r="D171" s="120"/>
      <c r="E171" s="120"/>
      <c r="G171" s="23" t="s">
        <v>49</v>
      </c>
      <c r="I171" s="24"/>
      <c r="J171" s="24"/>
      <c r="K171" s="24"/>
      <c r="L171" s="24"/>
      <c r="M171" s="24"/>
      <c r="N171" s="24"/>
      <c r="O171" s="24"/>
      <c r="P171" s="24"/>
      <c r="Q171" s="24"/>
      <c r="R171" s="24"/>
      <c r="S171" s="24"/>
      <c r="T171" s="24"/>
      <c r="U171" s="25">
        <f>SUM(I171:T171)</f>
        <v>0</v>
      </c>
    </row>
    <row r="172" spans="1:21" hidden="1" x14ac:dyDescent="0.3">
      <c r="A172" s="120"/>
      <c r="B172" s="120"/>
      <c r="C172" s="120"/>
      <c r="D172" s="120"/>
      <c r="E172" s="120"/>
      <c r="F172" s="31">
        <v>0.1</v>
      </c>
      <c r="G172" s="32" t="str">
        <f>"Contigency"&amp;" "&amp;"at"&amp;" "&amp;(F172*100)&amp;"%"</f>
        <v>Contigency at 10%</v>
      </c>
      <c r="H172" s="33"/>
      <c r="I172" s="34">
        <f>SUM(I169:I171)*$F$31</f>
        <v>0</v>
      </c>
      <c r="J172" s="34">
        <f>SUM(J169:J171)*$F$31</f>
        <v>0</v>
      </c>
      <c r="K172" s="34">
        <f t="shared" ref="K172:T172" si="42">SUM(K169:K171)*$F$31</f>
        <v>500</v>
      </c>
      <c r="L172" s="34">
        <f t="shared" si="42"/>
        <v>0</v>
      </c>
      <c r="M172" s="34">
        <f t="shared" si="42"/>
        <v>0</v>
      </c>
      <c r="N172" s="34">
        <f t="shared" si="42"/>
        <v>500</v>
      </c>
      <c r="O172" s="34">
        <f t="shared" si="42"/>
        <v>0</v>
      </c>
      <c r="P172" s="34">
        <f t="shared" si="42"/>
        <v>1000</v>
      </c>
      <c r="Q172" s="34">
        <f t="shared" si="42"/>
        <v>500</v>
      </c>
      <c r="R172" s="34">
        <f t="shared" si="42"/>
        <v>0</v>
      </c>
      <c r="S172" s="34">
        <f t="shared" si="42"/>
        <v>0</v>
      </c>
      <c r="T172" s="34">
        <f t="shared" si="42"/>
        <v>500</v>
      </c>
      <c r="U172" s="35">
        <f>SUM(I172:T172)</f>
        <v>3000</v>
      </c>
    </row>
    <row r="173" spans="1:21" ht="15.75" hidden="1" thickBot="1" x14ac:dyDescent="0.35">
      <c r="A173" s="120"/>
      <c r="B173" s="120"/>
      <c r="C173" s="120"/>
      <c r="D173" s="120"/>
      <c r="E173" s="120"/>
      <c r="G173" s="26" t="s">
        <v>1</v>
      </c>
      <c r="H173" s="27"/>
      <c r="I173" s="28">
        <f>SUM(I169:I172)</f>
        <v>0</v>
      </c>
      <c r="J173" s="28">
        <f t="shared" ref="J173:U173" si="43">SUM(J169:J172)</f>
        <v>0</v>
      </c>
      <c r="K173" s="28">
        <f t="shared" si="43"/>
        <v>5500</v>
      </c>
      <c r="L173" s="28">
        <f t="shared" si="43"/>
        <v>0</v>
      </c>
      <c r="M173" s="28">
        <f t="shared" si="43"/>
        <v>0</v>
      </c>
      <c r="N173" s="28">
        <f t="shared" si="43"/>
        <v>5500</v>
      </c>
      <c r="O173" s="28">
        <f t="shared" si="43"/>
        <v>0</v>
      </c>
      <c r="P173" s="28">
        <f t="shared" si="43"/>
        <v>11000</v>
      </c>
      <c r="Q173" s="28">
        <f t="shared" si="43"/>
        <v>5500</v>
      </c>
      <c r="R173" s="28">
        <f t="shared" si="43"/>
        <v>0</v>
      </c>
      <c r="S173" s="28">
        <f t="shared" si="43"/>
        <v>0</v>
      </c>
      <c r="T173" s="28">
        <f t="shared" si="43"/>
        <v>5500</v>
      </c>
      <c r="U173" s="29">
        <f t="shared" si="43"/>
        <v>33000</v>
      </c>
    </row>
    <row r="174" spans="1:21" hidden="1" x14ac:dyDescent="0.3">
      <c r="A174" s="120"/>
      <c r="B174" s="120"/>
      <c r="C174" s="120"/>
      <c r="D174" s="120"/>
      <c r="E174" s="120"/>
      <c r="G174" s="22" t="s">
        <v>57</v>
      </c>
      <c r="U174" s="30"/>
    </row>
    <row r="175" spans="1:21" hidden="1" x14ac:dyDescent="0.3">
      <c r="A175" s="120"/>
      <c r="B175" s="120"/>
      <c r="C175" s="120"/>
      <c r="D175" s="120"/>
      <c r="E175" s="120"/>
      <c r="G175" s="23" t="s">
        <v>41</v>
      </c>
      <c r="I175" s="24">
        <v>250</v>
      </c>
      <c r="J175" s="24">
        <v>250</v>
      </c>
      <c r="K175" s="24">
        <v>250</v>
      </c>
      <c r="L175" s="24">
        <v>250</v>
      </c>
      <c r="M175" s="24">
        <v>250</v>
      </c>
      <c r="N175" s="24">
        <v>250</v>
      </c>
      <c r="O175" s="24">
        <v>250</v>
      </c>
      <c r="P175" s="24">
        <v>250</v>
      </c>
      <c r="Q175" s="24">
        <v>250</v>
      </c>
      <c r="R175" s="24">
        <v>250</v>
      </c>
      <c r="S175" s="24">
        <v>250</v>
      </c>
      <c r="T175" s="24">
        <v>250</v>
      </c>
      <c r="U175" s="25">
        <f>SUM(I175:T175)</f>
        <v>3000</v>
      </c>
    </row>
    <row r="176" spans="1:21" hidden="1" x14ac:dyDescent="0.3">
      <c r="A176" s="120"/>
      <c r="B176" s="120"/>
      <c r="C176" s="120"/>
      <c r="D176" s="120"/>
      <c r="E176" s="120"/>
      <c r="G176" s="23" t="s">
        <v>42</v>
      </c>
      <c r="I176" s="24">
        <v>300</v>
      </c>
      <c r="J176" s="24">
        <v>300</v>
      </c>
      <c r="K176" s="24">
        <v>300</v>
      </c>
      <c r="L176" s="24">
        <v>300</v>
      </c>
      <c r="M176" s="24">
        <v>300</v>
      </c>
      <c r="N176" s="24">
        <v>300</v>
      </c>
      <c r="O176" s="24">
        <v>300</v>
      </c>
      <c r="P176" s="24">
        <v>300</v>
      </c>
      <c r="Q176" s="24">
        <v>300</v>
      </c>
      <c r="R176" s="24">
        <v>300</v>
      </c>
      <c r="S176" s="24">
        <v>300</v>
      </c>
      <c r="T176" s="24">
        <v>300</v>
      </c>
      <c r="U176" s="25">
        <f t="shared" ref="U176:U181" si="44">SUM(I176:T176)</f>
        <v>3600</v>
      </c>
    </row>
    <row r="177" spans="1:21" hidden="1" x14ac:dyDescent="0.3">
      <c r="A177" s="120"/>
      <c r="B177" s="120"/>
      <c r="C177" s="120"/>
      <c r="D177" s="120"/>
      <c r="E177" s="120"/>
      <c r="G177" s="23" t="s">
        <v>43</v>
      </c>
      <c r="I177" s="24">
        <v>50</v>
      </c>
      <c r="J177" s="24">
        <v>50</v>
      </c>
      <c r="K177" s="24">
        <v>50</v>
      </c>
      <c r="L177" s="24">
        <v>50</v>
      </c>
      <c r="M177" s="24">
        <v>50</v>
      </c>
      <c r="N177" s="24">
        <v>50</v>
      </c>
      <c r="O177" s="24">
        <v>50</v>
      </c>
      <c r="P177" s="24">
        <v>50</v>
      </c>
      <c r="Q177" s="24">
        <v>50</v>
      </c>
      <c r="R177" s="24">
        <v>50</v>
      </c>
      <c r="S177" s="24">
        <v>50</v>
      </c>
      <c r="T177" s="24">
        <v>50</v>
      </c>
      <c r="U177" s="25">
        <f t="shared" si="44"/>
        <v>600</v>
      </c>
    </row>
    <row r="178" spans="1:21" hidden="1" x14ac:dyDescent="0.3">
      <c r="A178" s="120"/>
      <c r="B178" s="120"/>
      <c r="C178" s="120"/>
      <c r="D178" s="120"/>
      <c r="E178" s="120"/>
      <c r="G178" s="23" t="s">
        <v>44</v>
      </c>
      <c r="I178" s="24">
        <v>25</v>
      </c>
      <c r="J178" s="24">
        <v>25</v>
      </c>
      <c r="K178" s="24">
        <v>25</v>
      </c>
      <c r="L178" s="24">
        <v>25</v>
      </c>
      <c r="M178" s="24">
        <v>25</v>
      </c>
      <c r="N178" s="24">
        <v>25</v>
      </c>
      <c r="O178" s="24">
        <v>25</v>
      </c>
      <c r="P178" s="24">
        <v>25</v>
      </c>
      <c r="Q178" s="24">
        <v>25</v>
      </c>
      <c r="R178" s="24">
        <v>25</v>
      </c>
      <c r="S178" s="24">
        <v>25</v>
      </c>
      <c r="T178" s="24">
        <v>25</v>
      </c>
      <c r="U178" s="25">
        <f t="shared" si="44"/>
        <v>300</v>
      </c>
    </row>
    <row r="179" spans="1:21" hidden="1" x14ac:dyDescent="0.3">
      <c r="A179" s="120"/>
      <c r="B179" s="120"/>
      <c r="C179" s="120"/>
      <c r="D179" s="120"/>
      <c r="E179" s="120"/>
      <c r="G179" s="23" t="s">
        <v>45</v>
      </c>
      <c r="I179" s="24">
        <v>350</v>
      </c>
      <c r="J179" s="24">
        <v>350</v>
      </c>
      <c r="K179" s="24">
        <v>350</v>
      </c>
      <c r="L179" s="24">
        <v>350</v>
      </c>
      <c r="M179" s="24">
        <v>350</v>
      </c>
      <c r="N179" s="24">
        <v>350</v>
      </c>
      <c r="O179" s="24">
        <v>350</v>
      </c>
      <c r="P179" s="24">
        <v>350</v>
      </c>
      <c r="Q179" s="24">
        <v>350</v>
      </c>
      <c r="R179" s="24">
        <v>350</v>
      </c>
      <c r="S179" s="24">
        <v>350</v>
      </c>
      <c r="T179" s="24">
        <v>350</v>
      </c>
      <c r="U179" s="25">
        <f t="shared" si="44"/>
        <v>4200</v>
      </c>
    </row>
    <row r="180" spans="1:21" hidden="1" x14ac:dyDescent="0.3">
      <c r="A180" s="120"/>
      <c r="B180" s="120"/>
      <c r="C180" s="120"/>
      <c r="D180" s="120"/>
      <c r="E180" s="120"/>
      <c r="G180" s="23" t="s">
        <v>46</v>
      </c>
      <c r="I180" s="24">
        <v>100</v>
      </c>
      <c r="J180" s="24">
        <v>100</v>
      </c>
      <c r="K180" s="24">
        <v>1000</v>
      </c>
      <c r="L180" s="24">
        <v>100</v>
      </c>
      <c r="M180" s="24">
        <v>100</v>
      </c>
      <c r="N180" s="24">
        <v>1000</v>
      </c>
      <c r="O180" s="24">
        <v>100</v>
      </c>
      <c r="P180" s="24">
        <v>100</v>
      </c>
      <c r="Q180" s="24">
        <v>1000</v>
      </c>
      <c r="R180" s="24">
        <v>100</v>
      </c>
      <c r="S180" s="24">
        <v>100</v>
      </c>
      <c r="T180" s="24">
        <v>1000</v>
      </c>
      <c r="U180" s="25">
        <f t="shared" si="44"/>
        <v>4800</v>
      </c>
    </row>
    <row r="181" spans="1:21" hidden="1" x14ac:dyDescent="0.3">
      <c r="A181" s="120"/>
      <c r="B181" s="120"/>
      <c r="C181" s="120"/>
      <c r="D181" s="120"/>
      <c r="E181" s="120"/>
      <c r="F181" s="31">
        <v>0.25</v>
      </c>
      <c r="G181" s="32" t="str">
        <f>"Contigency"&amp;" "&amp;"at"&amp;" "&amp;(F181*100)&amp;"%"</f>
        <v>Contigency at 25%</v>
      </c>
      <c r="H181" s="33"/>
      <c r="I181" s="34">
        <f>SUM(I175:I180)*$F$40</f>
        <v>268.75</v>
      </c>
      <c r="J181" s="34">
        <f>SUM(J175:J180)*$F$40</f>
        <v>268.75</v>
      </c>
      <c r="K181" s="34">
        <f t="shared" ref="K181:T181" si="45">SUM(K175:K180)*$F$40</f>
        <v>493.75</v>
      </c>
      <c r="L181" s="34">
        <f t="shared" si="45"/>
        <v>268.75</v>
      </c>
      <c r="M181" s="34">
        <f t="shared" si="45"/>
        <v>268.75</v>
      </c>
      <c r="N181" s="34">
        <f t="shared" si="45"/>
        <v>493.75</v>
      </c>
      <c r="O181" s="34">
        <f t="shared" si="45"/>
        <v>268.75</v>
      </c>
      <c r="P181" s="34">
        <f t="shared" si="45"/>
        <v>268.75</v>
      </c>
      <c r="Q181" s="34">
        <f t="shared" si="45"/>
        <v>493.75</v>
      </c>
      <c r="R181" s="34">
        <f t="shared" si="45"/>
        <v>268.75</v>
      </c>
      <c r="S181" s="34">
        <f t="shared" si="45"/>
        <v>268.75</v>
      </c>
      <c r="T181" s="34">
        <f t="shared" si="45"/>
        <v>493.75</v>
      </c>
      <c r="U181" s="35">
        <f t="shared" si="44"/>
        <v>4125</v>
      </c>
    </row>
    <row r="182" spans="1:21" ht="15.75" hidden="1" thickBot="1" x14ac:dyDescent="0.35">
      <c r="A182" s="120"/>
      <c r="B182" s="120"/>
      <c r="C182" s="120"/>
      <c r="D182" s="120"/>
      <c r="E182" s="120"/>
      <c r="G182" s="26" t="s">
        <v>1</v>
      </c>
      <c r="H182" s="27"/>
      <c r="I182" s="28">
        <f>SUM(I175:I180)</f>
        <v>1075</v>
      </c>
      <c r="J182" s="28">
        <f t="shared" ref="J182:U182" si="46">SUM(J175:J180)</f>
        <v>1075</v>
      </c>
      <c r="K182" s="28">
        <f t="shared" si="46"/>
        <v>1975</v>
      </c>
      <c r="L182" s="28">
        <f t="shared" si="46"/>
        <v>1075</v>
      </c>
      <c r="M182" s="28">
        <f t="shared" si="46"/>
        <v>1075</v>
      </c>
      <c r="N182" s="28">
        <f t="shared" si="46"/>
        <v>1975</v>
      </c>
      <c r="O182" s="28">
        <f t="shared" si="46"/>
        <v>1075</v>
      </c>
      <c r="P182" s="28">
        <f t="shared" si="46"/>
        <v>1075</v>
      </c>
      <c r="Q182" s="28">
        <f t="shared" si="46"/>
        <v>1975</v>
      </c>
      <c r="R182" s="28">
        <f t="shared" si="46"/>
        <v>1075</v>
      </c>
      <c r="S182" s="28">
        <f t="shared" si="46"/>
        <v>1075</v>
      </c>
      <c r="T182" s="28">
        <f t="shared" si="46"/>
        <v>1975</v>
      </c>
      <c r="U182" s="29">
        <f t="shared" si="46"/>
        <v>16500</v>
      </c>
    </row>
    <row r="183" spans="1:21" hidden="1" x14ac:dyDescent="0.3">
      <c r="A183" s="120"/>
      <c r="B183" s="120"/>
      <c r="C183" s="120"/>
      <c r="D183" s="120"/>
      <c r="E183" s="120"/>
      <c r="G183" s="22" t="s">
        <v>56</v>
      </c>
      <c r="I183" s="24"/>
      <c r="J183" s="24"/>
      <c r="K183" s="24"/>
      <c r="L183" s="24"/>
      <c r="M183" s="24"/>
      <c r="N183" s="24"/>
      <c r="O183" s="24"/>
      <c r="P183" s="24"/>
      <c r="Q183" s="24"/>
      <c r="R183" s="24"/>
      <c r="S183" s="24"/>
      <c r="T183" s="24"/>
      <c r="U183" s="30"/>
    </row>
    <row r="184" spans="1:21" hidden="1" x14ac:dyDescent="0.3">
      <c r="A184" s="120"/>
      <c r="B184" s="120"/>
      <c r="C184" s="120"/>
      <c r="D184" s="120"/>
      <c r="E184" s="120"/>
      <c r="G184" s="36" t="s">
        <v>52</v>
      </c>
      <c r="I184" s="24"/>
      <c r="J184" s="24"/>
      <c r="K184" s="24"/>
      <c r="L184" s="24"/>
      <c r="M184" s="24"/>
      <c r="N184" s="24"/>
      <c r="O184" s="24"/>
      <c r="P184" s="24"/>
      <c r="Q184" s="24"/>
      <c r="R184" s="24"/>
      <c r="S184" s="24"/>
      <c r="T184" s="24"/>
      <c r="U184" s="37">
        <f>SUM(I184:T184)</f>
        <v>0</v>
      </c>
    </row>
    <row r="185" spans="1:21" hidden="1" x14ac:dyDescent="0.3">
      <c r="A185" s="120"/>
      <c r="B185" s="120"/>
      <c r="C185" s="120"/>
      <c r="D185" s="120"/>
      <c r="E185" s="120"/>
      <c r="G185" s="36" t="s">
        <v>46</v>
      </c>
      <c r="I185" s="24"/>
      <c r="J185" s="24"/>
      <c r="K185" s="24"/>
      <c r="L185" s="24"/>
      <c r="M185" s="24"/>
      <c r="N185" s="24"/>
      <c r="O185" s="24"/>
      <c r="P185" s="24"/>
      <c r="Q185" s="24"/>
      <c r="R185" s="24"/>
      <c r="S185" s="24"/>
      <c r="T185" s="24"/>
      <c r="U185" s="37">
        <f>SUM(I185:T185)</f>
        <v>0</v>
      </c>
    </row>
    <row r="186" spans="1:21" hidden="1" x14ac:dyDescent="0.3">
      <c r="A186" s="120"/>
      <c r="B186" s="120"/>
      <c r="C186" s="120"/>
      <c r="D186" s="120"/>
      <c r="E186" s="120"/>
      <c r="F186" s="31">
        <v>0.1</v>
      </c>
      <c r="G186" s="32" t="str">
        <f>"Contigency"&amp;" "&amp;"at"&amp;" "&amp;(F186*100)&amp;"%"</f>
        <v>Contigency at 10%</v>
      </c>
      <c r="I186" s="24">
        <f>SUM(I184:I185)*$F$50</f>
        <v>0</v>
      </c>
      <c r="J186" s="24">
        <f>SUM(J184:J185)*$F$50</f>
        <v>0</v>
      </c>
      <c r="K186" s="24">
        <f t="shared" ref="K186:T186" si="47">SUM(K184:K185)*$F$50</f>
        <v>0</v>
      </c>
      <c r="L186" s="24">
        <f t="shared" si="47"/>
        <v>0</v>
      </c>
      <c r="M186" s="24">
        <f t="shared" si="47"/>
        <v>0</v>
      </c>
      <c r="N186" s="24">
        <f t="shared" si="47"/>
        <v>0</v>
      </c>
      <c r="O186" s="24">
        <f t="shared" si="47"/>
        <v>0</v>
      </c>
      <c r="P186" s="24">
        <f t="shared" si="47"/>
        <v>0</v>
      </c>
      <c r="Q186" s="24">
        <f t="shared" si="47"/>
        <v>0</v>
      </c>
      <c r="R186" s="24">
        <f t="shared" si="47"/>
        <v>0</v>
      </c>
      <c r="S186" s="24">
        <f t="shared" si="47"/>
        <v>0</v>
      </c>
      <c r="T186" s="24">
        <f t="shared" si="47"/>
        <v>0</v>
      </c>
      <c r="U186" s="37">
        <f>SUM(I186:T186)</f>
        <v>0</v>
      </c>
    </row>
    <row r="187" spans="1:21" ht="15.75" hidden="1" thickBot="1" x14ac:dyDescent="0.35">
      <c r="A187" s="120"/>
      <c r="B187" s="120"/>
      <c r="C187" s="120"/>
      <c r="D187" s="120"/>
      <c r="E187" s="120"/>
      <c r="G187" s="26" t="s">
        <v>1</v>
      </c>
      <c r="H187" s="27"/>
      <c r="I187" s="28">
        <f t="shared" ref="I187:U187" si="48">SUM(I181:I185)</f>
        <v>1343.75</v>
      </c>
      <c r="J187" s="28">
        <f t="shared" si="48"/>
        <v>1343.75</v>
      </c>
      <c r="K187" s="28">
        <f t="shared" si="48"/>
        <v>2468.75</v>
      </c>
      <c r="L187" s="28">
        <f t="shared" si="48"/>
        <v>1343.75</v>
      </c>
      <c r="M187" s="28">
        <f t="shared" si="48"/>
        <v>1343.75</v>
      </c>
      <c r="N187" s="28">
        <f t="shared" si="48"/>
        <v>2468.75</v>
      </c>
      <c r="O187" s="28">
        <f t="shared" si="48"/>
        <v>1343.75</v>
      </c>
      <c r="P187" s="28">
        <f t="shared" si="48"/>
        <v>1343.75</v>
      </c>
      <c r="Q187" s="28">
        <f t="shared" si="48"/>
        <v>2468.75</v>
      </c>
      <c r="R187" s="28">
        <f t="shared" si="48"/>
        <v>1343.75</v>
      </c>
      <c r="S187" s="28">
        <f t="shared" si="48"/>
        <v>1343.75</v>
      </c>
      <c r="T187" s="28">
        <f t="shared" si="48"/>
        <v>2468.75</v>
      </c>
      <c r="U187" s="29">
        <f t="shared" si="48"/>
        <v>20625</v>
      </c>
    </row>
    <row r="188" spans="1:21" hidden="1" x14ac:dyDescent="0.3">
      <c r="A188" s="120"/>
      <c r="B188" s="120"/>
      <c r="C188" s="120"/>
      <c r="D188" s="120"/>
      <c r="E188" s="120"/>
      <c r="G188" s="22" t="s">
        <v>58</v>
      </c>
      <c r="U188" s="30"/>
    </row>
    <row r="189" spans="1:21" hidden="1" x14ac:dyDescent="0.3">
      <c r="A189" s="120"/>
      <c r="B189" s="120"/>
      <c r="C189" s="120"/>
      <c r="D189" s="120"/>
      <c r="E189" s="120"/>
      <c r="G189" s="23" t="s">
        <v>47</v>
      </c>
      <c r="I189" s="24"/>
      <c r="J189" s="24"/>
      <c r="K189" s="24"/>
      <c r="L189" s="24"/>
      <c r="M189" s="24"/>
      <c r="N189" s="24"/>
      <c r="O189" s="24"/>
      <c r="P189" s="24"/>
      <c r="Q189" s="24"/>
      <c r="R189" s="24"/>
      <c r="S189" s="24"/>
      <c r="T189" s="24"/>
      <c r="U189" s="25"/>
    </row>
    <row r="190" spans="1:21" hidden="1" x14ac:dyDescent="0.3">
      <c r="A190" s="120"/>
      <c r="B190" s="120"/>
      <c r="C190" s="120"/>
      <c r="D190" s="120"/>
      <c r="E190" s="120"/>
      <c r="G190" s="23" t="s">
        <v>30</v>
      </c>
      <c r="I190" s="24" t="e">
        <f>INDEX(#REF!,MATCH('Budget 2020'!I$6,#REF!,0))</f>
        <v>#REF!</v>
      </c>
      <c r="J190" s="24" t="e">
        <f>INDEX(#REF!,MATCH('Budget 2020'!J$6,#REF!,0))</f>
        <v>#REF!</v>
      </c>
      <c r="K190" s="24" t="e">
        <f>INDEX(#REF!,MATCH('Budget 2020'!K$6,#REF!,0))</f>
        <v>#REF!</v>
      </c>
      <c r="L190" s="24" t="e">
        <f>INDEX(#REF!,MATCH('Budget 2020'!L$6,#REF!,0))</f>
        <v>#REF!</v>
      </c>
      <c r="M190" s="24" t="e">
        <f>INDEX(#REF!,MATCH('Budget 2020'!M$6,#REF!,0))</f>
        <v>#REF!</v>
      </c>
      <c r="N190" s="24" t="e">
        <f>INDEX(#REF!,MATCH('Budget 2020'!N$6,#REF!,0))</f>
        <v>#REF!</v>
      </c>
      <c r="O190" s="24" t="e">
        <f>INDEX(#REF!,MATCH('Budget 2020'!O$6,#REF!,0))</f>
        <v>#REF!</v>
      </c>
      <c r="P190" s="24" t="e">
        <f>INDEX(#REF!,MATCH('Budget 2020'!P$6,#REF!,0))</f>
        <v>#REF!</v>
      </c>
      <c r="Q190" s="24" t="e">
        <f>INDEX(#REF!,MATCH('Budget 2020'!Q$6,#REF!,0))</f>
        <v>#REF!</v>
      </c>
      <c r="R190" s="24" t="e">
        <f>INDEX(#REF!,MATCH('Budget 2020'!R$6,#REF!,0))</f>
        <v>#REF!</v>
      </c>
      <c r="S190" s="24" t="e">
        <f>INDEX(#REF!,MATCH('Budget 2020'!S$6,#REF!,0))</f>
        <v>#REF!</v>
      </c>
      <c r="T190" s="24" t="e">
        <f>INDEX(#REF!,MATCH('Budget 2020'!T$6,#REF!,0))</f>
        <v>#REF!</v>
      </c>
      <c r="U190" s="25" t="e">
        <f>SUM(I190:T190)</f>
        <v>#REF!</v>
      </c>
    </row>
    <row r="191" spans="1:21" hidden="1" x14ac:dyDescent="0.3">
      <c r="A191" s="120"/>
      <c r="B191" s="120"/>
      <c r="C191" s="120"/>
      <c r="D191" s="120"/>
      <c r="E191" s="120"/>
      <c r="G191" s="23" t="s">
        <v>53</v>
      </c>
      <c r="I191" s="24" t="e">
        <f>INDEX(#REF!,MATCH('Budget 2020'!I$6,#REF!,0))</f>
        <v>#REF!</v>
      </c>
      <c r="J191" s="24"/>
      <c r="K191" s="24"/>
      <c r="L191" s="24"/>
      <c r="M191" s="24"/>
      <c r="N191" s="24"/>
      <c r="O191" s="24"/>
      <c r="P191" s="24"/>
      <c r="Q191" s="24"/>
      <c r="R191" s="24"/>
      <c r="S191" s="24"/>
      <c r="T191" s="24"/>
      <c r="U191" s="25" t="e">
        <f>SUM(I191:T191)</f>
        <v>#REF!</v>
      </c>
    </row>
    <row r="192" spans="1:21" hidden="1" x14ac:dyDescent="0.3">
      <c r="A192" s="120"/>
      <c r="B192" s="120"/>
      <c r="C192" s="120"/>
      <c r="D192" s="120"/>
      <c r="E192" s="120"/>
      <c r="G192" s="23" t="s">
        <v>54</v>
      </c>
      <c r="I192" s="24">
        <v>1000</v>
      </c>
      <c r="J192" s="24"/>
      <c r="K192" s="24">
        <v>1000</v>
      </c>
      <c r="L192" s="24"/>
      <c r="M192" s="24"/>
      <c r="N192" s="24"/>
      <c r="O192" s="24"/>
      <c r="P192" s="24"/>
      <c r="Q192" s="24"/>
      <c r="R192" s="24"/>
      <c r="S192" s="24"/>
      <c r="T192" s="24"/>
      <c r="U192" s="25">
        <f>SUM(I192:T192)</f>
        <v>2000</v>
      </c>
    </row>
    <row r="193" spans="1:21" hidden="1" x14ac:dyDescent="0.3">
      <c r="A193" s="120"/>
      <c r="B193" s="120"/>
      <c r="C193" s="120"/>
      <c r="D193" s="120"/>
      <c r="E193" s="120"/>
      <c r="G193" s="23" t="s">
        <v>46</v>
      </c>
      <c r="I193" s="24"/>
      <c r="J193" s="24"/>
      <c r="K193" s="24"/>
      <c r="L193" s="24"/>
      <c r="M193" s="24"/>
      <c r="N193" s="24"/>
      <c r="O193" s="24"/>
      <c r="P193" s="24"/>
      <c r="Q193" s="24"/>
      <c r="R193" s="24"/>
      <c r="S193" s="24"/>
      <c r="T193" s="24"/>
      <c r="U193" s="25">
        <f>SUM(I193:T193)</f>
        <v>0</v>
      </c>
    </row>
    <row r="194" spans="1:21" hidden="1" x14ac:dyDescent="0.3">
      <c r="A194" s="120"/>
      <c r="B194" s="120"/>
      <c r="C194" s="120"/>
      <c r="D194" s="120"/>
      <c r="E194" s="120"/>
      <c r="F194" s="31">
        <v>0.1</v>
      </c>
      <c r="G194" s="32" t="str">
        <f>"Contigency"&amp;" "&amp;"at"&amp;" "&amp;(F194*100)&amp;"%"</f>
        <v>Contigency at 10%</v>
      </c>
      <c r="H194" s="33"/>
      <c r="I194" s="34" t="e">
        <f>SUM(I189:I193)*$F$63</f>
        <v>#REF!</v>
      </c>
      <c r="J194" s="34" t="e">
        <f>SUM(J189:J193)*$F$63</f>
        <v>#REF!</v>
      </c>
      <c r="K194" s="34" t="e">
        <f t="shared" ref="K194:T194" si="49">SUM(K189:K193)*$F$63</f>
        <v>#REF!</v>
      </c>
      <c r="L194" s="34" t="e">
        <f t="shared" si="49"/>
        <v>#REF!</v>
      </c>
      <c r="M194" s="34" t="e">
        <f t="shared" si="49"/>
        <v>#REF!</v>
      </c>
      <c r="N194" s="34" t="e">
        <f t="shared" si="49"/>
        <v>#REF!</v>
      </c>
      <c r="O194" s="34" t="e">
        <f t="shared" si="49"/>
        <v>#REF!</v>
      </c>
      <c r="P194" s="34" t="e">
        <f t="shared" si="49"/>
        <v>#REF!</v>
      </c>
      <c r="Q194" s="34" t="e">
        <f t="shared" si="49"/>
        <v>#REF!</v>
      </c>
      <c r="R194" s="34" t="e">
        <f t="shared" si="49"/>
        <v>#REF!</v>
      </c>
      <c r="S194" s="34" t="e">
        <f t="shared" si="49"/>
        <v>#REF!</v>
      </c>
      <c r="T194" s="34" t="e">
        <f t="shared" si="49"/>
        <v>#REF!</v>
      </c>
      <c r="U194" s="35" t="e">
        <f>SUM(I194:T194)</f>
        <v>#REF!</v>
      </c>
    </row>
    <row r="195" spans="1:21" ht="15.75" hidden="1" thickBot="1" x14ac:dyDescent="0.35">
      <c r="A195" s="120"/>
      <c r="B195" s="120"/>
      <c r="C195" s="120"/>
      <c r="D195" s="120"/>
      <c r="E195" s="120"/>
      <c r="G195" s="26" t="s">
        <v>1</v>
      </c>
      <c r="H195" s="27"/>
      <c r="I195" s="28" t="e">
        <f>SUM(I189:I194)</f>
        <v>#REF!</v>
      </c>
      <c r="J195" s="28" t="e">
        <f t="shared" ref="J195:T195" si="50">SUM(J189:J194)</f>
        <v>#REF!</v>
      </c>
      <c r="K195" s="28" t="e">
        <f t="shared" si="50"/>
        <v>#REF!</v>
      </c>
      <c r="L195" s="28" t="e">
        <f t="shared" si="50"/>
        <v>#REF!</v>
      </c>
      <c r="M195" s="28" t="e">
        <f t="shared" si="50"/>
        <v>#REF!</v>
      </c>
      <c r="N195" s="28" t="e">
        <f t="shared" si="50"/>
        <v>#REF!</v>
      </c>
      <c r="O195" s="28" t="e">
        <f t="shared" si="50"/>
        <v>#REF!</v>
      </c>
      <c r="P195" s="28" t="e">
        <f t="shared" si="50"/>
        <v>#REF!</v>
      </c>
      <c r="Q195" s="28" t="e">
        <f t="shared" si="50"/>
        <v>#REF!</v>
      </c>
      <c r="R195" s="28" t="e">
        <f t="shared" si="50"/>
        <v>#REF!</v>
      </c>
      <c r="S195" s="28" t="e">
        <f t="shared" si="50"/>
        <v>#REF!</v>
      </c>
      <c r="T195" s="28" t="e">
        <f t="shared" si="50"/>
        <v>#REF!</v>
      </c>
      <c r="U195" s="29" t="e">
        <f>SUM(U189:U193)</f>
        <v>#REF!</v>
      </c>
    </row>
    <row r="196" spans="1:21" hidden="1" x14ac:dyDescent="0.3">
      <c r="A196" s="120"/>
      <c r="B196" s="120"/>
      <c r="C196" s="120"/>
      <c r="D196" s="120"/>
      <c r="E196" s="120"/>
      <c r="G196" s="22" t="s">
        <v>55</v>
      </c>
      <c r="U196" s="30"/>
    </row>
    <row r="197" spans="1:21" hidden="1" x14ac:dyDescent="0.3">
      <c r="A197" s="120"/>
      <c r="B197" s="120"/>
      <c r="C197" s="120"/>
      <c r="D197" s="120"/>
      <c r="E197" s="120"/>
      <c r="G197" s="23" t="s">
        <v>60</v>
      </c>
      <c r="I197" s="24"/>
      <c r="J197" s="24"/>
      <c r="K197" s="24"/>
      <c r="L197" s="24"/>
      <c r="M197" s="24"/>
      <c r="N197" s="24"/>
      <c r="O197" s="24"/>
      <c r="P197" s="24"/>
      <c r="Q197" s="24">
        <v>125000</v>
      </c>
      <c r="R197" s="24"/>
      <c r="S197" s="24"/>
      <c r="T197" s="24"/>
      <c r="U197" s="25">
        <f>SUM(I197:T197)</f>
        <v>125000</v>
      </c>
    </row>
    <row r="198" spans="1:21" hidden="1" x14ac:dyDescent="0.3">
      <c r="A198" s="120"/>
      <c r="B198" s="120"/>
      <c r="C198" s="120"/>
      <c r="D198" s="120"/>
      <c r="E198" s="120"/>
      <c r="G198" s="23" t="s">
        <v>61</v>
      </c>
      <c r="I198" s="24"/>
      <c r="J198" s="24"/>
      <c r="K198" s="24"/>
      <c r="L198" s="24"/>
      <c r="M198" s="24"/>
      <c r="N198" s="24"/>
      <c r="O198" s="24"/>
      <c r="P198" s="24"/>
      <c r="Q198" s="24">
        <v>20000</v>
      </c>
      <c r="R198" s="24"/>
      <c r="S198" s="24"/>
      <c r="T198" s="24"/>
      <c r="U198" s="25">
        <f>SUM(I198:T198)</f>
        <v>20000</v>
      </c>
    </row>
    <row r="199" spans="1:21" hidden="1" x14ac:dyDescent="0.3">
      <c r="A199" s="120"/>
      <c r="B199" s="120"/>
      <c r="C199" s="120"/>
      <c r="D199" s="120"/>
      <c r="E199" s="120"/>
      <c r="G199" s="23" t="s">
        <v>62</v>
      </c>
      <c r="I199" s="24"/>
      <c r="J199" s="24"/>
      <c r="K199" s="24"/>
      <c r="L199" s="24"/>
      <c r="M199" s="24"/>
      <c r="N199" s="24"/>
      <c r="O199" s="24"/>
      <c r="P199" s="24"/>
      <c r="Q199" s="24">
        <v>75000</v>
      </c>
      <c r="R199" s="24"/>
      <c r="S199" s="24"/>
      <c r="T199" s="24"/>
      <c r="U199" s="25">
        <f>SUM(I199:T199)</f>
        <v>75000</v>
      </c>
    </row>
    <row r="200" spans="1:21" hidden="1" x14ac:dyDescent="0.3">
      <c r="A200" s="120"/>
      <c r="B200" s="120"/>
      <c r="C200" s="120"/>
      <c r="D200" s="120"/>
      <c r="E200" s="120"/>
      <c r="G200" s="23" t="s">
        <v>46</v>
      </c>
      <c r="I200" s="24"/>
      <c r="J200" s="24"/>
      <c r="K200" s="24"/>
      <c r="L200" s="24"/>
      <c r="M200" s="24"/>
      <c r="N200" s="24"/>
      <c r="O200" s="24"/>
      <c r="P200" s="24"/>
      <c r="Q200" s="24"/>
      <c r="R200" s="24"/>
      <c r="S200" s="24"/>
      <c r="T200" s="24"/>
      <c r="U200" s="25">
        <f>SUM(I200:T200)</f>
        <v>0</v>
      </c>
    </row>
    <row r="201" spans="1:21" hidden="1" x14ac:dyDescent="0.3">
      <c r="A201" s="120"/>
      <c r="B201" s="120"/>
      <c r="C201" s="120"/>
      <c r="D201" s="120"/>
      <c r="E201" s="120"/>
      <c r="F201" s="31">
        <v>0.1</v>
      </c>
      <c r="G201" s="32" t="str">
        <f>"Contigency"&amp;" "&amp;"at"&amp;" "&amp;(F201*100)&amp;"%"</f>
        <v>Contigency at 10%</v>
      </c>
      <c r="I201" s="24">
        <f>SUM(I197:I200)*$F$71</f>
        <v>0</v>
      </c>
      <c r="J201" s="24">
        <f>SUM(J197:J200)*$F$71</f>
        <v>0</v>
      </c>
      <c r="K201" s="24">
        <f t="shared" ref="K201:T201" si="51">SUM(K197:K200)*$F$71</f>
        <v>0</v>
      </c>
      <c r="L201" s="24">
        <f t="shared" si="51"/>
        <v>0</v>
      </c>
      <c r="M201" s="24">
        <f t="shared" si="51"/>
        <v>0</v>
      </c>
      <c r="N201" s="24">
        <f t="shared" si="51"/>
        <v>0</v>
      </c>
      <c r="O201" s="24">
        <f t="shared" si="51"/>
        <v>0</v>
      </c>
      <c r="P201" s="24">
        <f t="shared" si="51"/>
        <v>0</v>
      </c>
      <c r="Q201" s="24">
        <f t="shared" si="51"/>
        <v>0</v>
      </c>
      <c r="R201" s="24">
        <f t="shared" si="51"/>
        <v>0</v>
      </c>
      <c r="S201" s="24">
        <f t="shared" si="51"/>
        <v>0</v>
      </c>
      <c r="T201" s="24">
        <f t="shared" si="51"/>
        <v>0</v>
      </c>
      <c r="U201" s="25">
        <f>SUM(I201:T201)</f>
        <v>0</v>
      </c>
    </row>
    <row r="202" spans="1:21" ht="15.75" hidden="1" thickBot="1" x14ac:dyDescent="0.35">
      <c r="A202" s="120"/>
      <c r="B202" s="120"/>
      <c r="C202" s="120"/>
      <c r="D202" s="120"/>
      <c r="E202" s="120"/>
      <c r="G202" s="26" t="s">
        <v>1</v>
      </c>
      <c r="H202" s="27"/>
      <c r="I202" s="28">
        <f t="shared" ref="I202:T202" si="52">SUM(I197:I201)</f>
        <v>0</v>
      </c>
      <c r="J202" s="28">
        <f t="shared" si="52"/>
        <v>0</v>
      </c>
      <c r="K202" s="28">
        <f t="shared" si="52"/>
        <v>0</v>
      </c>
      <c r="L202" s="28">
        <f t="shared" si="52"/>
        <v>0</v>
      </c>
      <c r="M202" s="28">
        <f t="shared" si="52"/>
        <v>0</v>
      </c>
      <c r="N202" s="28">
        <f t="shared" si="52"/>
        <v>0</v>
      </c>
      <c r="O202" s="28">
        <f t="shared" si="52"/>
        <v>0</v>
      </c>
      <c r="P202" s="28">
        <f t="shared" si="52"/>
        <v>0</v>
      </c>
      <c r="Q202" s="28">
        <f t="shared" si="52"/>
        <v>220000</v>
      </c>
      <c r="R202" s="28">
        <f t="shared" si="52"/>
        <v>0</v>
      </c>
      <c r="S202" s="28">
        <f t="shared" si="52"/>
        <v>0</v>
      </c>
      <c r="T202" s="28">
        <f t="shared" si="52"/>
        <v>0</v>
      </c>
      <c r="U202" s="29">
        <f>SUM(U197:U200)</f>
        <v>220000</v>
      </c>
    </row>
    <row r="203" spans="1:21" hidden="1" x14ac:dyDescent="0.3">
      <c r="A203" s="120"/>
      <c r="B203" s="120"/>
      <c r="C203" s="120"/>
      <c r="D203" s="120"/>
      <c r="E203" s="120"/>
      <c r="G203" s="38"/>
      <c r="H203" s="33"/>
      <c r="I203" s="33"/>
      <c r="J203" s="33"/>
      <c r="K203" s="33"/>
      <c r="L203" s="33"/>
      <c r="M203" s="33"/>
      <c r="N203" s="33"/>
      <c r="O203" s="33"/>
      <c r="P203" s="33"/>
      <c r="Q203" s="33"/>
      <c r="R203" s="33"/>
      <c r="S203" s="33"/>
      <c r="T203" s="33"/>
      <c r="U203" s="39"/>
    </row>
    <row r="204" spans="1:21" ht="15.75" hidden="1" thickBot="1" x14ac:dyDescent="0.35">
      <c r="A204" s="120"/>
      <c r="B204" s="120"/>
      <c r="C204" s="120"/>
      <c r="D204" s="120"/>
      <c r="E204" s="120"/>
      <c r="G204" s="127" t="s">
        <v>63</v>
      </c>
      <c r="H204" s="128"/>
      <c r="I204" s="129" t="e">
        <f t="shared" ref="I204:U204" si="53">I167+I173+I182+I186+I195+I202</f>
        <v>#REF!</v>
      </c>
      <c r="J204" s="129" t="e">
        <f t="shared" si="53"/>
        <v>#REF!</v>
      </c>
      <c r="K204" s="129" t="e">
        <f t="shared" si="53"/>
        <v>#REF!</v>
      </c>
      <c r="L204" s="129" t="e">
        <f t="shared" si="53"/>
        <v>#REF!</v>
      </c>
      <c r="M204" s="129" t="e">
        <f t="shared" si="53"/>
        <v>#REF!</v>
      </c>
      <c r="N204" s="129" t="e">
        <f t="shared" si="53"/>
        <v>#REF!</v>
      </c>
      <c r="O204" s="129" t="e">
        <f t="shared" si="53"/>
        <v>#REF!</v>
      </c>
      <c r="P204" s="129" t="e">
        <f t="shared" si="53"/>
        <v>#REF!</v>
      </c>
      <c r="Q204" s="129" t="e">
        <f t="shared" si="53"/>
        <v>#REF!</v>
      </c>
      <c r="R204" s="129" t="e">
        <f t="shared" si="53"/>
        <v>#REF!</v>
      </c>
      <c r="S204" s="129" t="e">
        <f t="shared" si="53"/>
        <v>#REF!</v>
      </c>
      <c r="T204" s="129" t="e">
        <f t="shared" si="53"/>
        <v>#REF!</v>
      </c>
      <c r="U204" s="40" t="e">
        <f t="shared" si="53"/>
        <v>#REF!</v>
      </c>
    </row>
    <row r="205" spans="1:21" hidden="1" x14ac:dyDescent="0.3"/>
    <row r="206" spans="1:21" hidden="1" x14ac:dyDescent="0.3"/>
    <row r="207" spans="1:21" hidden="1" x14ac:dyDescent="0.3"/>
    <row r="208" spans="1:21"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779F1-B166-4200-82DB-9CAF54350ADC}">
  <sheetPr>
    <tabColor rgb="FF00B0F0"/>
  </sheetPr>
  <dimension ref="A1:X75"/>
  <sheetViews>
    <sheetView topLeftCell="F1" workbookViewId="0">
      <selection activeCell="J3" sqref="J3"/>
    </sheetView>
  </sheetViews>
  <sheetFormatPr defaultColWidth="7.109375" defaultRowHeight="12.75" x14ac:dyDescent="0.2"/>
  <cols>
    <col min="1" max="1" width="28.109375" style="199" customWidth="1"/>
    <col min="2" max="7" width="15.33203125" style="199" customWidth="1"/>
    <col min="8" max="8" width="15.77734375" style="199" customWidth="1"/>
    <col min="9" max="12" width="12.44140625" style="199" customWidth="1"/>
    <col min="13" max="13" width="14.6640625" style="199" customWidth="1"/>
    <col min="14" max="14" width="19.109375" style="199" customWidth="1"/>
    <col min="15" max="16384" width="7.109375" style="199"/>
  </cols>
  <sheetData>
    <row r="1" spans="1:23" ht="15.75" x14ac:dyDescent="0.25">
      <c r="A1" s="200" t="s">
        <v>203</v>
      </c>
      <c r="B1" s="200"/>
      <c r="C1" s="200"/>
      <c r="D1" s="200"/>
      <c r="E1" s="200"/>
      <c r="F1" s="200"/>
      <c r="G1" s="200"/>
      <c r="H1" s="200"/>
      <c r="I1" s="200"/>
      <c r="J1" s="200"/>
      <c r="K1" s="200"/>
      <c r="L1" s="200"/>
      <c r="M1" s="200"/>
    </row>
    <row r="2" spans="1:23" ht="15.75" x14ac:dyDescent="0.25">
      <c r="A2" s="200" t="s">
        <v>538</v>
      </c>
      <c r="B2" s="200"/>
      <c r="C2" s="200"/>
      <c r="D2" s="200"/>
      <c r="E2" s="200"/>
      <c r="F2" s="200"/>
      <c r="G2" s="200"/>
      <c r="H2" s="200"/>
      <c r="I2" s="200"/>
      <c r="J2" s="200"/>
      <c r="K2" s="200"/>
      <c r="L2" s="200"/>
      <c r="M2" s="200"/>
    </row>
    <row r="3" spans="1:23" x14ac:dyDescent="0.2">
      <c r="A3" s="202" t="s">
        <v>539</v>
      </c>
      <c r="B3" s="202"/>
      <c r="C3" s="202"/>
      <c r="D3" s="202"/>
      <c r="E3" s="202"/>
      <c r="F3" s="202"/>
      <c r="G3" s="202"/>
      <c r="H3" s="202"/>
      <c r="I3" s="202"/>
      <c r="J3" s="202"/>
      <c r="K3" s="202"/>
      <c r="L3" s="202"/>
      <c r="M3" s="202"/>
      <c r="N3" s="202"/>
    </row>
    <row r="4" spans="1:23" x14ac:dyDescent="0.2">
      <c r="A4" s="202" t="s">
        <v>540</v>
      </c>
      <c r="B4" s="202"/>
      <c r="C4" s="202"/>
      <c r="D4" s="202"/>
      <c r="E4" s="202"/>
      <c r="F4" s="202"/>
      <c r="G4" s="202"/>
      <c r="H4" s="202"/>
      <c r="I4" s="202"/>
      <c r="J4" s="202"/>
      <c r="K4" s="202"/>
      <c r="L4" s="202"/>
      <c r="M4" s="202"/>
      <c r="N4" s="202"/>
    </row>
    <row r="5" spans="1:23" x14ac:dyDescent="0.2">
      <c r="A5" s="202" t="s">
        <v>541</v>
      </c>
      <c r="B5" s="202"/>
      <c r="C5" s="202"/>
      <c r="D5" s="202"/>
      <c r="E5" s="202"/>
      <c r="F5" s="202"/>
      <c r="G5" s="202"/>
      <c r="H5" s="202"/>
      <c r="I5" s="202"/>
      <c r="J5" s="202"/>
      <c r="K5" s="202"/>
      <c r="L5" s="202"/>
      <c r="M5" s="202"/>
      <c r="N5" s="202"/>
    </row>
    <row r="6" spans="1:23" x14ac:dyDescent="0.2">
      <c r="A6" s="203" t="s">
        <v>485</v>
      </c>
      <c r="B6" s="203"/>
      <c r="C6" s="203"/>
      <c r="D6" s="203"/>
      <c r="E6" s="203"/>
      <c r="F6" s="203"/>
      <c r="G6" s="203"/>
      <c r="H6" s="203"/>
      <c r="I6" s="203"/>
      <c r="J6" s="203"/>
      <c r="K6" s="203"/>
      <c r="L6" s="203"/>
      <c r="M6" s="203"/>
    </row>
    <row r="7" spans="1:23" x14ac:dyDescent="0.2">
      <c r="A7" s="202" t="s">
        <v>485</v>
      </c>
      <c r="B7" s="204"/>
      <c r="C7" s="204" t="s">
        <v>489</v>
      </c>
      <c r="D7" s="204" t="s">
        <v>489</v>
      </c>
      <c r="E7" s="204" t="s">
        <v>489</v>
      </c>
      <c r="F7" s="204" t="s">
        <v>489</v>
      </c>
      <c r="G7" s="204" t="s">
        <v>489</v>
      </c>
      <c r="H7" s="204" t="s">
        <v>489</v>
      </c>
      <c r="I7" s="204" t="s">
        <v>489</v>
      </c>
      <c r="J7" s="204" t="s">
        <v>489</v>
      </c>
      <c r="K7" s="204" t="s">
        <v>489</v>
      </c>
      <c r="L7" s="204" t="s">
        <v>489</v>
      </c>
      <c r="M7" s="204" t="s">
        <v>489</v>
      </c>
      <c r="N7" s="204" t="s">
        <v>489</v>
      </c>
    </row>
    <row r="8" spans="1:23" x14ac:dyDescent="0.2">
      <c r="A8" s="202" t="s">
        <v>485</v>
      </c>
      <c r="B8" s="202"/>
      <c r="C8" s="190" t="s">
        <v>437</v>
      </c>
      <c r="D8" s="190" t="s">
        <v>438</v>
      </c>
      <c r="E8" s="190" t="s">
        <v>439</v>
      </c>
      <c r="F8" s="190" t="s">
        <v>440</v>
      </c>
      <c r="G8" s="190" t="s">
        <v>441</v>
      </c>
      <c r="H8" s="190" t="s">
        <v>442</v>
      </c>
      <c r="I8" s="190" t="s">
        <v>443</v>
      </c>
      <c r="J8" s="190" t="s">
        <v>444</v>
      </c>
      <c r="K8" s="190" t="s">
        <v>445</v>
      </c>
      <c r="L8" s="190" t="s">
        <v>446</v>
      </c>
      <c r="M8" s="190" t="s">
        <v>447</v>
      </c>
      <c r="N8" s="190" t="s">
        <v>448</v>
      </c>
      <c r="O8" s="191" t="s">
        <v>449</v>
      </c>
      <c r="P8" s="191" t="s">
        <v>450</v>
      </c>
      <c r="Q8" s="191" t="s">
        <v>451</v>
      </c>
      <c r="R8" s="191" t="s">
        <v>452</v>
      </c>
      <c r="S8" s="191" t="s">
        <v>453</v>
      </c>
      <c r="T8" s="191" t="s">
        <v>454</v>
      </c>
      <c r="U8" s="191" t="s">
        <v>455</v>
      </c>
      <c r="V8" s="191" t="s">
        <v>456</v>
      </c>
      <c r="W8" s="191" t="s">
        <v>457</v>
      </c>
    </row>
    <row r="9" spans="1:23" x14ac:dyDescent="0.2">
      <c r="A9" s="205" t="s">
        <v>485</v>
      </c>
      <c r="B9" s="205"/>
      <c r="C9" s="206" t="s">
        <v>485</v>
      </c>
      <c r="D9" s="206" t="s">
        <v>485</v>
      </c>
      <c r="E9" s="206" t="s">
        <v>485</v>
      </c>
      <c r="F9" s="206" t="s">
        <v>485</v>
      </c>
      <c r="G9" s="206" t="s">
        <v>485</v>
      </c>
      <c r="H9" s="206" t="s">
        <v>485</v>
      </c>
      <c r="I9" s="206" t="s">
        <v>485</v>
      </c>
      <c r="J9" s="206" t="s">
        <v>485</v>
      </c>
      <c r="K9" s="206" t="s">
        <v>485</v>
      </c>
      <c r="L9" s="206" t="s">
        <v>485</v>
      </c>
      <c r="M9" s="206" t="s">
        <v>485</v>
      </c>
      <c r="N9" s="206" t="s">
        <v>485</v>
      </c>
    </row>
    <row r="10" spans="1:23" x14ac:dyDescent="0.2">
      <c r="A10" s="207" t="s">
        <v>542</v>
      </c>
      <c r="B10" s="207"/>
      <c r="C10" s="207" t="s">
        <v>492</v>
      </c>
      <c r="D10" s="207" t="s">
        <v>492</v>
      </c>
      <c r="E10" s="207" t="s">
        <v>492</v>
      </c>
      <c r="F10" s="207" t="s">
        <v>492</v>
      </c>
      <c r="G10" s="207" t="s">
        <v>492</v>
      </c>
      <c r="H10" s="207" t="s">
        <v>492</v>
      </c>
      <c r="I10" s="207" t="s">
        <v>492</v>
      </c>
      <c r="J10" s="207" t="s">
        <v>492</v>
      </c>
      <c r="K10" s="207" t="s">
        <v>492</v>
      </c>
      <c r="L10" s="207" t="s">
        <v>492</v>
      </c>
      <c r="M10" s="207" t="s">
        <v>492</v>
      </c>
      <c r="N10" s="207" t="s">
        <v>492</v>
      </c>
    </row>
    <row r="11" spans="1:23" x14ac:dyDescent="0.2">
      <c r="A11" s="215" t="s">
        <v>485</v>
      </c>
      <c r="B11" s="215"/>
      <c r="C11" s="215"/>
      <c r="D11" s="215"/>
      <c r="E11" s="215"/>
      <c r="F11" s="215"/>
      <c r="G11" s="215"/>
      <c r="H11" s="215"/>
      <c r="I11" s="215"/>
      <c r="J11" s="215"/>
      <c r="K11" s="215"/>
      <c r="L11" s="215"/>
      <c r="M11" s="215"/>
      <c r="N11" s="215"/>
    </row>
    <row r="12" spans="1:23" x14ac:dyDescent="0.2">
      <c r="A12" s="202" t="s">
        <v>543</v>
      </c>
      <c r="B12" s="202"/>
      <c r="C12" s="202" t="s">
        <v>494</v>
      </c>
      <c r="D12" s="202" t="s">
        <v>494</v>
      </c>
      <c r="E12" s="202" t="s">
        <v>494</v>
      </c>
      <c r="F12" s="202" t="s">
        <v>494</v>
      </c>
      <c r="G12" s="202" t="s">
        <v>494</v>
      </c>
      <c r="H12" s="202" t="s">
        <v>494</v>
      </c>
      <c r="I12" s="202" t="s">
        <v>494</v>
      </c>
      <c r="J12" s="202" t="s">
        <v>494</v>
      </c>
      <c r="K12" s="202" t="s">
        <v>494</v>
      </c>
      <c r="L12" s="202" t="s">
        <v>494</v>
      </c>
      <c r="M12" s="202" t="s">
        <v>494</v>
      </c>
      <c r="N12" s="202" t="s">
        <v>494</v>
      </c>
    </row>
    <row r="13" spans="1:23" x14ac:dyDescent="0.2">
      <c r="A13" s="215" t="s">
        <v>485</v>
      </c>
      <c r="B13" s="215"/>
      <c r="C13" s="215"/>
      <c r="D13" s="215"/>
      <c r="E13" s="215"/>
      <c r="F13" s="215"/>
      <c r="G13" s="215"/>
      <c r="H13" s="215"/>
      <c r="I13" s="215"/>
      <c r="J13" s="215"/>
      <c r="K13" s="215"/>
      <c r="L13" s="215"/>
      <c r="M13" s="215"/>
      <c r="N13" s="215"/>
    </row>
    <row r="14" spans="1:23" x14ac:dyDescent="0.2">
      <c r="A14" s="202" t="s">
        <v>544</v>
      </c>
      <c r="B14" s="202"/>
      <c r="C14" s="202" t="s">
        <v>496</v>
      </c>
      <c r="D14" s="202" t="s">
        <v>496</v>
      </c>
      <c r="E14" s="202" t="s">
        <v>496</v>
      </c>
      <c r="F14" s="202" t="s">
        <v>496</v>
      </c>
      <c r="G14" s="202" t="s">
        <v>496</v>
      </c>
      <c r="H14" s="202" t="s">
        <v>496</v>
      </c>
      <c r="I14" s="202" t="s">
        <v>496</v>
      </c>
      <c r="J14" s="202" t="s">
        <v>496</v>
      </c>
      <c r="K14" s="202" t="s">
        <v>496</v>
      </c>
      <c r="L14" s="202" t="s">
        <v>496</v>
      </c>
      <c r="M14" s="202" t="s">
        <v>496</v>
      </c>
      <c r="N14" s="202" t="s">
        <v>496</v>
      </c>
    </row>
    <row r="15" spans="1:23" x14ac:dyDescent="0.2">
      <c r="A15" s="202" t="s">
        <v>545</v>
      </c>
      <c r="B15" s="202"/>
      <c r="C15" s="208">
        <v>68676</v>
      </c>
      <c r="D15" s="208">
        <v>729267.24</v>
      </c>
      <c r="E15" s="208">
        <v>698417.78</v>
      </c>
      <c r="F15" s="208">
        <v>592417.67000000004</v>
      </c>
      <c r="G15" s="208">
        <v>655736.67000000004</v>
      </c>
      <c r="H15" s="208">
        <v>578443.67000000004</v>
      </c>
      <c r="I15" s="208">
        <v>609193.56999999995</v>
      </c>
      <c r="J15" s="208">
        <v>520489.99</v>
      </c>
      <c r="K15" s="208">
        <v>530268.44999999995</v>
      </c>
      <c r="L15" s="208">
        <v>447368.02</v>
      </c>
      <c r="M15" s="208">
        <v>399122.97</v>
      </c>
      <c r="N15" s="208">
        <v>343448.45</v>
      </c>
    </row>
    <row r="16" spans="1:23" x14ac:dyDescent="0.2">
      <c r="A16" s="202" t="s">
        <v>546</v>
      </c>
      <c r="B16" s="202"/>
      <c r="C16" s="212">
        <v>68676</v>
      </c>
      <c r="D16" s="212">
        <v>729267.24</v>
      </c>
      <c r="E16" s="212">
        <v>698417.78</v>
      </c>
      <c r="F16" s="212">
        <v>592417.67000000004</v>
      </c>
      <c r="G16" s="212">
        <v>655736.67000000004</v>
      </c>
      <c r="H16" s="212">
        <v>578443.67000000004</v>
      </c>
      <c r="I16" s="212">
        <v>609193.56999999995</v>
      </c>
      <c r="J16" s="212">
        <v>520489.99</v>
      </c>
      <c r="K16" s="212">
        <v>530268.44999999995</v>
      </c>
      <c r="L16" s="212">
        <v>447368.02</v>
      </c>
      <c r="M16" s="212">
        <v>399122.97</v>
      </c>
      <c r="N16" s="212">
        <v>343448.45</v>
      </c>
    </row>
    <row r="17" spans="1:24" x14ac:dyDescent="0.2">
      <c r="A17" s="202" t="s">
        <v>547</v>
      </c>
      <c r="B17" s="202"/>
      <c r="C17" s="215"/>
      <c r="D17" s="215"/>
      <c r="E17" s="215"/>
      <c r="F17" s="208"/>
      <c r="G17" s="208"/>
      <c r="H17" s="208"/>
      <c r="I17" s="219" t="s">
        <v>496</v>
      </c>
      <c r="J17" s="219" t="s">
        <v>496</v>
      </c>
      <c r="K17" s="219" t="s">
        <v>496</v>
      </c>
      <c r="L17" s="219" t="s">
        <v>496</v>
      </c>
      <c r="M17" s="219" t="s">
        <v>496</v>
      </c>
      <c r="N17" s="219" t="s">
        <v>496</v>
      </c>
    </row>
    <row r="18" spans="1:24" x14ac:dyDescent="0.2">
      <c r="A18" s="202" t="s">
        <v>548</v>
      </c>
      <c r="B18" s="202"/>
      <c r="C18" s="202" t="s">
        <v>496</v>
      </c>
      <c r="D18" s="202" t="s">
        <v>496</v>
      </c>
      <c r="E18" s="202" t="s">
        <v>496</v>
      </c>
      <c r="F18" s="208"/>
      <c r="G18" s="208"/>
      <c r="H18" s="208"/>
      <c r="I18" s="208">
        <v>0</v>
      </c>
      <c r="J18" s="208">
        <v>155727</v>
      </c>
      <c r="K18" s="208">
        <v>154363.35999999999</v>
      </c>
      <c r="L18" s="208">
        <v>154363.35999999999</v>
      </c>
      <c r="M18" s="208">
        <v>154363.35999999999</v>
      </c>
      <c r="N18" s="208">
        <v>154363.35999999999</v>
      </c>
    </row>
    <row r="19" spans="1:24" x14ac:dyDescent="0.2">
      <c r="A19" s="202" t="s">
        <v>549</v>
      </c>
      <c r="B19" s="202"/>
      <c r="C19" s="208">
        <v>0</v>
      </c>
      <c r="D19" s="208">
        <v>0</v>
      </c>
      <c r="E19" s="208">
        <v>0</v>
      </c>
      <c r="F19" s="208"/>
      <c r="G19" s="208"/>
      <c r="H19" s="208"/>
      <c r="I19" s="208"/>
      <c r="J19" s="208"/>
      <c r="K19" s="208"/>
      <c r="L19" s="208">
        <v>62500</v>
      </c>
      <c r="M19" s="208">
        <v>62500</v>
      </c>
      <c r="N19" s="208">
        <v>62500</v>
      </c>
    </row>
    <row r="20" spans="1:24" x14ac:dyDescent="0.2">
      <c r="A20" s="202" t="s">
        <v>550</v>
      </c>
      <c r="B20" s="202"/>
      <c r="C20" s="212">
        <v>0</v>
      </c>
      <c r="D20" s="212">
        <v>0</v>
      </c>
      <c r="E20" s="212">
        <v>0</v>
      </c>
      <c r="F20" s="212"/>
      <c r="G20" s="212"/>
      <c r="H20" s="212"/>
      <c r="I20" s="212">
        <v>0</v>
      </c>
      <c r="J20" s="212">
        <v>155727</v>
      </c>
      <c r="K20" s="212">
        <v>154363.35999999999</v>
      </c>
      <c r="L20" s="212">
        <v>216863.35999999999</v>
      </c>
      <c r="M20" s="212">
        <v>216863.35999999999</v>
      </c>
      <c r="N20" s="212">
        <v>216863.35999999999</v>
      </c>
    </row>
    <row r="21" spans="1:24" x14ac:dyDescent="0.2">
      <c r="A21" s="215" t="s">
        <v>485</v>
      </c>
      <c r="B21" s="215"/>
      <c r="C21" s="215"/>
      <c r="D21" s="215"/>
      <c r="E21" s="215"/>
      <c r="F21" s="215"/>
      <c r="G21" s="215"/>
      <c r="H21" s="215"/>
      <c r="I21" s="215"/>
      <c r="J21" s="215"/>
      <c r="K21" s="215"/>
      <c r="L21" s="215"/>
      <c r="M21" s="215"/>
      <c r="N21" s="215"/>
    </row>
    <row r="22" spans="1:24" x14ac:dyDescent="0.2">
      <c r="A22" s="202" t="s">
        <v>551</v>
      </c>
      <c r="B22" s="202"/>
      <c r="C22" s="202" t="s">
        <v>496</v>
      </c>
      <c r="D22" s="202" t="s">
        <v>496</v>
      </c>
      <c r="E22" s="202" t="s">
        <v>496</v>
      </c>
      <c r="F22" s="202" t="s">
        <v>496</v>
      </c>
      <c r="G22" s="202" t="s">
        <v>496</v>
      </c>
      <c r="H22" s="202" t="s">
        <v>496</v>
      </c>
      <c r="I22" s="202" t="s">
        <v>496</v>
      </c>
      <c r="J22" s="202" t="s">
        <v>496</v>
      </c>
      <c r="K22" s="202" t="s">
        <v>496</v>
      </c>
      <c r="L22" s="202" t="s">
        <v>496</v>
      </c>
      <c r="M22" s="202" t="s">
        <v>496</v>
      </c>
      <c r="N22" s="202" t="s">
        <v>496</v>
      </c>
    </row>
    <row r="23" spans="1:24" x14ac:dyDescent="0.2">
      <c r="A23" s="215" t="s">
        <v>485</v>
      </c>
      <c r="B23" s="215"/>
      <c r="C23" s="215"/>
      <c r="D23" s="215"/>
      <c r="E23" s="215"/>
      <c r="F23" s="215"/>
      <c r="G23" s="215"/>
      <c r="H23" s="215"/>
      <c r="I23" s="215"/>
      <c r="J23" s="215"/>
      <c r="K23" s="215"/>
      <c r="L23" s="215"/>
      <c r="M23" s="215"/>
      <c r="N23" s="215"/>
    </row>
    <row r="24" spans="1:24" x14ac:dyDescent="0.2">
      <c r="A24" s="202" t="s">
        <v>552</v>
      </c>
      <c r="B24" s="202"/>
      <c r="C24" s="202" t="s">
        <v>498</v>
      </c>
      <c r="D24" s="202" t="s">
        <v>498</v>
      </c>
      <c r="E24" s="202" t="s">
        <v>498</v>
      </c>
      <c r="G24" s="202" t="s">
        <v>498</v>
      </c>
      <c r="H24" s="202" t="s">
        <v>498</v>
      </c>
      <c r="I24" s="202" t="s">
        <v>498</v>
      </c>
      <c r="J24" s="202" t="s">
        <v>498</v>
      </c>
      <c r="K24" s="202" t="s">
        <v>498</v>
      </c>
      <c r="L24" s="202" t="s">
        <v>498</v>
      </c>
      <c r="M24" s="202" t="s">
        <v>498</v>
      </c>
      <c r="N24" s="202" t="s">
        <v>498</v>
      </c>
    </row>
    <row r="25" spans="1:24" x14ac:dyDescent="0.2">
      <c r="A25" s="202" t="s">
        <v>553</v>
      </c>
      <c r="B25" s="202"/>
      <c r="C25" s="208">
        <v>7057.27</v>
      </c>
      <c r="D25" s="208">
        <v>7057.27</v>
      </c>
      <c r="E25" s="208">
        <v>7057.27</v>
      </c>
      <c r="F25" s="208">
        <v>7057.27</v>
      </c>
      <c r="G25" s="208">
        <v>7057.27</v>
      </c>
      <c r="H25" s="208">
        <v>7057.27</v>
      </c>
      <c r="I25" s="208">
        <v>7057.27</v>
      </c>
      <c r="J25" s="208">
        <v>7057.27</v>
      </c>
      <c r="K25" s="208">
        <v>7057.27</v>
      </c>
      <c r="L25" s="208">
        <v>7057.27</v>
      </c>
      <c r="M25" s="208">
        <v>7057.27</v>
      </c>
      <c r="N25" s="208">
        <v>7057.27</v>
      </c>
      <c r="O25" s="208">
        <v>7057.27</v>
      </c>
      <c r="P25" s="208">
        <v>7057.27</v>
      </c>
      <c r="Q25" s="208">
        <v>7057.27</v>
      </c>
      <c r="R25" s="208">
        <v>7057.27</v>
      </c>
      <c r="S25" s="208">
        <v>7057.27</v>
      </c>
      <c r="T25" s="208">
        <v>7057.27</v>
      </c>
      <c r="U25" s="208">
        <v>7057.27</v>
      </c>
      <c r="V25" s="208">
        <v>7057.27</v>
      </c>
      <c r="W25" s="208">
        <v>7057.27</v>
      </c>
      <c r="X25" s="208">
        <v>7057.27</v>
      </c>
    </row>
    <row r="26" spans="1:24" x14ac:dyDescent="0.2">
      <c r="A26" s="202" t="s">
        <v>554</v>
      </c>
      <c r="B26" s="202"/>
      <c r="C26" s="212">
        <v>7057.27</v>
      </c>
      <c r="D26" s="212">
        <v>7057.27</v>
      </c>
      <c r="E26" s="212">
        <v>7057.27</v>
      </c>
      <c r="F26" s="212">
        <v>7057.27</v>
      </c>
      <c r="G26" s="212">
        <v>7057.27</v>
      </c>
      <c r="H26" s="212">
        <v>7057.27</v>
      </c>
      <c r="I26" s="212">
        <v>7057.27</v>
      </c>
      <c r="J26" s="212">
        <v>7057.27</v>
      </c>
      <c r="K26" s="212">
        <v>7057.27</v>
      </c>
      <c r="L26" s="212">
        <v>7057.27</v>
      </c>
      <c r="M26" s="212">
        <v>7057.27</v>
      </c>
      <c r="N26" s="212">
        <v>7057.27</v>
      </c>
    </row>
    <row r="27" spans="1:24" x14ac:dyDescent="0.2">
      <c r="A27" s="215" t="s">
        <v>485</v>
      </c>
      <c r="B27" s="215"/>
      <c r="C27" s="215"/>
      <c r="D27" s="215"/>
      <c r="E27" s="215"/>
      <c r="F27" s="215"/>
      <c r="G27" s="215"/>
      <c r="H27" s="215"/>
      <c r="I27" s="215"/>
      <c r="J27" s="215"/>
      <c r="K27" s="215"/>
      <c r="L27" s="215"/>
      <c r="M27" s="215"/>
      <c r="N27" s="215"/>
    </row>
    <row r="28" spans="1:24" x14ac:dyDescent="0.2">
      <c r="A28" s="202" t="s">
        <v>555</v>
      </c>
      <c r="B28" s="202"/>
      <c r="C28" s="220">
        <v>7057.27</v>
      </c>
      <c r="D28" s="220">
        <v>7057.27</v>
      </c>
      <c r="E28" s="220">
        <v>7057.27</v>
      </c>
      <c r="F28" s="220">
        <v>7057.27</v>
      </c>
      <c r="G28" s="220">
        <v>7057.27</v>
      </c>
      <c r="H28" s="220">
        <v>7057.27</v>
      </c>
      <c r="I28" s="220">
        <v>7057.27</v>
      </c>
      <c r="J28" s="220">
        <v>7057.27</v>
      </c>
      <c r="K28" s="220">
        <v>7057.27</v>
      </c>
      <c r="L28" s="220">
        <v>7057.27</v>
      </c>
      <c r="M28" s="220">
        <v>7057.27</v>
      </c>
      <c r="N28" s="220">
        <v>7057.27</v>
      </c>
    </row>
    <row r="29" spans="1:24" x14ac:dyDescent="0.2">
      <c r="A29" s="215" t="s">
        <v>485</v>
      </c>
      <c r="B29" s="215"/>
      <c r="C29" s="215"/>
      <c r="D29" s="215"/>
      <c r="E29" s="215"/>
      <c r="F29" s="215"/>
      <c r="G29" s="215"/>
      <c r="H29" s="215"/>
      <c r="I29" s="215"/>
      <c r="J29" s="215"/>
      <c r="K29" s="215"/>
      <c r="L29" s="215"/>
      <c r="M29" s="215"/>
      <c r="N29" s="215"/>
    </row>
    <row r="30" spans="1:24" x14ac:dyDescent="0.2">
      <c r="A30" s="202" t="s">
        <v>556</v>
      </c>
      <c r="B30" s="202"/>
      <c r="C30" s="202" t="s">
        <v>496</v>
      </c>
      <c r="D30" s="202" t="s">
        <v>496</v>
      </c>
      <c r="E30" s="202" t="s">
        <v>496</v>
      </c>
      <c r="F30" s="202" t="s">
        <v>496</v>
      </c>
      <c r="G30" s="202" t="s">
        <v>496</v>
      </c>
      <c r="H30" s="202" t="s">
        <v>496</v>
      </c>
      <c r="I30" s="202" t="s">
        <v>496</v>
      </c>
      <c r="J30" s="202" t="s">
        <v>496</v>
      </c>
      <c r="K30" s="202" t="s">
        <v>496</v>
      </c>
      <c r="L30" s="202" t="s">
        <v>496</v>
      </c>
      <c r="M30" s="202" t="s">
        <v>496</v>
      </c>
      <c r="N30" s="202" t="s">
        <v>496</v>
      </c>
    </row>
    <row r="31" spans="1:24" x14ac:dyDescent="0.2">
      <c r="A31" s="202" t="s">
        <v>557</v>
      </c>
      <c r="B31" s="202"/>
      <c r="C31" s="208">
        <v>428196.6</v>
      </c>
      <c r="D31" s="208">
        <v>53867.16</v>
      </c>
      <c r="E31" s="208">
        <v>45239.87</v>
      </c>
      <c r="F31" s="208">
        <v>110564.83</v>
      </c>
      <c r="G31" s="208">
        <v>-6729.03</v>
      </c>
      <c r="H31" s="208">
        <v>37582.94</v>
      </c>
      <c r="I31" s="208">
        <v>33288.11</v>
      </c>
      <c r="J31" s="208">
        <v>20893.79</v>
      </c>
      <c r="K31" s="208">
        <v>-6729.03</v>
      </c>
      <c r="L31" s="208">
        <v>12089.69</v>
      </c>
      <c r="M31" s="208">
        <v>27741.65</v>
      </c>
      <c r="N31" s="208">
        <v>41891.5</v>
      </c>
    </row>
    <row r="32" spans="1:24" x14ac:dyDescent="0.2">
      <c r="A32" s="202" t="s">
        <v>558</v>
      </c>
      <c r="B32" s="202"/>
      <c r="C32" s="212">
        <v>428196.6</v>
      </c>
      <c r="D32" s="212">
        <v>53867.16</v>
      </c>
      <c r="E32" s="212">
        <v>45239.87</v>
      </c>
      <c r="F32" s="212">
        <v>110564.83</v>
      </c>
      <c r="G32" s="212">
        <v>-6729.03</v>
      </c>
      <c r="H32" s="212">
        <v>37582.94</v>
      </c>
      <c r="I32" s="212">
        <v>33288.11</v>
      </c>
      <c r="J32" s="212">
        <v>20893.79</v>
      </c>
      <c r="K32" s="212">
        <v>-6729.03</v>
      </c>
      <c r="L32" s="212">
        <v>12089.69</v>
      </c>
      <c r="M32" s="212">
        <v>27741.65</v>
      </c>
      <c r="N32" s="212">
        <v>41891.5</v>
      </c>
    </row>
    <row r="33" spans="1:14" x14ac:dyDescent="0.2">
      <c r="A33" s="215" t="s">
        <v>485</v>
      </c>
      <c r="B33" s="215"/>
      <c r="C33" s="215"/>
      <c r="D33" s="215"/>
      <c r="E33" s="215"/>
      <c r="F33" s="215"/>
      <c r="G33" s="215"/>
      <c r="H33" s="215"/>
      <c r="I33" s="215"/>
      <c r="J33" s="215"/>
      <c r="K33" s="215"/>
      <c r="L33" s="215"/>
      <c r="M33" s="215"/>
      <c r="N33" s="215"/>
    </row>
    <row r="34" spans="1:14" x14ac:dyDescent="0.2">
      <c r="A34" s="202" t="s">
        <v>559</v>
      </c>
      <c r="B34" s="202"/>
      <c r="C34" s="220">
        <v>503929.87</v>
      </c>
      <c r="D34" s="220">
        <v>790191.67</v>
      </c>
      <c r="E34" s="220">
        <v>750714.92</v>
      </c>
      <c r="F34" s="220">
        <v>710039.77</v>
      </c>
      <c r="G34" s="220">
        <v>656064.91</v>
      </c>
      <c r="H34" s="220">
        <v>623083.88</v>
      </c>
      <c r="I34" s="220">
        <v>649538.94999999995</v>
      </c>
      <c r="J34" s="220">
        <v>704168.05</v>
      </c>
      <c r="K34" s="220">
        <v>684960.05</v>
      </c>
      <c r="L34" s="220">
        <v>683378.34</v>
      </c>
      <c r="M34" s="220">
        <v>650785.25</v>
      </c>
      <c r="N34" s="220">
        <v>609260.57999999996</v>
      </c>
    </row>
    <row r="35" spans="1:14" x14ac:dyDescent="0.2">
      <c r="A35" s="215" t="s">
        <v>485</v>
      </c>
      <c r="B35" s="215"/>
      <c r="C35" s="215"/>
      <c r="D35" s="215"/>
      <c r="E35" s="215"/>
      <c r="F35" s="215"/>
      <c r="G35" s="215"/>
      <c r="H35" s="215"/>
      <c r="I35" s="215"/>
      <c r="J35" s="215"/>
      <c r="K35" s="215"/>
      <c r="L35" s="215"/>
      <c r="M35" s="215"/>
      <c r="N35" s="215"/>
    </row>
    <row r="36" spans="1:14" ht="13.5" thickBot="1" x14ac:dyDescent="0.25">
      <c r="A36" s="207" t="s">
        <v>560</v>
      </c>
      <c r="B36" s="207"/>
      <c r="C36" s="217">
        <v>503929.87</v>
      </c>
      <c r="D36" s="217">
        <v>790191.67</v>
      </c>
      <c r="E36" s="217">
        <v>750714.92</v>
      </c>
      <c r="F36" s="217">
        <v>710039.77</v>
      </c>
      <c r="G36" s="217">
        <v>656064.91</v>
      </c>
      <c r="H36" s="217">
        <v>623083.88</v>
      </c>
      <c r="I36" s="217">
        <v>649538.94999999995</v>
      </c>
      <c r="J36" s="217">
        <v>704168.05</v>
      </c>
      <c r="K36" s="217">
        <v>684960.05</v>
      </c>
      <c r="L36" s="217">
        <v>683378.34</v>
      </c>
      <c r="M36" s="217">
        <v>650785.25</v>
      </c>
      <c r="N36" s="217">
        <v>609260.57999999996</v>
      </c>
    </row>
    <row r="37" spans="1:14" ht="13.5" thickTop="1" x14ac:dyDescent="0.2">
      <c r="A37" s="215" t="s">
        <v>485</v>
      </c>
      <c r="B37" s="215"/>
      <c r="C37" s="215"/>
      <c r="D37" s="215"/>
      <c r="E37" s="215"/>
      <c r="F37" s="215"/>
      <c r="G37" s="215"/>
      <c r="H37" s="215"/>
      <c r="I37" s="215"/>
      <c r="J37" s="215"/>
      <c r="K37" s="215"/>
      <c r="L37" s="215"/>
      <c r="M37" s="215"/>
      <c r="N37" s="215"/>
    </row>
    <row r="38" spans="1:14" x14ac:dyDescent="0.2">
      <c r="A38" s="215" t="s">
        <v>485</v>
      </c>
      <c r="B38" s="215"/>
      <c r="C38" s="215"/>
      <c r="D38" s="215"/>
      <c r="E38" s="215"/>
      <c r="F38" s="215"/>
      <c r="G38" s="215"/>
      <c r="H38" s="215"/>
      <c r="I38" s="215"/>
      <c r="J38" s="215"/>
      <c r="K38" s="215"/>
      <c r="L38" s="215"/>
      <c r="M38" s="215"/>
      <c r="N38" s="215"/>
    </row>
    <row r="39" spans="1:14" x14ac:dyDescent="0.2">
      <c r="A39" s="207" t="s">
        <v>561</v>
      </c>
      <c r="B39" s="207"/>
      <c r="C39" s="207" t="s">
        <v>492</v>
      </c>
      <c r="D39" s="207" t="s">
        <v>492</v>
      </c>
      <c r="E39" s="207" t="s">
        <v>492</v>
      </c>
      <c r="F39" s="207" t="s">
        <v>492</v>
      </c>
      <c r="G39" s="207" t="s">
        <v>492</v>
      </c>
      <c r="H39" s="207" t="s">
        <v>492</v>
      </c>
      <c r="I39" s="207" t="s">
        <v>492</v>
      </c>
      <c r="J39" s="207" t="s">
        <v>492</v>
      </c>
      <c r="K39" s="207" t="s">
        <v>492</v>
      </c>
      <c r="L39" s="207" t="s">
        <v>492</v>
      </c>
      <c r="M39" s="207" t="s">
        <v>492</v>
      </c>
      <c r="N39" s="207" t="s">
        <v>492</v>
      </c>
    </row>
    <row r="40" spans="1:14" x14ac:dyDescent="0.2">
      <c r="A40" s="215" t="s">
        <v>485</v>
      </c>
      <c r="B40" s="215"/>
      <c r="C40" s="215"/>
      <c r="D40" s="215"/>
      <c r="E40" s="215"/>
      <c r="F40" s="215"/>
      <c r="G40" s="215"/>
      <c r="H40" s="215"/>
      <c r="I40" s="215"/>
      <c r="J40" s="215"/>
      <c r="K40" s="215"/>
      <c r="L40" s="215"/>
      <c r="M40" s="215"/>
      <c r="N40" s="215"/>
    </row>
    <row r="41" spans="1:14" x14ac:dyDescent="0.2">
      <c r="A41" s="202" t="s">
        <v>562</v>
      </c>
      <c r="B41" s="202"/>
      <c r="C41" s="221"/>
      <c r="D41" s="202" t="s">
        <v>494</v>
      </c>
      <c r="E41" s="202" t="s">
        <v>494</v>
      </c>
      <c r="F41" s="202" t="s">
        <v>494</v>
      </c>
      <c r="G41" s="202" t="s">
        <v>494</v>
      </c>
      <c r="H41" s="202" t="s">
        <v>494</v>
      </c>
      <c r="I41" s="202" t="s">
        <v>494</v>
      </c>
      <c r="J41" s="202" t="s">
        <v>494</v>
      </c>
      <c r="K41" s="202" t="s">
        <v>494</v>
      </c>
      <c r="L41" s="202" t="s">
        <v>494</v>
      </c>
      <c r="M41" s="202" t="s">
        <v>494</v>
      </c>
      <c r="N41" s="202" t="s">
        <v>494</v>
      </c>
    </row>
    <row r="42" spans="1:14" x14ac:dyDescent="0.2">
      <c r="A42" s="215" t="s">
        <v>485</v>
      </c>
      <c r="B42" s="215"/>
      <c r="C42" s="222"/>
      <c r="D42" s="215"/>
      <c r="E42" s="215"/>
      <c r="F42" s="215"/>
      <c r="G42" s="215"/>
      <c r="H42" s="215"/>
      <c r="I42" s="215"/>
      <c r="J42" s="215"/>
      <c r="K42" s="215"/>
      <c r="L42" s="215"/>
      <c r="M42" s="215"/>
      <c r="N42" s="215"/>
    </row>
    <row r="43" spans="1:14" x14ac:dyDescent="0.2">
      <c r="A43" s="202" t="s">
        <v>563</v>
      </c>
      <c r="B43" s="202"/>
      <c r="C43" s="202" t="s">
        <v>496</v>
      </c>
      <c r="D43" s="202" t="s">
        <v>496</v>
      </c>
      <c r="E43" s="202" t="s">
        <v>496</v>
      </c>
      <c r="F43" s="202" t="s">
        <v>496</v>
      </c>
      <c r="G43" s="202" t="s">
        <v>496</v>
      </c>
      <c r="H43" s="202" t="s">
        <v>496</v>
      </c>
      <c r="I43" s="202" t="s">
        <v>496</v>
      </c>
      <c r="J43" s="202" t="s">
        <v>496</v>
      </c>
      <c r="K43" s="202" t="s">
        <v>496</v>
      </c>
      <c r="L43" s="202" t="s">
        <v>496</v>
      </c>
      <c r="M43" s="202" t="s">
        <v>496</v>
      </c>
      <c r="N43" s="202" t="s">
        <v>496</v>
      </c>
    </row>
    <row r="44" spans="1:14" x14ac:dyDescent="0.2">
      <c r="A44" s="215" t="s">
        <v>485</v>
      </c>
      <c r="B44" s="215"/>
      <c r="C44" s="215"/>
      <c r="D44" s="215"/>
      <c r="E44" s="215"/>
      <c r="F44" s="215"/>
      <c r="G44" s="215"/>
      <c r="H44" s="215"/>
      <c r="I44" s="215"/>
      <c r="J44" s="215"/>
      <c r="K44" s="215"/>
      <c r="L44" s="215"/>
      <c r="M44" s="215"/>
      <c r="N44" s="215"/>
    </row>
    <row r="45" spans="1:14" x14ac:dyDescent="0.2">
      <c r="A45" s="202" t="s">
        <v>564</v>
      </c>
      <c r="B45" s="202"/>
      <c r="C45" s="202" t="s">
        <v>498</v>
      </c>
      <c r="D45" s="202" t="s">
        <v>498</v>
      </c>
      <c r="E45" s="202" t="s">
        <v>498</v>
      </c>
      <c r="F45" s="202" t="s">
        <v>498</v>
      </c>
      <c r="G45" s="202" t="s">
        <v>498</v>
      </c>
      <c r="H45" s="202" t="s">
        <v>498</v>
      </c>
      <c r="I45" s="202" t="s">
        <v>498</v>
      </c>
      <c r="J45" s="202" t="s">
        <v>498</v>
      </c>
      <c r="K45" s="202" t="s">
        <v>498</v>
      </c>
      <c r="L45" s="202" t="s">
        <v>498</v>
      </c>
      <c r="M45" s="202" t="s">
        <v>498</v>
      </c>
      <c r="N45" s="202" t="s">
        <v>498</v>
      </c>
    </row>
    <row r="46" spans="1:14" x14ac:dyDescent="0.2">
      <c r="A46" s="202" t="s">
        <v>565</v>
      </c>
      <c r="B46" s="202"/>
      <c r="C46" s="208">
        <v>8405</v>
      </c>
      <c r="D46" s="208">
        <v>11400</v>
      </c>
      <c r="E46" s="208">
        <v>2450</v>
      </c>
      <c r="F46" s="208">
        <v>29905</v>
      </c>
      <c r="G46" s="208">
        <v>2562.5</v>
      </c>
      <c r="H46" s="208">
        <v>18182.5</v>
      </c>
      <c r="I46" s="208">
        <v>12962.5</v>
      </c>
      <c r="J46" s="208">
        <v>11150.44</v>
      </c>
      <c r="K46" s="208">
        <v>20305.43</v>
      </c>
      <c r="L46" s="208">
        <v>21863.91</v>
      </c>
      <c r="M46" s="208">
        <v>95</v>
      </c>
      <c r="N46" s="208">
        <v>16297.48</v>
      </c>
    </row>
    <row r="47" spans="1:14" x14ac:dyDescent="0.2">
      <c r="A47" s="202" t="s">
        <v>566</v>
      </c>
      <c r="B47" s="202"/>
      <c r="C47" s="212">
        <v>8405</v>
      </c>
      <c r="D47" s="212">
        <v>11400</v>
      </c>
      <c r="E47" s="212">
        <v>2450</v>
      </c>
      <c r="F47" s="212">
        <v>29905</v>
      </c>
      <c r="G47" s="212">
        <v>2562.5</v>
      </c>
      <c r="H47" s="212">
        <v>18182.5</v>
      </c>
      <c r="I47" s="212">
        <v>12962.5</v>
      </c>
      <c r="J47" s="212">
        <v>11150.44</v>
      </c>
      <c r="K47" s="212">
        <v>20305.43</v>
      </c>
      <c r="L47" s="212">
        <v>21863.91</v>
      </c>
      <c r="M47" s="212">
        <v>95</v>
      </c>
      <c r="N47" s="212">
        <v>16297.48</v>
      </c>
    </row>
    <row r="48" spans="1:14" x14ac:dyDescent="0.2">
      <c r="A48" s="215" t="s">
        <v>485</v>
      </c>
      <c r="B48" s="215"/>
      <c r="F48" s="215"/>
      <c r="G48" s="215"/>
      <c r="H48" s="215"/>
      <c r="I48" s="215"/>
      <c r="J48" s="215"/>
      <c r="K48" s="215"/>
      <c r="L48" s="215"/>
      <c r="M48" s="215"/>
      <c r="N48" s="215"/>
    </row>
    <row r="49" spans="1:14" x14ac:dyDescent="0.2">
      <c r="A49" s="202" t="s">
        <v>567</v>
      </c>
      <c r="B49" s="202"/>
      <c r="C49" s="215"/>
      <c r="D49" s="215"/>
      <c r="E49" s="215"/>
      <c r="F49" s="202" t="s">
        <v>498</v>
      </c>
      <c r="G49" s="202" t="s">
        <v>498</v>
      </c>
      <c r="H49" s="202" t="s">
        <v>498</v>
      </c>
      <c r="I49" s="202" t="s">
        <v>498</v>
      </c>
      <c r="J49" s="202" t="s">
        <v>498</v>
      </c>
      <c r="K49" s="202" t="s">
        <v>498</v>
      </c>
      <c r="L49" s="202" t="s">
        <v>498</v>
      </c>
      <c r="M49" s="202" t="s">
        <v>498</v>
      </c>
      <c r="N49" s="202" t="s">
        <v>498</v>
      </c>
    </row>
    <row r="50" spans="1:14" x14ac:dyDescent="0.2">
      <c r="A50" s="202" t="s">
        <v>568</v>
      </c>
      <c r="B50" s="202"/>
      <c r="C50" s="208">
        <v>4022.48</v>
      </c>
      <c r="D50" s="208">
        <v>4022.48</v>
      </c>
      <c r="E50" s="208">
        <v>4022.48</v>
      </c>
      <c r="F50" s="208">
        <v>4022.48</v>
      </c>
      <c r="G50" s="208">
        <v>4022.48</v>
      </c>
      <c r="H50" s="208">
        <v>4022.48</v>
      </c>
      <c r="I50" s="208">
        <v>4022.48</v>
      </c>
      <c r="J50" s="208">
        <v>4022.48</v>
      </c>
      <c r="K50" s="208">
        <v>4022.48</v>
      </c>
      <c r="L50" s="208">
        <v>4022.48</v>
      </c>
      <c r="M50" s="208">
        <v>4022.48</v>
      </c>
      <c r="N50" s="208">
        <v>4022.48</v>
      </c>
    </row>
    <row r="51" spans="1:14" x14ac:dyDescent="0.2">
      <c r="A51" s="202" t="s">
        <v>569</v>
      </c>
      <c r="B51" s="202"/>
      <c r="C51" s="208"/>
      <c r="D51" s="208"/>
      <c r="E51" s="208"/>
      <c r="F51" s="208"/>
      <c r="G51" s="208"/>
      <c r="H51" s="208"/>
      <c r="I51" s="208">
        <v>0</v>
      </c>
      <c r="J51" s="208">
        <v>0</v>
      </c>
      <c r="K51" s="208">
        <v>-1000</v>
      </c>
      <c r="L51" s="208">
        <v>-1000</v>
      </c>
      <c r="M51" s="208">
        <v>-1000</v>
      </c>
      <c r="N51" s="208">
        <v>-1000</v>
      </c>
    </row>
    <row r="52" spans="1:14" x14ac:dyDescent="0.2">
      <c r="A52" s="202" t="s">
        <v>570</v>
      </c>
      <c r="B52" s="202"/>
      <c r="C52" s="212">
        <v>4022.48</v>
      </c>
      <c r="D52" s="212">
        <v>4022.48</v>
      </c>
      <c r="E52" s="212">
        <v>4022.48</v>
      </c>
      <c r="F52" s="212">
        <v>4022.48</v>
      </c>
      <c r="G52" s="212">
        <v>4022.48</v>
      </c>
      <c r="H52" s="212">
        <v>4022.48</v>
      </c>
      <c r="I52" s="212">
        <v>4022.48</v>
      </c>
      <c r="J52" s="212">
        <v>4022.48</v>
      </c>
      <c r="K52" s="212">
        <v>3022.48</v>
      </c>
      <c r="L52" s="212">
        <v>3022.48</v>
      </c>
      <c r="M52" s="212">
        <v>3022.48</v>
      </c>
      <c r="N52" s="212">
        <v>3022.48</v>
      </c>
    </row>
    <row r="53" spans="1:14" x14ac:dyDescent="0.2">
      <c r="A53" s="215" t="s">
        <v>485</v>
      </c>
      <c r="B53" s="215"/>
      <c r="C53" s="215"/>
      <c r="D53" s="215"/>
      <c r="E53" s="215"/>
      <c r="F53" s="215"/>
      <c r="G53" s="215"/>
      <c r="H53" s="215"/>
      <c r="I53" s="215"/>
      <c r="J53" s="215"/>
      <c r="K53" s="215"/>
      <c r="L53" s="215"/>
      <c r="M53" s="215"/>
      <c r="N53" s="215"/>
    </row>
    <row r="54" spans="1:14" x14ac:dyDescent="0.2">
      <c r="A54" s="202" t="s">
        <v>571</v>
      </c>
      <c r="B54" s="202"/>
      <c r="C54" s="220">
        <v>12427.48</v>
      </c>
      <c r="D54" s="220">
        <v>15422.48</v>
      </c>
      <c r="E54" s="220">
        <v>6472.48</v>
      </c>
      <c r="F54" s="220">
        <v>33927.480000000003</v>
      </c>
      <c r="G54" s="220">
        <v>6584.98</v>
      </c>
      <c r="H54" s="220">
        <v>22204.98</v>
      </c>
      <c r="I54" s="220">
        <v>16984.98</v>
      </c>
      <c r="J54" s="220">
        <v>15172.92</v>
      </c>
      <c r="K54" s="220">
        <v>23327.91</v>
      </c>
      <c r="L54" s="220">
        <v>24886.39</v>
      </c>
      <c r="M54" s="220">
        <v>3117.48</v>
      </c>
      <c r="N54" s="220">
        <v>19319.96</v>
      </c>
    </row>
    <row r="55" spans="1:14" x14ac:dyDescent="0.2">
      <c r="A55" s="215" t="s">
        <v>485</v>
      </c>
      <c r="B55" s="215"/>
      <c r="C55" s="215"/>
      <c r="D55" s="215"/>
      <c r="E55" s="215"/>
      <c r="F55" s="215"/>
      <c r="G55" s="215"/>
      <c r="H55" s="215"/>
      <c r="I55" s="215"/>
      <c r="J55" s="215"/>
      <c r="K55" s="215"/>
      <c r="L55" s="215"/>
      <c r="M55" s="215"/>
      <c r="N55" s="215"/>
    </row>
    <row r="56" spans="1:14" x14ac:dyDescent="0.2">
      <c r="A56" s="202" t="s">
        <v>572</v>
      </c>
      <c r="B56" s="202"/>
      <c r="C56" s="220">
        <v>12427.48</v>
      </c>
      <c r="D56" s="220">
        <v>15422.48</v>
      </c>
      <c r="E56" s="220">
        <v>6472.48</v>
      </c>
      <c r="F56" s="220">
        <v>33927.480000000003</v>
      </c>
      <c r="G56" s="220">
        <v>6584.98</v>
      </c>
      <c r="H56" s="220">
        <v>22204.98</v>
      </c>
      <c r="I56" s="220">
        <v>16984.98</v>
      </c>
      <c r="J56" s="220">
        <v>15172.92</v>
      </c>
      <c r="K56" s="220">
        <v>23327.91</v>
      </c>
      <c r="L56" s="220">
        <v>24886.39</v>
      </c>
      <c r="M56" s="220">
        <v>3117.48</v>
      </c>
      <c r="N56" s="220">
        <v>19319.96</v>
      </c>
    </row>
    <row r="57" spans="1:14" x14ac:dyDescent="0.2">
      <c r="A57" s="215" t="s">
        <v>485</v>
      </c>
      <c r="B57" s="215"/>
      <c r="C57" s="215"/>
      <c r="D57" s="215"/>
      <c r="E57" s="215"/>
      <c r="F57" s="215"/>
      <c r="G57" s="215"/>
      <c r="H57" s="215"/>
      <c r="I57" s="215"/>
      <c r="J57" s="215"/>
      <c r="K57" s="215"/>
      <c r="L57" s="215"/>
      <c r="M57" s="215"/>
      <c r="N57" s="215"/>
    </row>
    <row r="58" spans="1:14" x14ac:dyDescent="0.2">
      <c r="A58" s="202" t="s">
        <v>573</v>
      </c>
      <c r="B58" s="202"/>
      <c r="C58" s="202" t="s">
        <v>494</v>
      </c>
      <c r="D58" s="202" t="s">
        <v>494</v>
      </c>
      <c r="E58" s="202" t="s">
        <v>494</v>
      </c>
      <c r="F58" s="202" t="s">
        <v>494</v>
      </c>
      <c r="G58" s="202" t="s">
        <v>494</v>
      </c>
      <c r="H58" s="202" t="s">
        <v>494</v>
      </c>
      <c r="I58" s="202" t="s">
        <v>494</v>
      </c>
      <c r="J58" s="202" t="s">
        <v>494</v>
      </c>
      <c r="K58" s="202" t="s">
        <v>494</v>
      </c>
      <c r="L58" s="202" t="s">
        <v>494</v>
      </c>
      <c r="M58" s="202" t="s">
        <v>494</v>
      </c>
      <c r="N58" s="202" t="s">
        <v>494</v>
      </c>
    </row>
    <row r="59" spans="1:14" x14ac:dyDescent="0.2">
      <c r="A59" s="215" t="s">
        <v>485</v>
      </c>
      <c r="B59" s="215"/>
      <c r="C59" s="215"/>
      <c r="D59" s="215"/>
      <c r="E59" s="215"/>
      <c r="F59" s="215"/>
      <c r="G59" s="215"/>
      <c r="H59" s="215"/>
      <c r="I59" s="215"/>
      <c r="J59" s="215"/>
      <c r="K59" s="215"/>
      <c r="L59" s="215"/>
      <c r="M59" s="215"/>
      <c r="N59" s="215"/>
    </row>
    <row r="60" spans="1:14" x14ac:dyDescent="0.2">
      <c r="A60" s="202" t="s">
        <v>574</v>
      </c>
      <c r="B60" s="202"/>
      <c r="C60" s="202" t="s">
        <v>496</v>
      </c>
      <c r="D60" s="202" t="s">
        <v>496</v>
      </c>
      <c r="E60" s="202" t="s">
        <v>496</v>
      </c>
      <c r="F60" s="202" t="s">
        <v>496</v>
      </c>
      <c r="G60" s="202" t="s">
        <v>496</v>
      </c>
      <c r="H60" s="202" t="s">
        <v>496</v>
      </c>
      <c r="I60" s="202" t="s">
        <v>496</v>
      </c>
      <c r="J60" s="202" t="s">
        <v>496</v>
      </c>
      <c r="K60" s="202" t="s">
        <v>496</v>
      </c>
      <c r="L60" s="202" t="s">
        <v>496</v>
      </c>
      <c r="M60" s="202" t="s">
        <v>496</v>
      </c>
      <c r="N60" s="202" t="s">
        <v>496</v>
      </c>
    </row>
    <row r="61" spans="1:14" x14ac:dyDescent="0.2">
      <c r="A61" s="202" t="s">
        <v>575</v>
      </c>
      <c r="B61" s="202"/>
      <c r="C61" s="208">
        <v>208904</v>
      </c>
      <c r="D61" s="208">
        <v>491502.39</v>
      </c>
      <c r="E61" s="208">
        <v>774769.19</v>
      </c>
      <c r="F61" s="208">
        <v>744242.44</v>
      </c>
      <c r="G61" s="208">
        <v>676112.29</v>
      </c>
      <c r="H61" s="208">
        <v>649479.93000000005</v>
      </c>
      <c r="I61" s="208">
        <v>600878.9</v>
      </c>
      <c r="J61" s="208">
        <v>632553.97</v>
      </c>
      <c r="K61" s="208">
        <v>688995.13</v>
      </c>
      <c r="L61" s="208">
        <v>661632.14</v>
      </c>
      <c r="M61" s="208">
        <v>658491.94999999995</v>
      </c>
      <c r="N61" s="208">
        <v>647667.77</v>
      </c>
    </row>
    <row r="62" spans="1:14" x14ac:dyDescent="0.2">
      <c r="A62" s="202" t="s">
        <v>576</v>
      </c>
      <c r="B62" s="202"/>
      <c r="C62" s="212">
        <v>208904</v>
      </c>
      <c r="D62" s="212">
        <v>491502.39</v>
      </c>
      <c r="E62" s="212">
        <v>774769.19</v>
      </c>
      <c r="F62" s="212">
        <v>744242.44</v>
      </c>
      <c r="G62" s="212">
        <v>676112.29</v>
      </c>
      <c r="H62" s="212">
        <v>649479.93000000005</v>
      </c>
      <c r="I62" s="212">
        <v>600878.9</v>
      </c>
      <c r="J62" s="212">
        <v>632553.97</v>
      </c>
      <c r="K62" s="212">
        <v>688995.13</v>
      </c>
      <c r="L62" s="212">
        <v>661632.14</v>
      </c>
      <c r="M62" s="212">
        <v>658491.94999999995</v>
      </c>
      <c r="N62" s="212">
        <v>647667.77</v>
      </c>
    </row>
    <row r="63" spans="1:14" x14ac:dyDescent="0.2">
      <c r="A63" s="215" t="s">
        <v>485</v>
      </c>
      <c r="B63" s="215"/>
      <c r="C63" s="215"/>
      <c r="D63" s="215"/>
      <c r="E63" s="215"/>
      <c r="F63" s="215"/>
      <c r="G63" s="215"/>
      <c r="H63" s="215"/>
      <c r="I63" s="215"/>
      <c r="J63" s="215"/>
      <c r="K63" s="215"/>
      <c r="L63" s="215"/>
      <c r="M63" s="215"/>
      <c r="N63" s="215"/>
    </row>
    <row r="64" spans="1:14" x14ac:dyDescent="0.2">
      <c r="A64" s="202" t="s">
        <v>577</v>
      </c>
      <c r="B64" s="202"/>
      <c r="C64" s="208">
        <v>282598.39</v>
      </c>
      <c r="D64" s="208">
        <v>283266.8</v>
      </c>
      <c r="E64" s="208">
        <v>-30526.75</v>
      </c>
      <c r="F64" s="208">
        <v>-68130.149999999994</v>
      </c>
      <c r="G64" s="208">
        <v>-26632.36</v>
      </c>
      <c r="H64" s="208">
        <v>-48601.03</v>
      </c>
      <c r="I64" s="208">
        <v>31675.07</v>
      </c>
      <c r="J64" s="208">
        <v>56441.16</v>
      </c>
      <c r="K64" s="208">
        <v>-27362.99</v>
      </c>
      <c r="L64" s="208">
        <v>-3140.19</v>
      </c>
      <c r="M64" s="208">
        <v>-10824.18</v>
      </c>
      <c r="N64" s="208">
        <v>-57727.15</v>
      </c>
    </row>
    <row r="65" spans="1:14" x14ac:dyDescent="0.2">
      <c r="A65" s="215" t="s">
        <v>485</v>
      </c>
      <c r="B65" s="215"/>
      <c r="C65" s="215"/>
      <c r="D65" s="215"/>
      <c r="E65" s="215"/>
      <c r="F65" s="215"/>
      <c r="G65" s="215"/>
      <c r="H65" s="215"/>
      <c r="I65" s="215"/>
      <c r="J65" s="215"/>
      <c r="K65" s="215"/>
      <c r="L65" s="215"/>
      <c r="M65" s="215"/>
      <c r="N65" s="215"/>
    </row>
    <row r="66" spans="1:14" x14ac:dyDescent="0.2">
      <c r="A66" s="202" t="s">
        <v>578</v>
      </c>
      <c r="B66" s="202"/>
      <c r="C66" s="220">
        <v>491502.39</v>
      </c>
      <c r="D66" s="220">
        <v>774769.19</v>
      </c>
      <c r="E66" s="220">
        <v>744242.44</v>
      </c>
      <c r="F66" s="220">
        <v>676112.29</v>
      </c>
      <c r="G66" s="220">
        <v>649479.93000000005</v>
      </c>
      <c r="H66" s="220">
        <v>600878.9</v>
      </c>
      <c r="I66" s="220">
        <v>632553.97</v>
      </c>
      <c r="J66" s="220">
        <v>688995.13</v>
      </c>
      <c r="K66" s="220">
        <v>661632.14</v>
      </c>
      <c r="L66" s="220">
        <v>658491.94999999995</v>
      </c>
      <c r="M66" s="220">
        <v>647667.77</v>
      </c>
      <c r="N66" s="220">
        <v>589940.62</v>
      </c>
    </row>
    <row r="67" spans="1:14" x14ac:dyDescent="0.2">
      <c r="A67" s="215" t="s">
        <v>485</v>
      </c>
      <c r="B67" s="215"/>
      <c r="C67" s="215"/>
      <c r="D67" s="215"/>
      <c r="E67" s="215"/>
      <c r="F67" s="215"/>
      <c r="G67" s="215"/>
      <c r="H67" s="215"/>
      <c r="I67" s="215"/>
      <c r="J67" s="215"/>
      <c r="K67" s="215"/>
      <c r="L67" s="215"/>
      <c r="M67" s="215"/>
      <c r="N67" s="215"/>
    </row>
    <row r="68" spans="1:14" ht="13.5" thickBot="1" x14ac:dyDescent="0.25">
      <c r="A68" s="207" t="s">
        <v>579</v>
      </c>
      <c r="B68" s="207"/>
      <c r="C68" s="217">
        <v>503929.87</v>
      </c>
      <c r="D68" s="217">
        <v>790191.67</v>
      </c>
      <c r="E68" s="217">
        <v>750714.92</v>
      </c>
      <c r="F68" s="217">
        <v>710039.77</v>
      </c>
      <c r="G68" s="217">
        <v>656064.91</v>
      </c>
      <c r="H68" s="217">
        <v>623083.88</v>
      </c>
      <c r="I68" s="217">
        <v>649538.94999999995</v>
      </c>
      <c r="J68" s="217">
        <v>704168.05</v>
      </c>
      <c r="K68" s="217">
        <v>684960.05</v>
      </c>
      <c r="L68" s="217">
        <v>683378.34</v>
      </c>
      <c r="M68" s="217">
        <v>650785.25</v>
      </c>
      <c r="N68" s="217">
        <v>609260.57999999996</v>
      </c>
    </row>
    <row r="69" spans="1:14" ht="13.5" thickTop="1" x14ac:dyDescent="0.2">
      <c r="A69" s="203" t="s">
        <v>485</v>
      </c>
      <c r="B69" s="203"/>
      <c r="C69" s="203"/>
      <c r="D69" s="203"/>
      <c r="E69" s="203"/>
      <c r="F69" s="203"/>
      <c r="G69" s="203"/>
      <c r="H69" s="203"/>
      <c r="I69" s="203"/>
      <c r="J69" s="203"/>
      <c r="K69" s="203"/>
      <c r="L69" s="203"/>
      <c r="M69" s="203"/>
    </row>
    <row r="70" spans="1:14" x14ac:dyDescent="0.2">
      <c r="A70" s="203" t="s">
        <v>485</v>
      </c>
      <c r="B70" s="203"/>
      <c r="C70" s="203"/>
      <c r="D70" s="203"/>
      <c r="E70" s="203"/>
      <c r="F70" s="203"/>
      <c r="G70" s="203"/>
      <c r="H70" s="203"/>
      <c r="I70" s="203"/>
      <c r="J70" s="203"/>
      <c r="K70" s="203"/>
      <c r="L70" s="203"/>
      <c r="M70" s="203"/>
    </row>
    <row r="71" spans="1:14" x14ac:dyDescent="0.2">
      <c r="A71" s="202" t="s">
        <v>580</v>
      </c>
      <c r="B71" s="202"/>
      <c r="C71" s="202"/>
      <c r="D71" s="202"/>
      <c r="E71" s="202"/>
      <c r="F71" s="202"/>
      <c r="G71" s="202"/>
      <c r="H71" s="202"/>
      <c r="I71" s="202"/>
      <c r="J71" s="202"/>
      <c r="K71" s="202"/>
      <c r="L71" s="202"/>
      <c r="M71" s="202"/>
    </row>
    <row r="75" spans="1:14" x14ac:dyDescent="0.2">
      <c r="A75" s="199" t="s">
        <v>581</v>
      </c>
      <c r="C75" s="223">
        <v>56117.160000000033</v>
      </c>
    </row>
  </sheetData>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0D127-7D41-4E86-AEBC-BF8BA70E7925}">
  <sheetPr>
    <tabColor rgb="FF00B0F0"/>
  </sheetPr>
  <dimension ref="A2:X43"/>
  <sheetViews>
    <sheetView workbookViewId="0">
      <selection activeCell="C11" sqref="C11"/>
    </sheetView>
  </sheetViews>
  <sheetFormatPr defaultColWidth="8.77734375" defaultRowHeight="12.75" x14ac:dyDescent="0.2"/>
  <cols>
    <col min="1" max="1" width="35.77734375" style="162" customWidth="1"/>
    <col min="2" max="2" width="9.44140625" style="162" customWidth="1"/>
    <col min="3" max="16384" width="8.77734375" style="162"/>
  </cols>
  <sheetData>
    <row r="2" spans="1:24" x14ac:dyDescent="0.2">
      <c r="C2" s="190" t="s">
        <v>437</v>
      </c>
      <c r="D2" s="190" t="s">
        <v>438</v>
      </c>
      <c r="E2" s="190" t="s">
        <v>439</v>
      </c>
      <c r="F2" s="190" t="s">
        <v>440</v>
      </c>
      <c r="G2" s="190" t="s">
        <v>441</v>
      </c>
      <c r="H2" s="190" t="s">
        <v>442</v>
      </c>
      <c r="I2" s="190" t="s">
        <v>443</v>
      </c>
      <c r="J2" s="190" t="s">
        <v>444</v>
      </c>
      <c r="K2" s="190" t="s">
        <v>445</v>
      </c>
      <c r="L2" s="190" t="s">
        <v>446</v>
      </c>
      <c r="M2" s="190" t="s">
        <v>447</v>
      </c>
      <c r="N2" s="190" t="s">
        <v>448</v>
      </c>
      <c r="O2" s="191" t="s">
        <v>449</v>
      </c>
      <c r="P2" s="191" t="s">
        <v>450</v>
      </c>
      <c r="Q2" s="191" t="s">
        <v>451</v>
      </c>
      <c r="R2" s="191" t="s">
        <v>452</v>
      </c>
      <c r="S2" s="191" t="s">
        <v>453</v>
      </c>
      <c r="T2" s="191" t="s">
        <v>454</v>
      </c>
      <c r="U2" s="191" t="s">
        <v>455</v>
      </c>
      <c r="V2" s="191" t="s">
        <v>456</v>
      </c>
      <c r="W2" s="191" t="s">
        <v>457</v>
      </c>
      <c r="X2" s="192" t="s">
        <v>1</v>
      </c>
    </row>
    <row r="4" spans="1:24" x14ac:dyDescent="0.2">
      <c r="A4" s="193" t="s">
        <v>458</v>
      </c>
    </row>
    <row r="5" spans="1:24" x14ac:dyDescent="0.2">
      <c r="A5" s="185" t="s">
        <v>459</v>
      </c>
      <c r="C5" s="194">
        <v>282598.39</v>
      </c>
      <c r="D5" s="194">
        <v>283266.8</v>
      </c>
      <c r="E5" s="194">
        <v>-30526.75</v>
      </c>
      <c r="F5" s="194">
        <v>-68130.149999999994</v>
      </c>
      <c r="G5" s="194">
        <v>-26632.36</v>
      </c>
      <c r="H5" s="194">
        <v>-48601.03</v>
      </c>
      <c r="I5" s="194">
        <v>31675.07</v>
      </c>
      <c r="J5" s="194">
        <v>56441.16</v>
      </c>
      <c r="K5" s="194">
        <v>-27362.99</v>
      </c>
      <c r="L5" s="194">
        <v>-3140.19</v>
      </c>
      <c r="M5" s="194">
        <v>-10824.18</v>
      </c>
      <c r="N5" s="194">
        <v>-57727.15</v>
      </c>
      <c r="O5" s="194">
        <v>-11083.333333333336</v>
      </c>
      <c r="P5" s="194">
        <v>-11084.333333333336</v>
      </c>
      <c r="Q5" s="194">
        <v>-13585.333333333336</v>
      </c>
      <c r="R5" s="194">
        <v>-12586.333333333336</v>
      </c>
      <c r="S5" s="194">
        <v>-10587.333333333336</v>
      </c>
      <c r="T5" s="194">
        <v>-20088.333333333336</v>
      </c>
      <c r="U5" s="194">
        <v>-17589.333333333336</v>
      </c>
      <c r="V5" s="194">
        <v>-12590.333333333336</v>
      </c>
      <c r="W5" s="194">
        <v>-7591.3333333333358</v>
      </c>
    </row>
    <row r="6" spans="1:24" x14ac:dyDescent="0.2">
      <c r="A6" s="162" t="s">
        <v>460</v>
      </c>
      <c r="C6" s="194"/>
      <c r="D6" s="194"/>
      <c r="E6" s="194"/>
      <c r="F6" s="194"/>
      <c r="G6" s="194"/>
      <c r="H6" s="194"/>
      <c r="I6" s="194"/>
      <c r="J6" s="194"/>
      <c r="K6" s="194"/>
      <c r="L6" s="194"/>
      <c r="M6" s="194"/>
      <c r="N6" s="194"/>
      <c r="O6" s="194"/>
      <c r="P6" s="194"/>
      <c r="Q6" s="194"/>
      <c r="R6" s="194"/>
      <c r="S6" s="194"/>
      <c r="T6" s="194"/>
      <c r="U6" s="194"/>
      <c r="V6" s="194"/>
      <c r="W6" s="194"/>
    </row>
    <row r="7" spans="1:24" x14ac:dyDescent="0.2">
      <c r="A7" s="195" t="s">
        <v>461</v>
      </c>
      <c r="C7" s="194"/>
      <c r="D7" s="194">
        <v>-56117.160000000033</v>
      </c>
      <c r="E7" s="194">
        <v>8627.2900000000009</v>
      </c>
      <c r="F7" s="194">
        <v>-65324.959999999999</v>
      </c>
      <c r="G7" s="194">
        <v>117293.86</v>
      </c>
      <c r="H7" s="194">
        <v>-44311.97</v>
      </c>
      <c r="I7" s="194">
        <v>4294.8300000000017</v>
      </c>
      <c r="J7" s="194">
        <v>12394.32</v>
      </c>
      <c r="K7" s="194">
        <v>27622.82</v>
      </c>
      <c r="L7" s="194">
        <v>-18818.72</v>
      </c>
      <c r="M7" s="194">
        <v>-15651.960000000001</v>
      </c>
      <c r="N7" s="194">
        <v>-14149.849999999999</v>
      </c>
      <c r="O7" s="194">
        <v>41891.5</v>
      </c>
      <c r="P7" s="194">
        <v>0</v>
      </c>
      <c r="Q7" s="194">
        <v>0</v>
      </c>
      <c r="R7" s="194">
        <v>0</v>
      </c>
      <c r="S7" s="194">
        <v>0</v>
      </c>
      <c r="T7" s="194">
        <v>0</v>
      </c>
      <c r="U7" s="194">
        <v>0</v>
      </c>
      <c r="V7" s="194">
        <v>0</v>
      </c>
      <c r="W7" s="194">
        <v>0</v>
      </c>
    </row>
    <row r="8" spans="1:24" x14ac:dyDescent="0.2">
      <c r="C8" s="194"/>
      <c r="D8" s="194"/>
      <c r="E8" s="194"/>
      <c r="F8" s="194"/>
      <c r="G8" s="194"/>
      <c r="H8" s="194"/>
      <c r="I8" s="194"/>
      <c r="J8" s="194"/>
      <c r="K8" s="194"/>
      <c r="L8" s="194"/>
      <c r="M8" s="194"/>
      <c r="N8" s="194"/>
      <c r="O8" s="194"/>
      <c r="P8" s="194"/>
      <c r="Q8" s="194"/>
      <c r="R8" s="194"/>
      <c r="S8" s="194"/>
      <c r="T8" s="194"/>
      <c r="U8" s="194"/>
      <c r="V8" s="194"/>
      <c r="W8" s="194"/>
    </row>
    <row r="9" spans="1:24" x14ac:dyDescent="0.2">
      <c r="A9" s="185" t="s">
        <v>462</v>
      </c>
      <c r="C9" s="194"/>
      <c r="D9" s="194"/>
      <c r="E9" s="194"/>
      <c r="F9" s="194"/>
      <c r="G9" s="194"/>
      <c r="H9" s="194"/>
      <c r="I9" s="194"/>
      <c r="J9" s="194"/>
      <c r="K9" s="194"/>
      <c r="L9" s="194"/>
      <c r="M9" s="194"/>
      <c r="N9" s="194"/>
      <c r="O9" s="194"/>
      <c r="P9" s="194"/>
      <c r="Q9" s="194"/>
      <c r="R9" s="194"/>
      <c r="S9" s="194"/>
      <c r="T9" s="194"/>
      <c r="U9" s="194"/>
      <c r="V9" s="194"/>
      <c r="W9" s="194"/>
    </row>
    <row r="10" spans="1:24" x14ac:dyDescent="0.2">
      <c r="A10" s="195" t="s">
        <v>463</v>
      </c>
      <c r="C10" s="194">
        <v>7057.27</v>
      </c>
      <c r="D10" s="194">
        <v>0</v>
      </c>
      <c r="E10" s="194">
        <v>0</v>
      </c>
      <c r="F10" s="194">
        <v>0</v>
      </c>
      <c r="G10" s="194">
        <v>0</v>
      </c>
      <c r="H10" s="194">
        <v>0</v>
      </c>
      <c r="I10" s="194">
        <v>0</v>
      </c>
      <c r="J10" s="194">
        <v>0</v>
      </c>
      <c r="K10" s="194">
        <v>0</v>
      </c>
      <c r="L10" s="194">
        <v>0</v>
      </c>
      <c r="M10" s="194">
        <v>0</v>
      </c>
      <c r="N10" s="194">
        <v>0</v>
      </c>
      <c r="O10" s="194">
        <v>0</v>
      </c>
      <c r="P10" s="194">
        <v>0</v>
      </c>
      <c r="Q10" s="194">
        <v>0</v>
      </c>
      <c r="R10" s="194">
        <v>0</v>
      </c>
      <c r="S10" s="194">
        <v>0</v>
      </c>
      <c r="T10" s="194">
        <v>0</v>
      </c>
      <c r="U10" s="194">
        <v>0</v>
      </c>
      <c r="V10" s="194">
        <v>0</v>
      </c>
      <c r="W10" s="194">
        <v>0</v>
      </c>
    </row>
    <row r="11" spans="1:24" x14ac:dyDescent="0.2">
      <c r="A11" s="195" t="s">
        <v>464</v>
      </c>
      <c r="C11" s="194">
        <v>8405</v>
      </c>
      <c r="D11" s="194">
        <v>2995</v>
      </c>
      <c r="E11" s="194">
        <v>-8950</v>
      </c>
      <c r="F11" s="194">
        <v>27455</v>
      </c>
      <c r="G11" s="194">
        <v>-27342.5</v>
      </c>
      <c r="H11" s="194">
        <v>15620</v>
      </c>
      <c r="I11" s="194">
        <v>-5220</v>
      </c>
      <c r="J11" s="194">
        <v>-1812.0599999999995</v>
      </c>
      <c r="K11" s="194">
        <v>9154.99</v>
      </c>
      <c r="L11" s="194">
        <v>1558.4799999999996</v>
      </c>
      <c r="M11" s="194">
        <v>-21768.91</v>
      </c>
      <c r="N11" s="194">
        <v>16202.48</v>
      </c>
      <c r="O11" s="194">
        <v>-16297.48</v>
      </c>
      <c r="P11" s="194">
        <v>0</v>
      </c>
      <c r="Q11" s="194">
        <v>0</v>
      </c>
      <c r="R11" s="194">
        <v>0</v>
      </c>
      <c r="S11" s="194">
        <v>0</v>
      </c>
      <c r="T11" s="194">
        <v>0</v>
      </c>
      <c r="U11" s="194">
        <v>0</v>
      </c>
      <c r="V11" s="194">
        <v>0</v>
      </c>
      <c r="W11" s="194">
        <v>0</v>
      </c>
    </row>
    <row r="12" spans="1:24" x14ac:dyDescent="0.2">
      <c r="C12" s="194"/>
      <c r="D12" s="194"/>
      <c r="E12" s="194"/>
      <c r="F12" s="194"/>
      <c r="G12" s="194"/>
      <c r="H12" s="194"/>
      <c r="I12" s="194"/>
      <c r="J12" s="194"/>
      <c r="K12" s="194"/>
      <c r="L12" s="194"/>
      <c r="M12" s="194"/>
      <c r="N12" s="194"/>
      <c r="O12" s="194"/>
      <c r="P12" s="194"/>
      <c r="Q12" s="194"/>
      <c r="R12" s="194"/>
      <c r="S12" s="194"/>
      <c r="T12" s="194"/>
      <c r="U12" s="194"/>
      <c r="V12" s="194"/>
      <c r="W12" s="194"/>
    </row>
    <row r="13" spans="1:24" x14ac:dyDescent="0.2">
      <c r="A13" s="185" t="s">
        <v>465</v>
      </c>
      <c r="C13" s="194">
        <f>SUM(C7:C11)</f>
        <v>15462.27</v>
      </c>
      <c r="D13" s="194">
        <f t="shared" ref="D13:V13" si="0">SUM(D7:D11)</f>
        <v>-53122.160000000033</v>
      </c>
      <c r="E13" s="194">
        <f t="shared" si="0"/>
        <v>-322.70999999999913</v>
      </c>
      <c r="F13" s="194">
        <f t="shared" si="0"/>
        <v>-37869.96</v>
      </c>
      <c r="G13" s="194">
        <f t="shared" si="0"/>
        <v>89951.360000000001</v>
      </c>
      <c r="H13" s="194">
        <f t="shared" si="0"/>
        <v>-28691.97</v>
      </c>
      <c r="I13" s="194">
        <f t="shared" si="0"/>
        <v>-925.16999999999825</v>
      </c>
      <c r="J13" s="194">
        <f t="shared" si="0"/>
        <v>10582.26</v>
      </c>
      <c r="K13" s="194">
        <f t="shared" si="0"/>
        <v>36777.81</v>
      </c>
      <c r="L13" s="194">
        <f t="shared" si="0"/>
        <v>-17260.240000000002</v>
      </c>
      <c r="M13" s="194">
        <f t="shared" si="0"/>
        <v>-37420.870000000003</v>
      </c>
      <c r="N13" s="194">
        <f t="shared" si="0"/>
        <v>2052.630000000001</v>
      </c>
      <c r="O13" s="194">
        <f t="shared" si="0"/>
        <v>25594.02</v>
      </c>
      <c r="P13" s="194">
        <f t="shared" si="0"/>
        <v>0</v>
      </c>
      <c r="Q13" s="194">
        <f t="shared" si="0"/>
        <v>0</v>
      </c>
      <c r="R13" s="194">
        <f t="shared" si="0"/>
        <v>0</v>
      </c>
      <c r="S13" s="194">
        <f t="shared" si="0"/>
        <v>0</v>
      </c>
      <c r="T13" s="194">
        <f t="shared" si="0"/>
        <v>0</v>
      </c>
      <c r="U13" s="194">
        <f t="shared" si="0"/>
        <v>0</v>
      </c>
      <c r="V13" s="194">
        <f t="shared" si="0"/>
        <v>0</v>
      </c>
      <c r="W13" s="194"/>
    </row>
    <row r="14" spans="1:24" x14ac:dyDescent="0.2">
      <c r="C14" s="194"/>
      <c r="D14" s="194"/>
      <c r="E14" s="194"/>
      <c r="F14" s="194"/>
      <c r="G14" s="194"/>
      <c r="H14" s="194"/>
      <c r="I14" s="194"/>
      <c r="J14" s="194"/>
      <c r="K14" s="194"/>
      <c r="L14" s="194"/>
      <c r="M14" s="194"/>
      <c r="N14" s="194"/>
      <c r="O14" s="194"/>
      <c r="P14" s="194"/>
      <c r="Q14" s="194"/>
      <c r="R14" s="194"/>
      <c r="S14" s="194"/>
      <c r="T14" s="194"/>
      <c r="U14" s="194"/>
      <c r="V14" s="194"/>
      <c r="W14" s="194"/>
    </row>
    <row r="15" spans="1:24" ht="13.5" thickBot="1" x14ac:dyDescent="0.25">
      <c r="A15" s="193" t="s">
        <v>466</v>
      </c>
      <c r="C15" s="196">
        <f>C5+C13</f>
        <v>298060.66000000003</v>
      </c>
      <c r="D15" s="196">
        <f t="shared" ref="D15:W15" si="1">D5+D13</f>
        <v>230144.63999999996</v>
      </c>
      <c r="E15" s="196">
        <f t="shared" si="1"/>
        <v>-30849.46</v>
      </c>
      <c r="F15" s="196">
        <f t="shared" si="1"/>
        <v>-106000.10999999999</v>
      </c>
      <c r="G15" s="196">
        <f t="shared" si="1"/>
        <v>63319</v>
      </c>
      <c r="H15" s="196">
        <f t="shared" si="1"/>
        <v>-77293</v>
      </c>
      <c r="I15" s="196">
        <f t="shared" si="1"/>
        <v>30749.9</v>
      </c>
      <c r="J15" s="196">
        <f t="shared" si="1"/>
        <v>67023.42</v>
      </c>
      <c r="K15" s="196">
        <f t="shared" si="1"/>
        <v>9414.8199999999961</v>
      </c>
      <c r="L15" s="196">
        <f t="shared" si="1"/>
        <v>-20400.43</v>
      </c>
      <c r="M15" s="196">
        <f t="shared" si="1"/>
        <v>-48245.05</v>
      </c>
      <c r="N15" s="196">
        <f t="shared" si="1"/>
        <v>-55674.520000000004</v>
      </c>
      <c r="O15" s="196">
        <f t="shared" si="1"/>
        <v>14510.686666666665</v>
      </c>
      <c r="P15" s="196">
        <f t="shared" si="1"/>
        <v>-11084.333333333336</v>
      </c>
      <c r="Q15" s="196">
        <f t="shared" si="1"/>
        <v>-13585.333333333336</v>
      </c>
      <c r="R15" s="196">
        <f t="shared" si="1"/>
        <v>-12586.333333333336</v>
      </c>
      <c r="S15" s="196">
        <f t="shared" si="1"/>
        <v>-10587.333333333336</v>
      </c>
      <c r="T15" s="196">
        <f t="shared" si="1"/>
        <v>-20088.333333333336</v>
      </c>
      <c r="U15" s="196">
        <f t="shared" si="1"/>
        <v>-17589.333333333336</v>
      </c>
      <c r="V15" s="196">
        <f t="shared" si="1"/>
        <v>-12590.333333333336</v>
      </c>
      <c r="W15" s="196">
        <f t="shared" si="1"/>
        <v>-7591.3333333333358</v>
      </c>
    </row>
    <row r="16" spans="1:24" ht="13.5" thickTop="1" x14ac:dyDescent="0.2">
      <c r="C16" s="194"/>
      <c r="D16" s="194"/>
      <c r="E16" s="194"/>
      <c r="F16" s="194"/>
      <c r="G16" s="194"/>
      <c r="H16" s="194"/>
      <c r="I16" s="194"/>
      <c r="J16" s="194"/>
      <c r="K16" s="194"/>
      <c r="L16" s="194"/>
      <c r="M16" s="194"/>
      <c r="N16" s="194"/>
      <c r="O16" s="194"/>
      <c r="P16" s="194"/>
      <c r="Q16" s="194"/>
      <c r="R16" s="194"/>
      <c r="S16" s="194"/>
      <c r="T16" s="194"/>
      <c r="U16" s="194"/>
      <c r="V16" s="194"/>
      <c r="W16" s="194"/>
    </row>
    <row r="17" spans="1:23" x14ac:dyDescent="0.2">
      <c r="A17" s="193" t="s">
        <v>467</v>
      </c>
      <c r="C17" s="194"/>
      <c r="D17" s="194"/>
      <c r="E17" s="194"/>
      <c r="F17" s="194"/>
      <c r="G17" s="194"/>
      <c r="H17" s="194"/>
      <c r="I17" s="194"/>
      <c r="J17" s="194"/>
      <c r="K17" s="194"/>
      <c r="L17" s="194"/>
      <c r="M17" s="194"/>
      <c r="N17" s="194"/>
      <c r="O17" s="194"/>
      <c r="P17" s="194"/>
      <c r="Q17" s="194"/>
      <c r="R17" s="194"/>
      <c r="S17" s="194"/>
      <c r="T17" s="194"/>
      <c r="U17" s="194"/>
      <c r="V17" s="194"/>
      <c r="W17" s="194"/>
    </row>
    <row r="18" spans="1:23" x14ac:dyDescent="0.2">
      <c r="A18" s="195" t="s">
        <v>468</v>
      </c>
      <c r="C18" s="194"/>
      <c r="D18" s="194">
        <v>430446.6</v>
      </c>
      <c r="E18" s="194"/>
      <c r="F18" s="194"/>
      <c r="G18" s="194"/>
      <c r="H18" s="194"/>
      <c r="I18" s="194"/>
      <c r="J18" s="194"/>
      <c r="K18" s="194"/>
      <c r="L18" s="194"/>
      <c r="M18" s="194"/>
      <c r="N18" s="194"/>
      <c r="O18" s="194"/>
      <c r="P18" s="194"/>
      <c r="Q18" s="194"/>
      <c r="R18" s="194"/>
      <c r="S18" s="194"/>
      <c r="T18" s="194"/>
      <c r="U18" s="194"/>
      <c r="V18" s="194"/>
      <c r="W18" s="194"/>
    </row>
    <row r="19" spans="1:23" x14ac:dyDescent="0.2">
      <c r="C19" s="194"/>
      <c r="D19" s="194"/>
      <c r="E19" s="194"/>
      <c r="F19" s="194"/>
      <c r="G19" s="194"/>
      <c r="H19" s="194"/>
      <c r="I19" s="194"/>
      <c r="J19" s="194"/>
      <c r="K19" s="194"/>
      <c r="L19" s="194"/>
      <c r="M19" s="194"/>
      <c r="N19" s="194"/>
      <c r="O19" s="194"/>
      <c r="P19" s="194"/>
      <c r="Q19" s="194"/>
      <c r="R19" s="194"/>
      <c r="S19" s="194"/>
      <c r="T19" s="194"/>
      <c r="U19" s="194"/>
      <c r="V19" s="194"/>
      <c r="W19" s="194"/>
    </row>
    <row r="20" spans="1:23" ht="13.5" thickBot="1" x14ac:dyDescent="0.25">
      <c r="A20" s="193" t="s">
        <v>469</v>
      </c>
      <c r="C20" s="196">
        <f>SUM(C18:C19)</f>
        <v>0</v>
      </c>
      <c r="D20" s="196">
        <f t="shared" ref="D20:W20" si="2">SUM(D18:D19)</f>
        <v>430446.6</v>
      </c>
      <c r="E20" s="196">
        <f t="shared" si="2"/>
        <v>0</v>
      </c>
      <c r="F20" s="196">
        <f t="shared" si="2"/>
        <v>0</v>
      </c>
      <c r="G20" s="196">
        <f t="shared" si="2"/>
        <v>0</v>
      </c>
      <c r="H20" s="196">
        <f t="shared" si="2"/>
        <v>0</v>
      </c>
      <c r="I20" s="196">
        <f t="shared" si="2"/>
        <v>0</v>
      </c>
      <c r="J20" s="196">
        <f t="shared" si="2"/>
        <v>0</v>
      </c>
      <c r="K20" s="196">
        <f t="shared" si="2"/>
        <v>0</v>
      </c>
      <c r="L20" s="196">
        <f t="shared" si="2"/>
        <v>0</v>
      </c>
      <c r="M20" s="196">
        <f t="shared" si="2"/>
        <v>0</v>
      </c>
      <c r="N20" s="196">
        <f t="shared" si="2"/>
        <v>0</v>
      </c>
      <c r="O20" s="196">
        <f t="shared" si="2"/>
        <v>0</v>
      </c>
      <c r="P20" s="196">
        <f t="shared" si="2"/>
        <v>0</v>
      </c>
      <c r="Q20" s="196">
        <f t="shared" si="2"/>
        <v>0</v>
      </c>
      <c r="R20" s="196">
        <f t="shared" si="2"/>
        <v>0</v>
      </c>
      <c r="S20" s="196">
        <f t="shared" si="2"/>
        <v>0</v>
      </c>
      <c r="T20" s="196">
        <f t="shared" si="2"/>
        <v>0</v>
      </c>
      <c r="U20" s="196">
        <f t="shared" si="2"/>
        <v>0</v>
      </c>
      <c r="V20" s="196">
        <f t="shared" si="2"/>
        <v>0</v>
      </c>
      <c r="W20" s="196">
        <f t="shared" si="2"/>
        <v>0</v>
      </c>
    </row>
    <row r="21" spans="1:23" ht="13.5" thickTop="1" x14ac:dyDescent="0.2">
      <c r="C21" s="194"/>
      <c r="D21" s="194"/>
      <c r="E21" s="194"/>
      <c r="F21" s="194"/>
      <c r="G21" s="194"/>
      <c r="H21" s="194"/>
      <c r="I21" s="194"/>
      <c r="J21" s="194"/>
      <c r="K21" s="194"/>
      <c r="L21" s="194"/>
      <c r="M21" s="194"/>
      <c r="N21" s="194"/>
      <c r="O21" s="194"/>
      <c r="P21" s="194"/>
      <c r="Q21" s="194"/>
      <c r="R21" s="194"/>
      <c r="S21" s="194"/>
      <c r="T21" s="194"/>
      <c r="U21" s="194"/>
      <c r="V21" s="194"/>
      <c r="W21" s="194"/>
    </row>
    <row r="22" spans="1:23" x14ac:dyDescent="0.2">
      <c r="A22" s="193" t="s">
        <v>470</v>
      </c>
      <c r="C22" s="194"/>
      <c r="D22" s="194"/>
      <c r="E22" s="194"/>
      <c r="F22" s="194"/>
      <c r="G22" s="194"/>
      <c r="H22" s="194"/>
      <c r="I22" s="194"/>
      <c r="J22" s="194"/>
      <c r="K22" s="194"/>
      <c r="L22" s="194"/>
      <c r="M22" s="194"/>
      <c r="N22" s="194"/>
      <c r="O22" s="194"/>
      <c r="P22" s="194"/>
      <c r="Q22" s="194"/>
      <c r="R22" s="194"/>
      <c r="S22" s="194"/>
      <c r="T22" s="194"/>
      <c r="U22" s="194"/>
      <c r="V22" s="194"/>
      <c r="W22" s="194"/>
    </row>
    <row r="23" spans="1:23" x14ac:dyDescent="0.2">
      <c r="A23" s="162" t="s">
        <v>471</v>
      </c>
      <c r="C23" s="194"/>
      <c r="D23" s="194"/>
      <c r="E23" s="194"/>
      <c r="F23" s="194"/>
      <c r="G23" s="194"/>
      <c r="H23" s="194"/>
      <c r="I23" s="194"/>
      <c r="J23" s="194">
        <v>-155727</v>
      </c>
      <c r="K23" s="194"/>
      <c r="L23" s="194"/>
      <c r="M23" s="194"/>
      <c r="N23" s="194"/>
      <c r="O23" s="194"/>
      <c r="P23" s="194"/>
      <c r="Q23" s="194"/>
      <c r="R23" s="194"/>
      <c r="S23" s="194"/>
      <c r="T23" s="194"/>
      <c r="U23" s="194"/>
      <c r="V23" s="194"/>
      <c r="W23" s="194"/>
    </row>
    <row r="24" spans="1:23" x14ac:dyDescent="0.2">
      <c r="A24" s="162" t="s">
        <v>472</v>
      </c>
      <c r="C24" s="194"/>
      <c r="D24" s="194"/>
      <c r="E24" s="194"/>
      <c r="F24" s="194"/>
      <c r="G24" s="194"/>
      <c r="H24" s="194"/>
      <c r="I24" s="194"/>
      <c r="J24" s="194"/>
      <c r="K24" s="194"/>
      <c r="L24" s="194">
        <v>-62500</v>
      </c>
      <c r="M24" s="194"/>
      <c r="N24" s="194"/>
      <c r="O24" s="194"/>
      <c r="P24" s="194"/>
      <c r="Q24" s="194"/>
      <c r="R24" s="194"/>
      <c r="S24" s="194"/>
      <c r="T24" s="194"/>
      <c r="U24" s="194"/>
      <c r="V24" s="194"/>
      <c r="W24" s="194"/>
    </row>
    <row r="25" spans="1:23" x14ac:dyDescent="0.2">
      <c r="C25" s="194"/>
      <c r="D25" s="194"/>
      <c r="E25" s="194"/>
      <c r="F25" s="194"/>
      <c r="G25" s="194"/>
      <c r="H25" s="194"/>
      <c r="I25" s="194"/>
      <c r="J25" s="194"/>
      <c r="K25" s="194"/>
      <c r="L25" s="194"/>
      <c r="M25" s="194"/>
      <c r="N25" s="194"/>
      <c r="O25" s="194"/>
      <c r="P25" s="194"/>
      <c r="Q25" s="194"/>
      <c r="R25" s="194"/>
      <c r="S25" s="194"/>
      <c r="T25" s="194"/>
      <c r="U25" s="194"/>
      <c r="V25" s="194"/>
      <c r="W25" s="194"/>
    </row>
    <row r="26" spans="1:23" x14ac:dyDescent="0.2">
      <c r="C26" s="194"/>
      <c r="D26" s="194"/>
      <c r="E26" s="194"/>
      <c r="F26" s="194"/>
      <c r="G26" s="194"/>
      <c r="H26" s="194"/>
      <c r="I26" s="194"/>
      <c r="J26" s="194"/>
      <c r="K26" s="194"/>
      <c r="L26" s="194"/>
      <c r="M26" s="194"/>
      <c r="N26" s="194"/>
      <c r="O26" s="194"/>
      <c r="P26" s="194"/>
      <c r="Q26" s="194"/>
      <c r="R26" s="194"/>
      <c r="S26" s="194"/>
      <c r="T26" s="194"/>
      <c r="U26" s="194"/>
      <c r="V26" s="194"/>
      <c r="W26" s="194"/>
    </row>
    <row r="27" spans="1:23" ht="13.5" thickBot="1" x14ac:dyDescent="0.25">
      <c r="A27" s="193" t="s">
        <v>473</v>
      </c>
      <c r="C27" s="196">
        <f>SUM(C23:C25)</f>
        <v>0</v>
      </c>
      <c r="D27" s="196">
        <f t="shared" ref="D27:W27" si="3">SUM(D23:D25)</f>
        <v>0</v>
      </c>
      <c r="E27" s="196">
        <f t="shared" si="3"/>
        <v>0</v>
      </c>
      <c r="F27" s="196">
        <f t="shared" si="3"/>
        <v>0</v>
      </c>
      <c r="G27" s="196">
        <f t="shared" si="3"/>
        <v>0</v>
      </c>
      <c r="H27" s="196">
        <f t="shared" si="3"/>
        <v>0</v>
      </c>
      <c r="I27" s="196">
        <f t="shared" si="3"/>
        <v>0</v>
      </c>
      <c r="J27" s="196">
        <f t="shared" si="3"/>
        <v>-155727</v>
      </c>
      <c r="K27" s="196">
        <f t="shared" si="3"/>
        <v>0</v>
      </c>
      <c r="L27" s="196">
        <f t="shared" si="3"/>
        <v>-62500</v>
      </c>
      <c r="M27" s="196">
        <f t="shared" si="3"/>
        <v>0</v>
      </c>
      <c r="N27" s="196">
        <f t="shared" si="3"/>
        <v>0</v>
      </c>
      <c r="O27" s="196">
        <f t="shared" si="3"/>
        <v>0</v>
      </c>
      <c r="P27" s="196">
        <f t="shared" si="3"/>
        <v>0</v>
      </c>
      <c r="Q27" s="196">
        <f t="shared" si="3"/>
        <v>0</v>
      </c>
      <c r="R27" s="196">
        <f t="shared" si="3"/>
        <v>0</v>
      </c>
      <c r="S27" s="196">
        <f t="shared" si="3"/>
        <v>0</v>
      </c>
      <c r="T27" s="196">
        <f t="shared" si="3"/>
        <v>0</v>
      </c>
      <c r="U27" s="196">
        <f t="shared" si="3"/>
        <v>0</v>
      </c>
      <c r="V27" s="196">
        <f t="shared" si="3"/>
        <v>0</v>
      </c>
      <c r="W27" s="196">
        <f t="shared" si="3"/>
        <v>0</v>
      </c>
    </row>
    <row r="28" spans="1:23" ht="13.5" thickTop="1" x14ac:dyDescent="0.2">
      <c r="C28" s="194"/>
      <c r="D28" s="194"/>
      <c r="E28" s="194"/>
      <c r="F28" s="194"/>
      <c r="G28" s="194"/>
      <c r="H28" s="194"/>
      <c r="I28" s="194"/>
      <c r="J28" s="194"/>
      <c r="K28" s="194"/>
      <c r="L28" s="194"/>
      <c r="M28" s="194"/>
      <c r="N28" s="194"/>
      <c r="O28" s="194"/>
      <c r="P28" s="194"/>
      <c r="Q28" s="194"/>
      <c r="R28" s="194"/>
      <c r="S28" s="194"/>
      <c r="T28" s="194"/>
      <c r="U28" s="194"/>
      <c r="V28" s="194"/>
      <c r="W28" s="194"/>
    </row>
    <row r="29" spans="1:23" ht="13.5" thickBot="1" x14ac:dyDescent="0.25">
      <c r="A29" s="185" t="s">
        <v>474</v>
      </c>
      <c r="C29" s="196"/>
      <c r="D29" s="196">
        <f>D15+D20+D27</f>
        <v>660591.24</v>
      </c>
      <c r="E29" s="196">
        <f t="shared" ref="E29:W29" si="4">E15+E20+E27</f>
        <v>-30849.46</v>
      </c>
      <c r="F29" s="196">
        <f t="shared" si="4"/>
        <v>-106000.10999999999</v>
      </c>
      <c r="G29" s="196">
        <f t="shared" si="4"/>
        <v>63319</v>
      </c>
      <c r="H29" s="196">
        <f t="shared" si="4"/>
        <v>-77293</v>
      </c>
      <c r="I29" s="196">
        <f t="shared" si="4"/>
        <v>30749.9</v>
      </c>
      <c r="J29" s="196">
        <f t="shared" si="4"/>
        <v>-88703.58</v>
      </c>
      <c r="K29" s="196">
        <f t="shared" si="4"/>
        <v>9414.8199999999961</v>
      </c>
      <c r="L29" s="196">
        <f t="shared" si="4"/>
        <v>-82900.429999999993</v>
      </c>
      <c r="M29" s="196">
        <f t="shared" si="4"/>
        <v>-48245.05</v>
      </c>
      <c r="N29" s="196">
        <f t="shared" si="4"/>
        <v>-55674.520000000004</v>
      </c>
      <c r="O29" s="196">
        <f t="shared" si="4"/>
        <v>14510.686666666665</v>
      </c>
      <c r="P29" s="196">
        <f t="shared" si="4"/>
        <v>-11084.333333333336</v>
      </c>
      <c r="Q29" s="196">
        <f t="shared" si="4"/>
        <v>-13585.333333333336</v>
      </c>
      <c r="R29" s="196">
        <f t="shared" si="4"/>
        <v>-12586.333333333336</v>
      </c>
      <c r="S29" s="196">
        <f t="shared" si="4"/>
        <v>-10587.333333333336</v>
      </c>
      <c r="T29" s="196">
        <f t="shared" si="4"/>
        <v>-20088.333333333336</v>
      </c>
      <c r="U29" s="196">
        <f t="shared" si="4"/>
        <v>-17589.333333333336</v>
      </c>
      <c r="V29" s="196">
        <f t="shared" si="4"/>
        <v>-12590.333333333336</v>
      </c>
      <c r="W29" s="196">
        <f t="shared" si="4"/>
        <v>-7591.3333333333358</v>
      </c>
    </row>
    <row r="30" spans="1:23" ht="13.5" thickTop="1" x14ac:dyDescent="0.2">
      <c r="C30" s="194"/>
      <c r="D30" s="194"/>
      <c r="E30" s="194"/>
      <c r="F30" s="194"/>
      <c r="G30" s="194"/>
      <c r="H30" s="194"/>
      <c r="I30" s="194"/>
      <c r="J30" s="194"/>
      <c r="K30" s="194"/>
      <c r="L30" s="194"/>
      <c r="M30" s="194"/>
      <c r="N30" s="194"/>
      <c r="O30" s="194"/>
      <c r="P30" s="194"/>
      <c r="Q30" s="194"/>
      <c r="R30" s="194"/>
      <c r="S30" s="194"/>
      <c r="T30" s="194"/>
      <c r="U30" s="194"/>
      <c r="V30" s="194"/>
      <c r="W30" s="194"/>
    </row>
    <row r="31" spans="1:23" x14ac:dyDescent="0.2">
      <c r="A31" s="185" t="s">
        <v>475</v>
      </c>
      <c r="C31" s="194"/>
      <c r="D31" s="194">
        <v>68676</v>
      </c>
      <c r="E31" s="194">
        <v>729267.24</v>
      </c>
      <c r="F31" s="194">
        <v>698417.78</v>
      </c>
      <c r="G31" s="194">
        <v>592417.67000000004</v>
      </c>
      <c r="H31" s="194">
        <v>655736.67000000004</v>
      </c>
      <c r="I31" s="194">
        <v>578443.67000000004</v>
      </c>
      <c r="J31" s="194">
        <v>609193.56999999995</v>
      </c>
      <c r="K31" s="194">
        <v>520489.99</v>
      </c>
      <c r="L31" s="194">
        <v>530268.44999999995</v>
      </c>
      <c r="M31" s="194">
        <v>447368.02</v>
      </c>
      <c r="N31" s="194">
        <v>399122.97</v>
      </c>
      <c r="O31" s="194">
        <v>343448.45</v>
      </c>
      <c r="P31" s="194">
        <f>O33</f>
        <v>357959.13666666666</v>
      </c>
      <c r="Q31" s="194">
        <f t="shared" ref="Q31:W31" si="5">P33</f>
        <v>346874.80333333334</v>
      </c>
      <c r="R31" s="194">
        <f t="shared" si="5"/>
        <v>333289.47000000003</v>
      </c>
      <c r="S31" s="194">
        <f t="shared" si="5"/>
        <v>320703.13666666672</v>
      </c>
      <c r="T31" s="194">
        <f t="shared" si="5"/>
        <v>310115.8033333334</v>
      </c>
      <c r="U31" s="194">
        <f t="shared" si="5"/>
        <v>290027.47000000009</v>
      </c>
      <c r="V31" s="194">
        <f t="shared" si="5"/>
        <v>272438.13666666677</v>
      </c>
      <c r="W31" s="194">
        <f t="shared" si="5"/>
        <v>259847.80333333343</v>
      </c>
    </row>
    <row r="32" spans="1:23" x14ac:dyDescent="0.2">
      <c r="A32" s="162" t="s">
        <v>476</v>
      </c>
      <c r="C32" s="194"/>
      <c r="D32" s="194"/>
      <c r="E32" s="194"/>
      <c r="F32" s="194"/>
      <c r="G32" s="194"/>
      <c r="H32" s="194"/>
      <c r="I32" s="194"/>
      <c r="J32" s="194"/>
      <c r="K32" s="194"/>
      <c r="L32" s="194"/>
      <c r="M32" s="194"/>
      <c r="N32" s="194"/>
      <c r="O32" s="194"/>
      <c r="P32" s="194"/>
      <c r="Q32" s="194"/>
      <c r="R32" s="194"/>
      <c r="S32" s="194"/>
      <c r="T32" s="194"/>
      <c r="U32" s="194"/>
      <c r="V32" s="194"/>
      <c r="W32" s="194"/>
    </row>
    <row r="33" spans="1:23" ht="13.5" thickBot="1" x14ac:dyDescent="0.25">
      <c r="A33" s="193" t="s">
        <v>477</v>
      </c>
      <c r="C33" s="196"/>
      <c r="D33" s="196">
        <f>D29+D31+D32</f>
        <v>729267.24</v>
      </c>
      <c r="E33" s="196">
        <f t="shared" ref="E33:W33" si="6">E29+E31+E32</f>
        <v>698417.78</v>
      </c>
      <c r="F33" s="196">
        <f t="shared" si="6"/>
        <v>592417.67000000004</v>
      </c>
      <c r="G33" s="196">
        <f t="shared" si="6"/>
        <v>655736.67000000004</v>
      </c>
      <c r="H33" s="196">
        <f t="shared" si="6"/>
        <v>578443.67000000004</v>
      </c>
      <c r="I33" s="196">
        <f t="shared" si="6"/>
        <v>609193.57000000007</v>
      </c>
      <c r="J33" s="196">
        <f t="shared" si="6"/>
        <v>520489.98999999993</v>
      </c>
      <c r="K33" s="196">
        <f t="shared" si="6"/>
        <v>529904.80999999994</v>
      </c>
      <c r="L33" s="196">
        <f t="shared" si="6"/>
        <v>447368.01999999996</v>
      </c>
      <c r="M33" s="196">
        <f t="shared" si="6"/>
        <v>399122.97000000003</v>
      </c>
      <c r="N33" s="196">
        <f t="shared" si="6"/>
        <v>343448.44999999995</v>
      </c>
      <c r="O33" s="196">
        <f t="shared" si="6"/>
        <v>357959.13666666666</v>
      </c>
      <c r="P33" s="196">
        <f t="shared" si="6"/>
        <v>346874.80333333334</v>
      </c>
      <c r="Q33" s="196">
        <f t="shared" si="6"/>
        <v>333289.47000000003</v>
      </c>
      <c r="R33" s="196">
        <f t="shared" si="6"/>
        <v>320703.13666666672</v>
      </c>
      <c r="S33" s="196">
        <f t="shared" si="6"/>
        <v>310115.8033333334</v>
      </c>
      <c r="T33" s="196">
        <f t="shared" si="6"/>
        <v>290027.47000000009</v>
      </c>
      <c r="U33" s="196">
        <f t="shared" si="6"/>
        <v>272438.13666666677</v>
      </c>
      <c r="V33" s="196">
        <f t="shared" si="6"/>
        <v>259847.80333333343</v>
      </c>
      <c r="W33" s="196">
        <f t="shared" si="6"/>
        <v>252256.47000000009</v>
      </c>
    </row>
    <row r="34" spans="1:23" ht="13.5" thickTop="1" x14ac:dyDescent="0.2">
      <c r="C34" s="194"/>
      <c r="D34" s="194"/>
      <c r="E34" s="194"/>
      <c r="F34" s="194"/>
      <c r="G34" s="194"/>
      <c r="H34" s="194"/>
      <c r="I34" s="194"/>
      <c r="J34" s="194"/>
      <c r="K34" s="194"/>
      <c r="L34" s="194"/>
      <c r="M34" s="194"/>
      <c r="N34" s="194"/>
      <c r="O34" s="194"/>
      <c r="P34" s="194"/>
      <c r="Q34" s="194"/>
      <c r="R34" s="194"/>
      <c r="S34" s="194"/>
      <c r="T34" s="194"/>
      <c r="U34" s="194"/>
      <c r="V34" s="194"/>
      <c r="W34" s="194"/>
    </row>
    <row r="35" spans="1:23" x14ac:dyDescent="0.2">
      <c r="A35" s="162" t="s">
        <v>478</v>
      </c>
      <c r="C35" s="194"/>
      <c r="D35" s="194">
        <v>729267.24</v>
      </c>
      <c r="E35" s="194">
        <v>698417.78</v>
      </c>
      <c r="F35" s="194">
        <v>592417.67000000004</v>
      </c>
      <c r="G35" s="194">
        <v>655736.67000000004</v>
      </c>
      <c r="H35" s="194">
        <v>578443.67000000004</v>
      </c>
      <c r="I35" s="194">
        <v>609193.56999999995</v>
      </c>
      <c r="J35" s="194">
        <v>520489.99</v>
      </c>
      <c r="K35" s="194">
        <v>530268.44999999995</v>
      </c>
      <c r="L35" s="194">
        <v>447368.02</v>
      </c>
      <c r="M35" s="194">
        <v>399122.97</v>
      </c>
      <c r="N35" s="194">
        <v>343448.45</v>
      </c>
      <c r="O35" s="197">
        <v>0</v>
      </c>
      <c r="P35" s="197">
        <v>0</v>
      </c>
      <c r="Q35" s="197">
        <v>0</v>
      </c>
      <c r="R35" s="197">
        <v>0</v>
      </c>
      <c r="S35" s="197">
        <v>0</v>
      </c>
      <c r="T35" s="197">
        <v>0</v>
      </c>
      <c r="U35" s="197">
        <v>0</v>
      </c>
      <c r="V35" s="197">
        <v>0</v>
      </c>
      <c r="W35" s="197">
        <v>0</v>
      </c>
    </row>
    <row r="36" spans="1:23" x14ac:dyDescent="0.2">
      <c r="C36" s="194"/>
      <c r="D36" s="194"/>
      <c r="E36" s="194"/>
      <c r="F36" s="194"/>
      <c r="G36" s="194"/>
      <c r="H36" s="194"/>
      <c r="I36" s="194"/>
      <c r="J36" s="194"/>
      <c r="K36" s="194"/>
      <c r="L36" s="194"/>
      <c r="M36" s="194"/>
      <c r="N36" s="194"/>
      <c r="O36" s="194"/>
      <c r="P36" s="194"/>
      <c r="Q36" s="194"/>
      <c r="R36" s="194"/>
      <c r="S36" s="194"/>
      <c r="T36" s="194"/>
      <c r="U36" s="194"/>
      <c r="V36" s="194"/>
      <c r="W36" s="194"/>
    </row>
    <row r="37" spans="1:23" x14ac:dyDescent="0.2">
      <c r="C37" s="194"/>
      <c r="D37" s="198">
        <f>D33-D35</f>
        <v>0</v>
      </c>
      <c r="E37" s="198">
        <f t="shared" ref="E37:W37" si="7">E33-E35</f>
        <v>0</v>
      </c>
      <c r="F37" s="198">
        <f t="shared" si="7"/>
        <v>0</v>
      </c>
      <c r="G37" s="198">
        <f t="shared" si="7"/>
        <v>0</v>
      </c>
      <c r="H37" s="198">
        <f t="shared" si="7"/>
        <v>0</v>
      </c>
      <c r="I37" s="198">
        <f t="shared" si="7"/>
        <v>0</v>
      </c>
      <c r="J37" s="198">
        <f t="shared" si="7"/>
        <v>0</v>
      </c>
      <c r="K37" s="198">
        <f t="shared" si="7"/>
        <v>-363.64000000001397</v>
      </c>
      <c r="L37" s="198">
        <f t="shared" si="7"/>
        <v>0</v>
      </c>
      <c r="M37" s="198">
        <f t="shared" si="7"/>
        <v>0</v>
      </c>
      <c r="N37" s="198">
        <f t="shared" si="7"/>
        <v>0</v>
      </c>
      <c r="O37" s="198">
        <f t="shared" si="7"/>
        <v>357959.13666666666</v>
      </c>
      <c r="P37" s="198">
        <f t="shared" si="7"/>
        <v>346874.80333333334</v>
      </c>
      <c r="Q37" s="198">
        <f t="shared" si="7"/>
        <v>333289.47000000003</v>
      </c>
      <c r="R37" s="198">
        <f t="shared" si="7"/>
        <v>320703.13666666672</v>
      </c>
      <c r="S37" s="198">
        <f t="shared" si="7"/>
        <v>310115.8033333334</v>
      </c>
      <c r="T37" s="198">
        <f t="shared" si="7"/>
        <v>290027.47000000009</v>
      </c>
      <c r="U37" s="198">
        <f t="shared" si="7"/>
        <v>272438.13666666677</v>
      </c>
      <c r="V37" s="198">
        <f t="shared" si="7"/>
        <v>259847.80333333343</v>
      </c>
      <c r="W37" s="198">
        <f t="shared" si="7"/>
        <v>252256.47000000009</v>
      </c>
    </row>
    <row r="38" spans="1:23" x14ac:dyDescent="0.2">
      <c r="C38" s="194"/>
      <c r="D38" s="194"/>
      <c r="E38" s="194"/>
      <c r="F38" s="194"/>
      <c r="G38" s="194"/>
      <c r="H38" s="194"/>
      <c r="I38" s="194"/>
      <c r="J38" s="194"/>
      <c r="K38" s="194"/>
      <c r="L38" s="194"/>
      <c r="M38" s="194"/>
      <c r="N38" s="194"/>
      <c r="O38" s="194"/>
      <c r="P38" s="194"/>
      <c r="Q38" s="194"/>
      <c r="R38" s="194"/>
      <c r="S38" s="194"/>
      <c r="T38" s="194"/>
      <c r="U38" s="194"/>
      <c r="V38" s="194"/>
      <c r="W38" s="194"/>
    </row>
    <row r="39" spans="1:23" x14ac:dyDescent="0.2">
      <c r="C39" s="194"/>
      <c r="D39" s="194"/>
      <c r="E39" s="194"/>
      <c r="F39" s="194"/>
      <c r="G39" s="194"/>
      <c r="H39" s="194"/>
      <c r="I39" s="194"/>
      <c r="J39" s="194"/>
      <c r="K39" s="194"/>
      <c r="L39" s="194"/>
      <c r="M39" s="194"/>
      <c r="N39" s="194"/>
      <c r="O39" s="194"/>
      <c r="P39" s="194"/>
      <c r="Q39" s="194"/>
      <c r="R39" s="194"/>
      <c r="S39" s="194"/>
      <c r="T39" s="194"/>
      <c r="U39" s="194"/>
      <c r="V39" s="194"/>
      <c r="W39" s="194"/>
    </row>
    <row r="40" spans="1:23" x14ac:dyDescent="0.2">
      <c r="A40" s="162" t="s">
        <v>479</v>
      </c>
    </row>
    <row r="41" spans="1:23" x14ac:dyDescent="0.2">
      <c r="A41" s="162" t="s">
        <v>480</v>
      </c>
    </row>
    <row r="43" spans="1:23" x14ac:dyDescent="0.2">
      <c r="A43" s="162" t="s">
        <v>1</v>
      </c>
      <c r="D43" s="162">
        <f>D40+D41</f>
        <v>0</v>
      </c>
      <c r="E43" s="162">
        <f t="shared" ref="E43:W43" si="8">E40+E41</f>
        <v>0</v>
      </c>
      <c r="F43" s="162">
        <f t="shared" si="8"/>
        <v>0</v>
      </c>
      <c r="G43" s="162">
        <f t="shared" si="8"/>
        <v>0</v>
      </c>
      <c r="H43" s="162">
        <f t="shared" si="8"/>
        <v>0</v>
      </c>
      <c r="I43" s="162">
        <f t="shared" si="8"/>
        <v>0</v>
      </c>
      <c r="J43" s="162">
        <f t="shared" si="8"/>
        <v>0</v>
      </c>
      <c r="K43" s="162">
        <f t="shared" si="8"/>
        <v>0</v>
      </c>
      <c r="L43" s="162">
        <f t="shared" si="8"/>
        <v>0</v>
      </c>
      <c r="M43" s="162">
        <f t="shared" si="8"/>
        <v>0</v>
      </c>
      <c r="N43" s="162">
        <f t="shared" si="8"/>
        <v>0</v>
      </c>
      <c r="O43" s="162">
        <f t="shared" si="8"/>
        <v>0</v>
      </c>
      <c r="P43" s="162">
        <f t="shared" si="8"/>
        <v>0</v>
      </c>
      <c r="Q43" s="162">
        <f t="shared" si="8"/>
        <v>0</v>
      </c>
      <c r="R43" s="162">
        <f t="shared" si="8"/>
        <v>0</v>
      </c>
      <c r="S43" s="162">
        <f t="shared" si="8"/>
        <v>0</v>
      </c>
      <c r="T43" s="162">
        <f t="shared" si="8"/>
        <v>0</v>
      </c>
      <c r="U43" s="162">
        <f t="shared" si="8"/>
        <v>0</v>
      </c>
      <c r="V43" s="162">
        <f t="shared" si="8"/>
        <v>0</v>
      </c>
      <c r="W43" s="162">
        <f t="shared" si="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2023 Budget Expenses Model</vt:lpstr>
      <vt:lpstr>Budget Summary</vt:lpstr>
      <vt:lpstr>Summary by Department &amp; Categor</vt:lpstr>
      <vt:lpstr>Sheet3</vt:lpstr>
      <vt:lpstr>Summary for Presentation</vt:lpstr>
      <vt:lpstr>Grant Budget</vt:lpstr>
      <vt:lpstr>Budget 2020</vt:lpstr>
      <vt:lpstr>Balance Sheet</vt:lpstr>
      <vt:lpstr>Cash-Flow</vt:lpstr>
      <vt:lpstr>P&amp;L </vt:lpstr>
      <vt:lpstr>Financial Position</vt:lpstr>
      <vt:lpstr>Income Scenarios</vt:lpstr>
      <vt:lpstr>Highlevel Master COA</vt:lpstr>
      <vt:lpstr>COA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alison</cp:lastModifiedBy>
  <dcterms:created xsi:type="dcterms:W3CDTF">2019-11-25T23:19:52Z</dcterms:created>
  <dcterms:modified xsi:type="dcterms:W3CDTF">2023-04-27T18:15:36Z</dcterms:modified>
</cp:coreProperties>
</file>