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<sst xmlns="http://schemas.openxmlformats.org/spreadsheetml/2006/main" count="224" uniqueCount="114">
  <si>
    <t>结构层级</t>
  </si>
  <si>
    <t>工程及费用名称</t>
  </si>
  <si>
    <t>基础字段</t>
  </si>
  <si>
    <t>可变字段</t>
  </si>
  <si>
    <t>字段1</t>
  </si>
  <si>
    <t>字段2</t>
  </si>
  <si>
    <t>字段3</t>
  </si>
  <si>
    <t>字段4</t>
  </si>
  <si>
    <t>字段5</t>
  </si>
  <si>
    <t>字段6</t>
  </si>
  <si>
    <t>字段7</t>
  </si>
  <si>
    <t>字段8</t>
  </si>
  <si>
    <t>字段9</t>
  </si>
  <si>
    <t>字段10</t>
  </si>
  <si>
    <t>字段11</t>
  </si>
  <si>
    <t>字段12</t>
  </si>
  <si>
    <t>字段13</t>
  </si>
  <si>
    <t>数量</t>
  </si>
  <si>
    <t>单位</t>
  </si>
  <si>
    <t>建筑工程费
（万元）</t>
  </si>
  <si>
    <t>安装工程费
（万元）</t>
  </si>
  <si>
    <t>设备购置费（万元）</t>
  </si>
  <si>
    <t>工程建设其他费用（万元）</t>
  </si>
  <si>
    <t>合价（万元）</t>
  </si>
  <si>
    <t>指标（万元/）</t>
  </si>
  <si>
    <t>深圳XX号线</t>
  </si>
  <si>
    <t>正线公里</t>
  </si>
  <si>
    <t>车站数</t>
  </si>
  <si>
    <t>站间距</t>
  </si>
  <si>
    <t>列车编组</t>
  </si>
  <si>
    <t>···</t>
  </si>
  <si>
    <t>车站</t>
  </si>
  <si>
    <t>m2</t>
  </si>
  <si>
    <t>车站长度</t>
  </si>
  <si>
    <t>车站宽度</t>
  </si>
  <si>
    <t>围护深度</t>
  </si>
  <si>
    <t>基坑深度</t>
  </si>
  <si>
    <t>1.1.1</t>
  </si>
  <si>
    <t>车站1</t>
  </si>
  <si>
    <t>1）</t>
  </si>
  <si>
    <t>主体围护结构-地连墙</t>
  </si>
  <si>
    <t>m3</t>
  </si>
  <si>
    <t>围护厚度</t>
  </si>
  <si>
    <t>2）</t>
  </si>
  <si>
    <t>主体土石方支撑降水</t>
  </si>
  <si>
    <t>车站深度</t>
  </si>
  <si>
    <t>3）</t>
  </si>
  <si>
    <t>主体内部结构及防水</t>
  </si>
  <si>
    <t>车站面积</t>
  </si>
  <si>
    <t>4）</t>
  </si>
  <si>
    <t>车站附属</t>
  </si>
  <si>
    <t>附属面积</t>
  </si>
  <si>
    <t>1.1.2</t>
  </si>
  <si>
    <t>车站2</t>
  </si>
  <si>
    <t>主体围护结构-钻孔桩</t>
  </si>
  <si>
    <t>区间</t>
  </si>
  <si>
    <t>双线延米</t>
  </si>
  <si>
    <t>区间长度</t>
  </si>
  <si>
    <t>区间断面</t>
  </si>
  <si>
    <t>联络通道个数</t>
  </si>
  <si>
    <t>端头加固类型</t>
  </si>
  <si>
    <t>1.2.1</t>
  </si>
  <si>
    <t>区间1</t>
  </si>
  <si>
    <t>掘进及出渣</t>
  </si>
  <si>
    <t>管片</t>
  </si>
  <si>
    <t>管片环数</t>
  </si>
  <si>
    <t>端头加固</t>
  </si>
  <si>
    <t>联络通道</t>
  </si>
  <si>
    <t>座</t>
  </si>
  <si>
    <t>1.2.2</t>
  </si>
  <si>
    <t>区间2</t>
  </si>
  <si>
    <t>信号系统</t>
  </si>
  <si>
    <t>1.3.1</t>
  </si>
  <si>
    <t>控制中心信号系统</t>
  </si>
  <si>
    <t>处</t>
  </si>
  <si>
    <t>ATS中央系统</t>
  </si>
  <si>
    <t>台</t>
  </si>
  <si>
    <t>网络传输设备</t>
  </si>
  <si>
    <t>打印设备</t>
  </si>
  <si>
    <t>UPS系统</t>
  </si>
  <si>
    <t>5）</t>
  </si>
  <si>
    <t>电缆敷设</t>
  </si>
  <si>
    <t>hm</t>
  </si>
  <si>
    <t>1.3.2</t>
  </si>
  <si>
    <t>正线信号系统</t>
  </si>
  <si>
    <t>车站及轨旁ATS系统</t>
  </si>
  <si>
    <t>套</t>
  </si>
  <si>
    <t>车站及轨旁ATP/ATO系统</t>
  </si>
  <si>
    <t>智能信号电源屏</t>
  </si>
  <si>
    <t>转辙机、信号机</t>
  </si>
  <si>
    <t>车地通信系统LET</t>
  </si>
  <si>
    <t>6）</t>
  </si>
  <si>
    <t>7）</t>
  </si>
  <si>
    <t>信号电缆敷设</t>
  </si>
  <si>
    <t>8）</t>
  </si>
  <si>
    <t>电源电缆敷设</t>
  </si>
  <si>
    <t>1.3.3</t>
  </si>
  <si>
    <t>车载信号系统</t>
  </si>
  <si>
    <t>列</t>
  </si>
  <si>
    <t>车载ATP/ATO机柜</t>
  </si>
  <si>
    <t>车载操作显示单元</t>
  </si>
  <si>
    <t>车载应答器</t>
  </si>
  <si>
    <t>个</t>
  </si>
  <si>
    <t>车载无线天线</t>
  </si>
  <si>
    <t>测速雷达</t>
  </si>
  <si>
    <t>速度传感器、加速度计</t>
  </si>
  <si>
    <t>1.3.4</t>
  </si>
  <si>
    <t>车辆基地信号系统</t>
  </si>
  <si>
    <t>车辆段信号系统</t>
  </si>
  <si>
    <t>联锁道岔</t>
  </si>
  <si>
    <t>停车场信号系统</t>
  </si>
  <si>
    <t>试车线设备</t>
  </si>
  <si>
    <t>维修中心设备</t>
  </si>
  <si>
    <t>培训中心设备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</si>
</sst>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9"/>
  <sheetViews>
    <sheetView tabSelected="1" workbookViewId="0">
      <selection activeCell="F4" sqref="F4"/>
    </sheetView>
  </sheetViews>
  <sheetFormatPr defaultColWidth="9" defaultRowHeight="14.4"/>
  <cols>
    <col min="2" max="2" width="25.1296296296296" customWidth="1"/>
    <col min="3" max="3" width="8" customWidth="1"/>
    <col min="4" max="4" width="9.75" customWidth="1"/>
    <col min="5" max="5" width="10.1296296296296" customWidth="1"/>
    <col min="6" max="6" width="12.3796296296296" style="5" customWidth="1"/>
    <col min="7" max="7" width="11" style="5" customWidth="1"/>
    <col min="8" max="8" width="17.25" customWidth="1"/>
    <col min="9" max="9" width="13" customWidth="1"/>
    <col min="10" max="10" width="14.1296296296296" customWidth="1"/>
    <col min="12" max="12" width="9.75" customWidth="1"/>
    <col min="13" max="14" width="14.1296296296296" customWidth="1"/>
  </cols>
  <sheetData>
    <row r="1" ht="13" customHeight="1" spans="1:15">
      <c r="A1" s="6" t="s">
        <v>0</v>
      </c>
      <c r="B1" s="6" t="s">
        <v>1</v>
      </c>
      <c r="C1" s="7" t="s">
        <v>2</v>
      </c>
      <c r="D1" s="7"/>
      <c r="E1" s="7"/>
      <c r="F1" s="7"/>
      <c r="G1" s="7"/>
      <c r="H1" s="7"/>
      <c r="I1" s="7"/>
      <c r="J1" s="7"/>
      <c r="K1" s="7" t="s">
        <v>3</v>
      </c>
      <c r="L1" s="7"/>
      <c r="M1" s="7"/>
      <c r="N1" s="7"/>
      <c r="O1" s="7"/>
    </row>
    <row r="2" s="1" customFormat="1" spans="1:15">
      <c r="A2" s="6"/>
      <c r="B2" s="6"/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</row>
    <row r="3" s="1" customFormat="1" ht="43.2" spans="1:15">
      <c r="A3" s="6"/>
      <c r="B3" s="6"/>
      <c r="C3" s="6" t="s">
        <v>17</v>
      </c>
      <c r="D3" s="6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6" t="s">
        <v>23</v>
      </c>
      <c r="J3" s="6" t="s">
        <v>24</v>
      </c>
      <c r="K3" s="15"/>
      <c r="L3" s="15"/>
      <c r="M3" s="15"/>
      <c r="N3" s="15"/>
      <c r="O3" s="16"/>
    </row>
    <row r="4" s="2" customFormat="1" spans="1:15">
      <c r="A4" s="9">
        <v>1</v>
      </c>
      <c r="B4" s="9" t="s">
        <v>25</v>
      </c>
      <c r="C4" s="9">
        <v>30</v>
      </c>
      <c r="D4" s="9" t="s">
        <v>26</v>
      </c>
      <c r="E4" s="9">
        <f>E5+E16+E27</f>
        <v>71680.7585174962</v>
      </c>
      <c r="F4" s="9">
        <f t="shared" ref="F4:H4" si="0">F5+F16+F27</f>
        <v>6670</v>
      </c>
      <c r="G4" s="9">
        <f t="shared" si="0"/>
        <v>32700</v>
      </c>
      <c r="H4" s="9">
        <f t="shared" si="0"/>
        <v>0</v>
      </c>
      <c r="I4" s="17">
        <f>SUM(E4:H4)</f>
        <v>111050.758517496</v>
      </c>
      <c r="J4" s="17">
        <f>I4/C4</f>
        <v>3701.69195058321</v>
      </c>
      <c r="K4" s="18" t="s">
        <v>27</v>
      </c>
      <c r="L4" s="18" t="s">
        <v>28</v>
      </c>
      <c r="M4" s="18" t="s">
        <v>29</v>
      </c>
      <c r="N4" s="19" t="s">
        <v>30</v>
      </c>
      <c r="O4" s="19" t="s">
        <v>30</v>
      </c>
    </row>
    <row r="5" s="2" customFormat="1" spans="1:15">
      <c r="A5" s="9">
        <v>1.1</v>
      </c>
      <c r="B5" s="9" t="s">
        <v>31</v>
      </c>
      <c r="C5" s="9">
        <f>C6+C11</f>
        <v>33200</v>
      </c>
      <c r="D5" s="9" t="s">
        <v>32</v>
      </c>
      <c r="E5" s="9">
        <f>E6+E11</f>
        <v>43450.7585174962</v>
      </c>
      <c r="F5" s="9"/>
      <c r="G5" s="10"/>
      <c r="H5" s="10"/>
      <c r="I5" s="17">
        <f t="shared" ref="I5" si="1">SUM(E5:H5)</f>
        <v>43450.7585174962</v>
      </c>
      <c r="J5" s="17">
        <f t="shared" ref="J5" si="2">I5/C5</f>
        <v>1.30875778667157</v>
      </c>
      <c r="K5" s="18" t="s">
        <v>33</v>
      </c>
      <c r="L5" s="18" t="s">
        <v>34</v>
      </c>
      <c r="M5" s="18" t="s">
        <v>35</v>
      </c>
      <c r="N5" s="18" t="s">
        <v>36</v>
      </c>
      <c r="O5" s="19" t="s">
        <v>30</v>
      </c>
    </row>
    <row r="6" s="1" customFormat="1" spans="1:15">
      <c r="A6" s="6" t="s">
        <v>37</v>
      </c>
      <c r="B6" s="6" t="s">
        <v>38</v>
      </c>
      <c r="C6" s="6">
        <v>15000</v>
      </c>
      <c r="D6" s="6" t="s">
        <v>32</v>
      </c>
      <c r="E6" s="11">
        <f>SUM(E7:E10)</f>
        <v>21060</v>
      </c>
      <c r="F6" s="11"/>
      <c r="G6" s="11"/>
      <c r="H6" s="11"/>
      <c r="I6" s="11">
        <f t="shared" ref="I6" si="3">SUM(E6:H6)</f>
        <v>21060</v>
      </c>
      <c r="J6" s="11">
        <f t="shared" ref="J6" si="4">I6/C6</f>
        <v>1.404</v>
      </c>
      <c r="K6" s="20"/>
      <c r="L6" s="20"/>
      <c r="M6" s="20"/>
      <c r="N6" s="20"/>
      <c r="O6" s="20"/>
    </row>
    <row r="7" s="1" customFormat="1" spans="1:15">
      <c r="A7" s="12" t="s">
        <v>39</v>
      </c>
      <c r="B7" s="6" t="s">
        <v>40</v>
      </c>
      <c r="C7" s="6">
        <f>(220+25)*2*1*30</f>
        <v>14700</v>
      </c>
      <c r="D7" s="6" t="s">
        <v>41</v>
      </c>
      <c r="E7" s="11">
        <f>C7*0.4</f>
        <v>5880</v>
      </c>
      <c r="F7" s="11"/>
      <c r="G7" s="11"/>
      <c r="H7" s="11"/>
      <c r="I7" s="11">
        <f t="shared" ref="I7:I17" si="5">SUM(E7:H7)</f>
        <v>5880</v>
      </c>
      <c r="J7" s="11">
        <f t="shared" ref="J7:J17" si="6">I7/C7</f>
        <v>0.4</v>
      </c>
      <c r="K7" s="20" t="s">
        <v>33</v>
      </c>
      <c r="L7" s="20" t="s">
        <v>34</v>
      </c>
      <c r="M7" s="20" t="s">
        <v>35</v>
      </c>
      <c r="N7" s="20" t="s">
        <v>42</v>
      </c>
      <c r="O7" s="20" t="s">
        <v>30</v>
      </c>
    </row>
    <row r="8" s="1" customFormat="1" spans="1:15">
      <c r="A8" s="12" t="s">
        <v>43</v>
      </c>
      <c r="B8" s="6" t="s">
        <v>44</v>
      </c>
      <c r="C8" s="6">
        <f>220*25*(16.5+3)</f>
        <v>107250</v>
      </c>
      <c r="D8" s="6" t="s">
        <v>41</v>
      </c>
      <c r="E8" s="11">
        <f>C8*0.03</f>
        <v>3217.5</v>
      </c>
      <c r="F8" s="11"/>
      <c r="G8" s="11"/>
      <c r="H8" s="11"/>
      <c r="I8" s="11">
        <f t="shared" si="5"/>
        <v>3217.5</v>
      </c>
      <c r="J8" s="11">
        <f t="shared" si="6"/>
        <v>0.03</v>
      </c>
      <c r="K8" s="20" t="s">
        <v>33</v>
      </c>
      <c r="L8" s="20" t="s">
        <v>34</v>
      </c>
      <c r="M8" s="20" t="s">
        <v>45</v>
      </c>
      <c r="N8" s="20" t="s">
        <v>30</v>
      </c>
      <c r="O8" s="20" t="s">
        <v>30</v>
      </c>
    </row>
    <row r="9" s="1" customFormat="1" spans="1:15">
      <c r="A9" s="12" t="s">
        <v>46</v>
      </c>
      <c r="B9" s="6" t="s">
        <v>47</v>
      </c>
      <c r="C9" s="6">
        <f>11000*1.95</f>
        <v>21450</v>
      </c>
      <c r="D9" s="6" t="s">
        <v>41</v>
      </c>
      <c r="E9" s="11">
        <f>C9*0.25</f>
        <v>5362.5</v>
      </c>
      <c r="F9" s="11"/>
      <c r="G9" s="11"/>
      <c r="H9" s="11"/>
      <c r="I9" s="11">
        <f t="shared" si="5"/>
        <v>5362.5</v>
      </c>
      <c r="J9" s="11">
        <f t="shared" si="6"/>
        <v>0.25</v>
      </c>
      <c r="K9" s="20" t="s">
        <v>48</v>
      </c>
      <c r="L9" s="20"/>
      <c r="M9" s="20"/>
      <c r="N9" s="20"/>
      <c r="O9" s="20"/>
    </row>
    <row r="10" s="1" customFormat="1" spans="1:15">
      <c r="A10" s="12" t="s">
        <v>49</v>
      </c>
      <c r="B10" s="6" t="s">
        <v>50</v>
      </c>
      <c r="C10" s="6">
        <v>4000</v>
      </c>
      <c r="D10" s="6" t="s">
        <v>32</v>
      </c>
      <c r="E10" s="11">
        <f>C10*1.65</f>
        <v>6600</v>
      </c>
      <c r="F10" s="11"/>
      <c r="G10" s="11"/>
      <c r="H10" s="11"/>
      <c r="I10" s="11">
        <f t="shared" si="5"/>
        <v>6600</v>
      </c>
      <c r="J10" s="11">
        <f t="shared" si="6"/>
        <v>1.65</v>
      </c>
      <c r="K10" s="20" t="s">
        <v>51</v>
      </c>
      <c r="L10" s="20"/>
      <c r="M10" s="20"/>
      <c r="N10" s="20"/>
      <c r="O10" s="20"/>
    </row>
    <row r="11" s="1" customFormat="1" spans="1:15">
      <c r="A11" s="6" t="s">
        <v>52</v>
      </c>
      <c r="B11" s="6" t="s">
        <v>53</v>
      </c>
      <c r="C11" s="6">
        <v>18200</v>
      </c>
      <c r="D11" s="6" t="s">
        <v>32</v>
      </c>
      <c r="E11" s="11">
        <f>SUM(E12:E15)</f>
        <v>22390.7585174962</v>
      </c>
      <c r="F11" s="11"/>
      <c r="G11" s="11"/>
      <c r="H11" s="11"/>
      <c r="I11" s="11">
        <f t="shared" si="5"/>
        <v>22390.7585174962</v>
      </c>
      <c r="J11" s="11">
        <f t="shared" si="6"/>
        <v>1.23026145700528</v>
      </c>
      <c r="K11" s="20"/>
      <c r="L11" s="20"/>
      <c r="M11" s="20"/>
      <c r="N11" s="20"/>
      <c r="O11" s="20"/>
    </row>
    <row r="12" s="1" customFormat="1" spans="1:15">
      <c r="A12" s="12" t="s">
        <v>39</v>
      </c>
      <c r="B12" s="6" t="s">
        <v>54</v>
      </c>
      <c r="C12" s="6">
        <f>(300+22)*2/1.5*30*PI()*0.36</f>
        <v>14566.9368161652</v>
      </c>
      <c r="D12" s="6" t="s">
        <v>41</v>
      </c>
      <c r="E12" s="11">
        <f>C12*0.34</f>
        <v>4952.75851749615</v>
      </c>
      <c r="F12" s="11"/>
      <c r="G12" s="11"/>
      <c r="H12" s="11"/>
      <c r="I12" s="11">
        <f t="shared" si="5"/>
        <v>4952.75851749615</v>
      </c>
      <c r="J12" s="11">
        <f t="shared" si="6"/>
        <v>0.34</v>
      </c>
      <c r="K12" s="20"/>
      <c r="L12" s="20"/>
      <c r="M12" s="20"/>
      <c r="N12" s="20"/>
      <c r="O12" s="20"/>
    </row>
    <row r="13" s="1" customFormat="1" spans="1:15">
      <c r="A13" s="12" t="s">
        <v>43</v>
      </c>
      <c r="B13" s="6" t="s">
        <v>44</v>
      </c>
      <c r="C13" s="6">
        <f>300*22*16</f>
        <v>105600</v>
      </c>
      <c r="D13" s="6" t="s">
        <v>41</v>
      </c>
      <c r="E13" s="11">
        <f>C13*0.03</f>
        <v>3168</v>
      </c>
      <c r="F13" s="11"/>
      <c r="G13" s="11"/>
      <c r="H13" s="11"/>
      <c r="I13" s="11">
        <f t="shared" si="5"/>
        <v>3168</v>
      </c>
      <c r="J13" s="11">
        <f t="shared" si="6"/>
        <v>0.03</v>
      </c>
      <c r="K13" s="20"/>
      <c r="L13" s="20"/>
      <c r="M13" s="20"/>
      <c r="N13" s="20"/>
      <c r="O13" s="20"/>
    </row>
    <row r="14" s="1" customFormat="1" spans="1:15">
      <c r="A14" s="12" t="s">
        <v>46</v>
      </c>
      <c r="B14" s="6" t="s">
        <v>47</v>
      </c>
      <c r="C14" s="6">
        <f>13200*1.9</f>
        <v>25080</v>
      </c>
      <c r="D14" s="6" t="s">
        <v>41</v>
      </c>
      <c r="E14" s="11">
        <f>C14*0.25</f>
        <v>6270</v>
      </c>
      <c r="F14" s="11"/>
      <c r="G14" s="11"/>
      <c r="H14" s="11"/>
      <c r="I14" s="11">
        <f t="shared" si="5"/>
        <v>6270</v>
      </c>
      <c r="J14" s="11">
        <f t="shared" si="6"/>
        <v>0.25</v>
      </c>
      <c r="K14" s="20"/>
      <c r="L14" s="20"/>
      <c r="M14" s="20"/>
      <c r="N14" s="20"/>
      <c r="O14" s="20"/>
    </row>
    <row r="15" s="1" customFormat="1" spans="1:15">
      <c r="A15" s="12" t="s">
        <v>49</v>
      </c>
      <c r="B15" s="6" t="s">
        <v>50</v>
      </c>
      <c r="C15" s="6">
        <v>5000</v>
      </c>
      <c r="D15" s="6" t="s">
        <v>32</v>
      </c>
      <c r="E15" s="11">
        <f>C15*1.6</f>
        <v>8000</v>
      </c>
      <c r="F15" s="11"/>
      <c r="G15" s="11"/>
      <c r="H15" s="11"/>
      <c r="I15" s="11">
        <f t="shared" si="5"/>
        <v>8000</v>
      </c>
      <c r="J15" s="11">
        <f t="shared" si="6"/>
        <v>1.6</v>
      </c>
      <c r="K15" s="20"/>
      <c r="L15" s="20"/>
      <c r="M15" s="20"/>
      <c r="N15" s="20"/>
      <c r="O15" s="20"/>
    </row>
    <row r="16" s="2" customFormat="1" spans="1:15">
      <c r="A16" s="9">
        <v>1.2</v>
      </c>
      <c r="B16" s="9" t="s">
        <v>55</v>
      </c>
      <c r="C16" s="9">
        <f>C17+C22</f>
        <v>3000</v>
      </c>
      <c r="D16" s="9" t="s">
        <v>56</v>
      </c>
      <c r="E16" s="9">
        <f>E17+E22</f>
        <v>28230</v>
      </c>
      <c r="F16" s="9"/>
      <c r="G16" s="9"/>
      <c r="H16" s="9"/>
      <c r="I16" s="9">
        <f t="shared" si="5"/>
        <v>28230</v>
      </c>
      <c r="J16" s="9">
        <f t="shared" si="6"/>
        <v>9.41</v>
      </c>
      <c r="K16" s="9" t="s">
        <v>57</v>
      </c>
      <c r="L16" s="9" t="s">
        <v>58</v>
      </c>
      <c r="M16" s="9" t="s">
        <v>59</v>
      </c>
      <c r="N16" s="9" t="s">
        <v>60</v>
      </c>
      <c r="O16" s="21" t="s">
        <v>30</v>
      </c>
    </row>
    <row r="17" s="1" customFormat="1" spans="1:15">
      <c r="A17" s="6" t="s">
        <v>61</v>
      </c>
      <c r="B17" s="6" t="s">
        <v>62</v>
      </c>
      <c r="C17" s="6">
        <f>C18</f>
        <v>1000</v>
      </c>
      <c r="D17" s="6" t="s">
        <v>56</v>
      </c>
      <c r="E17" s="11">
        <f>SUM(E18:E21)</f>
        <v>9710</v>
      </c>
      <c r="F17" s="11"/>
      <c r="G17" s="11"/>
      <c r="H17" s="11"/>
      <c r="I17" s="11">
        <f t="shared" si="5"/>
        <v>9710</v>
      </c>
      <c r="J17" s="11">
        <f t="shared" si="6"/>
        <v>9.71</v>
      </c>
      <c r="K17" s="20"/>
      <c r="L17" s="20"/>
      <c r="M17" s="20"/>
      <c r="N17" s="20"/>
      <c r="O17" s="20"/>
    </row>
    <row r="18" s="1" customFormat="1" spans="1:15">
      <c r="A18" s="12" t="s">
        <v>39</v>
      </c>
      <c r="B18" s="6" t="s">
        <v>63</v>
      </c>
      <c r="C18" s="6">
        <v>1000</v>
      </c>
      <c r="D18" s="6" t="s">
        <v>56</v>
      </c>
      <c r="E18" s="11">
        <v>4000</v>
      </c>
      <c r="F18" s="11"/>
      <c r="G18" s="11"/>
      <c r="H18" s="11"/>
      <c r="I18" s="11">
        <f t="shared" ref="I18:I22" si="7">SUM(E18:H18)</f>
        <v>4000</v>
      </c>
      <c r="J18" s="11">
        <f t="shared" ref="J18:J22" si="8">I18/C18</f>
        <v>4</v>
      </c>
      <c r="K18" s="20" t="s">
        <v>57</v>
      </c>
      <c r="L18" s="20" t="s">
        <v>58</v>
      </c>
      <c r="M18" s="20" t="s">
        <v>30</v>
      </c>
      <c r="N18" s="20" t="s">
        <v>30</v>
      </c>
      <c r="O18" s="20" t="s">
        <v>30</v>
      </c>
    </row>
    <row r="19" s="1" customFormat="1" spans="1:15">
      <c r="A19" s="12" t="s">
        <v>43</v>
      </c>
      <c r="B19" s="6" t="s">
        <v>64</v>
      </c>
      <c r="C19" s="6">
        <f>C18*6.5*2</f>
        <v>13000</v>
      </c>
      <c r="D19" s="6" t="s">
        <v>41</v>
      </c>
      <c r="E19" s="11">
        <v>4810</v>
      </c>
      <c r="F19" s="11"/>
      <c r="G19" s="11"/>
      <c r="H19" s="11"/>
      <c r="I19" s="11">
        <f t="shared" si="7"/>
        <v>4810</v>
      </c>
      <c r="J19" s="11">
        <f t="shared" si="8"/>
        <v>0.37</v>
      </c>
      <c r="K19" s="20" t="s">
        <v>57</v>
      </c>
      <c r="L19" s="20" t="s">
        <v>58</v>
      </c>
      <c r="M19" s="20" t="s">
        <v>65</v>
      </c>
      <c r="N19" s="20" t="s">
        <v>30</v>
      </c>
      <c r="O19" s="20" t="s">
        <v>30</v>
      </c>
    </row>
    <row r="20" s="1" customFormat="1" spans="1:15">
      <c r="A20" s="12" t="s">
        <v>46</v>
      </c>
      <c r="B20" s="6" t="s">
        <v>66</v>
      </c>
      <c r="C20" s="6">
        <v>8000</v>
      </c>
      <c r="D20" s="6" t="s">
        <v>41</v>
      </c>
      <c r="E20" s="11">
        <v>400</v>
      </c>
      <c r="F20" s="11"/>
      <c r="G20" s="11"/>
      <c r="H20" s="11"/>
      <c r="I20" s="11">
        <f t="shared" si="7"/>
        <v>400</v>
      </c>
      <c r="J20" s="11">
        <f t="shared" si="8"/>
        <v>0.05</v>
      </c>
      <c r="K20" s="20"/>
      <c r="L20" s="20"/>
      <c r="M20" s="20"/>
      <c r="N20" s="20"/>
      <c r="O20" s="20"/>
    </row>
    <row r="21" s="1" customFormat="1" spans="1:15">
      <c r="A21" s="12" t="s">
        <v>49</v>
      </c>
      <c r="B21" s="6" t="s">
        <v>67</v>
      </c>
      <c r="C21" s="6">
        <v>2</v>
      </c>
      <c r="D21" s="6" t="s">
        <v>68</v>
      </c>
      <c r="E21" s="11">
        <v>500</v>
      </c>
      <c r="F21" s="11"/>
      <c r="G21" s="11"/>
      <c r="H21" s="11"/>
      <c r="I21" s="11">
        <f t="shared" si="7"/>
        <v>500</v>
      </c>
      <c r="J21" s="11">
        <f t="shared" si="8"/>
        <v>250</v>
      </c>
      <c r="K21" s="20"/>
      <c r="L21" s="20"/>
      <c r="M21" s="20"/>
      <c r="N21" s="20"/>
      <c r="O21" s="20"/>
    </row>
    <row r="22" s="1" customFormat="1" spans="1:15">
      <c r="A22" s="6" t="s">
        <v>69</v>
      </c>
      <c r="B22" s="6" t="s">
        <v>70</v>
      </c>
      <c r="C22" s="6">
        <f>C23</f>
        <v>2000</v>
      </c>
      <c r="D22" s="6" t="s">
        <v>56</v>
      </c>
      <c r="E22" s="11">
        <f>SUM(E23:E26)</f>
        <v>18520</v>
      </c>
      <c r="F22" s="11"/>
      <c r="G22" s="11"/>
      <c r="H22" s="11"/>
      <c r="I22" s="11">
        <f t="shared" si="7"/>
        <v>18520</v>
      </c>
      <c r="J22" s="11">
        <f t="shared" si="8"/>
        <v>9.26</v>
      </c>
      <c r="K22" s="20"/>
      <c r="L22" s="20"/>
      <c r="M22" s="20"/>
      <c r="N22" s="20"/>
      <c r="O22" s="20"/>
    </row>
    <row r="23" s="1" customFormat="1" spans="1:15">
      <c r="A23" s="12" t="s">
        <v>39</v>
      </c>
      <c r="B23" s="6" t="s">
        <v>63</v>
      </c>
      <c r="C23" s="6">
        <v>2000</v>
      </c>
      <c r="D23" s="6" t="s">
        <v>56</v>
      </c>
      <c r="E23" s="11">
        <v>8000</v>
      </c>
      <c r="F23" s="11"/>
      <c r="G23" s="11"/>
      <c r="H23" s="11"/>
      <c r="I23" s="11">
        <f t="shared" ref="I23:I26" si="9">SUM(E23:H23)</f>
        <v>8000</v>
      </c>
      <c r="J23" s="11">
        <f t="shared" ref="J23:J26" si="10">I23/C23</f>
        <v>4</v>
      </c>
      <c r="K23" s="20" t="s">
        <v>57</v>
      </c>
      <c r="L23" s="20" t="s">
        <v>58</v>
      </c>
      <c r="M23" s="20" t="s">
        <v>30</v>
      </c>
      <c r="N23" s="20" t="s">
        <v>30</v>
      </c>
      <c r="O23" s="20" t="s">
        <v>30</v>
      </c>
    </row>
    <row r="24" s="1" customFormat="1" spans="1:15">
      <c r="A24" s="12" t="s">
        <v>43</v>
      </c>
      <c r="B24" s="6" t="s">
        <v>64</v>
      </c>
      <c r="C24" s="6">
        <f>C23*6.5*2</f>
        <v>26000</v>
      </c>
      <c r="D24" s="6" t="s">
        <v>41</v>
      </c>
      <c r="E24" s="11">
        <v>9620</v>
      </c>
      <c r="F24" s="11"/>
      <c r="G24" s="11"/>
      <c r="H24" s="11"/>
      <c r="I24" s="11">
        <f t="shared" si="9"/>
        <v>9620</v>
      </c>
      <c r="J24" s="11">
        <f t="shared" si="10"/>
        <v>0.37</v>
      </c>
      <c r="K24" s="20" t="s">
        <v>57</v>
      </c>
      <c r="L24" s="20" t="s">
        <v>58</v>
      </c>
      <c r="M24" s="20" t="s">
        <v>65</v>
      </c>
      <c r="N24" s="20" t="s">
        <v>30</v>
      </c>
      <c r="O24" s="20" t="s">
        <v>30</v>
      </c>
    </row>
    <row r="25" s="1" customFormat="1" spans="1:15">
      <c r="A25" s="12" t="s">
        <v>46</v>
      </c>
      <c r="B25" s="6" t="s">
        <v>66</v>
      </c>
      <c r="C25" s="6">
        <v>8000</v>
      </c>
      <c r="D25" s="6" t="s">
        <v>41</v>
      </c>
      <c r="E25" s="11">
        <v>400</v>
      </c>
      <c r="F25" s="11"/>
      <c r="G25" s="11"/>
      <c r="H25" s="11"/>
      <c r="I25" s="11">
        <f t="shared" si="9"/>
        <v>400</v>
      </c>
      <c r="J25" s="11">
        <f t="shared" si="10"/>
        <v>0.05</v>
      </c>
      <c r="K25" s="20"/>
      <c r="L25" s="20"/>
      <c r="M25" s="20"/>
      <c r="N25" s="20"/>
      <c r="O25" s="20"/>
    </row>
    <row r="26" s="1" customFormat="1" spans="1:15">
      <c r="A26" s="12" t="s">
        <v>49</v>
      </c>
      <c r="B26" s="6" t="s">
        <v>67</v>
      </c>
      <c r="C26" s="6">
        <v>2</v>
      </c>
      <c r="D26" s="6" t="s">
        <v>68</v>
      </c>
      <c r="E26" s="11">
        <v>500</v>
      </c>
      <c r="F26" s="11"/>
      <c r="G26" s="11"/>
      <c r="H26" s="11"/>
      <c r="I26" s="11">
        <f t="shared" si="9"/>
        <v>500</v>
      </c>
      <c r="J26" s="11">
        <f t="shared" si="10"/>
        <v>250</v>
      </c>
      <c r="K26" s="20"/>
      <c r="L26" s="20"/>
      <c r="M26" s="20"/>
      <c r="N26" s="20"/>
      <c r="O26" s="20"/>
    </row>
    <row r="27" s="2" customFormat="1" spans="1:15">
      <c r="A27" s="9">
        <v>1.3</v>
      </c>
      <c r="B27" s="9" t="s">
        <v>71</v>
      </c>
      <c r="C27" s="9">
        <v>30</v>
      </c>
      <c r="D27" s="9" t="s">
        <v>26</v>
      </c>
      <c r="E27" s="9"/>
      <c r="F27" s="9">
        <f>F28+F34+F43+F50</f>
        <v>6670</v>
      </c>
      <c r="G27" s="9">
        <f>G28+G34+G43+G50</f>
        <v>32700</v>
      </c>
      <c r="H27" s="9"/>
      <c r="I27" s="17">
        <f t="shared" ref="I27:I28" si="11">SUM(E27:H27)</f>
        <v>39370</v>
      </c>
      <c r="J27" s="17">
        <f t="shared" ref="J27:J28" si="12">I27/C27</f>
        <v>1312.33333333333</v>
      </c>
      <c r="K27" s="9"/>
      <c r="L27" s="9"/>
      <c r="M27" s="9"/>
      <c r="N27" s="9"/>
      <c r="O27" s="9"/>
    </row>
    <row r="28" s="3" customFormat="1" spans="1:21">
      <c r="A28" s="12" t="s">
        <v>72</v>
      </c>
      <c r="B28" s="12" t="s">
        <v>73</v>
      </c>
      <c r="C28" s="12">
        <v>1</v>
      </c>
      <c r="D28" s="12" t="s">
        <v>74</v>
      </c>
      <c r="E28" s="6"/>
      <c r="F28" s="6">
        <f>SUM(F29:F33)</f>
        <v>840</v>
      </c>
      <c r="G28" s="6">
        <f>SUM(G29:G33)</f>
        <v>1700</v>
      </c>
      <c r="H28" s="6"/>
      <c r="I28" s="11">
        <f t="shared" si="11"/>
        <v>2540</v>
      </c>
      <c r="J28" s="11">
        <f t="shared" si="12"/>
        <v>2540</v>
      </c>
      <c r="K28" s="20"/>
      <c r="L28" s="20"/>
      <c r="M28" s="20"/>
      <c r="N28" s="20"/>
      <c r="O28" s="20"/>
      <c r="P28" s="1"/>
      <c r="Q28" s="1"/>
      <c r="R28" s="1"/>
      <c r="S28" s="1"/>
      <c r="T28" s="1"/>
      <c r="U28" s="1"/>
    </row>
    <row r="29" s="3" customFormat="1" spans="1:21">
      <c r="A29" s="12" t="s">
        <v>39</v>
      </c>
      <c r="B29" s="12" t="s">
        <v>75</v>
      </c>
      <c r="C29" s="12">
        <v>1</v>
      </c>
      <c r="D29" s="12" t="s">
        <v>76</v>
      </c>
      <c r="E29" s="6"/>
      <c r="F29" s="6">
        <f>G29*0.2</f>
        <v>160</v>
      </c>
      <c r="G29" s="6">
        <v>800</v>
      </c>
      <c r="H29" s="6"/>
      <c r="I29" s="11">
        <f t="shared" ref="I29:I55" si="13">SUM(E29:H29)</f>
        <v>960</v>
      </c>
      <c r="J29" s="11">
        <f t="shared" ref="J29:J55" si="14">I29/C29</f>
        <v>960</v>
      </c>
      <c r="K29" s="20"/>
      <c r="L29" s="20"/>
      <c r="M29" s="20"/>
      <c r="N29" s="20"/>
      <c r="O29" s="20"/>
      <c r="P29" s="1"/>
      <c r="Q29" s="1"/>
      <c r="R29" s="1"/>
      <c r="S29" s="1"/>
      <c r="T29" s="1"/>
      <c r="U29" s="1"/>
    </row>
    <row r="30" s="3" customFormat="1" spans="1:21">
      <c r="A30" s="12" t="s">
        <v>43</v>
      </c>
      <c r="B30" s="12" t="s">
        <v>77</v>
      </c>
      <c r="C30" s="12">
        <v>10</v>
      </c>
      <c r="D30" s="12" t="s">
        <v>76</v>
      </c>
      <c r="E30" s="6"/>
      <c r="F30" s="6">
        <f t="shared" ref="F30:F32" si="15">G30*0.2</f>
        <v>120</v>
      </c>
      <c r="G30" s="6">
        <v>600</v>
      </c>
      <c r="H30" s="6"/>
      <c r="I30" s="11">
        <f t="shared" si="13"/>
        <v>720</v>
      </c>
      <c r="J30" s="11">
        <f t="shared" si="14"/>
        <v>72</v>
      </c>
      <c r="K30" s="20"/>
      <c r="L30" s="20"/>
      <c r="M30" s="20"/>
      <c r="N30" s="20"/>
      <c r="O30" s="20"/>
      <c r="P30" s="1"/>
      <c r="Q30" s="1"/>
      <c r="R30" s="1"/>
      <c r="S30" s="1"/>
      <c r="T30" s="1"/>
      <c r="U30" s="1"/>
    </row>
    <row r="31" s="3" customFormat="1" spans="1:21">
      <c r="A31" s="12" t="s">
        <v>46</v>
      </c>
      <c r="B31" s="12" t="s">
        <v>78</v>
      </c>
      <c r="C31" s="12">
        <v>10</v>
      </c>
      <c r="D31" s="12" t="s">
        <v>76</v>
      </c>
      <c r="E31" s="6"/>
      <c r="F31" s="6">
        <f t="shared" si="15"/>
        <v>20</v>
      </c>
      <c r="G31" s="6">
        <v>100</v>
      </c>
      <c r="H31" s="6"/>
      <c r="I31" s="11">
        <f t="shared" si="13"/>
        <v>120</v>
      </c>
      <c r="J31" s="11">
        <f t="shared" si="14"/>
        <v>12</v>
      </c>
      <c r="K31" s="20"/>
      <c r="L31" s="20"/>
      <c r="M31" s="20"/>
      <c r="N31" s="20"/>
      <c r="O31" s="20"/>
      <c r="P31" s="1"/>
      <c r="Q31" s="1"/>
      <c r="R31" s="1"/>
      <c r="S31" s="1"/>
      <c r="T31" s="1"/>
      <c r="U31" s="1"/>
    </row>
    <row r="32" s="3" customFormat="1" spans="1:21">
      <c r="A32" s="12" t="s">
        <v>49</v>
      </c>
      <c r="B32" s="12" t="s">
        <v>79</v>
      </c>
      <c r="C32" s="12">
        <v>10</v>
      </c>
      <c r="D32" s="12" t="s">
        <v>76</v>
      </c>
      <c r="E32" s="6"/>
      <c r="F32" s="6">
        <f t="shared" si="15"/>
        <v>40</v>
      </c>
      <c r="G32" s="6">
        <v>200</v>
      </c>
      <c r="H32" s="6"/>
      <c r="I32" s="11">
        <f t="shared" si="13"/>
        <v>240</v>
      </c>
      <c r="J32" s="11">
        <f t="shared" si="14"/>
        <v>24</v>
      </c>
      <c r="K32" s="20"/>
      <c r="L32" s="20"/>
      <c r="M32" s="20"/>
      <c r="N32" s="20"/>
      <c r="O32" s="20"/>
      <c r="P32" s="1"/>
      <c r="Q32" s="1"/>
      <c r="R32" s="1"/>
      <c r="S32" s="1"/>
      <c r="T32" s="1"/>
      <c r="U32" s="1"/>
    </row>
    <row r="33" s="3" customFormat="1" spans="1:21">
      <c r="A33" s="12" t="s">
        <v>80</v>
      </c>
      <c r="B33" s="12" t="s">
        <v>81</v>
      </c>
      <c r="C33" s="12">
        <v>200</v>
      </c>
      <c r="D33" s="12" t="s">
        <v>82</v>
      </c>
      <c r="E33" s="6"/>
      <c r="F33" s="6">
        <v>500</v>
      </c>
      <c r="G33" s="6"/>
      <c r="H33" s="6"/>
      <c r="I33" s="11">
        <f t="shared" si="13"/>
        <v>500</v>
      </c>
      <c r="J33" s="11">
        <f t="shared" si="14"/>
        <v>2.5</v>
      </c>
      <c r="K33" s="20"/>
      <c r="L33" s="20"/>
      <c r="M33" s="20"/>
      <c r="N33" s="20"/>
      <c r="O33" s="20"/>
      <c r="P33" s="1"/>
      <c r="Q33" s="1"/>
      <c r="R33" s="1"/>
      <c r="S33" s="1"/>
      <c r="T33" s="1"/>
      <c r="U33" s="1"/>
    </row>
    <row r="34" s="3" customFormat="1" spans="1:21">
      <c r="A34" s="12" t="s">
        <v>83</v>
      </c>
      <c r="B34" s="12" t="s">
        <v>84</v>
      </c>
      <c r="C34" s="12">
        <v>30</v>
      </c>
      <c r="D34" s="6" t="s">
        <v>26</v>
      </c>
      <c r="E34" s="6"/>
      <c r="F34" s="6">
        <f>SUM(F35:F42)</f>
        <v>4900</v>
      </c>
      <c r="G34" s="6">
        <f>SUM(G35:G42)</f>
        <v>19000</v>
      </c>
      <c r="H34" s="6"/>
      <c r="I34" s="11">
        <f t="shared" si="13"/>
        <v>23900</v>
      </c>
      <c r="J34" s="11">
        <f t="shared" si="14"/>
        <v>796.666666666667</v>
      </c>
      <c r="K34" s="20"/>
      <c r="L34" s="20"/>
      <c r="M34" s="20"/>
      <c r="N34" s="20"/>
      <c r="O34" s="20"/>
      <c r="P34" s="1"/>
      <c r="Q34" s="1"/>
      <c r="R34" s="1"/>
      <c r="S34" s="1"/>
      <c r="T34" s="1"/>
      <c r="U34" s="1"/>
    </row>
    <row r="35" s="3" customFormat="1" spans="1:21">
      <c r="A35" s="12" t="s">
        <v>39</v>
      </c>
      <c r="B35" s="12" t="s">
        <v>85</v>
      </c>
      <c r="C35" s="12">
        <v>20</v>
      </c>
      <c r="D35" s="12" t="s">
        <v>86</v>
      </c>
      <c r="E35" s="6"/>
      <c r="F35" s="6">
        <f>G35*0.1</f>
        <v>900</v>
      </c>
      <c r="G35" s="6">
        <v>9000</v>
      </c>
      <c r="H35" s="6"/>
      <c r="I35" s="11">
        <f t="shared" si="13"/>
        <v>9900</v>
      </c>
      <c r="J35" s="11">
        <f t="shared" si="14"/>
        <v>495</v>
      </c>
      <c r="K35" s="20"/>
      <c r="L35" s="20"/>
      <c r="M35" s="20"/>
      <c r="N35" s="20"/>
      <c r="O35" s="20"/>
      <c r="P35" s="1"/>
      <c r="Q35" s="1"/>
      <c r="R35" s="1"/>
      <c r="S35" s="1"/>
      <c r="T35" s="1"/>
      <c r="U35" s="1"/>
    </row>
    <row r="36" s="3" customFormat="1" spans="1:21">
      <c r="A36" s="12" t="s">
        <v>43</v>
      </c>
      <c r="B36" s="12" t="s">
        <v>87</v>
      </c>
      <c r="C36" s="12">
        <v>20</v>
      </c>
      <c r="D36" s="12" t="s">
        <v>86</v>
      </c>
      <c r="E36" s="6"/>
      <c r="F36" s="6">
        <f t="shared" ref="F36:F40" si="16">G36*0.1</f>
        <v>600</v>
      </c>
      <c r="G36" s="6">
        <v>6000</v>
      </c>
      <c r="H36" s="6"/>
      <c r="I36" s="11">
        <f t="shared" si="13"/>
        <v>6600</v>
      </c>
      <c r="J36" s="11">
        <f t="shared" si="14"/>
        <v>330</v>
      </c>
      <c r="K36" s="20"/>
      <c r="L36" s="20"/>
      <c r="M36" s="20"/>
      <c r="N36" s="20"/>
      <c r="O36" s="20"/>
      <c r="P36" s="1"/>
      <c r="Q36" s="1"/>
      <c r="R36" s="1"/>
      <c r="S36" s="1"/>
      <c r="T36" s="1"/>
      <c r="U36" s="1"/>
    </row>
    <row r="37" s="3" customFormat="1" spans="1:21">
      <c r="A37" s="12" t="s">
        <v>46</v>
      </c>
      <c r="B37" s="12" t="s">
        <v>88</v>
      </c>
      <c r="C37" s="12">
        <v>40</v>
      </c>
      <c r="D37" s="12" t="s">
        <v>76</v>
      </c>
      <c r="E37" s="6"/>
      <c r="F37" s="6">
        <f t="shared" si="16"/>
        <v>200</v>
      </c>
      <c r="G37" s="6">
        <v>2000</v>
      </c>
      <c r="H37" s="6"/>
      <c r="I37" s="11">
        <f t="shared" si="13"/>
        <v>2200</v>
      </c>
      <c r="J37" s="11">
        <f t="shared" si="14"/>
        <v>55</v>
      </c>
      <c r="K37" s="20"/>
      <c r="L37" s="20"/>
      <c r="M37" s="20"/>
      <c r="N37" s="20"/>
      <c r="O37" s="20"/>
      <c r="P37" s="1"/>
      <c r="Q37" s="1"/>
      <c r="R37" s="1"/>
      <c r="S37" s="1"/>
      <c r="T37" s="1"/>
      <c r="U37" s="1"/>
    </row>
    <row r="38" s="3" customFormat="1" spans="1:21">
      <c r="A38" s="12" t="s">
        <v>49</v>
      </c>
      <c r="B38" s="12" t="s">
        <v>89</v>
      </c>
      <c r="C38" s="12">
        <v>50</v>
      </c>
      <c r="D38" s="12" t="s">
        <v>76</v>
      </c>
      <c r="E38" s="6"/>
      <c r="F38" s="6">
        <f t="shared" si="16"/>
        <v>50</v>
      </c>
      <c r="G38" s="6">
        <v>500</v>
      </c>
      <c r="H38" s="6"/>
      <c r="I38" s="11">
        <f t="shared" si="13"/>
        <v>550</v>
      </c>
      <c r="J38" s="11">
        <f t="shared" si="14"/>
        <v>11</v>
      </c>
      <c r="K38" s="20"/>
      <c r="L38" s="20"/>
      <c r="M38" s="20"/>
      <c r="N38" s="20"/>
      <c r="O38" s="20"/>
      <c r="P38" s="1"/>
      <c r="Q38" s="1"/>
      <c r="R38" s="1"/>
      <c r="S38" s="1"/>
      <c r="T38" s="1"/>
      <c r="U38" s="1"/>
    </row>
    <row r="39" s="3" customFormat="1" spans="1:21">
      <c r="A39" s="12" t="s">
        <v>80</v>
      </c>
      <c r="B39" s="12" t="s">
        <v>90</v>
      </c>
      <c r="C39" s="12">
        <v>40</v>
      </c>
      <c r="D39" s="12" t="s">
        <v>76</v>
      </c>
      <c r="E39" s="6"/>
      <c r="F39" s="6">
        <f t="shared" si="16"/>
        <v>100</v>
      </c>
      <c r="G39" s="6">
        <v>1000</v>
      </c>
      <c r="H39" s="6"/>
      <c r="I39" s="11">
        <f t="shared" si="13"/>
        <v>1100</v>
      </c>
      <c r="J39" s="11">
        <f t="shared" si="14"/>
        <v>27.5</v>
      </c>
      <c r="K39" s="20"/>
      <c r="L39" s="20"/>
      <c r="M39" s="20"/>
      <c r="N39" s="20"/>
      <c r="O39" s="20"/>
      <c r="P39" s="1"/>
      <c r="Q39" s="1"/>
      <c r="R39" s="1"/>
      <c r="S39" s="1"/>
      <c r="T39" s="1"/>
      <c r="U39" s="1"/>
    </row>
    <row r="40" s="3" customFormat="1" spans="1:21">
      <c r="A40" s="12" t="s">
        <v>91</v>
      </c>
      <c r="B40" s="12" t="s">
        <v>79</v>
      </c>
      <c r="C40" s="12">
        <v>40</v>
      </c>
      <c r="D40" s="12" t="s">
        <v>76</v>
      </c>
      <c r="E40" s="6"/>
      <c r="F40" s="6">
        <f t="shared" si="16"/>
        <v>50</v>
      </c>
      <c r="G40" s="6">
        <v>500</v>
      </c>
      <c r="H40" s="6"/>
      <c r="I40" s="11">
        <f t="shared" si="13"/>
        <v>550</v>
      </c>
      <c r="J40" s="11">
        <f t="shared" si="14"/>
        <v>13.75</v>
      </c>
      <c r="K40" s="20"/>
      <c r="L40" s="20"/>
      <c r="M40" s="20"/>
      <c r="N40" s="20"/>
      <c r="O40" s="20"/>
      <c r="P40" s="1"/>
      <c r="Q40" s="1"/>
      <c r="R40" s="1"/>
      <c r="S40" s="1"/>
      <c r="T40" s="1"/>
      <c r="U40" s="1"/>
    </row>
    <row r="41" s="3" customFormat="1" spans="1:21">
      <c r="A41" s="12" t="s">
        <v>92</v>
      </c>
      <c r="B41" s="12" t="s">
        <v>93</v>
      </c>
      <c r="C41" s="12">
        <v>800</v>
      </c>
      <c r="D41" s="12" t="s">
        <v>82</v>
      </c>
      <c r="E41" s="13"/>
      <c r="F41" s="14">
        <v>2000</v>
      </c>
      <c r="G41" s="14"/>
      <c r="H41" s="13"/>
      <c r="I41" s="11">
        <f t="shared" si="13"/>
        <v>2000</v>
      </c>
      <c r="J41" s="11">
        <f t="shared" si="14"/>
        <v>2.5</v>
      </c>
      <c r="K41" s="22"/>
      <c r="L41" s="22"/>
      <c r="M41" s="22"/>
      <c r="N41" s="22"/>
      <c r="O41" s="22"/>
      <c r="P41"/>
      <c r="Q41"/>
      <c r="R41"/>
      <c r="S41"/>
      <c r="T41"/>
      <c r="U41"/>
    </row>
    <row r="42" s="3" customFormat="1" spans="1:21">
      <c r="A42" s="12" t="s">
        <v>94</v>
      </c>
      <c r="B42" s="12" t="s">
        <v>95</v>
      </c>
      <c r="C42" s="12">
        <v>800</v>
      </c>
      <c r="D42" s="12" t="s">
        <v>82</v>
      </c>
      <c r="E42" s="13"/>
      <c r="F42" s="14">
        <v>1000</v>
      </c>
      <c r="G42" s="14"/>
      <c r="H42" s="13"/>
      <c r="I42" s="11">
        <f t="shared" si="13"/>
        <v>1000</v>
      </c>
      <c r="J42" s="11">
        <f t="shared" si="14"/>
        <v>1.25</v>
      </c>
      <c r="K42" s="22"/>
      <c r="L42" s="22"/>
      <c r="M42" s="22"/>
      <c r="N42" s="22"/>
      <c r="O42" s="22"/>
      <c r="P42"/>
      <c r="Q42"/>
      <c r="R42"/>
      <c r="S42"/>
      <c r="T42"/>
      <c r="U42"/>
    </row>
    <row r="43" s="3" customFormat="1" spans="1:21">
      <c r="A43" s="12" t="s">
        <v>96</v>
      </c>
      <c r="B43" s="12" t="s">
        <v>97</v>
      </c>
      <c r="C43" s="12">
        <v>30</v>
      </c>
      <c r="D43" s="12" t="s">
        <v>98</v>
      </c>
      <c r="E43" s="13"/>
      <c r="F43" s="14"/>
      <c r="G43" s="14">
        <f>SUM(G44:G49)</f>
        <v>7800</v>
      </c>
      <c r="H43" s="13"/>
      <c r="I43" s="11">
        <f t="shared" si="13"/>
        <v>7800</v>
      </c>
      <c r="J43" s="11">
        <f t="shared" si="14"/>
        <v>260</v>
      </c>
      <c r="K43" s="22"/>
      <c r="L43" s="22"/>
      <c r="M43" s="22"/>
      <c r="N43" s="22"/>
      <c r="O43" s="22"/>
      <c r="P43"/>
      <c r="Q43"/>
      <c r="R43"/>
      <c r="S43"/>
      <c r="T43"/>
      <c r="U43"/>
    </row>
    <row r="44" s="3" customFormat="1" spans="1:21">
      <c r="A44" s="12" t="s">
        <v>39</v>
      </c>
      <c r="B44" s="12" t="s">
        <v>99</v>
      </c>
      <c r="C44" s="12">
        <v>60</v>
      </c>
      <c r="D44" s="12" t="s">
        <v>76</v>
      </c>
      <c r="E44" s="13"/>
      <c r="F44" s="14"/>
      <c r="G44" s="14">
        <f>C44*90</f>
        <v>5400</v>
      </c>
      <c r="H44" s="13"/>
      <c r="I44" s="11">
        <f t="shared" si="13"/>
        <v>5400</v>
      </c>
      <c r="J44" s="11">
        <f t="shared" si="14"/>
        <v>90</v>
      </c>
      <c r="K44" s="22"/>
      <c r="L44" s="22"/>
      <c r="M44" s="22"/>
      <c r="N44" s="22"/>
      <c r="O44" s="22"/>
      <c r="P44"/>
      <c r="Q44"/>
      <c r="R44"/>
      <c r="S44"/>
      <c r="T44"/>
      <c r="U44"/>
    </row>
    <row r="45" s="3" customFormat="1" spans="1:21">
      <c r="A45" s="12" t="s">
        <v>43</v>
      </c>
      <c r="B45" s="12" t="s">
        <v>100</v>
      </c>
      <c r="C45" s="12">
        <v>60</v>
      </c>
      <c r="D45" s="12" t="s">
        <v>86</v>
      </c>
      <c r="E45" s="13"/>
      <c r="F45" s="14"/>
      <c r="G45" s="14">
        <f>C45*20</f>
        <v>1200</v>
      </c>
      <c r="H45" s="13"/>
      <c r="I45" s="11">
        <f t="shared" si="13"/>
        <v>1200</v>
      </c>
      <c r="J45" s="11">
        <f t="shared" si="14"/>
        <v>20</v>
      </c>
      <c r="K45" s="22"/>
      <c r="L45" s="22"/>
      <c r="M45" s="22"/>
      <c r="N45" s="22"/>
      <c r="O45" s="22"/>
      <c r="P45"/>
      <c r="Q45"/>
      <c r="R45"/>
      <c r="S45"/>
      <c r="T45"/>
      <c r="U45"/>
    </row>
    <row r="46" s="3" customFormat="1" spans="1:21">
      <c r="A46" s="12" t="s">
        <v>46</v>
      </c>
      <c r="B46" s="12" t="s">
        <v>101</v>
      </c>
      <c r="C46" s="12">
        <v>60</v>
      </c>
      <c r="D46" s="12" t="s">
        <v>102</v>
      </c>
      <c r="E46" s="13"/>
      <c r="F46" s="14"/>
      <c r="G46" s="14">
        <f>C46*5</f>
        <v>300</v>
      </c>
      <c r="H46" s="13"/>
      <c r="I46" s="11">
        <f t="shared" si="13"/>
        <v>300</v>
      </c>
      <c r="J46" s="11">
        <f t="shared" si="14"/>
        <v>5</v>
      </c>
      <c r="K46" s="22"/>
      <c r="L46" s="22"/>
      <c r="M46" s="22"/>
      <c r="N46" s="22"/>
      <c r="O46" s="22"/>
      <c r="P46"/>
      <c r="Q46"/>
      <c r="R46"/>
      <c r="S46"/>
      <c r="T46"/>
      <c r="U46"/>
    </row>
    <row r="47" s="3" customFormat="1" spans="1:21">
      <c r="A47" s="12" t="s">
        <v>49</v>
      </c>
      <c r="B47" s="12" t="s">
        <v>103</v>
      </c>
      <c r="C47" s="12">
        <v>60</v>
      </c>
      <c r="D47" s="12" t="s">
        <v>102</v>
      </c>
      <c r="E47" s="13"/>
      <c r="F47" s="14"/>
      <c r="G47" s="14">
        <f>C47*5</f>
        <v>300</v>
      </c>
      <c r="H47" s="13"/>
      <c r="I47" s="11">
        <f t="shared" si="13"/>
        <v>300</v>
      </c>
      <c r="J47" s="11">
        <f t="shared" si="14"/>
        <v>5</v>
      </c>
      <c r="K47" s="22"/>
      <c r="L47" s="22"/>
      <c r="M47" s="22"/>
      <c r="N47" s="22"/>
      <c r="O47" s="22"/>
      <c r="P47"/>
      <c r="Q47"/>
      <c r="R47"/>
      <c r="S47"/>
      <c r="T47"/>
      <c r="U47"/>
    </row>
    <row r="48" s="3" customFormat="1" spans="1:21">
      <c r="A48" s="12" t="s">
        <v>80</v>
      </c>
      <c r="B48" s="12" t="s">
        <v>104</v>
      </c>
      <c r="C48" s="12">
        <v>60</v>
      </c>
      <c r="D48" s="12" t="s">
        <v>76</v>
      </c>
      <c r="E48" s="13"/>
      <c r="F48" s="14"/>
      <c r="G48" s="14">
        <f t="shared" ref="G48:G55" si="17">C48*5</f>
        <v>300</v>
      </c>
      <c r="H48" s="13"/>
      <c r="I48" s="11">
        <f t="shared" si="13"/>
        <v>300</v>
      </c>
      <c r="J48" s="11">
        <f t="shared" si="14"/>
        <v>5</v>
      </c>
      <c r="K48" s="22"/>
      <c r="L48" s="22"/>
      <c r="M48" s="22"/>
      <c r="N48" s="22"/>
      <c r="O48" s="22"/>
      <c r="P48"/>
      <c r="Q48"/>
      <c r="R48"/>
      <c r="S48"/>
      <c r="T48"/>
      <c r="U48"/>
    </row>
    <row r="49" s="3" customFormat="1" spans="1:21">
      <c r="A49" s="12" t="s">
        <v>91</v>
      </c>
      <c r="B49" s="12" t="s">
        <v>105</v>
      </c>
      <c r="C49" s="12">
        <v>60</v>
      </c>
      <c r="D49" s="12" t="s">
        <v>76</v>
      </c>
      <c r="E49" s="13"/>
      <c r="F49" s="14"/>
      <c r="G49" s="14">
        <f t="shared" si="17"/>
        <v>300</v>
      </c>
      <c r="H49" s="13"/>
      <c r="I49" s="11">
        <f t="shared" si="13"/>
        <v>300</v>
      </c>
      <c r="J49" s="11">
        <f t="shared" si="14"/>
        <v>5</v>
      </c>
      <c r="K49" s="22"/>
      <c r="L49" s="22"/>
      <c r="M49" s="22"/>
      <c r="N49" s="22"/>
      <c r="O49" s="22"/>
      <c r="P49"/>
      <c r="Q49"/>
      <c r="R49"/>
      <c r="S49"/>
      <c r="T49"/>
      <c r="U49"/>
    </row>
    <row r="50" s="3" customFormat="1" spans="1:21">
      <c r="A50" s="12" t="s">
        <v>106</v>
      </c>
      <c r="B50" s="12" t="s">
        <v>107</v>
      </c>
      <c r="C50" s="12">
        <v>2</v>
      </c>
      <c r="D50" s="12" t="s">
        <v>74</v>
      </c>
      <c r="E50" s="13"/>
      <c r="F50" s="14">
        <f>SUM(F51:F55)</f>
        <v>930</v>
      </c>
      <c r="G50" s="14">
        <f>SUM(G51:G55)</f>
        <v>4200</v>
      </c>
      <c r="H50" s="13"/>
      <c r="I50" s="11">
        <f t="shared" si="13"/>
        <v>5130</v>
      </c>
      <c r="J50" s="11">
        <f t="shared" si="14"/>
        <v>2565</v>
      </c>
      <c r="K50" s="22"/>
      <c r="L50" s="22"/>
      <c r="M50" s="22"/>
      <c r="N50" s="22"/>
      <c r="O50" s="22"/>
      <c r="P50"/>
      <c r="Q50"/>
      <c r="R50"/>
      <c r="S50"/>
      <c r="T50"/>
      <c r="U50"/>
    </row>
    <row r="51" s="3" customFormat="1" spans="1:21">
      <c r="A51" s="12" t="s">
        <v>39</v>
      </c>
      <c r="B51" s="12" t="s">
        <v>108</v>
      </c>
      <c r="C51" s="12">
        <v>45</v>
      </c>
      <c r="D51" s="12" t="s">
        <v>109</v>
      </c>
      <c r="E51" s="13"/>
      <c r="F51" s="14">
        <v>600</v>
      </c>
      <c r="G51" s="14">
        <v>800</v>
      </c>
      <c r="H51" s="13"/>
      <c r="I51" s="11">
        <f t="shared" si="13"/>
        <v>1400</v>
      </c>
      <c r="J51" s="11">
        <f t="shared" si="14"/>
        <v>31.1111111111111</v>
      </c>
      <c r="K51" s="22"/>
      <c r="L51" s="22"/>
      <c r="M51" s="22"/>
      <c r="N51" s="22"/>
      <c r="O51" s="22"/>
      <c r="P51"/>
      <c r="Q51"/>
      <c r="R51"/>
      <c r="S51"/>
      <c r="T51"/>
      <c r="U51"/>
    </row>
    <row r="52" s="3" customFormat="1" spans="1:21">
      <c r="A52" s="12" t="s">
        <v>43</v>
      </c>
      <c r="B52" s="12" t="s">
        <v>110</v>
      </c>
      <c r="C52" s="12">
        <v>20</v>
      </c>
      <c r="D52" s="12" t="s">
        <v>109</v>
      </c>
      <c r="E52" s="13"/>
      <c r="F52" s="14">
        <v>250</v>
      </c>
      <c r="G52" s="14">
        <v>400</v>
      </c>
      <c r="H52" s="13"/>
      <c r="I52" s="11">
        <f t="shared" si="13"/>
        <v>650</v>
      </c>
      <c r="J52" s="11">
        <f t="shared" si="14"/>
        <v>32.5</v>
      </c>
      <c r="K52" s="22"/>
      <c r="L52" s="22"/>
      <c r="M52" s="22"/>
      <c r="N52" s="22"/>
      <c r="O52" s="22"/>
      <c r="P52"/>
      <c r="Q52"/>
      <c r="R52"/>
      <c r="S52"/>
      <c r="T52"/>
      <c r="U52"/>
    </row>
    <row r="53" s="3" customFormat="1" spans="1:21">
      <c r="A53" s="12" t="s">
        <v>46</v>
      </c>
      <c r="B53" s="12" t="s">
        <v>111</v>
      </c>
      <c r="C53" s="12">
        <v>1</v>
      </c>
      <c r="D53" s="12" t="s">
        <v>86</v>
      </c>
      <c r="E53" s="13"/>
      <c r="F53" s="14">
        <v>50</v>
      </c>
      <c r="G53" s="14">
        <v>1000</v>
      </c>
      <c r="H53" s="13"/>
      <c r="I53" s="11">
        <f t="shared" si="13"/>
        <v>1050</v>
      </c>
      <c r="J53" s="11">
        <f t="shared" si="14"/>
        <v>1050</v>
      </c>
      <c r="K53" s="22"/>
      <c r="L53" s="22"/>
      <c r="M53" s="22"/>
      <c r="N53" s="22"/>
      <c r="O53" s="22"/>
      <c r="P53"/>
      <c r="Q53"/>
      <c r="R53"/>
      <c r="S53"/>
      <c r="T53"/>
      <c r="U53"/>
    </row>
    <row r="54" s="3" customFormat="1" spans="1:21">
      <c r="A54" s="12" t="s">
        <v>49</v>
      </c>
      <c r="B54" s="12" t="s">
        <v>112</v>
      </c>
      <c r="C54" s="12">
        <v>1</v>
      </c>
      <c r="D54" s="12" t="s">
        <v>86</v>
      </c>
      <c r="E54" s="13"/>
      <c r="F54" s="14">
        <v>10</v>
      </c>
      <c r="G54" s="14">
        <v>500</v>
      </c>
      <c r="H54" s="13"/>
      <c r="I54" s="11">
        <f t="shared" si="13"/>
        <v>510</v>
      </c>
      <c r="J54" s="11">
        <f t="shared" si="14"/>
        <v>510</v>
      </c>
      <c r="K54" s="22"/>
      <c r="L54" s="22"/>
      <c r="M54" s="22"/>
      <c r="N54" s="22"/>
      <c r="O54" s="22"/>
      <c r="P54"/>
      <c r="Q54"/>
      <c r="R54"/>
      <c r="S54"/>
      <c r="T54"/>
      <c r="U54"/>
    </row>
    <row r="55" s="3" customFormat="1" spans="1:21">
      <c r="A55" s="12" t="s">
        <v>80</v>
      </c>
      <c r="B55" s="12" t="s">
        <v>113</v>
      </c>
      <c r="C55" s="12">
        <v>1</v>
      </c>
      <c r="D55" s="12" t="s">
        <v>86</v>
      </c>
      <c r="E55" s="13"/>
      <c r="F55" s="14">
        <v>20</v>
      </c>
      <c r="G55" s="14">
        <v>1500</v>
      </c>
      <c r="H55" s="13"/>
      <c r="I55" s="11">
        <f t="shared" si="13"/>
        <v>1520</v>
      </c>
      <c r="J55" s="11">
        <f t="shared" si="14"/>
        <v>1520</v>
      </c>
      <c r="K55" s="22"/>
      <c r="L55" s="22"/>
      <c r="M55" s="22"/>
      <c r="N55" s="22"/>
      <c r="O55" s="22"/>
      <c r="P55"/>
      <c r="Q55"/>
      <c r="R55"/>
      <c r="S55"/>
      <c r="T55"/>
      <c r="U55"/>
    </row>
    <row r="56" s="4" customFormat="1" spans="5:21">
      <c r="E56"/>
      <c r="F56" s="5"/>
      <c r="G56" s="5"/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 s="1" customFormat="1" spans="5:21">
      <c r="E57"/>
      <c r="F57" s="5"/>
      <c r="G57" s="5"/>
      <c r="H57"/>
      <c r="I57"/>
      <c r="J57"/>
      <c r="K57"/>
      <c r="L57"/>
      <c r="M57"/>
      <c r="N57"/>
      <c r="O57"/>
      <c r="P57"/>
      <c r="Q57"/>
      <c r="R57"/>
      <c r="S57"/>
      <c r="T57"/>
      <c r="U57"/>
    </row>
    <row r="58" s="1" customFormat="1" spans="5:21">
      <c r="E58"/>
      <c r="F58" s="5"/>
      <c r="G58" s="5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 s="1" customFormat="1" spans="5:21">
      <c r="E59"/>
      <c r="F59" s="5"/>
      <c r="G59" s="5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 s="1" customFormat="1" spans="5:21">
      <c r="E60"/>
      <c r="F60" s="5"/>
      <c r="G60" s="5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 s="1" customFormat="1" spans="5:21">
      <c r="E61"/>
      <c r="F61" s="5"/>
      <c r="G61" s="5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 s="1" customFormat="1" spans="5:21">
      <c r="E62"/>
      <c r="F62" s="5"/>
      <c r="G62" s="5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 s="1" customFormat="1" spans="5:21">
      <c r="E63"/>
      <c r="F63" s="5"/>
      <c r="G63" s="5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 s="1" customFormat="1" spans="5:21">
      <c r="E64"/>
      <c r="F64" s="5"/>
      <c r="G64" s="5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 s="1" customFormat="1" spans="5:21">
      <c r="E65"/>
      <c r="F65" s="5"/>
      <c r="G65" s="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s="1" customFormat="1" spans="5:21">
      <c r="E66"/>
      <c r="F66" s="5"/>
      <c r="G66" s="5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s="1" customFormat="1" spans="5:21">
      <c r="E67"/>
      <c r="F67" s="5"/>
      <c r="G67" s="5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s="1" customFormat="1" spans="5:21">
      <c r="E68"/>
      <c r="F68" s="5"/>
      <c r="G68" s="5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s="1" customFormat="1" spans="5:21">
      <c r="E69"/>
      <c r="F69" s="5"/>
      <c r="G69" s="5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</sheetData>
  <mergeCells count="4">
    <mergeCell ref="C1:J1"/>
    <mergeCell ref="K1:O1"/>
    <mergeCell ref="A1:A3"/>
    <mergeCell ref="B1:B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何睿智</cp:lastModifiedBy>
  <dcterms:created xsi:type="dcterms:W3CDTF">2006-09-16T00:00:00Z</dcterms:created>
  <dcterms:modified xsi:type="dcterms:W3CDTF">2020-09-21T02:15:33Z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