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482CEF1-5149-40D2-B6FF-C44199DB19CA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字段及基础数据1" sheetId="1" r:id="rId1"/>
    <sheet name="导入数据2" sheetId="2" r:id="rId2"/>
    <sheet name="计算分析表（以表1为原始数据）" sheetId="3" r:id="rId3"/>
    <sheet name="对比表（补充数据）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E31" i="3" l="1"/>
  <c r="E32" i="3"/>
  <c r="E30" i="3"/>
  <c r="E29" i="3"/>
  <c r="E28" i="3"/>
  <c r="E17" i="3"/>
  <c r="E21" i="3"/>
  <c r="E20" i="3"/>
  <c r="E19" i="3"/>
  <c r="E18" i="3"/>
  <c r="I6" i="3"/>
  <c r="E6" i="3"/>
  <c r="E9" i="3"/>
  <c r="E8" i="3"/>
  <c r="E7" i="3"/>
  <c r="I5" i="4"/>
  <c r="J5" i="4" s="1"/>
  <c r="K5" i="4" l="1"/>
  <c r="L5" i="4"/>
  <c r="I4" i="4"/>
  <c r="I3" i="4"/>
  <c r="I22" i="2"/>
  <c r="I17" i="2"/>
  <c r="I25" i="2"/>
  <c r="I15" i="2"/>
  <c r="I10" i="2"/>
  <c r="I28" i="2"/>
  <c r="I27" i="2"/>
  <c r="I26" i="2"/>
  <c r="I24" i="2"/>
  <c r="I23" i="2"/>
  <c r="I21" i="2"/>
  <c r="D21" i="2" s="1"/>
  <c r="I20" i="2"/>
  <c r="I19" i="2"/>
  <c r="I18" i="2"/>
  <c r="I16" i="2"/>
  <c r="D16" i="2" s="1"/>
  <c r="I14" i="2"/>
  <c r="I13" i="2"/>
  <c r="I12" i="2"/>
  <c r="I11" i="2"/>
  <c r="I9" i="2"/>
  <c r="I4" i="2"/>
  <c r="I7" i="2"/>
  <c r="I8" i="2"/>
  <c r="I6" i="2"/>
  <c r="I5" i="2"/>
  <c r="J2" i="4" l="1"/>
  <c r="G6" i="4"/>
  <c r="H6" i="4"/>
  <c r="E6" i="4"/>
  <c r="L2" i="4"/>
  <c r="F6" i="4"/>
  <c r="K2" i="4"/>
  <c r="I3" i="2"/>
  <c r="J4" i="4"/>
  <c r="K4" i="4"/>
  <c r="L4" i="4"/>
  <c r="J3" i="4"/>
  <c r="K3" i="4"/>
  <c r="L3" i="4"/>
  <c r="I51" i="2"/>
  <c r="I52" i="2" s="1"/>
  <c r="I46" i="2"/>
  <c r="D46" i="2" s="1"/>
  <c r="I41" i="2"/>
  <c r="I36" i="2"/>
  <c r="I35" i="2" s="1"/>
  <c r="D54" i="2"/>
  <c r="H54" i="2" s="1"/>
  <c r="J54" i="2" s="1"/>
  <c r="D53" i="2"/>
  <c r="H53" i="2" s="1"/>
  <c r="J53" i="2" s="1"/>
  <c r="D51" i="2"/>
  <c r="D49" i="2"/>
  <c r="D48" i="2"/>
  <c r="H48" i="2" s="1"/>
  <c r="J48" i="2" s="1"/>
  <c r="D44" i="2"/>
  <c r="H44" i="2" s="1"/>
  <c r="J44" i="2" s="1"/>
  <c r="D43" i="2"/>
  <c r="D41" i="2"/>
  <c r="D39" i="2"/>
  <c r="D38" i="2"/>
  <c r="H38" i="2" s="1"/>
  <c r="J38" i="2" s="1"/>
  <c r="D34" i="2"/>
  <c r="H34" i="2" s="1"/>
  <c r="J34" i="2" s="1"/>
  <c r="D33" i="2"/>
  <c r="H33" i="2" s="1"/>
  <c r="J33" i="2" s="1"/>
  <c r="D31" i="2"/>
  <c r="D23" i="2"/>
  <c r="H23" i="2" s="1"/>
  <c r="J23" i="2" s="1"/>
  <c r="D22" i="2"/>
  <c r="H22" i="2" s="1"/>
  <c r="J22" i="2" s="1"/>
  <c r="H21" i="2"/>
  <c r="J21" i="2" s="1"/>
  <c r="D20" i="2"/>
  <c r="H20" i="2" s="1"/>
  <c r="J20" i="2" s="1"/>
  <c r="I31" i="2"/>
  <c r="D28" i="2"/>
  <c r="H28" i="2" s="1"/>
  <c r="J28" i="2" s="1"/>
  <c r="D27" i="2"/>
  <c r="H27" i="2" s="1"/>
  <c r="J27" i="2" s="1"/>
  <c r="D26" i="2"/>
  <c r="D25" i="2"/>
  <c r="H25" i="2" s="1"/>
  <c r="J25" i="2" s="1"/>
  <c r="H49" i="2"/>
  <c r="J49" i="2" s="1"/>
  <c r="H43" i="2"/>
  <c r="J43" i="2" s="1"/>
  <c r="I42" i="2"/>
  <c r="D42" i="2" s="1"/>
  <c r="H41" i="2"/>
  <c r="J41" i="2" s="1"/>
  <c r="I40" i="2"/>
  <c r="D8" i="2"/>
  <c r="H8" i="2" s="1"/>
  <c r="J8" i="2" s="1"/>
  <c r="D5" i="2"/>
  <c r="D6" i="2"/>
  <c r="D7" i="2"/>
  <c r="H7" i="2" s="1"/>
  <c r="J7" i="2" s="1"/>
  <c r="D10" i="2"/>
  <c r="H10" i="2" s="1"/>
  <c r="J10" i="2" s="1"/>
  <c r="D11" i="2"/>
  <c r="H11" i="2" s="1"/>
  <c r="J11" i="2" s="1"/>
  <c r="D12" i="2"/>
  <c r="H12" i="2" s="1"/>
  <c r="J12" i="2" s="1"/>
  <c r="D15" i="2"/>
  <c r="H15" i="2" s="1"/>
  <c r="J15" i="2" s="1"/>
  <c r="H16" i="2"/>
  <c r="J16" i="2" s="1"/>
  <c r="D17" i="2"/>
  <c r="H17" i="2" s="1"/>
  <c r="J17" i="2" s="1"/>
  <c r="I30" i="2"/>
  <c r="I32" i="2"/>
  <c r="D32" i="2" s="1"/>
  <c r="H32" i="2" s="1"/>
  <c r="F72" i="2"/>
  <c r="H72" i="2" s="1"/>
  <c r="J72" i="2" s="1"/>
  <c r="D18" i="2"/>
  <c r="H18" i="2" s="1"/>
  <c r="J18" i="2" s="1"/>
  <c r="H83" i="2"/>
  <c r="J83" i="2" s="1"/>
  <c r="H82" i="2"/>
  <c r="J82" i="2" s="1"/>
  <c r="H81" i="2"/>
  <c r="J81" i="2" s="1"/>
  <c r="H80" i="2"/>
  <c r="J80" i="2" s="1"/>
  <c r="H79" i="2"/>
  <c r="J79" i="2" s="1"/>
  <c r="F78" i="2"/>
  <c r="E78" i="2"/>
  <c r="F77" i="2"/>
  <c r="H77" i="2" s="1"/>
  <c r="J77" i="2" s="1"/>
  <c r="F76" i="2"/>
  <c r="H76" i="2" s="1"/>
  <c r="J76" i="2" s="1"/>
  <c r="F75" i="2"/>
  <c r="H75" i="2" s="1"/>
  <c r="J75" i="2" s="1"/>
  <c r="F74" i="2"/>
  <c r="H74" i="2" s="1"/>
  <c r="J74" i="2" s="1"/>
  <c r="F73" i="2"/>
  <c r="H70" i="2"/>
  <c r="J70" i="2" s="1"/>
  <c r="H69" i="2"/>
  <c r="J69" i="2" s="1"/>
  <c r="E68" i="2"/>
  <c r="H68" i="2" s="1"/>
  <c r="J68" i="2" s="1"/>
  <c r="E67" i="2"/>
  <c r="H67" i="2" s="1"/>
  <c r="J67" i="2" s="1"/>
  <c r="E66" i="2"/>
  <c r="H66" i="2" s="1"/>
  <c r="J66" i="2" s="1"/>
  <c r="E65" i="2"/>
  <c r="H65" i="2" s="1"/>
  <c r="J65" i="2" s="1"/>
  <c r="E64" i="2"/>
  <c r="H64" i="2" s="1"/>
  <c r="J64" i="2" s="1"/>
  <c r="E63" i="2"/>
  <c r="H63" i="2" s="1"/>
  <c r="J63" i="2" s="1"/>
  <c r="F62" i="2"/>
  <c r="H61" i="2"/>
  <c r="J61" i="2" s="1"/>
  <c r="E60" i="2"/>
  <c r="H60" i="2" s="1"/>
  <c r="J60" i="2" s="1"/>
  <c r="E59" i="2"/>
  <c r="H59" i="2" s="1"/>
  <c r="J59" i="2" s="1"/>
  <c r="E58" i="2"/>
  <c r="H58" i="2" s="1"/>
  <c r="J58" i="2" s="1"/>
  <c r="E57" i="2"/>
  <c r="H57" i="2" s="1"/>
  <c r="J57" i="2" s="1"/>
  <c r="F56" i="2"/>
  <c r="H39" i="2"/>
  <c r="J39" i="2" s="1"/>
  <c r="H31" i="2"/>
  <c r="J31" i="2" s="1"/>
  <c r="D13" i="2"/>
  <c r="H13" i="2" s="1"/>
  <c r="J13" i="2" s="1"/>
  <c r="G2" i="2"/>
  <c r="I45" i="2" l="1"/>
  <c r="D30" i="2"/>
  <c r="H30" i="2" s="1"/>
  <c r="I47" i="2"/>
  <c r="D47" i="2" s="1"/>
  <c r="H47" i="2" s="1"/>
  <c r="I50" i="2"/>
  <c r="I29" i="2" s="1"/>
  <c r="D52" i="2"/>
  <c r="H52" i="2" s="1"/>
  <c r="J52" i="2" s="1"/>
  <c r="H51" i="2"/>
  <c r="J51" i="2" s="1"/>
  <c r="H46" i="2"/>
  <c r="J46" i="2" s="1"/>
  <c r="D45" i="2"/>
  <c r="H45" i="2" s="1"/>
  <c r="J45" i="2" s="1"/>
  <c r="H42" i="2"/>
  <c r="J42" i="2" s="1"/>
  <c r="D40" i="2"/>
  <c r="H40" i="2" s="1"/>
  <c r="J40" i="2" s="1"/>
  <c r="D36" i="2"/>
  <c r="H36" i="2" s="1"/>
  <c r="J36" i="2" s="1"/>
  <c r="I37" i="2"/>
  <c r="D37" i="2" s="1"/>
  <c r="H37" i="2" s="1"/>
  <c r="J37" i="2" s="1"/>
  <c r="J47" i="2"/>
  <c r="J30" i="2"/>
  <c r="D24" i="2"/>
  <c r="H24" i="2" s="1"/>
  <c r="J24" i="2" s="1"/>
  <c r="H6" i="2"/>
  <c r="J6" i="2" s="1"/>
  <c r="H26" i="2"/>
  <c r="J26" i="2" s="1"/>
  <c r="D19" i="2"/>
  <c r="H19" i="2" s="1"/>
  <c r="J19" i="2" s="1"/>
  <c r="D9" i="2"/>
  <c r="H9" i="2" s="1"/>
  <c r="J9" i="2" s="1"/>
  <c r="J32" i="2"/>
  <c r="H78" i="2"/>
  <c r="J78" i="2" s="1"/>
  <c r="F71" i="2"/>
  <c r="F55" i="2" s="1"/>
  <c r="F2" i="2" s="1"/>
  <c r="D14" i="2"/>
  <c r="H14" i="2" s="1"/>
  <c r="J14" i="2" s="1"/>
  <c r="D4" i="2"/>
  <c r="H5" i="2"/>
  <c r="J5" i="2" s="1"/>
  <c r="E62" i="2"/>
  <c r="H62" i="2" s="1"/>
  <c r="J62" i="2" s="1"/>
  <c r="H73" i="2"/>
  <c r="J73" i="2" s="1"/>
  <c r="E56" i="2"/>
  <c r="D3" i="2" l="1"/>
  <c r="D50" i="2"/>
  <c r="H50" i="2" s="1"/>
  <c r="J50" i="2" s="1"/>
  <c r="D35" i="2"/>
  <c r="H35" i="2" s="1"/>
  <c r="J35" i="2" s="1"/>
  <c r="H71" i="2"/>
  <c r="J71" i="2" s="1"/>
  <c r="E55" i="2"/>
  <c r="H56" i="2"/>
  <c r="J56" i="2" s="1"/>
  <c r="H4" i="2"/>
  <c r="J4" i="2" s="1"/>
  <c r="D29" i="2" l="1"/>
  <c r="H29" i="2" s="1"/>
  <c r="J29" i="2" s="1"/>
  <c r="H55" i="2"/>
  <c r="J55" i="2" s="1"/>
  <c r="E2" i="2"/>
  <c r="H3" i="2"/>
  <c r="J3" i="2" s="1"/>
  <c r="D2" i="2" l="1"/>
  <c r="H2" i="2" s="1"/>
  <c r="J2" i="2" s="1"/>
  <c r="G50" i="1" l="1"/>
  <c r="F50" i="1"/>
  <c r="I50" i="1" s="1"/>
  <c r="J50" i="1" s="1"/>
  <c r="I51" i="1"/>
  <c r="J51" i="1" s="1"/>
  <c r="G48" i="1"/>
  <c r="G49" i="1"/>
  <c r="G47" i="1"/>
  <c r="I47" i="1" s="1"/>
  <c r="J47" i="1" s="1"/>
  <c r="G46" i="1"/>
  <c r="I46" i="1" s="1"/>
  <c r="J46" i="1" s="1"/>
  <c r="G45" i="1"/>
  <c r="G44" i="1"/>
  <c r="G43" i="1" s="1"/>
  <c r="I43" i="1" s="1"/>
  <c r="J43" i="1" s="1"/>
  <c r="G34" i="1"/>
  <c r="F36" i="1"/>
  <c r="I36" i="1" s="1"/>
  <c r="J36" i="1" s="1"/>
  <c r="F37" i="1"/>
  <c r="F38" i="1"/>
  <c r="F39" i="1"/>
  <c r="I39" i="1" s="1"/>
  <c r="J39" i="1" s="1"/>
  <c r="F40" i="1"/>
  <c r="F35" i="1"/>
  <c r="F34" i="1" s="1"/>
  <c r="H4" i="1"/>
  <c r="F30" i="1"/>
  <c r="I30" i="1" s="1"/>
  <c r="J30" i="1" s="1"/>
  <c r="F31" i="1"/>
  <c r="F32" i="1"/>
  <c r="I32" i="1" s="1"/>
  <c r="J32" i="1" s="1"/>
  <c r="F29" i="1"/>
  <c r="G28" i="1"/>
  <c r="G27" i="1" s="1"/>
  <c r="I31" i="1"/>
  <c r="J31" i="1" s="1"/>
  <c r="I29" i="1"/>
  <c r="J29" i="1" s="1"/>
  <c r="I33" i="1"/>
  <c r="J33" i="1" s="1"/>
  <c r="I37" i="1"/>
  <c r="J37" i="1" s="1"/>
  <c r="I38" i="1"/>
  <c r="J38" i="1" s="1"/>
  <c r="I40" i="1"/>
  <c r="J40" i="1" s="1"/>
  <c r="I41" i="1"/>
  <c r="J41" i="1" s="1"/>
  <c r="I42" i="1"/>
  <c r="J42" i="1" s="1"/>
  <c r="I45" i="1"/>
  <c r="J45" i="1" s="1"/>
  <c r="I48" i="1"/>
  <c r="J48" i="1" s="1"/>
  <c r="I49" i="1"/>
  <c r="J49" i="1" s="1"/>
  <c r="I52" i="1"/>
  <c r="J52" i="1" s="1"/>
  <c r="I53" i="1"/>
  <c r="J53" i="1" s="1"/>
  <c r="I54" i="1"/>
  <c r="J54" i="1" s="1"/>
  <c r="I55" i="1"/>
  <c r="J55" i="1" s="1"/>
  <c r="C12" i="1"/>
  <c r="E12" i="1" s="1"/>
  <c r="E15" i="1"/>
  <c r="I15" i="1" s="1"/>
  <c r="J15" i="1" s="1"/>
  <c r="E14" i="1"/>
  <c r="I14" i="1" s="1"/>
  <c r="C14" i="1"/>
  <c r="C13" i="1"/>
  <c r="E13" i="1" s="1"/>
  <c r="I13" i="1" s="1"/>
  <c r="J13" i="1" s="1"/>
  <c r="C5" i="1"/>
  <c r="E8" i="1"/>
  <c r="I8" i="1" s="1"/>
  <c r="J8" i="1" s="1"/>
  <c r="F19" i="3" s="1"/>
  <c r="J19" i="3" s="1"/>
  <c r="K19" i="3" s="1"/>
  <c r="E10" i="1"/>
  <c r="I10" i="1" s="1"/>
  <c r="J10" i="1" s="1"/>
  <c r="F21" i="3" s="1"/>
  <c r="J21" i="3" s="1"/>
  <c r="K21" i="3" s="1"/>
  <c r="E7" i="1"/>
  <c r="I7" i="1" s="1"/>
  <c r="J7" i="1" s="1"/>
  <c r="F18" i="3" s="1"/>
  <c r="C9" i="1"/>
  <c r="E9" i="1" s="1"/>
  <c r="C8" i="1"/>
  <c r="C7" i="1"/>
  <c r="J18" i="3" l="1"/>
  <c r="K18" i="3" s="1"/>
  <c r="E6" i="1"/>
  <c r="I6" i="1" s="1"/>
  <c r="J6" i="1" s="1"/>
  <c r="I9" i="1"/>
  <c r="J9" i="1" s="1"/>
  <c r="F20" i="3" s="1"/>
  <c r="J20" i="3" s="1"/>
  <c r="K20" i="3" s="1"/>
  <c r="G4" i="1"/>
  <c r="H9" i="3"/>
  <c r="H6" i="3" s="1"/>
  <c r="E11" i="1"/>
  <c r="E5" i="1" s="1"/>
  <c r="I12" i="1"/>
  <c r="I44" i="1"/>
  <c r="J44" i="1" s="1"/>
  <c r="I35" i="1"/>
  <c r="J35" i="1" s="1"/>
  <c r="I34" i="1"/>
  <c r="J34" i="1" s="1"/>
  <c r="F28" i="1"/>
  <c r="J14" i="1"/>
  <c r="J12" i="1"/>
  <c r="I26" i="1"/>
  <c r="J26" i="1" s="1"/>
  <c r="I25" i="1"/>
  <c r="J25" i="1" s="1"/>
  <c r="I24" i="1"/>
  <c r="I23" i="1"/>
  <c r="J23" i="1" s="1"/>
  <c r="C24" i="1"/>
  <c r="E22" i="1"/>
  <c r="I22" i="1" s="1"/>
  <c r="J22" i="1" s="1"/>
  <c r="C22" i="1"/>
  <c r="C19" i="1"/>
  <c r="I18" i="1"/>
  <c r="J18" i="1" s="1"/>
  <c r="F29" i="3" s="1"/>
  <c r="I20" i="1"/>
  <c r="J20" i="1" s="1"/>
  <c r="F31" i="3" s="1"/>
  <c r="J31" i="3" s="1"/>
  <c r="K31" i="3" s="1"/>
  <c r="I21" i="1"/>
  <c r="J21" i="1" s="1"/>
  <c r="F32" i="3" s="1"/>
  <c r="J32" i="3" s="1"/>
  <c r="K32" i="3" s="1"/>
  <c r="C17" i="1"/>
  <c r="C16" i="1" s="1"/>
  <c r="I11" i="1" l="1"/>
  <c r="J11" i="1" s="1"/>
  <c r="J29" i="3"/>
  <c r="K29" i="3" s="1"/>
  <c r="J24" i="1"/>
  <c r="F17" i="3"/>
  <c r="J17" i="3" s="1"/>
  <c r="K17" i="3" s="1"/>
  <c r="I5" i="1"/>
  <c r="J5" i="1" s="1"/>
  <c r="F7" i="3" s="1"/>
  <c r="I28" i="1"/>
  <c r="J28" i="1" s="1"/>
  <c r="F27" i="1"/>
  <c r="I19" i="1"/>
  <c r="J19" i="1" s="1"/>
  <c r="F30" i="3" s="1"/>
  <c r="J30" i="3" s="1"/>
  <c r="K30" i="3" s="1"/>
  <c r="E17" i="1"/>
  <c r="J7" i="3" l="1"/>
  <c r="K7" i="3" s="1"/>
  <c r="G9" i="3"/>
  <c r="I27" i="1"/>
  <c r="J27" i="1" s="1"/>
  <c r="F4" i="1"/>
  <c r="F28" i="3"/>
  <c r="J28" i="3" s="1"/>
  <c r="K28" i="3" s="1"/>
  <c r="I17" i="1"/>
  <c r="J17" i="1" s="1"/>
  <c r="E16" i="1"/>
  <c r="I16" i="1" l="1"/>
  <c r="J16" i="1" s="1"/>
  <c r="F8" i="3" s="1"/>
  <c r="E4" i="1"/>
  <c r="I4" i="1" s="1"/>
  <c r="J4" i="1" s="1"/>
  <c r="G6" i="3"/>
  <c r="J9" i="3"/>
  <c r="K9" i="3" s="1"/>
  <c r="J8" i="3" l="1"/>
  <c r="K8" i="3" s="1"/>
  <c r="F6" i="3"/>
  <c r="J6" i="3" s="1"/>
  <c r="K6" i="3" s="1"/>
</calcChain>
</file>

<file path=xl/sharedStrings.xml><?xml version="1.0" encoding="utf-8"?>
<sst xmlns="http://schemas.openxmlformats.org/spreadsheetml/2006/main" count="606" uniqueCount="192">
  <si>
    <t>结构层级</t>
    <phoneticPr fontId="1" type="noConversion"/>
  </si>
  <si>
    <t>字段1</t>
    <phoneticPr fontId="1" type="noConversion"/>
  </si>
  <si>
    <t>字段2</t>
  </si>
  <si>
    <t>字段3</t>
  </si>
  <si>
    <t>字段4</t>
  </si>
  <si>
    <t>字段5</t>
  </si>
  <si>
    <t>字段6</t>
  </si>
  <si>
    <t>字段7</t>
  </si>
  <si>
    <t>字段8</t>
  </si>
  <si>
    <t>字段9</t>
  </si>
  <si>
    <t>车站1</t>
    <phoneticPr fontId="1" type="noConversion"/>
  </si>
  <si>
    <t>车站2</t>
    <phoneticPr fontId="1" type="noConversion"/>
  </si>
  <si>
    <t>车站</t>
    <phoneticPr fontId="1" type="noConversion"/>
  </si>
  <si>
    <t>区间</t>
    <phoneticPr fontId="1" type="noConversion"/>
  </si>
  <si>
    <t>信号系统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</si>
  <si>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</si>
  <si>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</si>
  <si>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</si>
  <si>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</si>
  <si>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区间1</t>
    <phoneticPr fontId="1" type="noConversion"/>
  </si>
  <si>
    <t>区间2</t>
    <phoneticPr fontId="1" type="noConversion"/>
  </si>
  <si>
    <t>正线公里</t>
    <phoneticPr fontId="1" type="noConversion"/>
  </si>
  <si>
    <t>控制中心信号系统</t>
    <phoneticPr fontId="1" type="noConversion"/>
  </si>
  <si>
    <t>处</t>
    <phoneticPr fontId="1" type="noConversion"/>
  </si>
  <si>
    <t>ATS中央系统</t>
    <phoneticPr fontId="1" type="noConversion"/>
  </si>
  <si>
    <t>打印设备</t>
    <phoneticPr fontId="1" type="noConversion"/>
  </si>
  <si>
    <t>UPS系统</t>
    <phoneticPr fontId="1" type="noConversion"/>
  </si>
  <si>
    <t>电缆敷设</t>
    <phoneticPr fontId="1" type="noConversion"/>
  </si>
  <si>
    <t>正线信号系统</t>
    <phoneticPr fontId="1" type="noConversion"/>
  </si>
  <si>
    <t>车站及轨旁ATS系统</t>
    <phoneticPr fontId="1" type="noConversion"/>
  </si>
  <si>
    <t>车站及轨旁ATP/ATO系统</t>
    <phoneticPr fontId="1" type="noConversion"/>
  </si>
  <si>
    <t>智能信号电源屏</t>
    <phoneticPr fontId="1" type="noConversion"/>
  </si>
  <si>
    <t>转辙机、信号机</t>
    <phoneticPr fontId="1" type="noConversion"/>
  </si>
  <si>
    <t>车地通信系统LET</t>
    <phoneticPr fontId="1" type="noConversion"/>
  </si>
  <si>
    <t>信号电缆敷设</t>
    <phoneticPr fontId="1" type="noConversion"/>
  </si>
  <si>
    <t>电源电缆敷设</t>
    <phoneticPr fontId="1" type="noConversion"/>
  </si>
  <si>
    <t>车载信号系统</t>
    <phoneticPr fontId="1" type="noConversion"/>
  </si>
  <si>
    <t>列</t>
    <phoneticPr fontId="1" type="noConversion"/>
  </si>
  <si>
    <t>1.3.1</t>
    <phoneticPr fontId="1" type="noConversion"/>
  </si>
  <si>
    <t>车载ATP/ATO机柜</t>
    <phoneticPr fontId="1" type="noConversion"/>
  </si>
  <si>
    <t>车载操作显示单元</t>
    <phoneticPr fontId="1" type="noConversion"/>
  </si>
  <si>
    <t>车载应答器</t>
    <phoneticPr fontId="1" type="noConversion"/>
  </si>
  <si>
    <t>车载无线天线</t>
  </si>
  <si>
    <t>测速雷达</t>
  </si>
  <si>
    <t>速度传感器、加速度计</t>
    <phoneticPr fontId="1" type="noConversion"/>
  </si>
  <si>
    <t>车辆段信号系统</t>
    <phoneticPr fontId="1" type="noConversion"/>
  </si>
  <si>
    <t>1）</t>
    <phoneticPr fontId="1" type="noConversion"/>
  </si>
  <si>
    <t>2）</t>
  </si>
  <si>
    <t>3）</t>
  </si>
  <si>
    <t>4）</t>
  </si>
  <si>
    <t>5）</t>
  </si>
  <si>
    <t>6）</t>
  </si>
  <si>
    <t>7）</t>
  </si>
  <si>
    <t>8）</t>
  </si>
  <si>
    <t>停车场信号系统</t>
    <phoneticPr fontId="1" type="noConversion"/>
  </si>
  <si>
    <t>试车线设备</t>
    <phoneticPr fontId="1" type="noConversion"/>
  </si>
  <si>
    <t>维修中心设备</t>
    <phoneticPr fontId="1" type="noConversion"/>
  </si>
  <si>
    <t>培训中心设备</t>
    <phoneticPr fontId="1" type="noConversion"/>
  </si>
  <si>
    <t>车辆基地信号系统</t>
    <phoneticPr fontId="1" type="noConversion"/>
  </si>
  <si>
    <t>网络传输设备</t>
    <phoneticPr fontId="1" type="noConversion"/>
  </si>
  <si>
    <t>1.3.2</t>
    <phoneticPr fontId="1" type="noConversion"/>
  </si>
  <si>
    <t>1.3.3</t>
    <phoneticPr fontId="1" type="noConversion"/>
  </si>
  <si>
    <t>1.3.4</t>
    <phoneticPr fontId="1" type="noConversion"/>
  </si>
  <si>
    <t>车站数</t>
    <phoneticPr fontId="1" type="noConversion"/>
  </si>
  <si>
    <t>站间距</t>
    <phoneticPr fontId="1" type="noConversion"/>
  </si>
  <si>
    <t>···</t>
    <phoneticPr fontId="1" type="noConversion"/>
  </si>
  <si>
    <t>字段10</t>
  </si>
  <si>
    <t>列车编组</t>
    <phoneticPr fontId="1" type="noConversion"/>
  </si>
  <si>
    <t>字段11</t>
  </si>
  <si>
    <t>字段12</t>
  </si>
  <si>
    <t>数量</t>
    <phoneticPr fontId="1" type="noConversion"/>
  </si>
  <si>
    <t>单位</t>
    <phoneticPr fontId="1" type="noConversion"/>
  </si>
  <si>
    <t>字段13</t>
  </si>
  <si>
    <t>基础字段</t>
    <phoneticPr fontId="1" type="noConversion"/>
  </si>
  <si>
    <t>可变字段</t>
    <phoneticPr fontId="1" type="noConversion"/>
  </si>
  <si>
    <t>车站长度</t>
  </si>
  <si>
    <t>车站长度</t>
    <phoneticPr fontId="1" type="noConversion"/>
  </si>
  <si>
    <t>车站宽度</t>
  </si>
  <si>
    <t>车站宽度</t>
    <phoneticPr fontId="1" type="noConversion"/>
  </si>
  <si>
    <t>围护深度</t>
    <phoneticPr fontId="1" type="noConversion"/>
  </si>
  <si>
    <t>基坑深度</t>
    <phoneticPr fontId="1" type="noConversion"/>
  </si>
  <si>
    <t>主体土石方支撑降水</t>
    <phoneticPr fontId="1" type="noConversion"/>
  </si>
  <si>
    <t>主体内部结构及防水</t>
    <phoneticPr fontId="1" type="noConversion"/>
  </si>
  <si>
    <t>车站附属</t>
    <phoneticPr fontId="1" type="noConversion"/>
  </si>
  <si>
    <t>m2</t>
  </si>
  <si>
    <t>m2</t>
    <phoneticPr fontId="1" type="noConversion"/>
  </si>
  <si>
    <t>m3</t>
    <phoneticPr fontId="1" type="noConversion"/>
  </si>
  <si>
    <t>掘进及出渣</t>
    <phoneticPr fontId="1" type="noConversion"/>
  </si>
  <si>
    <t>管片</t>
    <phoneticPr fontId="1" type="noConversion"/>
  </si>
  <si>
    <t>端头加固</t>
    <phoneticPr fontId="1" type="noConversion"/>
  </si>
  <si>
    <t>联络通道</t>
    <phoneticPr fontId="1" type="noConversion"/>
  </si>
  <si>
    <t>座</t>
    <phoneticPr fontId="1" type="noConversion"/>
  </si>
  <si>
    <t>双线延米</t>
    <phoneticPr fontId="1" type="noConversion"/>
  </si>
  <si>
    <t>台</t>
  </si>
  <si>
    <t>hm</t>
  </si>
  <si>
    <t>套</t>
  </si>
  <si>
    <t>个</t>
  </si>
  <si>
    <t>围护厚度</t>
    <phoneticPr fontId="1" type="noConversion"/>
  </si>
  <si>
    <t>车站深度</t>
    <phoneticPr fontId="1" type="noConversion"/>
  </si>
  <si>
    <t>附属面积</t>
    <phoneticPr fontId="1" type="noConversion"/>
  </si>
  <si>
    <t>区间长度</t>
    <phoneticPr fontId="1" type="noConversion"/>
  </si>
  <si>
    <t>联络通道个数</t>
    <phoneticPr fontId="1" type="noConversion"/>
  </si>
  <si>
    <t>端头加固类型</t>
    <phoneticPr fontId="1" type="noConversion"/>
  </si>
  <si>
    <t>区间断面</t>
  </si>
  <si>
    <t>区间断面</t>
    <phoneticPr fontId="1" type="noConversion"/>
  </si>
  <si>
    <t>工程及费用名称</t>
    <phoneticPr fontId="1" type="noConversion"/>
  </si>
  <si>
    <t>设备购置费（万元）</t>
    <phoneticPr fontId="1" type="noConversion"/>
  </si>
  <si>
    <t>工程建设其他费用（万元）</t>
    <phoneticPr fontId="1" type="noConversion"/>
  </si>
  <si>
    <t>合价（万元）</t>
    <phoneticPr fontId="1" type="noConversion"/>
  </si>
  <si>
    <t>指标（万元/）</t>
    <phoneticPr fontId="1" type="noConversion"/>
  </si>
  <si>
    <t>安装工程费
（万元）</t>
    <phoneticPr fontId="1" type="noConversion"/>
  </si>
  <si>
    <t>建筑工程费
（万元）</t>
    <phoneticPr fontId="1" type="noConversion"/>
  </si>
  <si>
    <t>主体围护结构-地连墙</t>
    <phoneticPr fontId="1" type="noConversion"/>
  </si>
  <si>
    <t>主体围护结构-钻孔桩</t>
    <phoneticPr fontId="1" type="noConversion"/>
  </si>
  <si>
    <t>套</t>
    <phoneticPr fontId="1" type="noConversion"/>
  </si>
  <si>
    <t>联锁道岔</t>
    <phoneticPr fontId="1" type="noConversion"/>
  </si>
  <si>
    <t>深圳XX号线</t>
    <phoneticPr fontId="1" type="noConversion"/>
  </si>
  <si>
    <t>深圳8号线</t>
    <phoneticPr fontId="1" type="noConversion"/>
  </si>
  <si>
    <t>注：标黄数据为基础输入数据</t>
    <phoneticPr fontId="1" type="noConversion"/>
  </si>
  <si>
    <t>线路长度</t>
    <phoneticPr fontId="1" type="noConversion"/>
  </si>
  <si>
    <t>1.1.3</t>
    <phoneticPr fontId="1" type="noConversion"/>
  </si>
  <si>
    <t>1.1.4</t>
    <phoneticPr fontId="1" type="noConversion"/>
  </si>
  <si>
    <t>1.1.5</t>
    <phoneticPr fontId="1" type="noConversion"/>
  </si>
  <si>
    <t>梧桐山南站～沙头角站</t>
    <phoneticPr fontId="1" type="noConversion"/>
  </si>
  <si>
    <t>莲塘站～梧桐山南站</t>
    <phoneticPr fontId="1" type="noConversion"/>
  </si>
  <si>
    <t>编号</t>
    <phoneticPr fontId="1" type="noConversion"/>
  </si>
  <si>
    <t>可变参数</t>
    <phoneticPr fontId="1" type="noConversion"/>
  </si>
  <si>
    <t>沙头角站～海山站</t>
    <phoneticPr fontId="1" type="noConversion"/>
  </si>
  <si>
    <t>海山站～盐田港西站</t>
    <phoneticPr fontId="1" type="noConversion"/>
  </si>
  <si>
    <t>1.2.3</t>
    <phoneticPr fontId="1" type="noConversion"/>
  </si>
  <si>
    <t>1.2.4</t>
    <phoneticPr fontId="1" type="noConversion"/>
  </si>
  <si>
    <t>1.2.5</t>
    <phoneticPr fontId="1" type="noConversion"/>
  </si>
  <si>
    <t>盐田港西站～盐田路站</t>
    <phoneticPr fontId="1" type="noConversion"/>
  </si>
  <si>
    <t>梧桐山南站（地下二层）</t>
    <phoneticPr fontId="1" type="noConversion"/>
  </si>
  <si>
    <t>沙头角站（地下二层）</t>
    <phoneticPr fontId="1" type="noConversion"/>
  </si>
  <si>
    <t>海山站（地下三层）</t>
    <phoneticPr fontId="1" type="noConversion"/>
  </si>
  <si>
    <t>盐田港西站（地下三层）</t>
    <phoneticPr fontId="1" type="noConversion"/>
  </si>
  <si>
    <t>盐田路站（地下二层）</t>
    <phoneticPr fontId="1" type="noConversion"/>
  </si>
  <si>
    <t>覆土厚度</t>
    <phoneticPr fontId="1" type="noConversion"/>
  </si>
  <si>
    <t>主体面积</t>
    <phoneticPr fontId="1" type="noConversion"/>
  </si>
  <si>
    <t>围护直径</t>
    <phoneticPr fontId="1" type="noConversion"/>
  </si>
  <si>
    <t>设备购置费
（万元）</t>
    <phoneticPr fontId="1" type="noConversion"/>
  </si>
  <si>
    <t>深圳7号线</t>
    <phoneticPr fontId="1" type="noConversion"/>
  </si>
  <si>
    <t>深圳9号线</t>
    <phoneticPr fontId="1" type="noConversion"/>
  </si>
  <si>
    <t>深圳10号线</t>
    <phoneticPr fontId="1" type="noConversion"/>
  </si>
  <si>
    <t>深圳11号线</t>
    <phoneticPr fontId="1" type="noConversion"/>
  </si>
  <si>
    <t>3、不同线路二类费占比（折线图）</t>
    <phoneticPr fontId="1" type="noConversion"/>
  </si>
  <si>
    <t>2、不同线路工程费用占比（折线图）</t>
    <phoneticPr fontId="1" type="noConversion"/>
  </si>
  <si>
    <t>4、7号线建筑、安装、设备、其他费占比（饼状图）</t>
    <phoneticPr fontId="1" type="noConversion"/>
  </si>
  <si>
    <t>1、不同线路指标对比（折线图）</t>
    <phoneticPr fontId="1" type="noConversion"/>
  </si>
  <si>
    <t>不同线路工程费用占比</t>
    <phoneticPr fontId="1" type="noConversion"/>
  </si>
  <si>
    <t>不同线路二类费占比</t>
    <phoneticPr fontId="1" type="noConversion"/>
  </si>
  <si>
    <t>7号线建筑、安装、设备、其他费占比</t>
    <phoneticPr fontId="1" type="noConversion"/>
  </si>
  <si>
    <t>1、线路级投资测算</t>
    <phoneticPr fontId="1" type="noConversion"/>
  </si>
  <si>
    <t>一、输入字段</t>
    <phoneticPr fontId="1" type="noConversion"/>
  </si>
  <si>
    <t>线路名称</t>
    <phoneticPr fontId="1" type="noConversion"/>
  </si>
  <si>
    <t>深圳20号线</t>
    <phoneticPr fontId="1" type="noConversion"/>
  </si>
  <si>
    <t>深圳20号线</t>
    <phoneticPr fontId="1" type="noConversion"/>
  </si>
  <si>
    <t>线路里程/km</t>
    <phoneticPr fontId="1" type="noConversion"/>
  </si>
  <si>
    <t>车站数/座</t>
    <phoneticPr fontId="1" type="noConversion"/>
  </si>
  <si>
    <t>隧道断面/m</t>
    <phoneticPr fontId="1" type="noConversion"/>
  </si>
  <si>
    <t>初期列车/列</t>
    <phoneticPr fontId="1" type="noConversion"/>
  </si>
  <si>
    <t>车站</t>
    <phoneticPr fontId="1" type="noConversion"/>
  </si>
  <si>
    <t>m2</t>
    <phoneticPr fontId="1" type="noConversion"/>
  </si>
  <si>
    <t>区间</t>
    <phoneticPr fontId="1" type="noConversion"/>
  </si>
  <si>
    <t>信号</t>
    <phoneticPr fontId="1" type="noConversion"/>
  </si>
  <si>
    <t>双延米</t>
    <phoneticPr fontId="1" type="noConversion"/>
  </si>
  <si>
    <t>正线公里</t>
    <phoneticPr fontId="1" type="noConversion"/>
  </si>
  <si>
    <t>正线公里</t>
    <phoneticPr fontId="1" type="noConversion"/>
  </si>
  <si>
    <t>2、车站区间级投资测算</t>
    <phoneticPr fontId="1" type="noConversion"/>
  </si>
  <si>
    <t>车站名称</t>
    <phoneticPr fontId="1" type="noConversion"/>
  </si>
  <si>
    <t>福田站</t>
    <phoneticPr fontId="1" type="noConversion"/>
  </si>
  <si>
    <t>围护类型</t>
    <phoneticPr fontId="1" type="noConversion"/>
  </si>
  <si>
    <t>地连墙</t>
    <phoneticPr fontId="1" type="noConversion"/>
  </si>
  <si>
    <t>工程建设其他费用
（万元）</t>
    <phoneticPr fontId="1" type="noConversion"/>
  </si>
  <si>
    <t>区间名称</t>
    <phoneticPr fontId="1" type="noConversion"/>
  </si>
  <si>
    <r>
      <rPr>
        <sz val="11"/>
        <color theme="1"/>
        <rFont val="宋体"/>
        <family val="2"/>
      </rPr>
      <t>福</t>
    </r>
    <r>
      <rPr>
        <sz val="11"/>
        <color theme="1"/>
        <rFont val="Times New Roman"/>
        <family val="1"/>
      </rPr>
      <t>~</t>
    </r>
    <r>
      <rPr>
        <sz val="11"/>
        <color theme="1"/>
        <rFont val="宋体"/>
        <family val="2"/>
      </rPr>
      <t>田区间</t>
    </r>
    <phoneticPr fontId="1" type="noConversion"/>
  </si>
  <si>
    <t>车站长度/m</t>
    <phoneticPr fontId="1" type="noConversion"/>
  </si>
  <si>
    <t>车站宽度/m</t>
    <phoneticPr fontId="1" type="noConversion"/>
  </si>
  <si>
    <t>车站层数/层</t>
    <phoneticPr fontId="1" type="noConversion"/>
  </si>
  <si>
    <t>围护深度/m</t>
    <phoneticPr fontId="1" type="noConversion"/>
  </si>
  <si>
    <t>围护厚度/mm</t>
    <phoneticPr fontId="1" type="noConversion"/>
  </si>
  <si>
    <t>车站深度/m</t>
    <phoneticPr fontId="1" type="noConversion"/>
  </si>
  <si>
    <t>覆土厚度/m</t>
    <phoneticPr fontId="1" type="noConversion"/>
  </si>
  <si>
    <t>附属面积/m2</t>
    <phoneticPr fontId="1" type="noConversion"/>
  </si>
  <si>
    <t>区间长度/双延米</t>
    <phoneticPr fontId="1" type="noConversion"/>
  </si>
  <si>
    <t>区间断面/m</t>
    <phoneticPr fontId="1" type="noConversion"/>
  </si>
  <si>
    <t>联络通道数/座</t>
    <phoneticPr fontId="1" type="noConversion"/>
  </si>
  <si>
    <t>1.1.1</t>
    <phoneticPr fontId="1" type="noConversion"/>
  </si>
  <si>
    <t>1.2.1</t>
    <phoneticPr fontId="1" type="noConversion"/>
  </si>
  <si>
    <t>计算</t>
    <phoneticPr fontId="1" type="noConversion"/>
  </si>
  <si>
    <t>二、输出结果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</si>
</sst>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2" fontId="2" fillId="0" borderId="1" xfId="0" applyNumberFormat="1" applyFon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0" fontId="0" fillId="2" borderId="0" xfId="0" applyNumberFormat="1" applyFill="1"/>
    <xf numFmtId="0" fontId="2" fillId="0" borderId="0" xfId="0" applyFont="1"/>
    <xf numFmtId="0" fontId="5" fillId="0" borderId="0" xfId="0" applyFont="1"/>
    <xf numFmtId="2" fontId="5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U69"/>
  <sheetViews>
    <sheetView workbookViewId="0">
      <selection activeCell="F16" sqref="F16"/>
    </sheetView>
  </sheetViews>
  <sheetFormatPr defaultRowHeight="14.4" x14ac:dyDescent="0.25"/>
  <cols>
    <col min="2" max="2" width="29.6640625" bestFit="1" customWidth="1"/>
    <col min="3" max="3" width="8" customWidth="1"/>
    <col min="4" max="4" width="9.77734375" bestFit="1" customWidth="1"/>
    <col min="5" max="5" width="10.109375" customWidth="1"/>
    <col min="6" max="6" width="12.33203125" style="23" customWidth="1"/>
    <col min="7" max="7" width="11" style="23" bestFit="1" customWidth="1"/>
    <col min="8" max="8" width="17.21875" bestFit="1" customWidth="1"/>
    <col min="9" max="9" width="13" bestFit="1" customWidth="1"/>
    <col min="10" max="10" width="14.109375" bestFit="1" customWidth="1"/>
    <col min="12" max="12" width="9.77734375" bestFit="1" customWidth="1"/>
    <col min="13" max="14" width="14.109375" bestFit="1" customWidth="1"/>
  </cols>
  <sheetData>
    <row r="1" spans="1:15" x14ac:dyDescent="0.25">
      <c r="A1" s="47" t="s">
        <v>0</v>
      </c>
      <c r="B1" s="47" t="s">
        <v>105</v>
      </c>
      <c r="C1" s="48" t="s">
        <v>73</v>
      </c>
      <c r="D1" s="48"/>
      <c r="E1" s="48"/>
      <c r="F1" s="48"/>
      <c r="G1" s="48"/>
      <c r="H1" s="48"/>
      <c r="I1" s="48"/>
      <c r="J1" s="48"/>
      <c r="K1" s="48" t="s">
        <v>74</v>
      </c>
      <c r="L1" s="48"/>
      <c r="M1" s="48"/>
      <c r="N1" s="48"/>
      <c r="O1" s="48"/>
    </row>
    <row r="2" spans="1:15" s="1" customFormat="1" x14ac:dyDescent="0.25">
      <c r="A2" s="47"/>
      <c r="B2" s="47"/>
      <c r="C2" s="6" t="s">
        <v>1</v>
      </c>
      <c r="D2" s="6" t="s">
        <v>2</v>
      </c>
      <c r="E2" s="6" t="s">
        <v>3</v>
      </c>
      <c r="F2" s="10" t="s">
        <v>4</v>
      </c>
      <c r="G2" s="10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66</v>
      </c>
      <c r="M2" s="6" t="s">
        <v>68</v>
      </c>
      <c r="N2" s="6" t="s">
        <v>69</v>
      </c>
      <c r="O2" s="6" t="s">
        <v>72</v>
      </c>
    </row>
    <row r="3" spans="1:15" s="1" customFormat="1" ht="43.2" x14ac:dyDescent="0.25">
      <c r="A3" s="47"/>
      <c r="B3" s="47"/>
      <c r="C3" s="6" t="s">
        <v>70</v>
      </c>
      <c r="D3" s="6" t="s">
        <v>71</v>
      </c>
      <c r="E3" s="9" t="s">
        <v>111</v>
      </c>
      <c r="F3" s="9" t="s">
        <v>110</v>
      </c>
      <c r="G3" s="9" t="s">
        <v>106</v>
      </c>
      <c r="H3" s="9" t="s">
        <v>107</v>
      </c>
      <c r="I3" s="6" t="s">
        <v>108</v>
      </c>
      <c r="J3" s="6" t="s">
        <v>109</v>
      </c>
      <c r="K3" s="11"/>
      <c r="L3" s="11"/>
      <c r="M3" s="11"/>
      <c r="N3" s="11"/>
      <c r="O3" s="12"/>
    </row>
    <row r="4" spans="1:15" s="5" customFormat="1" x14ac:dyDescent="0.25">
      <c r="A4" s="7">
        <v>1</v>
      </c>
      <c r="B4" s="7" t="s">
        <v>116</v>
      </c>
      <c r="C4" s="13">
        <v>30</v>
      </c>
      <c r="D4" s="7" t="s">
        <v>21</v>
      </c>
      <c r="E4" s="7">
        <f>E5+E16+E27</f>
        <v>71680.758517496157</v>
      </c>
      <c r="F4" s="7">
        <f t="shared" ref="F4:H4" si="0">F5+F16+F27</f>
        <v>6670</v>
      </c>
      <c r="G4" s="7">
        <f t="shared" si="0"/>
        <v>32700</v>
      </c>
      <c r="H4" s="7">
        <f t="shared" si="0"/>
        <v>0</v>
      </c>
      <c r="I4" s="21">
        <f>SUM(E4:H4)</f>
        <v>111050.75851749616</v>
      </c>
      <c r="J4" s="21">
        <f>I4/C4</f>
        <v>3701.6919505832052</v>
      </c>
      <c r="K4" s="13" t="s">
        <v>119</v>
      </c>
      <c r="L4" s="13" t="s">
        <v>63</v>
      </c>
      <c r="M4" s="13" t="s">
        <v>64</v>
      </c>
      <c r="N4" s="13" t="s">
        <v>67</v>
      </c>
      <c r="O4" s="18" t="s">
        <v>65</v>
      </c>
    </row>
    <row r="5" spans="1:15" s="5" customFormat="1" x14ac:dyDescent="0.25">
      <c r="A5" s="7">
        <v>1.1000000000000001</v>
      </c>
      <c r="B5" s="7" t="s">
        <v>12</v>
      </c>
      <c r="C5" s="13">
        <f>C6+C11</f>
        <v>33200</v>
      </c>
      <c r="D5" s="7" t="s">
        <v>84</v>
      </c>
      <c r="E5" s="7">
        <f>E6+E11</f>
        <v>43450.758517496157</v>
      </c>
      <c r="F5" s="7"/>
      <c r="G5" s="17"/>
      <c r="H5" s="17"/>
      <c r="I5" s="21">
        <f t="shared" ref="I5" si="1">SUM(E5:H5)</f>
        <v>43450.758517496157</v>
      </c>
      <c r="J5" s="21">
        <f t="shared" ref="J5" si="2">I5/C5</f>
        <v>1.3087577866715709</v>
      </c>
      <c r="K5" s="13" t="s">
        <v>76</v>
      </c>
      <c r="L5" s="13" t="s">
        <v>78</v>
      </c>
      <c r="M5" s="13" t="s">
        <v>79</v>
      </c>
      <c r="N5" s="13" t="s">
        <v>80</v>
      </c>
      <c r="O5" s="18" t="s">
        <v>65</v>
      </c>
    </row>
    <row r="6" spans="1:15" s="1" customFormat="1" x14ac:dyDescent="0.25">
      <c r="A6" s="6" t="s">
        <v>15</v>
      </c>
      <c r="B6" s="6" t="s">
        <v>10</v>
      </c>
      <c r="C6" s="25">
        <v>15000</v>
      </c>
      <c r="D6" s="6" t="s">
        <v>85</v>
      </c>
      <c r="E6" s="20">
        <f>SUM(E7:E10)</f>
        <v>21060</v>
      </c>
      <c r="F6" s="20"/>
      <c r="G6" s="20"/>
      <c r="H6" s="20"/>
      <c r="I6" s="20">
        <f t="shared" ref="I6" si="3">SUM(E6:H6)</f>
        <v>21060</v>
      </c>
      <c r="J6" s="20">
        <f t="shared" ref="J6" si="4">I6/C6</f>
        <v>1.4039999999999999</v>
      </c>
      <c r="K6" s="15"/>
      <c r="L6" s="15"/>
      <c r="M6" s="15"/>
      <c r="N6" s="15"/>
      <c r="O6" s="15"/>
    </row>
    <row r="7" spans="1:15" s="1" customFormat="1" x14ac:dyDescent="0.25">
      <c r="A7" s="2" t="s">
        <v>46</v>
      </c>
      <c r="B7" s="6" t="s">
        <v>112</v>
      </c>
      <c r="C7" s="25">
        <f>(220+25)*2*1*30</f>
        <v>14700</v>
      </c>
      <c r="D7" s="6" t="s">
        <v>86</v>
      </c>
      <c r="E7" s="26">
        <f>C7*0.4</f>
        <v>5880</v>
      </c>
      <c r="F7" s="20"/>
      <c r="G7" s="20"/>
      <c r="H7" s="20"/>
      <c r="I7" s="20">
        <f t="shared" ref="I7:I15" si="5">SUM(E7:H7)</f>
        <v>5880</v>
      </c>
      <c r="J7" s="20">
        <f t="shared" ref="J7:J15" si="6">I7/C7</f>
        <v>0.4</v>
      </c>
      <c r="K7" s="34" t="s">
        <v>75</v>
      </c>
      <c r="L7" s="34" t="s">
        <v>77</v>
      </c>
      <c r="M7" s="34" t="s">
        <v>79</v>
      </c>
      <c r="N7" s="34" t="s">
        <v>97</v>
      </c>
      <c r="O7" s="15" t="s">
        <v>65</v>
      </c>
    </row>
    <row r="8" spans="1:15" s="1" customFormat="1" x14ac:dyDescent="0.25">
      <c r="A8" s="2" t="s">
        <v>47</v>
      </c>
      <c r="B8" s="6" t="s">
        <v>81</v>
      </c>
      <c r="C8" s="25">
        <f>220*25*(16.5+3)</f>
        <v>107250</v>
      </c>
      <c r="D8" s="6" t="s">
        <v>86</v>
      </c>
      <c r="E8" s="26">
        <f>C8*0.03</f>
        <v>3217.5</v>
      </c>
      <c r="F8" s="20"/>
      <c r="G8" s="20"/>
      <c r="H8" s="20"/>
      <c r="I8" s="20">
        <f t="shared" si="5"/>
        <v>3217.5</v>
      </c>
      <c r="J8" s="20">
        <f t="shared" si="6"/>
        <v>0.03</v>
      </c>
      <c r="K8" s="34" t="s">
        <v>75</v>
      </c>
      <c r="L8" s="34" t="s">
        <v>77</v>
      </c>
      <c r="M8" s="34" t="s">
        <v>98</v>
      </c>
      <c r="N8" s="34" t="s">
        <v>138</v>
      </c>
      <c r="O8" s="15" t="s">
        <v>65</v>
      </c>
    </row>
    <row r="9" spans="1:15" s="1" customFormat="1" x14ac:dyDescent="0.25">
      <c r="A9" s="2" t="s">
        <v>48</v>
      </c>
      <c r="B9" s="6" t="s">
        <v>82</v>
      </c>
      <c r="C9" s="25">
        <f>11000*1.95</f>
        <v>21450</v>
      </c>
      <c r="D9" s="6" t="s">
        <v>86</v>
      </c>
      <c r="E9" s="26">
        <f>C9*0.25</f>
        <v>5362.5</v>
      </c>
      <c r="F9" s="20"/>
      <c r="G9" s="20"/>
      <c r="H9" s="20"/>
      <c r="I9" s="20">
        <f t="shared" si="5"/>
        <v>5362.5</v>
      </c>
      <c r="J9" s="20">
        <f t="shared" si="6"/>
        <v>0.25</v>
      </c>
      <c r="K9" s="34" t="s">
        <v>139</v>
      </c>
      <c r="L9" s="34"/>
      <c r="M9" s="34"/>
      <c r="N9" s="34"/>
      <c r="O9" s="15"/>
    </row>
    <row r="10" spans="1:15" s="1" customFormat="1" x14ac:dyDescent="0.25">
      <c r="A10" s="2" t="s">
        <v>49</v>
      </c>
      <c r="B10" s="6" t="s">
        <v>83</v>
      </c>
      <c r="C10" s="25">
        <v>4000</v>
      </c>
      <c r="D10" s="6" t="s">
        <v>85</v>
      </c>
      <c r="E10" s="26">
        <f>C10*1.65</f>
        <v>6600</v>
      </c>
      <c r="F10" s="20"/>
      <c r="G10" s="20"/>
      <c r="H10" s="20"/>
      <c r="I10" s="20">
        <f t="shared" si="5"/>
        <v>6600</v>
      </c>
      <c r="J10" s="20">
        <f t="shared" si="6"/>
        <v>1.65</v>
      </c>
      <c r="K10" s="34" t="s">
        <v>99</v>
      </c>
      <c r="L10" s="34"/>
      <c r="M10" s="34"/>
      <c r="N10" s="34"/>
      <c r="O10" s="15"/>
    </row>
    <row r="11" spans="1:15" s="1" customFormat="1" x14ac:dyDescent="0.25">
      <c r="A11" s="6" t="s">
        <v>16</v>
      </c>
      <c r="B11" s="6" t="s">
        <v>11</v>
      </c>
      <c r="C11" s="25">
        <v>18200</v>
      </c>
      <c r="D11" s="6" t="s">
        <v>85</v>
      </c>
      <c r="E11" s="20">
        <f>SUM(E12:E15)</f>
        <v>22390.758517496153</v>
      </c>
      <c r="F11" s="20"/>
      <c r="G11" s="20"/>
      <c r="H11" s="20"/>
      <c r="I11" s="20">
        <f t="shared" si="5"/>
        <v>22390.758517496153</v>
      </c>
      <c r="J11" s="20">
        <f t="shared" si="6"/>
        <v>1.2302614570052832</v>
      </c>
      <c r="K11" s="15"/>
      <c r="L11" s="15"/>
      <c r="M11" s="15"/>
      <c r="N11" s="15"/>
      <c r="O11" s="15"/>
    </row>
    <row r="12" spans="1:15" s="1" customFormat="1" x14ac:dyDescent="0.25">
      <c r="A12" s="2" t="s">
        <v>46</v>
      </c>
      <c r="B12" s="6" t="s">
        <v>113</v>
      </c>
      <c r="C12" s="25">
        <f>(300+22)*2/1.5*30*PI()*0.36</f>
        <v>14566.936816165153</v>
      </c>
      <c r="D12" s="6" t="s">
        <v>86</v>
      </c>
      <c r="E12" s="26">
        <f>C12*0.34</f>
        <v>4952.7585174961523</v>
      </c>
      <c r="F12" s="20"/>
      <c r="G12" s="20"/>
      <c r="H12" s="20"/>
      <c r="I12" s="20">
        <f t="shared" si="5"/>
        <v>4952.7585174961523</v>
      </c>
      <c r="J12" s="20">
        <f t="shared" si="6"/>
        <v>0.34</v>
      </c>
      <c r="K12" s="34" t="s">
        <v>75</v>
      </c>
      <c r="L12" s="34" t="s">
        <v>77</v>
      </c>
      <c r="M12" s="34" t="s">
        <v>79</v>
      </c>
      <c r="N12" s="34" t="s">
        <v>140</v>
      </c>
      <c r="O12" s="15"/>
    </row>
    <row r="13" spans="1:15" s="1" customFormat="1" x14ac:dyDescent="0.25">
      <c r="A13" s="2" t="s">
        <v>47</v>
      </c>
      <c r="B13" s="6" t="s">
        <v>81</v>
      </c>
      <c r="C13" s="25">
        <f>300*22*16</f>
        <v>105600</v>
      </c>
      <c r="D13" s="6" t="s">
        <v>86</v>
      </c>
      <c r="E13" s="26">
        <f>C13*0.03</f>
        <v>3168</v>
      </c>
      <c r="F13" s="20"/>
      <c r="G13" s="20"/>
      <c r="H13" s="20"/>
      <c r="I13" s="20">
        <f t="shared" si="5"/>
        <v>3168</v>
      </c>
      <c r="J13" s="20">
        <f t="shared" si="6"/>
        <v>0.03</v>
      </c>
      <c r="K13" s="34" t="s">
        <v>75</v>
      </c>
      <c r="L13" s="34" t="s">
        <v>77</v>
      </c>
      <c r="M13" s="34" t="s">
        <v>98</v>
      </c>
      <c r="N13" s="34" t="s">
        <v>138</v>
      </c>
      <c r="O13" s="15"/>
    </row>
    <row r="14" spans="1:15" s="1" customFormat="1" x14ac:dyDescent="0.25">
      <c r="A14" s="2" t="s">
        <v>48</v>
      </c>
      <c r="B14" s="6" t="s">
        <v>82</v>
      </c>
      <c r="C14" s="25">
        <f>13200*1.9</f>
        <v>25080</v>
      </c>
      <c r="D14" s="6" t="s">
        <v>86</v>
      </c>
      <c r="E14" s="26">
        <f>C14*0.25</f>
        <v>6270</v>
      </c>
      <c r="F14" s="20"/>
      <c r="G14" s="20"/>
      <c r="H14" s="20"/>
      <c r="I14" s="20">
        <f t="shared" si="5"/>
        <v>6270</v>
      </c>
      <c r="J14" s="20">
        <f t="shared" si="6"/>
        <v>0.25</v>
      </c>
      <c r="K14" s="34" t="s">
        <v>139</v>
      </c>
      <c r="L14" s="34"/>
      <c r="M14" s="34"/>
      <c r="N14" s="34"/>
      <c r="O14" s="15"/>
    </row>
    <row r="15" spans="1:15" s="1" customFormat="1" x14ac:dyDescent="0.25">
      <c r="A15" s="2" t="s">
        <v>49</v>
      </c>
      <c r="B15" s="6" t="s">
        <v>83</v>
      </c>
      <c r="C15" s="25">
        <v>5000</v>
      </c>
      <c r="D15" s="6" t="s">
        <v>85</v>
      </c>
      <c r="E15" s="26">
        <f>C15*1.6</f>
        <v>8000</v>
      </c>
      <c r="F15" s="20"/>
      <c r="G15" s="20"/>
      <c r="H15" s="20"/>
      <c r="I15" s="20">
        <f t="shared" si="5"/>
        <v>8000</v>
      </c>
      <c r="J15" s="20">
        <f t="shared" si="6"/>
        <v>1.6</v>
      </c>
      <c r="K15" s="34" t="s">
        <v>99</v>
      </c>
      <c r="L15" s="34"/>
      <c r="M15" s="34"/>
      <c r="N15" s="34"/>
      <c r="O15" s="15"/>
    </row>
    <row r="16" spans="1:15" s="5" customFormat="1" x14ac:dyDescent="0.25">
      <c r="A16" s="7">
        <v>1.2</v>
      </c>
      <c r="B16" s="7" t="s">
        <v>13</v>
      </c>
      <c r="C16" s="13">
        <f>C17+C22</f>
        <v>3000</v>
      </c>
      <c r="D16" s="7" t="s">
        <v>92</v>
      </c>
      <c r="E16" s="7">
        <f>E17+E22</f>
        <v>28230</v>
      </c>
      <c r="F16" s="7"/>
      <c r="G16" s="7"/>
      <c r="H16" s="7"/>
      <c r="I16" s="7">
        <f>SUM(E16:H16)</f>
        <v>28230</v>
      </c>
      <c r="J16" s="7">
        <f>I16/C16</f>
        <v>9.41</v>
      </c>
      <c r="K16" s="7" t="s">
        <v>100</v>
      </c>
      <c r="L16" s="7" t="s">
        <v>104</v>
      </c>
      <c r="M16" s="7" t="s">
        <v>101</v>
      </c>
      <c r="N16" s="7" t="s">
        <v>102</v>
      </c>
      <c r="O16" s="18" t="s">
        <v>65</v>
      </c>
    </row>
    <row r="17" spans="1:21" s="1" customFormat="1" x14ac:dyDescent="0.25">
      <c r="A17" s="6" t="s">
        <v>17</v>
      </c>
      <c r="B17" s="6" t="s">
        <v>19</v>
      </c>
      <c r="C17" s="25">
        <f>C18</f>
        <v>1000</v>
      </c>
      <c r="D17" s="6" t="s">
        <v>92</v>
      </c>
      <c r="E17" s="27">
        <f>SUM(E18:E21)</f>
        <v>9710</v>
      </c>
      <c r="F17" s="20"/>
      <c r="G17" s="20"/>
      <c r="H17" s="20"/>
      <c r="I17" s="20">
        <f>SUM(E17:H17)</f>
        <v>9710</v>
      </c>
      <c r="J17" s="20">
        <f>I17/C17</f>
        <v>9.7100000000000009</v>
      </c>
      <c r="K17" s="15"/>
      <c r="L17" s="15"/>
      <c r="M17" s="15"/>
      <c r="N17" s="15"/>
      <c r="O17" s="15"/>
    </row>
    <row r="18" spans="1:21" s="1" customFormat="1" x14ac:dyDescent="0.25">
      <c r="A18" s="2" t="s">
        <v>46</v>
      </c>
      <c r="B18" s="6" t="s">
        <v>87</v>
      </c>
      <c r="C18" s="25">
        <v>1000</v>
      </c>
      <c r="D18" s="6" t="s">
        <v>92</v>
      </c>
      <c r="E18" s="26">
        <v>4000</v>
      </c>
      <c r="F18" s="20"/>
      <c r="G18" s="20"/>
      <c r="H18" s="20"/>
      <c r="I18" s="20">
        <f t="shared" ref="I18:I21" si="7">SUM(E18:H18)</f>
        <v>4000</v>
      </c>
      <c r="J18" s="20">
        <f t="shared" ref="J18:J21" si="8">I18/C18</f>
        <v>4</v>
      </c>
      <c r="K18" s="34" t="s">
        <v>100</v>
      </c>
      <c r="L18" s="34" t="s">
        <v>103</v>
      </c>
      <c r="M18" s="15" t="s">
        <v>65</v>
      </c>
      <c r="N18" s="15" t="s">
        <v>65</v>
      </c>
      <c r="O18" s="15" t="s">
        <v>65</v>
      </c>
    </row>
    <row r="19" spans="1:21" s="1" customFormat="1" x14ac:dyDescent="0.25">
      <c r="A19" s="2" t="s">
        <v>47</v>
      </c>
      <c r="B19" s="6" t="s">
        <v>88</v>
      </c>
      <c r="C19" s="25">
        <f>C18*6.5*2</f>
        <v>13000</v>
      </c>
      <c r="D19" s="6" t="s">
        <v>86</v>
      </c>
      <c r="E19" s="26">
        <v>4810</v>
      </c>
      <c r="F19" s="20"/>
      <c r="G19" s="20"/>
      <c r="H19" s="20"/>
      <c r="I19" s="20">
        <f t="shared" si="7"/>
        <v>4810</v>
      </c>
      <c r="J19" s="20">
        <f t="shared" si="8"/>
        <v>0.37</v>
      </c>
      <c r="K19" s="15"/>
      <c r="L19" s="15"/>
      <c r="M19" s="15"/>
      <c r="N19" s="15"/>
      <c r="O19" s="15"/>
    </row>
    <row r="20" spans="1:21" s="1" customFormat="1" x14ac:dyDescent="0.25">
      <c r="A20" s="2" t="s">
        <v>48</v>
      </c>
      <c r="B20" s="6" t="s">
        <v>89</v>
      </c>
      <c r="C20" s="25">
        <v>8000</v>
      </c>
      <c r="D20" s="6" t="s">
        <v>86</v>
      </c>
      <c r="E20" s="26">
        <v>400</v>
      </c>
      <c r="F20" s="20"/>
      <c r="G20" s="20"/>
      <c r="H20" s="20"/>
      <c r="I20" s="20">
        <f t="shared" si="7"/>
        <v>400</v>
      </c>
      <c r="J20" s="20">
        <f t="shared" si="8"/>
        <v>0.05</v>
      </c>
      <c r="K20" s="15"/>
      <c r="L20" s="15"/>
      <c r="M20" s="15"/>
      <c r="N20" s="15"/>
      <c r="O20" s="15"/>
    </row>
    <row r="21" spans="1:21" s="1" customFormat="1" x14ac:dyDescent="0.25">
      <c r="A21" s="2" t="s">
        <v>49</v>
      </c>
      <c r="B21" s="6" t="s">
        <v>90</v>
      </c>
      <c r="C21" s="25">
        <v>2</v>
      </c>
      <c r="D21" s="6" t="s">
        <v>91</v>
      </c>
      <c r="E21" s="26">
        <v>500</v>
      </c>
      <c r="F21" s="20"/>
      <c r="G21" s="20"/>
      <c r="H21" s="20"/>
      <c r="I21" s="20">
        <f t="shared" si="7"/>
        <v>500</v>
      </c>
      <c r="J21" s="20">
        <f t="shared" si="8"/>
        <v>250</v>
      </c>
      <c r="K21" s="15"/>
      <c r="L21" s="15"/>
      <c r="M21" s="15"/>
      <c r="N21" s="15"/>
      <c r="O21" s="15"/>
    </row>
    <row r="22" spans="1:21" s="1" customFormat="1" x14ac:dyDescent="0.25">
      <c r="A22" s="6" t="s">
        <v>18</v>
      </c>
      <c r="B22" s="6" t="s">
        <v>20</v>
      </c>
      <c r="C22" s="25">
        <f>C23</f>
        <v>2000</v>
      </c>
      <c r="D22" s="6" t="s">
        <v>92</v>
      </c>
      <c r="E22" s="20">
        <f>SUM(E23:E26)</f>
        <v>18520</v>
      </c>
      <c r="F22" s="20"/>
      <c r="G22" s="20"/>
      <c r="H22" s="20"/>
      <c r="I22" s="20">
        <f>SUM(E22:H22)</f>
        <v>18520</v>
      </c>
      <c r="J22" s="20">
        <f>I22/C22</f>
        <v>9.26</v>
      </c>
      <c r="K22" s="15"/>
      <c r="L22" s="15"/>
      <c r="M22" s="15"/>
      <c r="N22" s="15"/>
      <c r="O22" s="15"/>
    </row>
    <row r="23" spans="1:21" s="1" customFormat="1" x14ac:dyDescent="0.25">
      <c r="A23" s="2" t="s">
        <v>46</v>
      </c>
      <c r="B23" s="6" t="s">
        <v>87</v>
      </c>
      <c r="C23" s="25">
        <v>2000</v>
      </c>
      <c r="D23" s="6" t="s">
        <v>92</v>
      </c>
      <c r="E23" s="26">
        <v>8000</v>
      </c>
      <c r="F23" s="20"/>
      <c r="G23" s="20"/>
      <c r="H23" s="20"/>
      <c r="I23" s="20">
        <f t="shared" ref="I23:I26" si="9">SUM(E23:H23)</f>
        <v>8000</v>
      </c>
      <c r="J23" s="20">
        <f t="shared" ref="J23:J26" si="10">I23/C23</f>
        <v>4</v>
      </c>
      <c r="K23" s="34" t="s">
        <v>100</v>
      </c>
      <c r="L23" s="34" t="s">
        <v>103</v>
      </c>
      <c r="M23" s="15" t="s">
        <v>65</v>
      </c>
      <c r="N23" s="15" t="s">
        <v>65</v>
      </c>
      <c r="O23" s="15" t="s">
        <v>65</v>
      </c>
    </row>
    <row r="24" spans="1:21" s="1" customFormat="1" x14ac:dyDescent="0.25">
      <c r="A24" s="2" t="s">
        <v>47</v>
      </c>
      <c r="B24" s="6" t="s">
        <v>88</v>
      </c>
      <c r="C24" s="25">
        <f>C23*6.5*2</f>
        <v>26000</v>
      </c>
      <c r="D24" s="6" t="s">
        <v>86</v>
      </c>
      <c r="E24" s="26">
        <v>9620</v>
      </c>
      <c r="F24" s="20"/>
      <c r="G24" s="20"/>
      <c r="H24" s="20"/>
      <c r="I24" s="20">
        <f t="shared" si="9"/>
        <v>9620</v>
      </c>
      <c r="J24" s="20">
        <f t="shared" si="10"/>
        <v>0.37</v>
      </c>
      <c r="K24" s="15"/>
      <c r="L24" s="15"/>
      <c r="M24" s="15"/>
      <c r="N24" s="15"/>
      <c r="O24" s="15"/>
    </row>
    <row r="25" spans="1:21" s="1" customFormat="1" x14ac:dyDescent="0.25">
      <c r="A25" s="2" t="s">
        <v>48</v>
      </c>
      <c r="B25" s="6" t="s">
        <v>89</v>
      </c>
      <c r="C25" s="25">
        <v>8000</v>
      </c>
      <c r="D25" s="6" t="s">
        <v>86</v>
      </c>
      <c r="E25" s="26">
        <v>400</v>
      </c>
      <c r="F25" s="20"/>
      <c r="G25" s="20"/>
      <c r="H25" s="20"/>
      <c r="I25" s="20">
        <f t="shared" si="9"/>
        <v>400</v>
      </c>
      <c r="J25" s="20">
        <f t="shared" si="10"/>
        <v>0.05</v>
      </c>
      <c r="K25" s="15"/>
      <c r="L25" s="15"/>
      <c r="M25" s="15"/>
      <c r="N25" s="15"/>
      <c r="O25" s="15"/>
    </row>
    <row r="26" spans="1:21" s="1" customFormat="1" x14ac:dyDescent="0.25">
      <c r="A26" s="2" t="s">
        <v>49</v>
      </c>
      <c r="B26" s="6" t="s">
        <v>90</v>
      </c>
      <c r="C26" s="25">
        <v>2</v>
      </c>
      <c r="D26" s="6" t="s">
        <v>91</v>
      </c>
      <c r="E26" s="26">
        <v>500</v>
      </c>
      <c r="F26" s="20"/>
      <c r="G26" s="20"/>
      <c r="H26" s="20"/>
      <c r="I26" s="20">
        <f t="shared" si="9"/>
        <v>500</v>
      </c>
      <c r="J26" s="20">
        <f t="shared" si="10"/>
        <v>250</v>
      </c>
      <c r="K26" s="15"/>
      <c r="L26" s="15"/>
      <c r="M26" s="15"/>
      <c r="N26" s="15"/>
      <c r="O26" s="15"/>
    </row>
    <row r="27" spans="1:21" s="5" customFormat="1" x14ac:dyDescent="0.25">
      <c r="A27" s="7">
        <v>1.3</v>
      </c>
      <c r="B27" s="7" t="s">
        <v>14</v>
      </c>
      <c r="C27" s="13">
        <v>30</v>
      </c>
      <c r="D27" s="7" t="s">
        <v>21</v>
      </c>
      <c r="E27" s="7"/>
      <c r="F27" s="7">
        <f>F28+F34+F43+F50</f>
        <v>6670</v>
      </c>
      <c r="G27" s="7">
        <f>G28+G34+G43+G50</f>
        <v>32700</v>
      </c>
      <c r="H27" s="7"/>
      <c r="I27" s="21">
        <f t="shared" ref="I27:I28" si="11">SUM(E27:H27)</f>
        <v>39370</v>
      </c>
      <c r="J27" s="21">
        <f t="shared" ref="J27:J28" si="12">I27/C27</f>
        <v>1312.3333333333333</v>
      </c>
      <c r="K27" s="7"/>
      <c r="L27" s="7"/>
      <c r="M27" s="7"/>
      <c r="N27" s="7"/>
      <c r="O27" s="7"/>
    </row>
    <row r="28" spans="1:21" s="3" customFormat="1" x14ac:dyDescent="0.25">
      <c r="A28" s="2" t="s">
        <v>38</v>
      </c>
      <c r="B28" s="2" t="s">
        <v>22</v>
      </c>
      <c r="C28" s="28">
        <v>1</v>
      </c>
      <c r="D28" s="2" t="s">
        <v>23</v>
      </c>
      <c r="E28" s="6"/>
      <c r="F28" s="10">
        <f>SUM(F29:F33)</f>
        <v>840</v>
      </c>
      <c r="G28" s="10">
        <f>SUM(G29:G33)</f>
        <v>1700</v>
      </c>
      <c r="H28" s="6"/>
      <c r="I28" s="20">
        <f t="shared" si="11"/>
        <v>2540</v>
      </c>
      <c r="J28" s="20">
        <f t="shared" si="12"/>
        <v>2540</v>
      </c>
      <c r="K28" s="15"/>
      <c r="L28" s="15"/>
      <c r="M28" s="15"/>
      <c r="N28" s="15"/>
      <c r="O28" s="15"/>
      <c r="P28" s="1"/>
      <c r="Q28" s="1"/>
      <c r="R28" s="1"/>
      <c r="S28" s="1"/>
      <c r="T28" s="1"/>
      <c r="U28" s="1"/>
    </row>
    <row r="29" spans="1:21" s="3" customFormat="1" x14ac:dyDescent="0.25">
      <c r="A29" s="2" t="s">
        <v>46</v>
      </c>
      <c r="B29" s="2" t="s">
        <v>24</v>
      </c>
      <c r="C29" s="28">
        <v>1</v>
      </c>
      <c r="D29" s="2" t="s">
        <v>93</v>
      </c>
      <c r="E29" s="6"/>
      <c r="F29" s="25">
        <f>G29*0.2</f>
        <v>160</v>
      </c>
      <c r="G29" s="25">
        <v>800</v>
      </c>
      <c r="H29" s="6"/>
      <c r="I29" s="20">
        <f t="shared" ref="I29:I55" si="13">SUM(E29:H29)</f>
        <v>960</v>
      </c>
      <c r="J29" s="20">
        <f t="shared" ref="J29:J55" si="14">I29/C29</f>
        <v>960</v>
      </c>
      <c r="K29" s="15"/>
      <c r="L29" s="15"/>
      <c r="M29" s="15"/>
      <c r="N29" s="15"/>
      <c r="O29" s="15"/>
      <c r="P29" s="1"/>
      <c r="Q29" s="1"/>
      <c r="R29" s="1"/>
      <c r="S29" s="1"/>
      <c r="T29" s="1"/>
      <c r="U29" s="1"/>
    </row>
    <row r="30" spans="1:21" s="3" customFormat="1" x14ac:dyDescent="0.25">
      <c r="A30" s="2" t="s">
        <v>47</v>
      </c>
      <c r="B30" s="2" t="s">
        <v>59</v>
      </c>
      <c r="C30" s="28">
        <v>10</v>
      </c>
      <c r="D30" s="2" t="s">
        <v>93</v>
      </c>
      <c r="E30" s="6"/>
      <c r="F30" s="25">
        <f t="shared" ref="F30:F32" si="15">G30*0.2</f>
        <v>120</v>
      </c>
      <c r="G30" s="25">
        <v>600</v>
      </c>
      <c r="H30" s="6"/>
      <c r="I30" s="20">
        <f t="shared" si="13"/>
        <v>720</v>
      </c>
      <c r="J30" s="20">
        <f t="shared" si="14"/>
        <v>72</v>
      </c>
      <c r="K30" s="15"/>
      <c r="L30" s="15"/>
      <c r="M30" s="15"/>
      <c r="N30" s="15"/>
      <c r="O30" s="15"/>
      <c r="P30" s="1"/>
      <c r="Q30" s="1"/>
      <c r="R30" s="1"/>
      <c r="S30" s="1"/>
      <c r="T30" s="1"/>
      <c r="U30" s="1"/>
    </row>
    <row r="31" spans="1:21" s="3" customFormat="1" x14ac:dyDescent="0.25">
      <c r="A31" s="2" t="s">
        <v>48</v>
      </c>
      <c r="B31" s="2" t="s">
        <v>25</v>
      </c>
      <c r="C31" s="28">
        <v>10</v>
      </c>
      <c r="D31" s="2" t="s">
        <v>93</v>
      </c>
      <c r="E31" s="6"/>
      <c r="F31" s="25">
        <f t="shared" si="15"/>
        <v>20</v>
      </c>
      <c r="G31" s="25">
        <v>100</v>
      </c>
      <c r="H31" s="6"/>
      <c r="I31" s="20">
        <f t="shared" si="13"/>
        <v>120</v>
      </c>
      <c r="J31" s="20">
        <f t="shared" si="14"/>
        <v>12</v>
      </c>
      <c r="K31" s="15"/>
      <c r="L31" s="15"/>
      <c r="M31" s="15"/>
      <c r="N31" s="15"/>
      <c r="O31" s="15"/>
      <c r="P31" s="1"/>
      <c r="Q31" s="1"/>
      <c r="R31" s="1"/>
      <c r="S31" s="1"/>
      <c r="T31" s="1"/>
      <c r="U31" s="1"/>
    </row>
    <row r="32" spans="1:21" s="3" customFormat="1" x14ac:dyDescent="0.25">
      <c r="A32" s="2" t="s">
        <v>49</v>
      </c>
      <c r="B32" s="2" t="s">
        <v>26</v>
      </c>
      <c r="C32" s="28">
        <v>10</v>
      </c>
      <c r="D32" s="2" t="s">
        <v>93</v>
      </c>
      <c r="E32" s="6"/>
      <c r="F32" s="25">
        <f t="shared" si="15"/>
        <v>40</v>
      </c>
      <c r="G32" s="25">
        <v>200</v>
      </c>
      <c r="H32" s="6"/>
      <c r="I32" s="20">
        <f t="shared" si="13"/>
        <v>240</v>
      </c>
      <c r="J32" s="20">
        <f t="shared" si="14"/>
        <v>24</v>
      </c>
      <c r="K32" s="15"/>
      <c r="L32" s="15"/>
      <c r="M32" s="15"/>
      <c r="N32" s="15"/>
      <c r="O32" s="15"/>
      <c r="P32" s="1"/>
      <c r="Q32" s="1"/>
      <c r="R32" s="1"/>
      <c r="S32" s="1"/>
      <c r="T32" s="1"/>
      <c r="U32" s="1"/>
    </row>
    <row r="33" spans="1:21" s="3" customFormat="1" x14ac:dyDescent="0.25">
      <c r="A33" s="2" t="s">
        <v>50</v>
      </c>
      <c r="B33" s="2" t="s">
        <v>27</v>
      </c>
      <c r="C33" s="28">
        <v>200</v>
      </c>
      <c r="D33" s="2" t="s">
        <v>94</v>
      </c>
      <c r="E33" s="6"/>
      <c r="F33" s="25">
        <v>500</v>
      </c>
      <c r="G33" s="25"/>
      <c r="H33" s="6"/>
      <c r="I33" s="20">
        <f t="shared" si="13"/>
        <v>500</v>
      </c>
      <c r="J33" s="20">
        <f t="shared" si="14"/>
        <v>2.5</v>
      </c>
      <c r="K33" s="15"/>
      <c r="L33" s="15"/>
      <c r="M33" s="15"/>
      <c r="N33" s="15"/>
      <c r="O33" s="15"/>
      <c r="P33" s="1"/>
      <c r="Q33" s="1"/>
      <c r="R33" s="1"/>
      <c r="S33" s="1"/>
      <c r="T33" s="1"/>
      <c r="U33" s="1"/>
    </row>
    <row r="34" spans="1:21" s="3" customFormat="1" x14ac:dyDescent="0.25">
      <c r="A34" s="2" t="s">
        <v>60</v>
      </c>
      <c r="B34" s="2" t="s">
        <v>28</v>
      </c>
      <c r="C34" s="28">
        <v>30</v>
      </c>
      <c r="D34" s="6" t="s">
        <v>21</v>
      </c>
      <c r="E34" s="6"/>
      <c r="F34" s="10">
        <f>SUM(F35:F42)</f>
        <v>4900</v>
      </c>
      <c r="G34" s="10">
        <f>SUM(G35:G42)</f>
        <v>19000</v>
      </c>
      <c r="H34" s="6"/>
      <c r="I34" s="20">
        <f t="shared" si="13"/>
        <v>23900</v>
      </c>
      <c r="J34" s="20">
        <f t="shared" si="14"/>
        <v>796.66666666666663</v>
      </c>
      <c r="K34" s="15"/>
      <c r="L34" s="15"/>
      <c r="M34" s="15"/>
      <c r="N34" s="15"/>
      <c r="O34" s="15"/>
      <c r="P34" s="1"/>
      <c r="Q34" s="1"/>
      <c r="R34" s="1"/>
      <c r="S34" s="1"/>
      <c r="T34" s="1"/>
      <c r="U34" s="1"/>
    </row>
    <row r="35" spans="1:21" s="3" customFormat="1" x14ac:dyDescent="0.25">
      <c r="A35" s="2" t="s">
        <v>46</v>
      </c>
      <c r="B35" s="2" t="s">
        <v>29</v>
      </c>
      <c r="C35" s="28">
        <v>20</v>
      </c>
      <c r="D35" s="2" t="s">
        <v>114</v>
      </c>
      <c r="E35" s="6"/>
      <c r="F35" s="25">
        <f>G35*0.1</f>
        <v>900</v>
      </c>
      <c r="G35" s="25">
        <v>9000</v>
      </c>
      <c r="H35" s="6"/>
      <c r="I35" s="20">
        <f t="shared" si="13"/>
        <v>9900</v>
      </c>
      <c r="J35" s="20">
        <f t="shared" si="14"/>
        <v>495</v>
      </c>
      <c r="K35" s="15"/>
      <c r="L35" s="15"/>
      <c r="M35" s="15"/>
      <c r="N35" s="15"/>
      <c r="O35" s="15"/>
      <c r="P35" s="1"/>
      <c r="Q35" s="1"/>
      <c r="R35" s="1"/>
      <c r="S35" s="1"/>
      <c r="T35" s="1"/>
      <c r="U35" s="1"/>
    </row>
    <row r="36" spans="1:21" s="3" customFormat="1" x14ac:dyDescent="0.25">
      <c r="A36" s="2" t="s">
        <v>47</v>
      </c>
      <c r="B36" s="2" t="s">
        <v>30</v>
      </c>
      <c r="C36" s="28">
        <v>20</v>
      </c>
      <c r="D36" s="2" t="s">
        <v>114</v>
      </c>
      <c r="E36" s="6"/>
      <c r="F36" s="25">
        <f t="shared" ref="F36:F40" si="16">G36*0.1</f>
        <v>600</v>
      </c>
      <c r="G36" s="25">
        <v>6000</v>
      </c>
      <c r="H36" s="6"/>
      <c r="I36" s="20">
        <f t="shared" si="13"/>
        <v>6600</v>
      </c>
      <c r="J36" s="20">
        <f t="shared" si="14"/>
        <v>330</v>
      </c>
      <c r="K36" s="15"/>
      <c r="L36" s="15"/>
      <c r="M36" s="15"/>
      <c r="N36" s="15"/>
      <c r="O36" s="15"/>
      <c r="P36" s="1"/>
      <c r="Q36" s="1"/>
      <c r="R36" s="1"/>
      <c r="S36" s="1"/>
      <c r="T36" s="1"/>
      <c r="U36" s="1"/>
    </row>
    <row r="37" spans="1:21" s="3" customFormat="1" x14ac:dyDescent="0.25">
      <c r="A37" s="2" t="s">
        <v>48</v>
      </c>
      <c r="B37" s="2" t="s">
        <v>31</v>
      </c>
      <c r="C37" s="28">
        <v>40</v>
      </c>
      <c r="D37" s="2" t="s">
        <v>93</v>
      </c>
      <c r="E37" s="6"/>
      <c r="F37" s="25">
        <f t="shared" si="16"/>
        <v>200</v>
      </c>
      <c r="G37" s="25">
        <v>2000</v>
      </c>
      <c r="H37" s="6"/>
      <c r="I37" s="20">
        <f t="shared" si="13"/>
        <v>2200</v>
      </c>
      <c r="J37" s="20">
        <f t="shared" si="14"/>
        <v>55</v>
      </c>
      <c r="K37" s="15"/>
      <c r="L37" s="15"/>
      <c r="M37" s="15"/>
      <c r="N37" s="15"/>
      <c r="O37" s="15"/>
      <c r="P37" s="1"/>
      <c r="Q37" s="1"/>
      <c r="R37" s="1"/>
      <c r="S37" s="1"/>
      <c r="T37" s="1"/>
      <c r="U37" s="1"/>
    </row>
    <row r="38" spans="1:21" s="3" customFormat="1" x14ac:dyDescent="0.25">
      <c r="A38" s="2" t="s">
        <v>49</v>
      </c>
      <c r="B38" s="2" t="s">
        <v>32</v>
      </c>
      <c r="C38" s="28">
        <v>50</v>
      </c>
      <c r="D38" s="2" t="s">
        <v>93</v>
      </c>
      <c r="E38" s="6"/>
      <c r="F38" s="25">
        <f t="shared" si="16"/>
        <v>50</v>
      </c>
      <c r="G38" s="25">
        <v>500</v>
      </c>
      <c r="H38" s="6"/>
      <c r="I38" s="20">
        <f t="shared" si="13"/>
        <v>550</v>
      </c>
      <c r="J38" s="20">
        <f t="shared" si="14"/>
        <v>11</v>
      </c>
      <c r="K38" s="15"/>
      <c r="L38" s="15"/>
      <c r="M38" s="15"/>
      <c r="N38" s="15"/>
      <c r="O38" s="15"/>
      <c r="P38" s="1"/>
      <c r="Q38" s="1"/>
      <c r="R38" s="1"/>
      <c r="S38" s="1"/>
      <c r="T38" s="1"/>
      <c r="U38" s="1"/>
    </row>
    <row r="39" spans="1:21" s="3" customFormat="1" x14ac:dyDescent="0.25">
      <c r="A39" s="2" t="s">
        <v>50</v>
      </c>
      <c r="B39" s="2" t="s">
        <v>33</v>
      </c>
      <c r="C39" s="28">
        <v>40</v>
      </c>
      <c r="D39" s="2" t="s">
        <v>93</v>
      </c>
      <c r="E39" s="6"/>
      <c r="F39" s="25">
        <f t="shared" si="16"/>
        <v>100</v>
      </c>
      <c r="G39" s="25">
        <v>1000</v>
      </c>
      <c r="H39" s="6"/>
      <c r="I39" s="20">
        <f t="shared" si="13"/>
        <v>1100</v>
      </c>
      <c r="J39" s="20">
        <f t="shared" si="14"/>
        <v>27.5</v>
      </c>
      <c r="K39" s="15"/>
      <c r="L39" s="15"/>
      <c r="M39" s="15"/>
      <c r="N39" s="15"/>
      <c r="O39" s="15"/>
      <c r="P39" s="1"/>
      <c r="Q39" s="1"/>
      <c r="R39" s="1"/>
      <c r="S39" s="1"/>
      <c r="T39" s="1"/>
      <c r="U39" s="1"/>
    </row>
    <row r="40" spans="1:21" s="3" customFormat="1" x14ac:dyDescent="0.25">
      <c r="A40" s="2" t="s">
        <v>51</v>
      </c>
      <c r="B40" s="2" t="s">
        <v>26</v>
      </c>
      <c r="C40" s="28">
        <v>40</v>
      </c>
      <c r="D40" s="2" t="s">
        <v>93</v>
      </c>
      <c r="E40" s="6"/>
      <c r="F40" s="25">
        <f t="shared" si="16"/>
        <v>50</v>
      </c>
      <c r="G40" s="25">
        <v>500</v>
      </c>
      <c r="H40" s="6"/>
      <c r="I40" s="20">
        <f t="shared" si="13"/>
        <v>550</v>
      </c>
      <c r="J40" s="20">
        <f t="shared" si="14"/>
        <v>13.75</v>
      </c>
      <c r="K40" s="15"/>
      <c r="L40" s="15"/>
      <c r="M40" s="15"/>
      <c r="N40" s="15"/>
      <c r="O40" s="15"/>
      <c r="P40" s="1"/>
      <c r="Q40" s="1"/>
      <c r="R40" s="1"/>
      <c r="S40" s="1"/>
      <c r="T40" s="1"/>
      <c r="U40" s="1"/>
    </row>
    <row r="41" spans="1:21" s="3" customFormat="1" x14ac:dyDescent="0.25">
      <c r="A41" s="2" t="s">
        <v>52</v>
      </c>
      <c r="B41" s="2" t="s">
        <v>34</v>
      </c>
      <c r="C41" s="28">
        <v>800</v>
      </c>
      <c r="D41" s="2" t="s">
        <v>94</v>
      </c>
      <c r="E41" s="8"/>
      <c r="F41" s="29">
        <v>2000</v>
      </c>
      <c r="G41" s="29"/>
      <c r="H41" s="8"/>
      <c r="I41" s="20">
        <f t="shared" si="13"/>
        <v>2000</v>
      </c>
      <c r="J41" s="20">
        <f t="shared" si="14"/>
        <v>2.5</v>
      </c>
      <c r="K41" s="16"/>
      <c r="L41" s="16"/>
      <c r="M41" s="16"/>
      <c r="N41" s="16"/>
      <c r="O41" s="16"/>
      <c r="P41"/>
      <c r="Q41"/>
      <c r="R41"/>
      <c r="S41"/>
      <c r="T41"/>
      <c r="U41"/>
    </row>
    <row r="42" spans="1:21" s="3" customFormat="1" x14ac:dyDescent="0.25">
      <c r="A42" s="2" t="s">
        <v>53</v>
      </c>
      <c r="B42" s="2" t="s">
        <v>35</v>
      </c>
      <c r="C42" s="28">
        <v>800</v>
      </c>
      <c r="D42" s="2" t="s">
        <v>94</v>
      </c>
      <c r="E42" s="8"/>
      <c r="F42" s="29">
        <v>1000</v>
      </c>
      <c r="G42" s="29"/>
      <c r="H42" s="8"/>
      <c r="I42" s="20">
        <f t="shared" si="13"/>
        <v>1000</v>
      </c>
      <c r="J42" s="20">
        <f t="shared" si="14"/>
        <v>1.25</v>
      </c>
      <c r="K42" s="16"/>
      <c r="L42" s="16"/>
      <c r="M42" s="16"/>
      <c r="N42" s="16"/>
      <c r="O42" s="16"/>
      <c r="P42"/>
      <c r="Q42"/>
      <c r="R42"/>
      <c r="S42"/>
      <c r="T42"/>
      <c r="U42"/>
    </row>
    <row r="43" spans="1:21" s="3" customFormat="1" x14ac:dyDescent="0.25">
      <c r="A43" s="2" t="s">
        <v>61</v>
      </c>
      <c r="B43" s="2" t="s">
        <v>36</v>
      </c>
      <c r="C43" s="28">
        <v>30</v>
      </c>
      <c r="D43" s="2" t="s">
        <v>37</v>
      </c>
      <c r="E43" s="8"/>
      <c r="F43" s="22"/>
      <c r="G43" s="22">
        <f>SUM(G44:G49)</f>
        <v>7800</v>
      </c>
      <c r="H43" s="8"/>
      <c r="I43" s="20">
        <f t="shared" si="13"/>
        <v>7800</v>
      </c>
      <c r="J43" s="20">
        <f t="shared" si="14"/>
        <v>260</v>
      </c>
      <c r="K43" s="16"/>
      <c r="L43" s="16"/>
      <c r="M43" s="16"/>
      <c r="N43" s="16"/>
      <c r="O43" s="16"/>
      <c r="P43"/>
      <c r="Q43"/>
      <c r="R43"/>
      <c r="S43"/>
      <c r="T43"/>
      <c r="U43"/>
    </row>
    <row r="44" spans="1:21" s="3" customFormat="1" x14ac:dyDescent="0.25">
      <c r="A44" s="2" t="s">
        <v>46</v>
      </c>
      <c r="B44" s="2" t="s">
        <v>39</v>
      </c>
      <c r="C44" s="28">
        <v>60</v>
      </c>
      <c r="D44" s="2" t="s">
        <v>93</v>
      </c>
      <c r="E44" s="8"/>
      <c r="F44" s="22"/>
      <c r="G44" s="29">
        <f>C44*90</f>
        <v>5400</v>
      </c>
      <c r="H44" s="8"/>
      <c r="I44" s="20">
        <f t="shared" si="13"/>
        <v>5400</v>
      </c>
      <c r="J44" s="20">
        <f t="shared" si="14"/>
        <v>90</v>
      </c>
      <c r="K44" s="16"/>
      <c r="L44" s="16"/>
      <c r="M44" s="16"/>
      <c r="N44" s="16"/>
      <c r="O44" s="16"/>
      <c r="P44"/>
      <c r="Q44"/>
      <c r="R44"/>
      <c r="S44"/>
      <c r="T44"/>
      <c r="U44"/>
    </row>
    <row r="45" spans="1:21" s="3" customFormat="1" x14ac:dyDescent="0.25">
      <c r="A45" s="2" t="s">
        <v>47</v>
      </c>
      <c r="B45" s="2" t="s">
        <v>40</v>
      </c>
      <c r="C45" s="28">
        <v>60</v>
      </c>
      <c r="D45" s="2" t="s">
        <v>95</v>
      </c>
      <c r="E45" s="8"/>
      <c r="F45" s="22"/>
      <c r="G45" s="29">
        <f>C45*20</f>
        <v>1200</v>
      </c>
      <c r="H45" s="8"/>
      <c r="I45" s="20">
        <f t="shared" si="13"/>
        <v>1200</v>
      </c>
      <c r="J45" s="20">
        <f t="shared" si="14"/>
        <v>20</v>
      </c>
      <c r="K45" s="16"/>
      <c r="L45" s="16"/>
      <c r="M45" s="16"/>
      <c r="N45" s="16"/>
      <c r="O45" s="16"/>
      <c r="P45"/>
      <c r="Q45"/>
      <c r="R45"/>
      <c r="S45"/>
      <c r="T45"/>
      <c r="U45"/>
    </row>
    <row r="46" spans="1:21" s="3" customFormat="1" x14ac:dyDescent="0.25">
      <c r="A46" s="2" t="s">
        <v>48</v>
      </c>
      <c r="B46" s="2" t="s">
        <v>41</v>
      </c>
      <c r="C46" s="28">
        <v>60</v>
      </c>
      <c r="D46" s="2" t="s">
        <v>96</v>
      </c>
      <c r="E46" s="8"/>
      <c r="F46" s="22"/>
      <c r="G46" s="29">
        <f>C46*5</f>
        <v>300</v>
      </c>
      <c r="H46" s="8"/>
      <c r="I46" s="20">
        <f t="shared" si="13"/>
        <v>300</v>
      </c>
      <c r="J46" s="20">
        <f t="shared" si="14"/>
        <v>5</v>
      </c>
      <c r="K46" s="16"/>
      <c r="L46" s="16"/>
      <c r="M46" s="16"/>
      <c r="N46" s="16"/>
      <c r="O46" s="16"/>
      <c r="P46"/>
      <c r="Q46"/>
      <c r="R46"/>
      <c r="S46"/>
      <c r="T46"/>
      <c r="U46"/>
    </row>
    <row r="47" spans="1:21" s="3" customFormat="1" x14ac:dyDescent="0.25">
      <c r="A47" s="2" t="s">
        <v>49</v>
      </c>
      <c r="B47" s="2" t="s">
        <v>42</v>
      </c>
      <c r="C47" s="28">
        <v>60</v>
      </c>
      <c r="D47" s="2" t="s">
        <v>96</v>
      </c>
      <c r="E47" s="8"/>
      <c r="F47" s="22"/>
      <c r="G47" s="29">
        <f>C47*5</f>
        <v>300</v>
      </c>
      <c r="H47" s="8"/>
      <c r="I47" s="20">
        <f t="shared" si="13"/>
        <v>300</v>
      </c>
      <c r="J47" s="20">
        <f t="shared" si="14"/>
        <v>5</v>
      </c>
      <c r="K47" s="16"/>
      <c r="L47" s="16"/>
      <c r="M47" s="16"/>
      <c r="N47" s="16"/>
      <c r="O47" s="16"/>
      <c r="P47"/>
      <c r="Q47"/>
      <c r="R47"/>
      <c r="S47"/>
      <c r="T47"/>
      <c r="U47"/>
    </row>
    <row r="48" spans="1:21" s="3" customFormat="1" x14ac:dyDescent="0.25">
      <c r="A48" s="2" t="s">
        <v>50</v>
      </c>
      <c r="B48" s="2" t="s">
        <v>43</v>
      </c>
      <c r="C48" s="28">
        <v>60</v>
      </c>
      <c r="D48" s="2" t="s">
        <v>93</v>
      </c>
      <c r="E48" s="8"/>
      <c r="F48" s="22"/>
      <c r="G48" s="29">
        <f t="shared" ref="G48:G49" si="17">C48*5</f>
        <v>300</v>
      </c>
      <c r="H48" s="8"/>
      <c r="I48" s="20">
        <f t="shared" si="13"/>
        <v>300</v>
      </c>
      <c r="J48" s="20">
        <f t="shared" si="14"/>
        <v>5</v>
      </c>
      <c r="K48" s="16"/>
      <c r="L48" s="16"/>
      <c r="M48" s="16"/>
      <c r="N48" s="16"/>
      <c r="O48" s="16"/>
      <c r="P48"/>
      <c r="Q48"/>
      <c r="R48"/>
      <c r="S48"/>
      <c r="T48"/>
      <c r="U48"/>
    </row>
    <row r="49" spans="1:21" s="3" customFormat="1" x14ac:dyDescent="0.25">
      <c r="A49" s="2" t="s">
        <v>51</v>
      </c>
      <c r="B49" s="2" t="s">
        <v>44</v>
      </c>
      <c r="C49" s="28">
        <v>60</v>
      </c>
      <c r="D49" s="2" t="s">
        <v>93</v>
      </c>
      <c r="E49" s="8"/>
      <c r="F49" s="22"/>
      <c r="G49" s="29">
        <f t="shared" si="17"/>
        <v>300</v>
      </c>
      <c r="H49" s="8"/>
      <c r="I49" s="20">
        <f t="shared" si="13"/>
        <v>300</v>
      </c>
      <c r="J49" s="20">
        <f t="shared" si="14"/>
        <v>5</v>
      </c>
      <c r="K49" s="16"/>
      <c r="L49" s="16"/>
      <c r="M49" s="16"/>
      <c r="N49" s="16"/>
      <c r="O49" s="16"/>
      <c r="P49"/>
      <c r="Q49"/>
      <c r="R49"/>
      <c r="S49"/>
      <c r="T49"/>
      <c r="U49"/>
    </row>
    <row r="50" spans="1:21" s="3" customFormat="1" x14ac:dyDescent="0.25">
      <c r="A50" s="2" t="s">
        <v>62</v>
      </c>
      <c r="B50" s="2" t="s">
        <v>58</v>
      </c>
      <c r="C50" s="28">
        <v>2</v>
      </c>
      <c r="D50" s="2" t="s">
        <v>23</v>
      </c>
      <c r="E50" s="8"/>
      <c r="F50" s="22">
        <f>SUM(F51:F55)</f>
        <v>930</v>
      </c>
      <c r="G50" s="22">
        <f>SUM(G51:G55)</f>
        <v>4200</v>
      </c>
      <c r="H50" s="8"/>
      <c r="I50" s="20">
        <f t="shared" si="13"/>
        <v>5130</v>
      </c>
      <c r="J50" s="20">
        <f t="shared" si="14"/>
        <v>2565</v>
      </c>
      <c r="K50" s="16"/>
      <c r="L50" s="16"/>
      <c r="M50" s="16"/>
      <c r="N50" s="16"/>
      <c r="O50" s="16"/>
      <c r="P50"/>
      <c r="Q50"/>
      <c r="R50"/>
      <c r="S50"/>
      <c r="T50"/>
      <c r="U50"/>
    </row>
    <row r="51" spans="1:21" s="3" customFormat="1" x14ac:dyDescent="0.25">
      <c r="A51" s="2" t="s">
        <v>46</v>
      </c>
      <c r="B51" s="2" t="s">
        <v>45</v>
      </c>
      <c r="C51" s="28">
        <v>45</v>
      </c>
      <c r="D51" s="2" t="s">
        <v>115</v>
      </c>
      <c r="E51" s="8"/>
      <c r="F51" s="29">
        <v>600</v>
      </c>
      <c r="G51" s="29">
        <v>800</v>
      </c>
      <c r="H51" s="8"/>
      <c r="I51" s="20">
        <f t="shared" si="13"/>
        <v>1400</v>
      </c>
      <c r="J51" s="20">
        <f t="shared" si="14"/>
        <v>31.111111111111111</v>
      </c>
      <c r="K51" s="16"/>
      <c r="L51" s="16"/>
      <c r="M51" s="16"/>
      <c r="N51" s="16"/>
      <c r="O51" s="16"/>
      <c r="P51"/>
      <c r="Q51"/>
      <c r="R51"/>
      <c r="S51"/>
      <c r="T51"/>
      <c r="U51"/>
    </row>
    <row r="52" spans="1:21" s="3" customFormat="1" x14ac:dyDescent="0.25">
      <c r="A52" s="2" t="s">
        <v>47</v>
      </c>
      <c r="B52" s="2" t="s">
        <v>54</v>
      </c>
      <c r="C52" s="28">
        <v>20</v>
      </c>
      <c r="D52" s="2" t="s">
        <v>115</v>
      </c>
      <c r="E52" s="8"/>
      <c r="F52" s="29">
        <v>250</v>
      </c>
      <c r="G52" s="29">
        <v>400</v>
      </c>
      <c r="H52" s="8"/>
      <c r="I52" s="20">
        <f t="shared" si="13"/>
        <v>650</v>
      </c>
      <c r="J52" s="20">
        <f t="shared" si="14"/>
        <v>32.5</v>
      </c>
      <c r="K52" s="16"/>
      <c r="L52" s="16"/>
      <c r="M52" s="16"/>
      <c r="N52" s="16"/>
      <c r="O52" s="16"/>
      <c r="P52"/>
      <c r="Q52"/>
      <c r="R52"/>
      <c r="S52"/>
      <c r="T52"/>
      <c r="U52"/>
    </row>
    <row r="53" spans="1:21" s="3" customFormat="1" x14ac:dyDescent="0.25">
      <c r="A53" s="2" t="s">
        <v>48</v>
      </c>
      <c r="B53" s="2" t="s">
        <v>55</v>
      </c>
      <c r="C53" s="28">
        <v>1</v>
      </c>
      <c r="D53" s="2" t="s">
        <v>95</v>
      </c>
      <c r="E53" s="8"/>
      <c r="F53" s="29">
        <v>50</v>
      </c>
      <c r="G53" s="29">
        <v>1000</v>
      </c>
      <c r="H53" s="8"/>
      <c r="I53" s="20">
        <f t="shared" si="13"/>
        <v>1050</v>
      </c>
      <c r="J53" s="20">
        <f t="shared" si="14"/>
        <v>1050</v>
      </c>
      <c r="K53" s="16"/>
      <c r="L53" s="16"/>
      <c r="M53" s="16"/>
      <c r="N53" s="16"/>
      <c r="O53" s="16"/>
      <c r="P53"/>
      <c r="Q53"/>
      <c r="R53"/>
      <c r="S53"/>
      <c r="T53"/>
      <c r="U53"/>
    </row>
    <row r="54" spans="1:21" s="3" customFormat="1" x14ac:dyDescent="0.25">
      <c r="A54" s="2" t="s">
        <v>49</v>
      </c>
      <c r="B54" s="2" t="s">
        <v>56</v>
      </c>
      <c r="C54" s="28">
        <v>1</v>
      </c>
      <c r="D54" s="2" t="s">
        <v>95</v>
      </c>
      <c r="E54" s="8"/>
      <c r="F54" s="29">
        <v>10</v>
      </c>
      <c r="G54" s="29">
        <v>500</v>
      </c>
      <c r="H54" s="8"/>
      <c r="I54" s="20">
        <f t="shared" si="13"/>
        <v>510</v>
      </c>
      <c r="J54" s="20">
        <f t="shared" si="14"/>
        <v>510</v>
      </c>
      <c r="K54" s="16"/>
      <c r="L54" s="16"/>
      <c r="M54" s="16"/>
      <c r="N54" s="16"/>
      <c r="O54" s="16"/>
      <c r="P54"/>
      <c r="Q54"/>
      <c r="R54"/>
      <c r="S54"/>
      <c r="T54"/>
      <c r="U54"/>
    </row>
    <row r="55" spans="1:21" s="3" customFormat="1" x14ac:dyDescent="0.25">
      <c r="A55" s="2" t="s">
        <v>50</v>
      </c>
      <c r="B55" s="2" t="s">
        <v>57</v>
      </c>
      <c r="C55" s="28">
        <v>1</v>
      </c>
      <c r="D55" s="2" t="s">
        <v>95</v>
      </c>
      <c r="E55" s="8"/>
      <c r="F55" s="29">
        <v>20</v>
      </c>
      <c r="G55" s="29">
        <v>1500</v>
      </c>
      <c r="H55" s="8"/>
      <c r="I55" s="20">
        <f t="shared" si="13"/>
        <v>1520</v>
      </c>
      <c r="J55" s="20">
        <f t="shared" si="14"/>
        <v>1520</v>
      </c>
      <c r="K55" s="16"/>
      <c r="L55" s="16"/>
      <c r="M55" s="16"/>
      <c r="N55" s="16"/>
      <c r="O55" s="16"/>
      <c r="P55"/>
      <c r="Q55"/>
      <c r="R55"/>
      <c r="S55"/>
      <c r="T55"/>
      <c r="U55"/>
    </row>
    <row r="56" spans="1:21" s="4" customFormat="1" x14ac:dyDescent="0.25">
      <c r="E56"/>
      <c r="F56" s="23"/>
      <c r="G56" s="23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s="1" customFormat="1" x14ac:dyDescent="0.25">
      <c r="B57" s="30" t="s">
        <v>118</v>
      </c>
      <c r="E57"/>
      <c r="F57" s="23"/>
      <c r="G57" s="23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s="1" customFormat="1" x14ac:dyDescent="0.25">
      <c r="E58"/>
      <c r="F58" s="23"/>
      <c r="G58" s="23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s="1" customFormat="1" x14ac:dyDescent="0.25">
      <c r="E59"/>
      <c r="F59" s="23"/>
      <c r="G59" s="23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s="1" customFormat="1" x14ac:dyDescent="0.25">
      <c r="E60"/>
      <c r="F60" s="23"/>
      <c r="G60" s="23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s="1" customFormat="1" x14ac:dyDescent="0.25">
      <c r="E61"/>
      <c r="F61" s="23"/>
      <c r="G61" s="23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s="1" customFormat="1" x14ac:dyDescent="0.25">
      <c r="E62"/>
      <c r="F62" s="23"/>
      <c r="G62" s="23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s="1" customFormat="1" x14ac:dyDescent="0.25">
      <c r="E63"/>
      <c r="F63" s="23"/>
      <c r="G63" s="2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s="1" customFormat="1" x14ac:dyDescent="0.25">
      <c r="E64"/>
      <c r="F64" s="23"/>
      <c r="G64" s="23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5:21" s="1" customFormat="1" x14ac:dyDescent="0.25">
      <c r="E65"/>
      <c r="F65" s="23"/>
      <c r="G65" s="23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5:21" s="1" customFormat="1" x14ac:dyDescent="0.25">
      <c r="E66"/>
      <c r="F66" s="23"/>
      <c r="G66" s="23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5:21" s="1" customFormat="1" x14ac:dyDescent="0.25">
      <c r="E67"/>
      <c r="F67" s="23"/>
      <c r="G67" s="23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5:21" s="1" customFormat="1" x14ac:dyDescent="0.25">
      <c r="E68"/>
      <c r="F68" s="23"/>
      <c r="G68" s="23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5:21" s="1" customFormat="1" x14ac:dyDescent="0.25">
      <c r="E69"/>
      <c r="F69" s="23"/>
      <c r="G69" s="23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</sheetData>
  <mergeCells count="4">
    <mergeCell ref="B1:B3"/>
    <mergeCell ref="A1:A3"/>
    <mergeCell ref="C1:J1"/>
    <mergeCell ref="K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U97"/>
  <sheetViews>
    <sheetView workbookViewId="0">
      <selection activeCell="F18" sqref="F18"/>
    </sheetView>
  </sheetViews>
  <sheetFormatPr defaultRowHeight="14.4" x14ac:dyDescent="0.25"/>
  <cols>
    <col min="2" max="2" width="25.109375" customWidth="1"/>
    <col min="3" max="3" width="9.77734375" bestFit="1" customWidth="1"/>
    <col min="4" max="4" width="13.21875" bestFit="1" customWidth="1"/>
    <col min="5" max="5" width="12.33203125" style="23" customWidth="1"/>
    <col min="6" max="6" width="11" style="23" bestFit="1" customWidth="1"/>
    <col min="7" max="7" width="17.21875" bestFit="1" customWidth="1"/>
    <col min="8" max="8" width="13" bestFit="1" customWidth="1"/>
    <col min="9" max="9" width="8" customWidth="1"/>
    <col min="10" max="10" width="14.109375" bestFit="1" customWidth="1"/>
    <col min="12" max="12" width="9.77734375" bestFit="1" customWidth="1"/>
    <col min="13" max="14" width="14.109375" bestFit="1" customWidth="1"/>
  </cols>
  <sheetData>
    <row r="1" spans="1:15" s="1" customFormat="1" ht="28.8" x14ac:dyDescent="0.25">
      <c r="A1" s="32" t="s">
        <v>125</v>
      </c>
      <c r="B1" s="32" t="s">
        <v>105</v>
      </c>
      <c r="C1" s="19" t="s">
        <v>71</v>
      </c>
      <c r="D1" s="9" t="s">
        <v>111</v>
      </c>
      <c r="E1" s="9" t="s">
        <v>110</v>
      </c>
      <c r="F1" s="9" t="s">
        <v>106</v>
      </c>
      <c r="G1" s="9" t="s">
        <v>107</v>
      </c>
      <c r="H1" s="19" t="s">
        <v>108</v>
      </c>
      <c r="I1" s="25" t="s">
        <v>70</v>
      </c>
      <c r="J1" s="19" t="s">
        <v>109</v>
      </c>
      <c r="K1" s="49" t="s">
        <v>126</v>
      </c>
      <c r="L1" s="50"/>
      <c r="M1" s="50"/>
      <c r="N1" s="50"/>
      <c r="O1" s="51"/>
    </row>
    <row r="2" spans="1:15" s="5" customFormat="1" x14ac:dyDescent="0.25">
      <c r="A2" s="7">
        <v>1</v>
      </c>
      <c r="B2" s="7" t="s">
        <v>117</v>
      </c>
      <c r="C2" s="7" t="s">
        <v>21</v>
      </c>
      <c r="D2" s="21">
        <f>D3+D29+D55</f>
        <v>176222.56601559208</v>
      </c>
      <c r="E2" s="7">
        <f t="shared" ref="E2:G2" si="0">E3+E29+E55</f>
        <v>4097</v>
      </c>
      <c r="F2" s="7">
        <f t="shared" si="0"/>
        <v>21760</v>
      </c>
      <c r="G2" s="7">
        <f t="shared" si="0"/>
        <v>0</v>
      </c>
      <c r="H2" s="21">
        <f>SUM(D2:G2)</f>
        <v>202079.56601559208</v>
      </c>
      <c r="I2" s="35">
        <v>20</v>
      </c>
      <c r="J2" s="21">
        <f t="shared" ref="J2:J33" si="1">H2/I2</f>
        <v>10103.978300779603</v>
      </c>
      <c r="K2" s="13">
        <v>20</v>
      </c>
      <c r="L2" s="13">
        <v>5</v>
      </c>
      <c r="M2" s="13">
        <v>4</v>
      </c>
      <c r="N2" s="13">
        <v>20</v>
      </c>
      <c r="O2" s="14"/>
    </row>
    <row r="3" spans="1:15" s="5" customFormat="1" x14ac:dyDescent="0.25">
      <c r="A3" s="7">
        <v>1.1000000000000001</v>
      </c>
      <c r="B3" s="7" t="s">
        <v>12</v>
      </c>
      <c r="C3" s="7" t="s">
        <v>84</v>
      </c>
      <c r="D3" s="33">
        <f>D4+D9+D14+D19+D24</f>
        <v>105047.56601559208</v>
      </c>
      <c r="E3" s="7"/>
      <c r="F3" s="17"/>
      <c r="G3" s="17"/>
      <c r="H3" s="21">
        <f t="shared" ref="H3:H4" si="2">SUM(D3:G3)</f>
        <v>105047.56601559208</v>
      </c>
      <c r="I3" s="13">
        <f>I4+I9+I14+I19+I24</f>
        <v>87500</v>
      </c>
      <c r="J3" s="21">
        <f t="shared" si="1"/>
        <v>1.2005436116067667</v>
      </c>
      <c r="K3" s="13"/>
      <c r="L3" s="13"/>
      <c r="M3" s="13"/>
      <c r="N3" s="13"/>
      <c r="O3" s="14"/>
    </row>
    <row r="4" spans="1:15" s="1" customFormat="1" x14ac:dyDescent="0.25">
      <c r="A4" s="19" t="s">
        <v>15</v>
      </c>
      <c r="B4" s="19" t="s">
        <v>133</v>
      </c>
      <c r="C4" s="19" t="s">
        <v>85</v>
      </c>
      <c r="D4" s="20">
        <f>SUM(D5:D8)</f>
        <v>20225</v>
      </c>
      <c r="E4" s="20"/>
      <c r="F4" s="20"/>
      <c r="G4" s="20"/>
      <c r="H4" s="20">
        <f t="shared" si="2"/>
        <v>20225</v>
      </c>
      <c r="I4" s="25">
        <f>K7+K8</f>
        <v>15000</v>
      </c>
      <c r="J4" s="20">
        <f t="shared" si="1"/>
        <v>1.3483333333333334</v>
      </c>
      <c r="K4" s="15"/>
      <c r="L4" s="15"/>
      <c r="M4" s="15"/>
      <c r="N4" s="15"/>
      <c r="O4" s="15"/>
    </row>
    <row r="5" spans="1:15" s="1" customFormat="1" x14ac:dyDescent="0.25">
      <c r="A5" s="2" t="s">
        <v>46</v>
      </c>
      <c r="B5" s="19" t="s">
        <v>112</v>
      </c>
      <c r="C5" s="19" t="s">
        <v>86</v>
      </c>
      <c r="D5" s="26">
        <f>I5*0.4</f>
        <v>5760</v>
      </c>
      <c r="E5" s="20"/>
      <c r="F5" s="20"/>
      <c r="G5" s="20"/>
      <c r="H5" s="20">
        <f t="shared" ref="H5:H13" si="3">SUM(D5:G5)</f>
        <v>5760</v>
      </c>
      <c r="I5" s="25">
        <f>(K5+L5)*2*M5*N5</f>
        <v>14400</v>
      </c>
      <c r="J5" s="20">
        <f t="shared" si="1"/>
        <v>0.4</v>
      </c>
      <c r="K5" s="15">
        <v>220</v>
      </c>
      <c r="L5" s="15">
        <v>20</v>
      </c>
      <c r="M5" s="15">
        <v>30</v>
      </c>
      <c r="N5" s="15">
        <v>1</v>
      </c>
      <c r="O5" s="15"/>
    </row>
    <row r="6" spans="1:15" s="1" customFormat="1" x14ac:dyDescent="0.25">
      <c r="A6" s="2" t="s">
        <v>47</v>
      </c>
      <c r="B6" s="19" t="s">
        <v>81</v>
      </c>
      <c r="C6" s="19" t="s">
        <v>86</v>
      </c>
      <c r="D6" s="26">
        <f>I6*0.03</f>
        <v>2640</v>
      </c>
      <c r="E6" s="20"/>
      <c r="F6" s="20"/>
      <c r="G6" s="20"/>
      <c r="H6" s="20">
        <f t="shared" si="3"/>
        <v>2640</v>
      </c>
      <c r="I6" s="25">
        <f>K6*L6*(M6+N6)</f>
        <v>88000</v>
      </c>
      <c r="J6" s="20">
        <f t="shared" si="1"/>
        <v>0.03</v>
      </c>
      <c r="K6" s="15">
        <v>220</v>
      </c>
      <c r="L6" s="15">
        <v>20</v>
      </c>
      <c r="M6" s="15">
        <v>17</v>
      </c>
      <c r="N6" s="15">
        <v>3</v>
      </c>
      <c r="O6" s="15"/>
    </row>
    <row r="7" spans="1:15" s="1" customFormat="1" x14ac:dyDescent="0.25">
      <c r="A7" s="2" t="s">
        <v>48</v>
      </c>
      <c r="B7" s="19" t="s">
        <v>82</v>
      </c>
      <c r="C7" s="19" t="s">
        <v>86</v>
      </c>
      <c r="D7" s="26">
        <f>I7*0.25</f>
        <v>5225</v>
      </c>
      <c r="E7" s="20"/>
      <c r="F7" s="20"/>
      <c r="G7" s="20"/>
      <c r="H7" s="20">
        <f t="shared" si="3"/>
        <v>5225</v>
      </c>
      <c r="I7" s="25">
        <f>K7*1.9</f>
        <v>20900</v>
      </c>
      <c r="J7" s="20">
        <f t="shared" si="1"/>
        <v>0.25</v>
      </c>
      <c r="K7" s="15">
        <v>11000</v>
      </c>
      <c r="L7" s="15"/>
      <c r="M7" s="15"/>
      <c r="N7" s="15"/>
      <c r="O7" s="15"/>
    </row>
    <row r="8" spans="1:15" s="1" customFormat="1" x14ac:dyDescent="0.25">
      <c r="A8" s="2" t="s">
        <v>49</v>
      </c>
      <c r="B8" s="19" t="s">
        <v>83</v>
      </c>
      <c r="C8" s="19" t="s">
        <v>85</v>
      </c>
      <c r="D8" s="26">
        <f>I8*1.65</f>
        <v>6600</v>
      </c>
      <c r="E8" s="20"/>
      <c r="F8" s="20"/>
      <c r="G8" s="20"/>
      <c r="H8" s="20">
        <f t="shared" si="3"/>
        <v>6600</v>
      </c>
      <c r="I8" s="25">
        <f>K8</f>
        <v>4000</v>
      </c>
      <c r="J8" s="20">
        <f t="shared" si="1"/>
        <v>1.65</v>
      </c>
      <c r="K8" s="15">
        <v>4000</v>
      </c>
      <c r="L8" s="15"/>
      <c r="M8" s="15"/>
      <c r="N8" s="15"/>
      <c r="O8" s="15"/>
    </row>
    <row r="9" spans="1:15" s="1" customFormat="1" x14ac:dyDescent="0.25">
      <c r="A9" s="19" t="s">
        <v>16</v>
      </c>
      <c r="B9" s="19" t="s">
        <v>134</v>
      </c>
      <c r="C9" s="19" t="s">
        <v>85</v>
      </c>
      <c r="D9" s="20">
        <f>SUM(D10:D13)</f>
        <v>22021.192482863582</v>
      </c>
      <c r="E9" s="20"/>
      <c r="F9" s="20"/>
      <c r="G9" s="20"/>
      <c r="H9" s="20">
        <f t="shared" si="3"/>
        <v>22021.192482863582</v>
      </c>
      <c r="I9" s="25">
        <f>K12+K13</f>
        <v>18000</v>
      </c>
      <c r="J9" s="20">
        <f t="shared" si="1"/>
        <v>1.2233995823813102</v>
      </c>
      <c r="K9" s="15"/>
      <c r="L9" s="15"/>
      <c r="M9" s="15"/>
      <c r="N9" s="15"/>
      <c r="O9" s="15"/>
    </row>
    <row r="10" spans="1:15" s="1" customFormat="1" x14ac:dyDescent="0.25">
      <c r="A10" s="2" t="s">
        <v>46</v>
      </c>
      <c r="B10" s="19" t="s">
        <v>113</v>
      </c>
      <c r="C10" s="19" t="s">
        <v>86</v>
      </c>
      <c r="D10" s="26">
        <f>I10*0.34</f>
        <v>4283.6924828635829</v>
      </c>
      <c r="E10" s="20"/>
      <c r="F10" s="20"/>
      <c r="G10" s="20"/>
      <c r="H10" s="20">
        <f t="shared" si="3"/>
        <v>4283.6924828635829</v>
      </c>
      <c r="I10" s="25">
        <f>((K10+L10)*2/(N10+0.2))*M10*PI()*N10*N10/4</f>
        <v>12599.095537834068</v>
      </c>
      <c r="J10" s="20">
        <f t="shared" si="1"/>
        <v>0.33999999999999997</v>
      </c>
      <c r="K10" s="15">
        <v>250</v>
      </c>
      <c r="L10" s="15">
        <v>25</v>
      </c>
      <c r="M10" s="15">
        <v>35</v>
      </c>
      <c r="N10" s="15">
        <v>1</v>
      </c>
      <c r="O10" s="15"/>
    </row>
    <row r="11" spans="1:15" s="1" customFormat="1" x14ac:dyDescent="0.25">
      <c r="A11" s="2" t="s">
        <v>47</v>
      </c>
      <c r="B11" s="19" t="s">
        <v>81</v>
      </c>
      <c r="C11" s="19" t="s">
        <v>86</v>
      </c>
      <c r="D11" s="26">
        <f>I11*0.03</f>
        <v>3562.5</v>
      </c>
      <c r="E11" s="20"/>
      <c r="F11" s="20"/>
      <c r="G11" s="20"/>
      <c r="H11" s="20">
        <f t="shared" si="3"/>
        <v>3562.5</v>
      </c>
      <c r="I11" s="25">
        <f>K11*L11*(M11+N11)</f>
        <v>118750</v>
      </c>
      <c r="J11" s="20">
        <f t="shared" si="1"/>
        <v>0.03</v>
      </c>
      <c r="K11" s="15">
        <v>250</v>
      </c>
      <c r="L11" s="15">
        <v>25</v>
      </c>
      <c r="M11" s="15">
        <v>16</v>
      </c>
      <c r="N11" s="15">
        <v>3</v>
      </c>
      <c r="O11" s="15"/>
    </row>
    <row r="12" spans="1:15" s="1" customFormat="1" x14ac:dyDescent="0.25">
      <c r="A12" s="2" t="s">
        <v>48</v>
      </c>
      <c r="B12" s="19" t="s">
        <v>82</v>
      </c>
      <c r="C12" s="19" t="s">
        <v>86</v>
      </c>
      <c r="D12" s="26">
        <f>I12*0.25</f>
        <v>6175</v>
      </c>
      <c r="E12" s="20"/>
      <c r="F12" s="20"/>
      <c r="G12" s="20"/>
      <c r="H12" s="20">
        <f t="shared" si="3"/>
        <v>6175</v>
      </c>
      <c r="I12" s="25">
        <f>K12*1.9</f>
        <v>24700</v>
      </c>
      <c r="J12" s="20">
        <f t="shared" si="1"/>
        <v>0.25</v>
      </c>
      <c r="K12" s="15">
        <v>13000</v>
      </c>
      <c r="L12" s="15"/>
      <c r="M12" s="15"/>
      <c r="N12" s="15"/>
      <c r="O12" s="15"/>
    </row>
    <row r="13" spans="1:15" s="1" customFormat="1" x14ac:dyDescent="0.25">
      <c r="A13" s="2" t="s">
        <v>49</v>
      </c>
      <c r="B13" s="19" t="s">
        <v>83</v>
      </c>
      <c r="C13" s="19" t="s">
        <v>85</v>
      </c>
      <c r="D13" s="26">
        <f>I13*1.6</f>
        <v>8000</v>
      </c>
      <c r="E13" s="20"/>
      <c r="F13" s="20"/>
      <c r="G13" s="20"/>
      <c r="H13" s="20">
        <f t="shared" si="3"/>
        <v>8000</v>
      </c>
      <c r="I13" s="25">
        <f>K13</f>
        <v>5000</v>
      </c>
      <c r="J13" s="20">
        <f t="shared" si="1"/>
        <v>1.6</v>
      </c>
      <c r="K13" s="15">
        <v>5000</v>
      </c>
      <c r="L13" s="15"/>
      <c r="M13" s="15"/>
      <c r="N13" s="15"/>
      <c r="O13" s="15"/>
    </row>
    <row r="14" spans="1:15" s="1" customFormat="1" x14ac:dyDescent="0.25">
      <c r="A14" s="19" t="s">
        <v>120</v>
      </c>
      <c r="B14" s="19" t="s">
        <v>135</v>
      </c>
      <c r="C14" s="19" t="s">
        <v>85</v>
      </c>
      <c r="D14" s="20">
        <f>SUM(D15:D18)</f>
        <v>23377.82780073383</v>
      </c>
      <c r="E14" s="20"/>
      <c r="F14" s="20"/>
      <c r="G14" s="20"/>
      <c r="H14" s="20">
        <f t="shared" ref="H14:H18" si="4">SUM(D14:G14)</f>
        <v>23377.82780073383</v>
      </c>
      <c r="I14" s="25">
        <f>K17+K18</f>
        <v>21500</v>
      </c>
      <c r="J14" s="20">
        <f t="shared" si="1"/>
        <v>1.0873408279411083</v>
      </c>
      <c r="K14" s="15"/>
      <c r="L14" s="15"/>
      <c r="M14" s="15"/>
      <c r="N14" s="15"/>
      <c r="O14" s="15"/>
    </row>
    <row r="15" spans="1:15" s="1" customFormat="1" x14ac:dyDescent="0.25">
      <c r="A15" s="2" t="s">
        <v>46</v>
      </c>
      <c r="B15" s="19" t="s">
        <v>113</v>
      </c>
      <c r="C15" s="19" t="s">
        <v>86</v>
      </c>
      <c r="D15" s="26">
        <f>I15*0.34</f>
        <v>4361.5778007338304</v>
      </c>
      <c r="E15" s="20"/>
      <c r="F15" s="20"/>
      <c r="G15" s="20"/>
      <c r="H15" s="20">
        <f t="shared" si="4"/>
        <v>4361.5778007338304</v>
      </c>
      <c r="I15" s="25">
        <f>((K15+L15)*2/(N15+0.2))*M15*PI()*N15*N15/4</f>
        <v>12828.170002158324</v>
      </c>
      <c r="J15" s="20">
        <f t="shared" si="1"/>
        <v>0.34</v>
      </c>
      <c r="K15" s="15">
        <v>220</v>
      </c>
      <c r="L15" s="15">
        <v>25</v>
      </c>
      <c r="M15" s="15">
        <v>40</v>
      </c>
      <c r="N15" s="15">
        <v>1</v>
      </c>
      <c r="O15" s="15"/>
    </row>
    <row r="16" spans="1:15" s="1" customFormat="1" x14ac:dyDescent="0.25">
      <c r="A16" s="2" t="s">
        <v>47</v>
      </c>
      <c r="B16" s="19" t="s">
        <v>81</v>
      </c>
      <c r="C16" s="19" t="s">
        <v>86</v>
      </c>
      <c r="D16" s="26">
        <f>I16*0.035</f>
        <v>5197.5000000000009</v>
      </c>
      <c r="E16" s="20"/>
      <c r="F16" s="20"/>
      <c r="G16" s="20"/>
      <c r="H16" s="20">
        <f t="shared" si="4"/>
        <v>5197.5000000000009</v>
      </c>
      <c r="I16" s="25">
        <f>K16*L16*(M16+N16)</f>
        <v>148500</v>
      </c>
      <c r="J16" s="20">
        <f t="shared" si="1"/>
        <v>3.5000000000000003E-2</v>
      </c>
      <c r="K16" s="15">
        <v>220</v>
      </c>
      <c r="L16" s="15">
        <v>25</v>
      </c>
      <c r="M16" s="15">
        <v>23</v>
      </c>
      <c r="N16" s="15">
        <v>4</v>
      </c>
      <c r="O16" s="15"/>
    </row>
    <row r="17" spans="1:15" s="1" customFormat="1" x14ac:dyDescent="0.25">
      <c r="A17" s="2" t="s">
        <v>48</v>
      </c>
      <c r="B17" s="19" t="s">
        <v>82</v>
      </c>
      <c r="C17" s="19" t="s">
        <v>86</v>
      </c>
      <c r="D17" s="26">
        <f>I17*0.25</f>
        <v>9018.75</v>
      </c>
      <c r="E17" s="20"/>
      <c r="F17" s="20"/>
      <c r="G17" s="20"/>
      <c r="H17" s="20">
        <f t="shared" si="4"/>
        <v>9018.75</v>
      </c>
      <c r="I17" s="25">
        <f>K17*1.95</f>
        <v>36075</v>
      </c>
      <c r="J17" s="20">
        <f t="shared" si="1"/>
        <v>0.25</v>
      </c>
      <c r="K17" s="15">
        <v>18500</v>
      </c>
      <c r="L17" s="15"/>
      <c r="M17" s="15"/>
      <c r="N17" s="15"/>
      <c r="O17" s="15"/>
    </row>
    <row r="18" spans="1:15" s="1" customFormat="1" x14ac:dyDescent="0.25">
      <c r="A18" s="2" t="s">
        <v>49</v>
      </c>
      <c r="B18" s="19" t="s">
        <v>83</v>
      </c>
      <c r="C18" s="19" t="s">
        <v>85</v>
      </c>
      <c r="D18" s="26">
        <f>I18*1.6</f>
        <v>4800</v>
      </c>
      <c r="E18" s="20"/>
      <c r="F18" s="20"/>
      <c r="G18" s="20"/>
      <c r="H18" s="20">
        <f t="shared" si="4"/>
        <v>4800</v>
      </c>
      <c r="I18" s="25">
        <f>K18</f>
        <v>3000</v>
      </c>
      <c r="J18" s="20">
        <f t="shared" si="1"/>
        <v>1.6</v>
      </c>
      <c r="K18" s="15">
        <v>3000</v>
      </c>
      <c r="L18" s="15"/>
      <c r="M18" s="15"/>
      <c r="N18" s="15"/>
      <c r="O18" s="15"/>
    </row>
    <row r="19" spans="1:15" s="1" customFormat="1" x14ac:dyDescent="0.25">
      <c r="A19" s="19" t="s">
        <v>121</v>
      </c>
      <c r="B19" s="19" t="s">
        <v>136</v>
      </c>
      <c r="C19" s="19" t="s">
        <v>85</v>
      </c>
      <c r="D19" s="20">
        <f>SUM(D20:D23)</f>
        <v>22285.4</v>
      </c>
      <c r="E19" s="20"/>
      <c r="F19" s="20"/>
      <c r="G19" s="20"/>
      <c r="H19" s="20">
        <f t="shared" ref="H19:H23" si="5">SUM(D19:G19)</f>
        <v>22285.4</v>
      </c>
      <c r="I19" s="25">
        <f>K22+K23</f>
        <v>17500</v>
      </c>
      <c r="J19" s="20">
        <f t="shared" si="1"/>
        <v>1.2734514285714287</v>
      </c>
      <c r="K19" s="15"/>
      <c r="L19" s="15"/>
      <c r="M19" s="15"/>
      <c r="N19" s="15"/>
      <c r="O19" s="15"/>
    </row>
    <row r="20" spans="1:15" s="1" customFormat="1" x14ac:dyDescent="0.25">
      <c r="A20" s="2" t="s">
        <v>46</v>
      </c>
      <c r="B20" s="19" t="s">
        <v>112</v>
      </c>
      <c r="C20" s="19" t="s">
        <v>86</v>
      </c>
      <c r="D20" s="26">
        <f>I20*0.4</f>
        <v>6944</v>
      </c>
      <c r="E20" s="20"/>
      <c r="F20" s="20"/>
      <c r="G20" s="20"/>
      <c r="H20" s="20">
        <f t="shared" si="5"/>
        <v>6944</v>
      </c>
      <c r="I20" s="25">
        <f>(K20+L20)*2*M20*N20</f>
        <v>17360</v>
      </c>
      <c r="J20" s="20">
        <f t="shared" si="1"/>
        <v>0.4</v>
      </c>
      <c r="K20" s="15">
        <v>195</v>
      </c>
      <c r="L20" s="15">
        <v>22</v>
      </c>
      <c r="M20" s="15">
        <v>40</v>
      </c>
      <c r="N20" s="15">
        <v>1</v>
      </c>
      <c r="O20" s="15"/>
    </row>
    <row r="21" spans="1:15" s="1" customFormat="1" x14ac:dyDescent="0.25">
      <c r="A21" s="2" t="s">
        <v>47</v>
      </c>
      <c r="B21" s="19" t="s">
        <v>81</v>
      </c>
      <c r="C21" s="19" t="s">
        <v>86</v>
      </c>
      <c r="D21" s="26">
        <f>I21*0.035</f>
        <v>3903.9000000000005</v>
      </c>
      <c r="E21" s="20"/>
      <c r="F21" s="20"/>
      <c r="G21" s="20"/>
      <c r="H21" s="20">
        <f t="shared" si="5"/>
        <v>3903.9000000000005</v>
      </c>
      <c r="I21" s="25">
        <f>K21*L21*(M21+N21)</f>
        <v>111540</v>
      </c>
      <c r="J21" s="20">
        <f t="shared" si="1"/>
        <v>3.5000000000000003E-2</v>
      </c>
      <c r="K21" s="15">
        <v>195</v>
      </c>
      <c r="L21" s="15">
        <v>22</v>
      </c>
      <c r="M21" s="15">
        <v>22</v>
      </c>
      <c r="N21" s="15">
        <v>4</v>
      </c>
      <c r="O21" s="15"/>
    </row>
    <row r="22" spans="1:15" s="1" customFormat="1" x14ac:dyDescent="0.25">
      <c r="A22" s="2" t="s">
        <v>48</v>
      </c>
      <c r="B22" s="19" t="s">
        <v>82</v>
      </c>
      <c r="C22" s="19" t="s">
        <v>86</v>
      </c>
      <c r="D22" s="26">
        <f>I22*0.25</f>
        <v>7312.5</v>
      </c>
      <c r="E22" s="20"/>
      <c r="F22" s="20"/>
      <c r="G22" s="20"/>
      <c r="H22" s="20">
        <f t="shared" si="5"/>
        <v>7312.5</v>
      </c>
      <c r="I22" s="25">
        <f>K22*1.95</f>
        <v>29250</v>
      </c>
      <c r="J22" s="20">
        <f t="shared" si="1"/>
        <v>0.25</v>
      </c>
      <c r="K22" s="15">
        <v>15000</v>
      </c>
      <c r="L22" s="15"/>
      <c r="M22" s="15"/>
      <c r="N22" s="15"/>
      <c r="O22" s="15"/>
    </row>
    <row r="23" spans="1:15" s="1" customFormat="1" x14ac:dyDescent="0.25">
      <c r="A23" s="2" t="s">
        <v>49</v>
      </c>
      <c r="B23" s="19" t="s">
        <v>83</v>
      </c>
      <c r="C23" s="19" t="s">
        <v>85</v>
      </c>
      <c r="D23" s="26">
        <f>I23*1.65</f>
        <v>4125</v>
      </c>
      <c r="E23" s="20"/>
      <c r="F23" s="20"/>
      <c r="G23" s="20"/>
      <c r="H23" s="20">
        <f t="shared" si="5"/>
        <v>4125</v>
      </c>
      <c r="I23" s="25">
        <f>K23</f>
        <v>2500</v>
      </c>
      <c r="J23" s="20">
        <f t="shared" si="1"/>
        <v>1.65</v>
      </c>
      <c r="K23" s="15">
        <v>2500</v>
      </c>
      <c r="L23" s="15"/>
      <c r="M23" s="15"/>
      <c r="N23" s="15"/>
      <c r="O23" s="15"/>
    </row>
    <row r="24" spans="1:15" s="1" customFormat="1" x14ac:dyDescent="0.25">
      <c r="A24" s="19" t="s">
        <v>122</v>
      </c>
      <c r="B24" s="19" t="s">
        <v>137</v>
      </c>
      <c r="C24" s="19" t="s">
        <v>85</v>
      </c>
      <c r="D24" s="20">
        <f>SUM(D25:D28)</f>
        <v>17138.145731994671</v>
      </c>
      <c r="E24" s="20"/>
      <c r="F24" s="20"/>
      <c r="G24" s="20"/>
      <c r="H24" s="20">
        <f t="shared" ref="H24:H28" si="6">SUM(D24:G24)</f>
        <v>17138.145731994671</v>
      </c>
      <c r="I24" s="25">
        <f>K27+K28</f>
        <v>15500</v>
      </c>
      <c r="J24" s="20">
        <f t="shared" si="1"/>
        <v>1.105686821419011</v>
      </c>
      <c r="K24" s="15"/>
      <c r="L24" s="15"/>
      <c r="M24" s="15"/>
      <c r="N24" s="15"/>
      <c r="O24" s="15"/>
    </row>
    <row r="25" spans="1:15" s="1" customFormat="1" x14ac:dyDescent="0.25">
      <c r="A25" s="2" t="s">
        <v>46</v>
      </c>
      <c r="B25" s="19" t="s">
        <v>113</v>
      </c>
      <c r="C25" s="19" t="s">
        <v>86</v>
      </c>
      <c r="D25" s="26">
        <f>I25*0.34</f>
        <v>3364.6457319946689</v>
      </c>
      <c r="E25" s="20"/>
      <c r="F25" s="20"/>
      <c r="G25" s="20"/>
      <c r="H25" s="20">
        <f t="shared" si="6"/>
        <v>3364.6457319946689</v>
      </c>
      <c r="I25" s="25">
        <f>((K25+L25)*2/(N25+0.2))*M25*PI()*N25*N25/4</f>
        <v>9896.0168588078486</v>
      </c>
      <c r="J25" s="20">
        <f t="shared" si="1"/>
        <v>0.34</v>
      </c>
      <c r="K25" s="15">
        <v>230</v>
      </c>
      <c r="L25" s="15">
        <v>22</v>
      </c>
      <c r="M25" s="15">
        <v>30</v>
      </c>
      <c r="N25" s="15">
        <v>1</v>
      </c>
      <c r="O25" s="15"/>
    </row>
    <row r="26" spans="1:15" s="1" customFormat="1" x14ac:dyDescent="0.25">
      <c r="A26" s="2" t="s">
        <v>47</v>
      </c>
      <c r="B26" s="19" t="s">
        <v>81</v>
      </c>
      <c r="C26" s="19" t="s">
        <v>86</v>
      </c>
      <c r="D26" s="26">
        <f>I26*0.03</f>
        <v>3036</v>
      </c>
      <c r="E26" s="20"/>
      <c r="F26" s="20"/>
      <c r="G26" s="20"/>
      <c r="H26" s="20">
        <f t="shared" si="6"/>
        <v>3036</v>
      </c>
      <c r="I26" s="25">
        <f>K26*L26*(M26+N26)</f>
        <v>101200</v>
      </c>
      <c r="J26" s="20">
        <f t="shared" si="1"/>
        <v>0.03</v>
      </c>
      <c r="K26" s="15">
        <v>230</v>
      </c>
      <c r="L26" s="15">
        <v>22</v>
      </c>
      <c r="M26" s="15">
        <v>16</v>
      </c>
      <c r="N26" s="15">
        <v>4</v>
      </c>
      <c r="O26" s="15"/>
    </row>
    <row r="27" spans="1:15" s="1" customFormat="1" x14ac:dyDescent="0.25">
      <c r="A27" s="2" t="s">
        <v>48</v>
      </c>
      <c r="B27" s="19" t="s">
        <v>82</v>
      </c>
      <c r="C27" s="19" t="s">
        <v>86</v>
      </c>
      <c r="D27" s="26">
        <f>I27*0.25</f>
        <v>5937.5</v>
      </c>
      <c r="E27" s="20"/>
      <c r="F27" s="20"/>
      <c r="G27" s="20"/>
      <c r="H27" s="20">
        <f t="shared" si="6"/>
        <v>5937.5</v>
      </c>
      <c r="I27" s="25">
        <f>K27*1.9</f>
        <v>23750</v>
      </c>
      <c r="J27" s="20">
        <f t="shared" si="1"/>
        <v>0.25</v>
      </c>
      <c r="K27" s="15">
        <v>12500</v>
      </c>
      <c r="L27" s="15"/>
      <c r="M27" s="15"/>
      <c r="N27" s="15"/>
      <c r="O27" s="15"/>
    </row>
    <row r="28" spans="1:15" s="1" customFormat="1" x14ac:dyDescent="0.25">
      <c r="A28" s="2" t="s">
        <v>49</v>
      </c>
      <c r="B28" s="19" t="s">
        <v>83</v>
      </c>
      <c r="C28" s="19" t="s">
        <v>85</v>
      </c>
      <c r="D28" s="26">
        <f>I28*1.6</f>
        <v>4800</v>
      </c>
      <c r="E28" s="20"/>
      <c r="F28" s="20"/>
      <c r="G28" s="20"/>
      <c r="H28" s="20">
        <f t="shared" si="6"/>
        <v>4800</v>
      </c>
      <c r="I28" s="25">
        <f>K28</f>
        <v>3000</v>
      </c>
      <c r="J28" s="20">
        <f t="shared" si="1"/>
        <v>1.6</v>
      </c>
      <c r="K28" s="15">
        <v>3000</v>
      </c>
      <c r="L28" s="15"/>
      <c r="M28" s="15"/>
      <c r="N28" s="15"/>
      <c r="O28" s="15"/>
    </row>
    <row r="29" spans="1:15" s="5" customFormat="1" x14ac:dyDescent="0.25">
      <c r="A29" s="7">
        <v>1.2</v>
      </c>
      <c r="B29" s="7" t="s">
        <v>13</v>
      </c>
      <c r="C29" s="7" t="s">
        <v>92</v>
      </c>
      <c r="D29" s="33">
        <f>D30+D35+D40+D45+D50</f>
        <v>71175</v>
      </c>
      <c r="E29" s="7"/>
      <c r="F29" s="7"/>
      <c r="G29" s="7"/>
      <c r="H29" s="7">
        <f>SUM(D29:G29)</f>
        <v>71175</v>
      </c>
      <c r="I29" s="13">
        <f>I30+I35+I40+I45+I50</f>
        <v>7500</v>
      </c>
      <c r="J29" s="21">
        <f t="shared" si="1"/>
        <v>9.49</v>
      </c>
      <c r="K29" s="7"/>
      <c r="L29" s="7"/>
      <c r="M29" s="7"/>
      <c r="N29" s="7"/>
      <c r="O29" s="18"/>
    </row>
    <row r="30" spans="1:15" s="1" customFormat="1" x14ac:dyDescent="0.25">
      <c r="A30" s="19" t="s">
        <v>17</v>
      </c>
      <c r="B30" s="19" t="s">
        <v>124</v>
      </c>
      <c r="C30" s="19" t="s">
        <v>92</v>
      </c>
      <c r="D30" s="20">
        <f>SUM(D31:D34)</f>
        <v>9360</v>
      </c>
      <c r="E30" s="20"/>
      <c r="F30" s="20"/>
      <c r="G30" s="20"/>
      <c r="H30" s="20">
        <f>SUM(D30:G30)</f>
        <v>9360</v>
      </c>
      <c r="I30" s="25">
        <f>I31</f>
        <v>1000</v>
      </c>
      <c r="J30" s="20">
        <f t="shared" si="1"/>
        <v>9.36</v>
      </c>
      <c r="K30" s="15"/>
      <c r="L30" s="15"/>
      <c r="M30" s="15"/>
      <c r="N30" s="15"/>
      <c r="O30" s="15"/>
    </row>
    <row r="31" spans="1:15" s="1" customFormat="1" x14ac:dyDescent="0.25">
      <c r="A31" s="2" t="s">
        <v>46</v>
      </c>
      <c r="B31" s="19" t="s">
        <v>87</v>
      </c>
      <c r="C31" s="19" t="s">
        <v>92</v>
      </c>
      <c r="D31" s="26">
        <f>I31*4</f>
        <v>4000</v>
      </c>
      <c r="E31" s="20"/>
      <c r="F31" s="20"/>
      <c r="G31" s="20"/>
      <c r="H31" s="20">
        <f t="shared" ref="H31:H34" si="7">SUM(D31:G31)</f>
        <v>4000</v>
      </c>
      <c r="I31" s="25">
        <f>K31</f>
        <v>1000</v>
      </c>
      <c r="J31" s="20">
        <f t="shared" si="1"/>
        <v>4</v>
      </c>
      <c r="K31" s="15">
        <v>1000</v>
      </c>
      <c r="L31" s="15">
        <v>6.2</v>
      </c>
      <c r="M31" s="15"/>
      <c r="N31" s="15"/>
      <c r="O31" s="15"/>
    </row>
    <row r="32" spans="1:15" s="1" customFormat="1" x14ac:dyDescent="0.25">
      <c r="A32" s="2" t="s">
        <v>47</v>
      </c>
      <c r="B32" s="19" t="s">
        <v>88</v>
      </c>
      <c r="C32" s="19" t="s">
        <v>86</v>
      </c>
      <c r="D32" s="26">
        <f>I32*0.37</f>
        <v>4810</v>
      </c>
      <c r="E32" s="20"/>
      <c r="F32" s="20"/>
      <c r="G32" s="20"/>
      <c r="H32" s="20">
        <f t="shared" si="7"/>
        <v>4810</v>
      </c>
      <c r="I32" s="25">
        <f>I31*6.5*2</f>
        <v>13000</v>
      </c>
      <c r="J32" s="20">
        <f t="shared" si="1"/>
        <v>0.37</v>
      </c>
      <c r="K32" s="15"/>
      <c r="L32" s="15"/>
      <c r="M32" s="31"/>
      <c r="N32" s="15"/>
      <c r="O32" s="15"/>
    </row>
    <row r="33" spans="1:15" s="1" customFormat="1" x14ac:dyDescent="0.25">
      <c r="A33" s="2" t="s">
        <v>48</v>
      </c>
      <c r="B33" s="19" t="s">
        <v>89</v>
      </c>
      <c r="C33" s="19" t="s">
        <v>86</v>
      </c>
      <c r="D33" s="26">
        <f>I33*0.05</f>
        <v>300</v>
      </c>
      <c r="E33" s="20"/>
      <c r="F33" s="20"/>
      <c r="G33" s="20"/>
      <c r="H33" s="20">
        <f t="shared" si="7"/>
        <v>300</v>
      </c>
      <c r="I33" s="25">
        <v>6000</v>
      </c>
      <c r="J33" s="20">
        <f t="shared" si="1"/>
        <v>0.05</v>
      </c>
      <c r="K33" s="15"/>
      <c r="L33" s="15"/>
      <c r="M33" s="15"/>
      <c r="N33" s="15"/>
      <c r="O33" s="15"/>
    </row>
    <row r="34" spans="1:15" s="1" customFormat="1" x14ac:dyDescent="0.25">
      <c r="A34" s="2" t="s">
        <v>49</v>
      </c>
      <c r="B34" s="19" t="s">
        <v>90</v>
      </c>
      <c r="C34" s="19" t="s">
        <v>91</v>
      </c>
      <c r="D34" s="26">
        <f>I34*250</f>
        <v>250</v>
      </c>
      <c r="E34" s="20"/>
      <c r="F34" s="20"/>
      <c r="G34" s="20"/>
      <c r="H34" s="20">
        <f t="shared" si="7"/>
        <v>250</v>
      </c>
      <c r="I34" s="25">
        <v>1</v>
      </c>
      <c r="J34" s="20">
        <f t="shared" ref="J34:J65" si="8">H34/I34</f>
        <v>250</v>
      </c>
      <c r="K34" s="15"/>
      <c r="L34" s="15"/>
      <c r="M34" s="15"/>
      <c r="N34" s="15"/>
      <c r="O34" s="15"/>
    </row>
    <row r="35" spans="1:15" s="1" customFormat="1" x14ac:dyDescent="0.25">
      <c r="A35" s="19" t="s">
        <v>18</v>
      </c>
      <c r="B35" s="19" t="s">
        <v>123</v>
      </c>
      <c r="C35" s="19" t="s">
        <v>92</v>
      </c>
      <c r="D35" s="20">
        <f>SUM(D36:D39)</f>
        <v>11372</v>
      </c>
      <c r="E35" s="20"/>
      <c r="F35" s="20"/>
      <c r="G35" s="20"/>
      <c r="H35" s="20">
        <f>SUM(D35:G35)</f>
        <v>11372</v>
      </c>
      <c r="I35" s="25">
        <f>I36</f>
        <v>1200</v>
      </c>
      <c r="J35" s="20">
        <f t="shared" si="8"/>
        <v>9.4766666666666666</v>
      </c>
      <c r="K35" s="15"/>
      <c r="L35" s="15"/>
      <c r="M35" s="15"/>
      <c r="N35" s="15"/>
      <c r="O35" s="15"/>
    </row>
    <row r="36" spans="1:15" s="1" customFormat="1" x14ac:dyDescent="0.25">
      <c r="A36" s="2" t="s">
        <v>46</v>
      </c>
      <c r="B36" s="19" t="s">
        <v>87</v>
      </c>
      <c r="C36" s="19" t="s">
        <v>92</v>
      </c>
      <c r="D36" s="26">
        <f>I36*4</f>
        <v>4800</v>
      </c>
      <c r="E36" s="20"/>
      <c r="F36" s="20"/>
      <c r="G36" s="20"/>
      <c r="H36" s="20">
        <f t="shared" ref="H36:H39" si="9">SUM(D36:G36)</f>
        <v>4800</v>
      </c>
      <c r="I36" s="25">
        <f>K36</f>
        <v>1200</v>
      </c>
      <c r="J36" s="20">
        <f t="shared" si="8"/>
        <v>4</v>
      </c>
      <c r="K36" s="15">
        <v>1200</v>
      </c>
      <c r="L36" s="15">
        <v>6.2</v>
      </c>
      <c r="M36" s="15"/>
      <c r="N36" s="15"/>
      <c r="O36" s="15"/>
    </row>
    <row r="37" spans="1:15" s="1" customFormat="1" x14ac:dyDescent="0.25">
      <c r="A37" s="2" t="s">
        <v>47</v>
      </c>
      <c r="B37" s="19" t="s">
        <v>88</v>
      </c>
      <c r="C37" s="19" t="s">
        <v>86</v>
      </c>
      <c r="D37" s="26">
        <f>I37*0.37</f>
        <v>5772</v>
      </c>
      <c r="E37" s="20"/>
      <c r="F37" s="20"/>
      <c r="G37" s="20"/>
      <c r="H37" s="20">
        <f t="shared" si="9"/>
        <v>5772</v>
      </c>
      <c r="I37" s="25">
        <f>I36*6.5*2</f>
        <v>15600</v>
      </c>
      <c r="J37" s="20">
        <f t="shared" si="8"/>
        <v>0.37</v>
      </c>
      <c r="K37" s="15"/>
      <c r="L37" s="15"/>
      <c r="M37" s="31"/>
      <c r="N37" s="15"/>
      <c r="O37" s="15"/>
    </row>
    <row r="38" spans="1:15" s="1" customFormat="1" x14ac:dyDescent="0.25">
      <c r="A38" s="2" t="s">
        <v>48</v>
      </c>
      <c r="B38" s="19" t="s">
        <v>89</v>
      </c>
      <c r="C38" s="19" t="s">
        <v>86</v>
      </c>
      <c r="D38" s="26">
        <f>I38*0.05</f>
        <v>300</v>
      </c>
      <c r="E38" s="20"/>
      <c r="F38" s="20"/>
      <c r="G38" s="20"/>
      <c r="H38" s="20">
        <f t="shared" si="9"/>
        <v>300</v>
      </c>
      <c r="I38" s="25">
        <v>6000</v>
      </c>
      <c r="J38" s="20">
        <f t="shared" si="8"/>
        <v>0.05</v>
      </c>
      <c r="K38" s="15"/>
      <c r="L38" s="15"/>
      <c r="M38" s="15"/>
      <c r="N38" s="15"/>
      <c r="O38" s="15"/>
    </row>
    <row r="39" spans="1:15" s="1" customFormat="1" x14ac:dyDescent="0.25">
      <c r="A39" s="2" t="s">
        <v>49</v>
      </c>
      <c r="B39" s="19" t="s">
        <v>90</v>
      </c>
      <c r="C39" s="19" t="s">
        <v>91</v>
      </c>
      <c r="D39" s="26">
        <f>I39*250</f>
        <v>500</v>
      </c>
      <c r="E39" s="20"/>
      <c r="F39" s="20"/>
      <c r="G39" s="20"/>
      <c r="H39" s="20">
        <f t="shared" si="9"/>
        <v>500</v>
      </c>
      <c r="I39" s="25">
        <v>2</v>
      </c>
      <c r="J39" s="20">
        <f t="shared" si="8"/>
        <v>250</v>
      </c>
      <c r="K39" s="15"/>
      <c r="L39" s="15"/>
      <c r="M39" s="15"/>
      <c r="N39" s="15"/>
      <c r="O39" s="15"/>
    </row>
    <row r="40" spans="1:15" s="1" customFormat="1" x14ac:dyDescent="0.25">
      <c r="A40" s="19" t="s">
        <v>129</v>
      </c>
      <c r="B40" s="19" t="s">
        <v>127</v>
      </c>
      <c r="C40" s="19" t="s">
        <v>92</v>
      </c>
      <c r="D40" s="20">
        <f>SUM(D41:D44)</f>
        <v>14115</v>
      </c>
      <c r="E40" s="20"/>
      <c r="F40" s="20"/>
      <c r="G40" s="20"/>
      <c r="H40" s="20">
        <f>SUM(D40:G40)</f>
        <v>14115</v>
      </c>
      <c r="I40" s="25">
        <f>I41</f>
        <v>1500</v>
      </c>
      <c r="J40" s="20">
        <f t="shared" si="8"/>
        <v>9.41</v>
      </c>
      <c r="K40" s="15"/>
      <c r="L40" s="15"/>
      <c r="M40" s="15"/>
      <c r="N40" s="15"/>
      <c r="O40" s="15"/>
    </row>
    <row r="41" spans="1:15" s="1" customFormat="1" x14ac:dyDescent="0.25">
      <c r="A41" s="2" t="s">
        <v>46</v>
      </c>
      <c r="B41" s="19" t="s">
        <v>87</v>
      </c>
      <c r="C41" s="19" t="s">
        <v>92</v>
      </c>
      <c r="D41" s="26">
        <f>I41*4</f>
        <v>6000</v>
      </c>
      <c r="E41" s="20"/>
      <c r="F41" s="20"/>
      <c r="G41" s="20"/>
      <c r="H41" s="20">
        <f t="shared" ref="H41:H44" si="10">SUM(D41:G41)</f>
        <v>6000</v>
      </c>
      <c r="I41" s="25">
        <f>K41</f>
        <v>1500</v>
      </c>
      <c r="J41" s="20">
        <f t="shared" si="8"/>
        <v>4</v>
      </c>
      <c r="K41" s="15">
        <v>1500</v>
      </c>
      <c r="L41" s="15">
        <v>6.2</v>
      </c>
      <c r="M41" s="15"/>
      <c r="N41" s="15"/>
      <c r="O41" s="15"/>
    </row>
    <row r="42" spans="1:15" s="1" customFormat="1" x14ac:dyDescent="0.25">
      <c r="A42" s="2" t="s">
        <v>47</v>
      </c>
      <c r="B42" s="19" t="s">
        <v>88</v>
      </c>
      <c r="C42" s="19" t="s">
        <v>86</v>
      </c>
      <c r="D42" s="26">
        <f>I42*0.37</f>
        <v>7215</v>
      </c>
      <c r="E42" s="20"/>
      <c r="F42" s="20"/>
      <c r="G42" s="20"/>
      <c r="H42" s="20">
        <f t="shared" si="10"/>
        <v>7215</v>
      </c>
      <c r="I42" s="25">
        <f>I41*6.5*2</f>
        <v>19500</v>
      </c>
      <c r="J42" s="20">
        <f t="shared" si="8"/>
        <v>0.37</v>
      </c>
      <c r="K42" s="15"/>
      <c r="L42" s="15"/>
      <c r="M42" s="31"/>
      <c r="N42" s="15"/>
      <c r="O42" s="15"/>
    </row>
    <row r="43" spans="1:15" s="1" customFormat="1" x14ac:dyDescent="0.25">
      <c r="A43" s="2" t="s">
        <v>48</v>
      </c>
      <c r="B43" s="19" t="s">
        <v>89</v>
      </c>
      <c r="C43" s="19" t="s">
        <v>86</v>
      </c>
      <c r="D43" s="26">
        <f>I43*0.05</f>
        <v>400</v>
      </c>
      <c r="E43" s="20"/>
      <c r="F43" s="20"/>
      <c r="G43" s="20"/>
      <c r="H43" s="20">
        <f t="shared" si="10"/>
        <v>400</v>
      </c>
      <c r="I43" s="25">
        <v>8000</v>
      </c>
      <c r="J43" s="20">
        <f t="shared" si="8"/>
        <v>0.05</v>
      </c>
      <c r="K43" s="15"/>
      <c r="L43" s="15"/>
      <c r="M43" s="15"/>
      <c r="N43" s="15"/>
      <c r="O43" s="15"/>
    </row>
    <row r="44" spans="1:15" s="1" customFormat="1" x14ac:dyDescent="0.25">
      <c r="A44" s="2" t="s">
        <v>49</v>
      </c>
      <c r="B44" s="19" t="s">
        <v>90</v>
      </c>
      <c r="C44" s="19" t="s">
        <v>91</v>
      </c>
      <c r="D44" s="26">
        <f>I44*250</f>
        <v>500</v>
      </c>
      <c r="E44" s="20"/>
      <c r="F44" s="20"/>
      <c r="G44" s="20"/>
      <c r="H44" s="20">
        <f t="shared" si="10"/>
        <v>500</v>
      </c>
      <c r="I44" s="25">
        <v>2</v>
      </c>
      <c r="J44" s="20">
        <f t="shared" si="8"/>
        <v>250</v>
      </c>
      <c r="K44" s="15"/>
      <c r="L44" s="15"/>
      <c r="M44" s="15"/>
      <c r="N44" s="15"/>
      <c r="O44" s="15"/>
    </row>
    <row r="45" spans="1:15" s="1" customFormat="1" x14ac:dyDescent="0.25">
      <c r="A45" s="19" t="s">
        <v>130</v>
      </c>
      <c r="B45" s="19" t="s">
        <v>128</v>
      </c>
      <c r="C45" s="19" t="s">
        <v>92</v>
      </c>
      <c r="D45" s="20">
        <f>SUM(D46:D49)</f>
        <v>17108</v>
      </c>
      <c r="E45" s="20"/>
      <c r="F45" s="20"/>
      <c r="G45" s="20"/>
      <c r="H45" s="20">
        <f>SUM(D45:G45)</f>
        <v>17108</v>
      </c>
      <c r="I45" s="25">
        <f>I46</f>
        <v>1800</v>
      </c>
      <c r="J45" s="20">
        <f t="shared" si="8"/>
        <v>9.5044444444444451</v>
      </c>
      <c r="K45" s="15"/>
      <c r="L45" s="15"/>
      <c r="M45" s="15"/>
      <c r="N45" s="15"/>
      <c r="O45" s="15"/>
    </row>
    <row r="46" spans="1:15" s="1" customFormat="1" x14ac:dyDescent="0.25">
      <c r="A46" s="2" t="s">
        <v>46</v>
      </c>
      <c r="B46" s="19" t="s">
        <v>87</v>
      </c>
      <c r="C46" s="19" t="s">
        <v>92</v>
      </c>
      <c r="D46" s="26">
        <f>I46*4</f>
        <v>7200</v>
      </c>
      <c r="E46" s="20"/>
      <c r="F46" s="20"/>
      <c r="G46" s="20"/>
      <c r="H46" s="20">
        <f t="shared" ref="H46:H49" si="11">SUM(D46:G46)</f>
        <v>7200</v>
      </c>
      <c r="I46" s="25">
        <f>K46</f>
        <v>1800</v>
      </c>
      <c r="J46" s="20">
        <f t="shared" si="8"/>
        <v>4</v>
      </c>
      <c r="K46" s="15">
        <v>1800</v>
      </c>
      <c r="L46" s="15">
        <v>6.2</v>
      </c>
      <c r="M46" s="15"/>
      <c r="N46" s="15"/>
      <c r="O46" s="15"/>
    </row>
    <row r="47" spans="1:15" s="1" customFormat="1" x14ac:dyDescent="0.25">
      <c r="A47" s="2" t="s">
        <v>47</v>
      </c>
      <c r="B47" s="19" t="s">
        <v>88</v>
      </c>
      <c r="C47" s="19" t="s">
        <v>86</v>
      </c>
      <c r="D47" s="26">
        <f>I47*0.37</f>
        <v>8658</v>
      </c>
      <c r="E47" s="20"/>
      <c r="F47" s="20"/>
      <c r="G47" s="20"/>
      <c r="H47" s="20">
        <f t="shared" si="11"/>
        <v>8658</v>
      </c>
      <c r="I47" s="25">
        <f>I46*6.5*2</f>
        <v>23400</v>
      </c>
      <c r="J47" s="20">
        <f t="shared" si="8"/>
        <v>0.37</v>
      </c>
      <c r="K47" s="15"/>
      <c r="L47" s="15"/>
      <c r="M47" s="31"/>
      <c r="N47" s="15"/>
      <c r="O47" s="15"/>
    </row>
    <row r="48" spans="1:15" s="1" customFormat="1" x14ac:dyDescent="0.25">
      <c r="A48" s="2" t="s">
        <v>48</v>
      </c>
      <c r="B48" s="19" t="s">
        <v>89</v>
      </c>
      <c r="C48" s="19" t="s">
        <v>86</v>
      </c>
      <c r="D48" s="26">
        <f>I48*0.05</f>
        <v>500</v>
      </c>
      <c r="E48" s="20"/>
      <c r="F48" s="20"/>
      <c r="G48" s="20"/>
      <c r="H48" s="20">
        <f t="shared" si="11"/>
        <v>500</v>
      </c>
      <c r="I48" s="25">
        <v>10000</v>
      </c>
      <c r="J48" s="20">
        <f t="shared" si="8"/>
        <v>0.05</v>
      </c>
      <c r="K48" s="15"/>
      <c r="L48" s="15"/>
      <c r="M48" s="15"/>
      <c r="N48" s="15"/>
      <c r="O48" s="15"/>
    </row>
    <row r="49" spans="1:21" s="1" customFormat="1" x14ac:dyDescent="0.25">
      <c r="A49" s="2" t="s">
        <v>49</v>
      </c>
      <c r="B49" s="19" t="s">
        <v>90</v>
      </c>
      <c r="C49" s="19" t="s">
        <v>91</v>
      </c>
      <c r="D49" s="26">
        <f>I49*250</f>
        <v>750</v>
      </c>
      <c r="E49" s="20"/>
      <c r="F49" s="20"/>
      <c r="G49" s="20"/>
      <c r="H49" s="20">
        <f t="shared" si="11"/>
        <v>750</v>
      </c>
      <c r="I49" s="25">
        <v>3</v>
      </c>
      <c r="J49" s="20">
        <f t="shared" si="8"/>
        <v>250</v>
      </c>
      <c r="K49" s="15"/>
      <c r="L49" s="15"/>
      <c r="M49" s="15"/>
      <c r="N49" s="15"/>
      <c r="O49" s="15"/>
    </row>
    <row r="50" spans="1:21" s="1" customFormat="1" x14ac:dyDescent="0.25">
      <c r="A50" s="19" t="s">
        <v>131</v>
      </c>
      <c r="B50" s="19" t="s">
        <v>132</v>
      </c>
      <c r="C50" s="19" t="s">
        <v>92</v>
      </c>
      <c r="D50" s="20">
        <f>SUM(D51:D54)</f>
        <v>19220</v>
      </c>
      <c r="E50" s="20"/>
      <c r="F50" s="20"/>
      <c r="G50" s="20"/>
      <c r="H50" s="20">
        <f>SUM(D50:G50)</f>
        <v>19220</v>
      </c>
      <c r="I50" s="25">
        <f>I51</f>
        <v>2000</v>
      </c>
      <c r="J50" s="20">
        <f t="shared" si="8"/>
        <v>9.61</v>
      </c>
      <c r="K50" s="15"/>
      <c r="L50" s="15"/>
      <c r="M50" s="15"/>
      <c r="N50" s="15"/>
      <c r="O50" s="15"/>
    </row>
    <row r="51" spans="1:21" s="1" customFormat="1" x14ac:dyDescent="0.25">
      <c r="A51" s="2" t="s">
        <v>46</v>
      </c>
      <c r="B51" s="19" t="s">
        <v>87</v>
      </c>
      <c r="C51" s="19" t="s">
        <v>92</v>
      </c>
      <c r="D51" s="26">
        <f>I51*4</f>
        <v>8000</v>
      </c>
      <c r="E51" s="20"/>
      <c r="F51" s="20"/>
      <c r="G51" s="20"/>
      <c r="H51" s="20">
        <f t="shared" ref="H51:H54" si="12">SUM(D51:G51)</f>
        <v>8000</v>
      </c>
      <c r="I51" s="25">
        <f>K51</f>
        <v>2000</v>
      </c>
      <c r="J51" s="20">
        <f t="shared" si="8"/>
        <v>4</v>
      </c>
      <c r="K51" s="15">
        <v>2000</v>
      </c>
      <c r="L51" s="15">
        <v>6.2</v>
      </c>
      <c r="M51" s="15"/>
      <c r="N51" s="15"/>
      <c r="O51" s="15"/>
    </row>
    <row r="52" spans="1:21" s="1" customFormat="1" x14ac:dyDescent="0.25">
      <c r="A52" s="2" t="s">
        <v>47</v>
      </c>
      <c r="B52" s="19" t="s">
        <v>88</v>
      </c>
      <c r="C52" s="19" t="s">
        <v>86</v>
      </c>
      <c r="D52" s="26">
        <f>I52*0.37</f>
        <v>9620</v>
      </c>
      <c r="E52" s="20"/>
      <c r="F52" s="20"/>
      <c r="G52" s="20"/>
      <c r="H52" s="20">
        <f t="shared" si="12"/>
        <v>9620</v>
      </c>
      <c r="I52" s="25">
        <f>I51*6.5*2</f>
        <v>26000</v>
      </c>
      <c r="J52" s="20">
        <f t="shared" si="8"/>
        <v>0.37</v>
      </c>
      <c r="K52" s="15"/>
      <c r="L52" s="15"/>
      <c r="M52" s="31"/>
      <c r="N52" s="15"/>
      <c r="O52" s="15"/>
    </row>
    <row r="53" spans="1:21" s="1" customFormat="1" x14ac:dyDescent="0.25">
      <c r="A53" s="2" t="s">
        <v>48</v>
      </c>
      <c r="B53" s="19" t="s">
        <v>89</v>
      </c>
      <c r="C53" s="19" t="s">
        <v>86</v>
      </c>
      <c r="D53" s="26">
        <f>I53*0.05</f>
        <v>600</v>
      </c>
      <c r="E53" s="20"/>
      <c r="F53" s="20"/>
      <c r="G53" s="20"/>
      <c r="H53" s="20">
        <f t="shared" si="12"/>
        <v>600</v>
      </c>
      <c r="I53" s="25">
        <v>12000</v>
      </c>
      <c r="J53" s="20">
        <f t="shared" si="8"/>
        <v>0.05</v>
      </c>
      <c r="K53" s="15"/>
      <c r="L53" s="15"/>
      <c r="M53" s="15"/>
      <c r="N53" s="15"/>
      <c r="O53" s="15"/>
    </row>
    <row r="54" spans="1:21" s="1" customFormat="1" x14ac:dyDescent="0.25">
      <c r="A54" s="2" t="s">
        <v>49</v>
      </c>
      <c r="B54" s="19" t="s">
        <v>90</v>
      </c>
      <c r="C54" s="19" t="s">
        <v>91</v>
      </c>
      <c r="D54" s="26">
        <f>I54*250</f>
        <v>1000</v>
      </c>
      <c r="E54" s="20"/>
      <c r="F54" s="20"/>
      <c r="G54" s="20"/>
      <c r="H54" s="20">
        <f t="shared" si="12"/>
        <v>1000</v>
      </c>
      <c r="I54" s="25">
        <v>4</v>
      </c>
      <c r="J54" s="20">
        <f t="shared" si="8"/>
        <v>250</v>
      </c>
      <c r="K54" s="15"/>
      <c r="L54" s="15"/>
      <c r="M54" s="15"/>
      <c r="N54" s="15"/>
      <c r="O54" s="15"/>
    </row>
    <row r="55" spans="1:21" s="5" customFormat="1" x14ac:dyDescent="0.25">
      <c r="A55" s="7">
        <v>1.3</v>
      </c>
      <c r="B55" s="7" t="s">
        <v>14</v>
      </c>
      <c r="C55" s="7" t="s">
        <v>21</v>
      </c>
      <c r="D55" s="7"/>
      <c r="E55" s="7">
        <f>E56+E62+E71+E78</f>
        <v>4097</v>
      </c>
      <c r="F55" s="7">
        <f>F56+F62+F71+F78</f>
        <v>21760</v>
      </c>
      <c r="G55" s="7"/>
      <c r="H55" s="21">
        <f t="shared" ref="H55:H56" si="13">SUM(D55:G55)</f>
        <v>25857</v>
      </c>
      <c r="I55" s="35">
        <v>20</v>
      </c>
      <c r="J55" s="21">
        <f t="shared" si="8"/>
        <v>1292.8499999999999</v>
      </c>
      <c r="K55" s="7"/>
      <c r="L55" s="7"/>
      <c r="M55" s="7"/>
      <c r="N55" s="7"/>
      <c r="O55" s="7"/>
    </row>
    <row r="56" spans="1:21" s="3" customFormat="1" x14ac:dyDescent="0.25">
      <c r="A56" s="2" t="s">
        <v>38</v>
      </c>
      <c r="B56" s="2" t="s">
        <v>22</v>
      </c>
      <c r="C56" s="2" t="s">
        <v>23</v>
      </c>
      <c r="D56" s="19"/>
      <c r="E56" s="25">
        <f>SUM(E57:E61)</f>
        <v>107</v>
      </c>
      <c r="F56" s="25">
        <f>SUM(F57:F61)</f>
        <v>410</v>
      </c>
      <c r="G56" s="19"/>
      <c r="H56" s="20">
        <f t="shared" si="13"/>
        <v>517</v>
      </c>
      <c r="I56" s="28">
        <v>1</v>
      </c>
      <c r="J56" s="20">
        <f t="shared" si="8"/>
        <v>517</v>
      </c>
      <c r="K56" s="15"/>
      <c r="L56" s="15"/>
      <c r="M56" s="15"/>
      <c r="N56" s="15"/>
      <c r="O56" s="15"/>
      <c r="P56" s="1"/>
      <c r="Q56" s="1"/>
      <c r="R56" s="1"/>
      <c r="S56" s="1"/>
      <c r="T56" s="1"/>
      <c r="U56" s="1"/>
    </row>
    <row r="57" spans="1:21" s="3" customFormat="1" x14ac:dyDescent="0.25">
      <c r="A57" s="2" t="s">
        <v>46</v>
      </c>
      <c r="B57" s="2" t="s">
        <v>24</v>
      </c>
      <c r="C57" s="2" t="s">
        <v>93</v>
      </c>
      <c r="D57" s="19"/>
      <c r="E57" s="25">
        <f>F57*0.2</f>
        <v>50</v>
      </c>
      <c r="F57" s="25">
        <v>250</v>
      </c>
      <c r="G57" s="19"/>
      <c r="H57" s="20">
        <f t="shared" ref="H57:H83" si="14">SUM(D57:G57)</f>
        <v>300</v>
      </c>
      <c r="I57" s="28">
        <v>1</v>
      </c>
      <c r="J57" s="20">
        <f t="shared" si="8"/>
        <v>300</v>
      </c>
      <c r="K57" s="15"/>
      <c r="L57" s="15"/>
      <c r="M57" s="15"/>
      <c r="N57" s="15"/>
      <c r="O57" s="15"/>
      <c r="P57" s="1"/>
      <c r="Q57" s="1"/>
      <c r="R57" s="1"/>
      <c r="S57" s="1"/>
      <c r="T57" s="1"/>
      <c r="U57" s="1"/>
    </row>
    <row r="58" spans="1:21" s="3" customFormat="1" x14ac:dyDescent="0.25">
      <c r="A58" s="2" t="s">
        <v>47</v>
      </c>
      <c r="B58" s="2" t="s">
        <v>59</v>
      </c>
      <c r="C58" s="2" t="s">
        <v>93</v>
      </c>
      <c r="D58" s="19"/>
      <c r="E58" s="25">
        <f t="shared" ref="E58:E60" si="15">F58*0.2</f>
        <v>20</v>
      </c>
      <c r="F58" s="25">
        <v>100</v>
      </c>
      <c r="G58" s="19"/>
      <c r="H58" s="20">
        <f t="shared" si="14"/>
        <v>120</v>
      </c>
      <c r="I58" s="28">
        <v>2</v>
      </c>
      <c r="J58" s="20">
        <f t="shared" si="8"/>
        <v>60</v>
      </c>
      <c r="K58" s="15"/>
      <c r="L58" s="15"/>
      <c r="M58" s="15"/>
      <c r="N58" s="15"/>
      <c r="O58" s="15"/>
      <c r="P58" s="1"/>
      <c r="Q58" s="1"/>
      <c r="R58" s="1"/>
      <c r="S58" s="1"/>
      <c r="T58" s="1"/>
      <c r="U58" s="1"/>
    </row>
    <row r="59" spans="1:21" s="3" customFormat="1" x14ac:dyDescent="0.25">
      <c r="A59" s="2" t="s">
        <v>48</v>
      </c>
      <c r="B59" s="2" t="s">
        <v>25</v>
      </c>
      <c r="C59" s="2" t="s">
        <v>93</v>
      </c>
      <c r="D59" s="19"/>
      <c r="E59" s="25">
        <f t="shared" si="15"/>
        <v>4</v>
      </c>
      <c r="F59" s="25">
        <v>20</v>
      </c>
      <c r="G59" s="19"/>
      <c r="H59" s="20">
        <f t="shared" si="14"/>
        <v>24</v>
      </c>
      <c r="I59" s="28">
        <v>2</v>
      </c>
      <c r="J59" s="20">
        <f t="shared" si="8"/>
        <v>12</v>
      </c>
      <c r="K59" s="15"/>
      <c r="L59" s="15"/>
      <c r="M59" s="15"/>
      <c r="N59" s="15"/>
      <c r="O59" s="15"/>
      <c r="P59" s="1"/>
      <c r="Q59" s="1"/>
      <c r="R59" s="1"/>
      <c r="S59" s="1"/>
      <c r="T59" s="1"/>
      <c r="U59" s="1"/>
    </row>
    <row r="60" spans="1:21" s="3" customFormat="1" x14ac:dyDescent="0.25">
      <c r="A60" s="2" t="s">
        <v>49</v>
      </c>
      <c r="B60" s="2" t="s">
        <v>26</v>
      </c>
      <c r="C60" s="2" t="s">
        <v>93</v>
      </c>
      <c r="D60" s="19"/>
      <c r="E60" s="25">
        <f t="shared" si="15"/>
        <v>8</v>
      </c>
      <c r="F60" s="25">
        <v>40</v>
      </c>
      <c r="G60" s="19"/>
      <c r="H60" s="20">
        <f t="shared" si="14"/>
        <v>48</v>
      </c>
      <c r="I60" s="28">
        <v>2</v>
      </c>
      <c r="J60" s="20">
        <f t="shared" si="8"/>
        <v>24</v>
      </c>
      <c r="K60" s="15"/>
      <c r="L60" s="15"/>
      <c r="M60" s="15"/>
      <c r="N60" s="15"/>
      <c r="O60" s="15"/>
      <c r="P60" s="1"/>
      <c r="Q60" s="1"/>
      <c r="R60" s="1"/>
      <c r="S60" s="1"/>
      <c r="T60" s="1"/>
      <c r="U60" s="1"/>
    </row>
    <row r="61" spans="1:21" s="3" customFormat="1" x14ac:dyDescent="0.25">
      <c r="A61" s="2" t="s">
        <v>50</v>
      </c>
      <c r="B61" s="2" t="s">
        <v>27</v>
      </c>
      <c r="C61" s="2" t="s">
        <v>94</v>
      </c>
      <c r="D61" s="19"/>
      <c r="E61" s="25">
        <v>25</v>
      </c>
      <c r="F61" s="25"/>
      <c r="G61" s="19"/>
      <c r="H61" s="20">
        <f t="shared" si="14"/>
        <v>25</v>
      </c>
      <c r="I61" s="28">
        <v>10</v>
      </c>
      <c r="J61" s="20">
        <f t="shared" si="8"/>
        <v>2.5</v>
      </c>
      <c r="K61" s="15"/>
      <c r="L61" s="15"/>
      <c r="M61" s="15"/>
      <c r="N61" s="15"/>
      <c r="O61" s="15"/>
      <c r="P61" s="1"/>
      <c r="Q61" s="1"/>
      <c r="R61" s="1"/>
      <c r="S61" s="1"/>
      <c r="T61" s="1"/>
      <c r="U61" s="1"/>
    </row>
    <row r="62" spans="1:21" s="3" customFormat="1" x14ac:dyDescent="0.25">
      <c r="A62" s="2" t="s">
        <v>60</v>
      </c>
      <c r="B62" s="2" t="s">
        <v>28</v>
      </c>
      <c r="C62" s="19" t="s">
        <v>21</v>
      </c>
      <c r="D62" s="19"/>
      <c r="E62" s="19">
        <f>SUM(E63:E70)</f>
        <v>3280</v>
      </c>
      <c r="F62" s="19">
        <f>SUM(F63:F70)</f>
        <v>12700</v>
      </c>
      <c r="G62" s="19"/>
      <c r="H62" s="20">
        <f t="shared" si="14"/>
        <v>15980</v>
      </c>
      <c r="I62" s="28">
        <v>20</v>
      </c>
      <c r="J62" s="20">
        <f t="shared" si="8"/>
        <v>799</v>
      </c>
      <c r="K62" s="15"/>
      <c r="L62" s="15"/>
      <c r="M62" s="15"/>
      <c r="N62" s="15"/>
      <c r="O62" s="15"/>
      <c r="P62" s="1"/>
      <c r="Q62" s="1"/>
      <c r="R62" s="1"/>
      <c r="S62" s="1"/>
      <c r="T62" s="1"/>
      <c r="U62" s="1"/>
    </row>
    <row r="63" spans="1:21" s="3" customFormat="1" x14ac:dyDescent="0.25">
      <c r="A63" s="2" t="s">
        <v>46</v>
      </c>
      <c r="B63" s="2" t="s">
        <v>29</v>
      </c>
      <c r="C63" s="2" t="s">
        <v>114</v>
      </c>
      <c r="D63" s="19"/>
      <c r="E63" s="25">
        <f>F63*0.1</f>
        <v>600</v>
      </c>
      <c r="F63" s="25">
        <v>6000</v>
      </c>
      <c r="G63" s="19"/>
      <c r="H63" s="20">
        <f t="shared" si="14"/>
        <v>6600</v>
      </c>
      <c r="I63" s="28">
        <v>14</v>
      </c>
      <c r="J63" s="20">
        <f t="shared" si="8"/>
        <v>471.42857142857144</v>
      </c>
      <c r="K63" s="15"/>
      <c r="L63" s="15"/>
      <c r="M63" s="15"/>
      <c r="N63" s="15"/>
      <c r="O63" s="15"/>
      <c r="P63" s="1"/>
      <c r="Q63" s="1"/>
      <c r="R63" s="1"/>
      <c r="S63" s="1"/>
      <c r="T63" s="1"/>
      <c r="U63" s="1"/>
    </row>
    <row r="64" spans="1:21" s="3" customFormat="1" x14ac:dyDescent="0.25">
      <c r="A64" s="2" t="s">
        <v>47</v>
      </c>
      <c r="B64" s="2" t="s">
        <v>30</v>
      </c>
      <c r="C64" s="2" t="s">
        <v>114</v>
      </c>
      <c r="D64" s="19"/>
      <c r="E64" s="25">
        <f t="shared" ref="E64:E68" si="16">F64*0.1</f>
        <v>400</v>
      </c>
      <c r="F64" s="25">
        <v>4000</v>
      </c>
      <c r="G64" s="19"/>
      <c r="H64" s="20">
        <f t="shared" si="14"/>
        <v>4400</v>
      </c>
      <c r="I64" s="28">
        <v>14</v>
      </c>
      <c r="J64" s="20">
        <f t="shared" si="8"/>
        <v>314.28571428571428</v>
      </c>
      <c r="K64" s="15"/>
      <c r="L64" s="15"/>
      <c r="M64" s="15"/>
      <c r="N64" s="15"/>
      <c r="O64" s="15"/>
      <c r="P64" s="1"/>
      <c r="Q64" s="1"/>
      <c r="R64" s="1"/>
      <c r="S64" s="1"/>
      <c r="T64" s="1"/>
      <c r="U64" s="1"/>
    </row>
    <row r="65" spans="1:21" s="3" customFormat="1" x14ac:dyDescent="0.25">
      <c r="A65" s="2" t="s">
        <v>48</v>
      </c>
      <c r="B65" s="2" t="s">
        <v>31</v>
      </c>
      <c r="C65" s="2" t="s">
        <v>93</v>
      </c>
      <c r="D65" s="19"/>
      <c r="E65" s="25">
        <f t="shared" si="16"/>
        <v>135</v>
      </c>
      <c r="F65" s="25">
        <v>1350</v>
      </c>
      <c r="G65" s="19"/>
      <c r="H65" s="20">
        <f t="shared" si="14"/>
        <v>1485</v>
      </c>
      <c r="I65" s="28">
        <v>26</v>
      </c>
      <c r="J65" s="20">
        <f t="shared" si="8"/>
        <v>57.115384615384613</v>
      </c>
      <c r="K65" s="15"/>
      <c r="L65" s="15"/>
      <c r="M65" s="15"/>
      <c r="N65" s="15"/>
      <c r="O65" s="15"/>
      <c r="P65" s="1"/>
      <c r="Q65" s="1"/>
      <c r="R65" s="1"/>
      <c r="S65" s="1"/>
      <c r="T65" s="1"/>
      <c r="U65" s="1"/>
    </row>
    <row r="66" spans="1:21" s="3" customFormat="1" x14ac:dyDescent="0.25">
      <c r="A66" s="2" t="s">
        <v>49</v>
      </c>
      <c r="B66" s="2" t="s">
        <v>32</v>
      </c>
      <c r="C66" s="2" t="s">
        <v>93</v>
      </c>
      <c r="D66" s="19"/>
      <c r="E66" s="25">
        <f t="shared" si="16"/>
        <v>35</v>
      </c>
      <c r="F66" s="25">
        <v>350</v>
      </c>
      <c r="G66" s="19"/>
      <c r="H66" s="20">
        <f t="shared" si="14"/>
        <v>385</v>
      </c>
      <c r="I66" s="28">
        <v>33</v>
      </c>
      <c r="J66" s="20">
        <f t="shared" ref="J66:J83" si="17">H66/I66</f>
        <v>11.666666666666666</v>
      </c>
      <c r="K66" s="15"/>
      <c r="L66" s="15"/>
      <c r="M66" s="15"/>
      <c r="N66" s="15"/>
      <c r="O66" s="15"/>
      <c r="P66" s="1"/>
      <c r="Q66" s="1"/>
      <c r="R66" s="1"/>
      <c r="S66" s="1"/>
      <c r="T66" s="1"/>
      <c r="U66" s="1"/>
    </row>
    <row r="67" spans="1:21" s="3" customFormat="1" x14ac:dyDescent="0.25">
      <c r="A67" s="2" t="s">
        <v>50</v>
      </c>
      <c r="B67" s="2" t="s">
        <v>33</v>
      </c>
      <c r="C67" s="2" t="s">
        <v>93</v>
      </c>
      <c r="D67" s="19"/>
      <c r="E67" s="25">
        <f t="shared" si="16"/>
        <v>65</v>
      </c>
      <c r="F67" s="25">
        <v>650</v>
      </c>
      <c r="G67" s="19"/>
      <c r="H67" s="20">
        <f t="shared" si="14"/>
        <v>715</v>
      </c>
      <c r="I67" s="28">
        <v>26</v>
      </c>
      <c r="J67" s="20">
        <f t="shared" si="17"/>
        <v>27.5</v>
      </c>
      <c r="K67" s="15"/>
      <c r="L67" s="15"/>
      <c r="M67" s="15"/>
      <c r="N67" s="15"/>
      <c r="O67" s="15"/>
      <c r="P67" s="1"/>
      <c r="Q67" s="1"/>
      <c r="R67" s="1"/>
      <c r="S67" s="1"/>
      <c r="T67" s="1"/>
      <c r="U67" s="1"/>
    </row>
    <row r="68" spans="1:21" s="3" customFormat="1" x14ac:dyDescent="0.25">
      <c r="A68" s="2" t="s">
        <v>51</v>
      </c>
      <c r="B68" s="2" t="s">
        <v>26</v>
      </c>
      <c r="C68" s="2" t="s">
        <v>93</v>
      </c>
      <c r="D68" s="19"/>
      <c r="E68" s="25">
        <f t="shared" si="16"/>
        <v>35</v>
      </c>
      <c r="F68" s="25">
        <v>350</v>
      </c>
      <c r="G68" s="19"/>
      <c r="H68" s="20">
        <f t="shared" si="14"/>
        <v>385</v>
      </c>
      <c r="I68" s="28">
        <v>26</v>
      </c>
      <c r="J68" s="20">
        <f t="shared" si="17"/>
        <v>14.807692307692308</v>
      </c>
      <c r="K68" s="15"/>
      <c r="L68" s="15"/>
      <c r="M68" s="15"/>
      <c r="N68" s="15"/>
      <c r="O68" s="15"/>
      <c r="P68" s="1"/>
      <c r="Q68" s="1"/>
      <c r="R68" s="1"/>
      <c r="S68" s="1"/>
      <c r="T68" s="1"/>
      <c r="U68" s="1"/>
    </row>
    <row r="69" spans="1:21" s="3" customFormat="1" x14ac:dyDescent="0.25">
      <c r="A69" s="2" t="s">
        <v>52</v>
      </c>
      <c r="B69" s="2" t="s">
        <v>34</v>
      </c>
      <c r="C69" s="2" t="s">
        <v>94</v>
      </c>
      <c r="D69" s="8"/>
      <c r="E69" s="29">
        <v>1350</v>
      </c>
      <c r="F69" s="29"/>
      <c r="G69" s="8"/>
      <c r="H69" s="20">
        <f t="shared" si="14"/>
        <v>1350</v>
      </c>
      <c r="I69" s="28">
        <v>530</v>
      </c>
      <c r="J69" s="20">
        <f t="shared" si="17"/>
        <v>2.5471698113207548</v>
      </c>
      <c r="K69" s="16"/>
      <c r="L69" s="16"/>
      <c r="M69" s="16"/>
      <c r="N69" s="16"/>
      <c r="O69" s="16"/>
      <c r="P69"/>
      <c r="Q69"/>
      <c r="R69"/>
      <c r="S69"/>
      <c r="T69"/>
      <c r="U69"/>
    </row>
    <row r="70" spans="1:21" s="3" customFormat="1" x14ac:dyDescent="0.25">
      <c r="A70" s="2" t="s">
        <v>53</v>
      </c>
      <c r="B70" s="2" t="s">
        <v>35</v>
      </c>
      <c r="C70" s="2" t="s">
        <v>94</v>
      </c>
      <c r="D70" s="8"/>
      <c r="E70" s="29">
        <v>660</v>
      </c>
      <c r="F70" s="29"/>
      <c r="G70" s="8"/>
      <c r="H70" s="20">
        <f t="shared" si="14"/>
        <v>660</v>
      </c>
      <c r="I70" s="28">
        <v>530</v>
      </c>
      <c r="J70" s="20">
        <f t="shared" si="17"/>
        <v>1.2452830188679245</v>
      </c>
      <c r="K70" s="16"/>
      <c r="L70" s="16"/>
      <c r="M70" s="16"/>
      <c r="N70" s="16"/>
      <c r="O70" s="16"/>
      <c r="P70"/>
      <c r="Q70"/>
      <c r="R70"/>
      <c r="S70"/>
      <c r="T70"/>
      <c r="U70"/>
    </row>
    <row r="71" spans="1:21" s="3" customFormat="1" x14ac:dyDescent="0.25">
      <c r="A71" s="2" t="s">
        <v>61</v>
      </c>
      <c r="B71" s="2" t="s">
        <v>36</v>
      </c>
      <c r="C71" s="2" t="s">
        <v>37</v>
      </c>
      <c r="D71" s="8"/>
      <c r="E71" s="22"/>
      <c r="F71" s="22">
        <f>SUM(F72:F77)</f>
        <v>5600</v>
      </c>
      <c r="G71" s="8"/>
      <c r="H71" s="20">
        <f t="shared" si="14"/>
        <v>5600</v>
      </c>
      <c r="I71" s="28">
        <v>20</v>
      </c>
      <c r="J71" s="20">
        <f t="shared" si="17"/>
        <v>280</v>
      </c>
      <c r="K71" s="16"/>
      <c r="L71" s="16"/>
      <c r="M71" s="16"/>
      <c r="N71" s="16"/>
      <c r="O71" s="16"/>
      <c r="P71"/>
      <c r="Q71"/>
      <c r="R71"/>
      <c r="S71"/>
      <c r="T71"/>
      <c r="U71"/>
    </row>
    <row r="72" spans="1:21" s="3" customFormat="1" x14ac:dyDescent="0.25">
      <c r="A72" s="2" t="s">
        <v>46</v>
      </c>
      <c r="B72" s="2" t="s">
        <v>39</v>
      </c>
      <c r="C72" s="2" t="s">
        <v>93</v>
      </c>
      <c r="D72" s="8"/>
      <c r="E72" s="22"/>
      <c r="F72" s="29">
        <f>I72*100</f>
        <v>4000</v>
      </c>
      <c r="G72" s="8"/>
      <c r="H72" s="20">
        <f t="shared" si="14"/>
        <v>4000</v>
      </c>
      <c r="I72" s="28">
        <v>40</v>
      </c>
      <c r="J72" s="20">
        <f t="shared" si="17"/>
        <v>100</v>
      </c>
      <c r="K72" s="16"/>
      <c r="L72" s="16"/>
      <c r="M72" s="16"/>
      <c r="N72" s="16"/>
      <c r="O72" s="16"/>
      <c r="P72"/>
      <c r="Q72"/>
      <c r="R72"/>
      <c r="S72"/>
      <c r="T72"/>
      <c r="U72"/>
    </row>
    <row r="73" spans="1:21" s="3" customFormat="1" x14ac:dyDescent="0.25">
      <c r="A73" s="2" t="s">
        <v>47</v>
      </c>
      <c r="B73" s="2" t="s">
        <v>40</v>
      </c>
      <c r="C73" s="2" t="s">
        <v>95</v>
      </c>
      <c r="D73" s="8"/>
      <c r="E73" s="22"/>
      <c r="F73" s="29">
        <f>I73*20</f>
        <v>800</v>
      </c>
      <c r="G73" s="8"/>
      <c r="H73" s="20">
        <f t="shared" si="14"/>
        <v>800</v>
      </c>
      <c r="I73" s="28">
        <v>40</v>
      </c>
      <c r="J73" s="20">
        <f t="shared" si="17"/>
        <v>20</v>
      </c>
      <c r="K73" s="16"/>
      <c r="L73" s="16"/>
      <c r="M73" s="16"/>
      <c r="N73" s="16"/>
      <c r="O73" s="16"/>
      <c r="P73"/>
      <c r="Q73"/>
      <c r="R73"/>
      <c r="S73"/>
      <c r="T73"/>
      <c r="U73"/>
    </row>
    <row r="74" spans="1:21" s="3" customFormat="1" x14ac:dyDescent="0.25">
      <c r="A74" s="2" t="s">
        <v>48</v>
      </c>
      <c r="B74" s="2" t="s">
        <v>41</v>
      </c>
      <c r="C74" s="2" t="s">
        <v>96</v>
      </c>
      <c r="D74" s="8"/>
      <c r="E74" s="22"/>
      <c r="F74" s="29">
        <f>I74*5</f>
        <v>200</v>
      </c>
      <c r="G74" s="8"/>
      <c r="H74" s="20">
        <f t="shared" si="14"/>
        <v>200</v>
      </c>
      <c r="I74" s="28">
        <v>40</v>
      </c>
      <c r="J74" s="20">
        <f t="shared" si="17"/>
        <v>5</v>
      </c>
      <c r="K74" s="16"/>
      <c r="L74" s="16"/>
      <c r="M74" s="16"/>
      <c r="N74" s="16"/>
      <c r="O74" s="16"/>
      <c r="P74"/>
      <c r="Q74"/>
      <c r="R74"/>
      <c r="S74"/>
      <c r="T74"/>
      <c r="U74"/>
    </row>
    <row r="75" spans="1:21" s="3" customFormat="1" x14ac:dyDescent="0.25">
      <c r="A75" s="2" t="s">
        <v>49</v>
      </c>
      <c r="B75" s="2" t="s">
        <v>42</v>
      </c>
      <c r="C75" s="2" t="s">
        <v>96</v>
      </c>
      <c r="D75" s="8"/>
      <c r="E75" s="22"/>
      <c r="F75" s="29">
        <f>I75*5</f>
        <v>200</v>
      </c>
      <c r="G75" s="8"/>
      <c r="H75" s="20">
        <f t="shared" si="14"/>
        <v>200</v>
      </c>
      <c r="I75" s="28">
        <v>40</v>
      </c>
      <c r="J75" s="20">
        <f t="shared" si="17"/>
        <v>5</v>
      </c>
      <c r="K75" s="16"/>
      <c r="L75" s="16"/>
      <c r="M75" s="16"/>
      <c r="N75" s="16"/>
      <c r="O75" s="16"/>
      <c r="P75"/>
      <c r="Q75"/>
      <c r="R75"/>
      <c r="S75"/>
      <c r="T75"/>
      <c r="U75"/>
    </row>
    <row r="76" spans="1:21" s="3" customFormat="1" x14ac:dyDescent="0.25">
      <c r="A76" s="2" t="s">
        <v>50</v>
      </c>
      <c r="B76" s="2" t="s">
        <v>43</v>
      </c>
      <c r="C76" s="2" t="s">
        <v>93</v>
      </c>
      <c r="D76" s="8"/>
      <c r="E76" s="22"/>
      <c r="F76" s="29">
        <f>I76*5</f>
        <v>200</v>
      </c>
      <c r="G76" s="8"/>
      <c r="H76" s="20">
        <f t="shared" si="14"/>
        <v>200</v>
      </c>
      <c r="I76" s="28">
        <v>40</v>
      </c>
      <c r="J76" s="20">
        <f t="shared" si="17"/>
        <v>5</v>
      </c>
      <c r="K76" s="16"/>
      <c r="L76" s="16"/>
      <c r="M76" s="16"/>
      <c r="N76" s="16"/>
      <c r="O76" s="16"/>
      <c r="P76"/>
      <c r="Q76"/>
      <c r="R76"/>
      <c r="S76"/>
      <c r="T76"/>
      <c r="U76"/>
    </row>
    <row r="77" spans="1:21" s="3" customFormat="1" x14ac:dyDescent="0.25">
      <c r="A77" s="2" t="s">
        <v>51</v>
      </c>
      <c r="B77" s="2" t="s">
        <v>44</v>
      </c>
      <c r="C77" s="2" t="s">
        <v>93</v>
      </c>
      <c r="D77" s="8"/>
      <c r="E77" s="22"/>
      <c r="F77" s="29">
        <f>I77*5</f>
        <v>200</v>
      </c>
      <c r="G77" s="8"/>
      <c r="H77" s="20">
        <f t="shared" si="14"/>
        <v>200</v>
      </c>
      <c r="I77" s="28">
        <v>40</v>
      </c>
      <c r="J77" s="20">
        <f t="shared" si="17"/>
        <v>5</v>
      </c>
      <c r="K77" s="16"/>
      <c r="L77" s="16"/>
      <c r="M77" s="16"/>
      <c r="N77" s="16"/>
      <c r="O77" s="16"/>
      <c r="P77"/>
      <c r="Q77"/>
      <c r="R77"/>
      <c r="S77"/>
      <c r="T77"/>
      <c r="U77"/>
    </row>
    <row r="78" spans="1:21" s="3" customFormat="1" x14ac:dyDescent="0.25">
      <c r="A78" s="2" t="s">
        <v>62</v>
      </c>
      <c r="B78" s="2" t="s">
        <v>58</v>
      </c>
      <c r="C78" s="2" t="s">
        <v>23</v>
      </c>
      <c r="D78" s="8"/>
      <c r="E78" s="22">
        <f>SUM(E79:E83)</f>
        <v>710</v>
      </c>
      <c r="F78" s="22">
        <f>SUM(F79:F83)</f>
        <v>3050</v>
      </c>
      <c r="G78" s="8"/>
      <c r="H78" s="20">
        <f t="shared" si="14"/>
        <v>3760</v>
      </c>
      <c r="I78" s="28">
        <v>2</v>
      </c>
      <c r="J78" s="20">
        <f t="shared" si="17"/>
        <v>1880</v>
      </c>
      <c r="K78" s="16"/>
      <c r="L78" s="16"/>
      <c r="M78" s="16"/>
      <c r="N78" s="16"/>
      <c r="O78" s="16"/>
      <c r="P78"/>
      <c r="Q78"/>
      <c r="R78"/>
      <c r="S78"/>
      <c r="T78"/>
      <c r="U78"/>
    </row>
    <row r="79" spans="1:21" s="3" customFormat="1" x14ac:dyDescent="0.25">
      <c r="A79" s="2" t="s">
        <v>46</v>
      </c>
      <c r="B79" s="2" t="s">
        <v>45</v>
      </c>
      <c r="C79" s="2" t="s">
        <v>115</v>
      </c>
      <c r="D79" s="8"/>
      <c r="E79" s="29">
        <v>600</v>
      </c>
      <c r="F79" s="29">
        <v>800</v>
      </c>
      <c r="G79" s="8"/>
      <c r="H79" s="20">
        <f t="shared" si="14"/>
        <v>1400</v>
      </c>
      <c r="I79" s="28">
        <v>45</v>
      </c>
      <c r="J79" s="20">
        <f t="shared" si="17"/>
        <v>31.111111111111111</v>
      </c>
      <c r="K79" s="16"/>
      <c r="L79" s="16"/>
      <c r="M79" s="16"/>
      <c r="N79" s="16"/>
      <c r="O79" s="16"/>
      <c r="P79"/>
      <c r="Q79"/>
      <c r="R79"/>
      <c r="S79"/>
      <c r="T79"/>
      <c r="U79"/>
    </row>
    <row r="80" spans="1:21" s="3" customFormat="1" x14ac:dyDescent="0.25">
      <c r="A80" s="2" t="s">
        <v>47</v>
      </c>
      <c r="B80" s="2" t="s">
        <v>54</v>
      </c>
      <c r="C80" s="2" t="s">
        <v>115</v>
      </c>
      <c r="D80" s="8"/>
      <c r="E80" s="29">
        <v>0</v>
      </c>
      <c r="F80" s="29">
        <v>0</v>
      </c>
      <c r="G80" s="8"/>
      <c r="H80" s="20">
        <f t="shared" si="14"/>
        <v>0</v>
      </c>
      <c r="I80" s="28">
        <v>0</v>
      </c>
      <c r="J80" s="20" t="e">
        <f t="shared" si="17"/>
        <v>#DIV/0!</v>
      </c>
      <c r="K80" s="16"/>
      <c r="L80" s="16"/>
      <c r="M80" s="16"/>
      <c r="N80" s="16"/>
      <c r="O80" s="16"/>
      <c r="P80"/>
      <c r="Q80"/>
      <c r="R80"/>
      <c r="S80"/>
      <c r="T80"/>
      <c r="U80"/>
    </row>
    <row r="81" spans="1:21" s="3" customFormat="1" x14ac:dyDescent="0.25">
      <c r="A81" s="2" t="s">
        <v>48</v>
      </c>
      <c r="B81" s="2" t="s">
        <v>55</v>
      </c>
      <c r="C81" s="2" t="s">
        <v>95</v>
      </c>
      <c r="D81" s="8"/>
      <c r="E81" s="29">
        <v>50</v>
      </c>
      <c r="F81" s="29">
        <v>850</v>
      </c>
      <c r="G81" s="8"/>
      <c r="H81" s="20">
        <f t="shared" si="14"/>
        <v>900</v>
      </c>
      <c r="I81" s="28">
        <v>1</v>
      </c>
      <c r="J81" s="20">
        <f t="shared" si="17"/>
        <v>900</v>
      </c>
      <c r="K81" s="16"/>
      <c r="L81" s="16"/>
      <c r="M81" s="16"/>
      <c r="N81" s="16"/>
      <c r="O81" s="16"/>
      <c r="P81"/>
      <c r="Q81"/>
      <c r="R81"/>
      <c r="S81"/>
      <c r="T81"/>
      <c r="U81"/>
    </row>
    <row r="82" spans="1:21" s="3" customFormat="1" x14ac:dyDescent="0.25">
      <c r="A82" s="2" t="s">
        <v>49</v>
      </c>
      <c r="B82" s="2" t="s">
        <v>56</v>
      </c>
      <c r="C82" s="2" t="s">
        <v>95</v>
      </c>
      <c r="D82" s="8"/>
      <c r="E82" s="29">
        <v>40</v>
      </c>
      <c r="F82" s="29">
        <v>400</v>
      </c>
      <c r="G82" s="8"/>
      <c r="H82" s="20">
        <f t="shared" si="14"/>
        <v>440</v>
      </c>
      <c r="I82" s="28">
        <v>1</v>
      </c>
      <c r="J82" s="20">
        <f t="shared" si="17"/>
        <v>440</v>
      </c>
      <c r="K82" s="16"/>
      <c r="L82" s="16"/>
      <c r="M82" s="16"/>
      <c r="N82" s="16"/>
      <c r="O82" s="16"/>
      <c r="P82"/>
      <c r="Q82"/>
      <c r="R82"/>
      <c r="S82"/>
      <c r="T82"/>
      <c r="U82"/>
    </row>
    <row r="83" spans="1:21" s="3" customFormat="1" x14ac:dyDescent="0.25">
      <c r="A83" s="2" t="s">
        <v>50</v>
      </c>
      <c r="B83" s="2" t="s">
        <v>57</v>
      </c>
      <c r="C83" s="2" t="s">
        <v>95</v>
      </c>
      <c r="D83" s="8"/>
      <c r="E83" s="29">
        <v>20</v>
      </c>
      <c r="F83" s="29">
        <v>1000</v>
      </c>
      <c r="G83" s="8"/>
      <c r="H83" s="20">
        <f t="shared" si="14"/>
        <v>1020</v>
      </c>
      <c r="I83" s="28">
        <v>1</v>
      </c>
      <c r="J83" s="20">
        <f t="shared" si="17"/>
        <v>1020</v>
      </c>
      <c r="K83" s="16"/>
      <c r="L83" s="16"/>
      <c r="M83" s="16"/>
      <c r="N83" s="16"/>
      <c r="O83" s="16"/>
      <c r="P83"/>
      <c r="Q83"/>
      <c r="R83"/>
      <c r="S83"/>
      <c r="T83"/>
      <c r="U83"/>
    </row>
    <row r="84" spans="1:21" s="4" customFormat="1" x14ac:dyDescent="0.25">
      <c r="D84"/>
      <c r="E84" s="23"/>
      <c r="F84" s="23"/>
      <c r="G84"/>
      <c r="H84"/>
      <c r="J84"/>
      <c r="K84"/>
      <c r="L84"/>
      <c r="M84"/>
      <c r="N84"/>
      <c r="O84"/>
      <c r="P84"/>
      <c r="Q84"/>
      <c r="R84"/>
      <c r="S84"/>
      <c r="T84"/>
      <c r="U84"/>
    </row>
    <row r="85" spans="1:21" s="1" customFormat="1" x14ac:dyDescent="0.25">
      <c r="D85"/>
      <c r="E85" s="23"/>
      <c r="F85" s="23"/>
      <c r="G85"/>
      <c r="H85"/>
      <c r="J85"/>
      <c r="K85"/>
      <c r="L85"/>
      <c r="M85"/>
      <c r="N85"/>
      <c r="O85"/>
      <c r="P85"/>
      <c r="Q85"/>
      <c r="R85"/>
      <c r="S85"/>
      <c r="T85"/>
      <c r="U85"/>
    </row>
    <row r="86" spans="1:21" s="1" customFormat="1" x14ac:dyDescent="0.25">
      <c r="B86" s="30" t="s">
        <v>118</v>
      </c>
      <c r="D86"/>
      <c r="E86" s="23"/>
      <c r="F86" s="23"/>
      <c r="G86"/>
      <c r="H86"/>
      <c r="J86"/>
      <c r="K86"/>
      <c r="L86"/>
      <c r="M86"/>
      <c r="N86"/>
      <c r="O86"/>
      <c r="P86"/>
      <c r="Q86"/>
      <c r="R86"/>
      <c r="S86"/>
      <c r="T86"/>
      <c r="U86"/>
    </row>
    <row r="87" spans="1:21" s="1" customFormat="1" x14ac:dyDescent="0.25">
      <c r="D87"/>
      <c r="E87" s="23"/>
      <c r="F87" s="23"/>
      <c r="G87"/>
      <c r="H87"/>
      <c r="J87"/>
      <c r="K87"/>
      <c r="L87"/>
      <c r="M87"/>
      <c r="N87"/>
      <c r="O87"/>
      <c r="P87"/>
      <c r="Q87"/>
      <c r="R87"/>
      <c r="S87"/>
      <c r="T87"/>
      <c r="U87"/>
    </row>
    <row r="88" spans="1:21" s="1" customFormat="1" x14ac:dyDescent="0.25">
      <c r="D88"/>
      <c r="E88" s="23"/>
      <c r="F88" s="23"/>
      <c r="G88"/>
      <c r="H88"/>
      <c r="J88"/>
      <c r="K88"/>
      <c r="L88"/>
      <c r="M88"/>
      <c r="N88"/>
      <c r="O88"/>
      <c r="P88"/>
      <c r="Q88"/>
      <c r="R88"/>
      <c r="S88"/>
      <c r="T88"/>
      <c r="U88"/>
    </row>
    <row r="89" spans="1:21" s="1" customFormat="1" x14ac:dyDescent="0.25">
      <c r="D89"/>
      <c r="E89" s="23"/>
      <c r="F89" s="23"/>
      <c r="G89"/>
      <c r="H89"/>
      <c r="J89"/>
      <c r="K89"/>
      <c r="L89"/>
      <c r="M89"/>
      <c r="N89"/>
      <c r="O89"/>
      <c r="P89"/>
      <c r="Q89"/>
      <c r="R89"/>
      <c r="S89"/>
      <c r="T89"/>
      <c r="U89"/>
    </row>
    <row r="90" spans="1:21" s="1" customFormat="1" x14ac:dyDescent="0.25">
      <c r="D90"/>
      <c r="E90" s="23"/>
      <c r="F90" s="23"/>
      <c r="G90"/>
      <c r="H90"/>
      <c r="J90"/>
      <c r="K90"/>
      <c r="L90"/>
      <c r="M90"/>
      <c r="N90"/>
      <c r="O90"/>
      <c r="P90"/>
      <c r="Q90"/>
      <c r="R90"/>
      <c r="S90"/>
      <c r="T90"/>
      <c r="U90"/>
    </row>
    <row r="91" spans="1:21" s="1" customFormat="1" x14ac:dyDescent="0.25">
      <c r="D91"/>
      <c r="E91" s="23"/>
      <c r="F91" s="23"/>
      <c r="G91"/>
      <c r="H91"/>
      <c r="J91"/>
      <c r="K91"/>
      <c r="L91"/>
      <c r="M91"/>
      <c r="N91"/>
      <c r="O91"/>
      <c r="P91"/>
      <c r="Q91"/>
      <c r="R91"/>
      <c r="S91"/>
      <c r="T91"/>
      <c r="U91"/>
    </row>
    <row r="92" spans="1:21" s="1" customFormat="1" x14ac:dyDescent="0.25">
      <c r="D92"/>
      <c r="E92" s="23"/>
      <c r="F92" s="23"/>
      <c r="G92"/>
      <c r="H92"/>
      <c r="J92"/>
      <c r="K92"/>
      <c r="L92"/>
      <c r="M92"/>
      <c r="N92"/>
      <c r="O92"/>
      <c r="P92"/>
      <c r="Q92"/>
      <c r="R92"/>
      <c r="S92"/>
      <c r="T92"/>
      <c r="U92"/>
    </row>
    <row r="93" spans="1:21" s="1" customFormat="1" x14ac:dyDescent="0.25">
      <c r="D93"/>
      <c r="E93" s="23"/>
      <c r="F93" s="23"/>
      <c r="G93"/>
      <c r="H93"/>
      <c r="J93"/>
      <c r="K93"/>
      <c r="L93"/>
      <c r="M93"/>
      <c r="N93"/>
      <c r="O93"/>
      <c r="P93"/>
      <c r="Q93"/>
      <c r="R93"/>
      <c r="S93"/>
      <c r="T93"/>
      <c r="U93"/>
    </row>
    <row r="94" spans="1:21" s="1" customFormat="1" x14ac:dyDescent="0.25">
      <c r="D94"/>
      <c r="E94" s="23"/>
      <c r="F94" s="23"/>
      <c r="G94"/>
      <c r="H94"/>
      <c r="J94"/>
      <c r="K94"/>
      <c r="L94"/>
      <c r="M94"/>
      <c r="N94"/>
      <c r="O94"/>
      <c r="P94"/>
      <c r="Q94"/>
      <c r="R94"/>
      <c r="S94"/>
      <c r="T94"/>
      <c r="U94"/>
    </row>
    <row r="95" spans="1:21" s="1" customFormat="1" x14ac:dyDescent="0.25">
      <c r="D95"/>
      <c r="E95" s="23"/>
      <c r="F95" s="23"/>
      <c r="G95"/>
      <c r="H95"/>
      <c r="J95"/>
      <c r="K95"/>
      <c r="L95"/>
      <c r="M95"/>
      <c r="N95"/>
      <c r="O95"/>
      <c r="P95"/>
      <c r="Q95"/>
      <c r="R95"/>
      <c r="S95"/>
      <c r="T95"/>
      <c r="U95"/>
    </row>
    <row r="96" spans="1:21" s="1" customFormat="1" x14ac:dyDescent="0.25">
      <c r="D96"/>
      <c r="E96" s="23"/>
      <c r="F96" s="23"/>
      <c r="G96"/>
      <c r="H96"/>
      <c r="J96"/>
      <c r="K96"/>
      <c r="L96"/>
      <c r="M96"/>
      <c r="N96"/>
      <c r="O96"/>
      <c r="P96"/>
      <c r="Q96"/>
      <c r="R96"/>
      <c r="S96"/>
      <c r="T96"/>
      <c r="U96"/>
    </row>
    <row r="97" spans="4:21" s="1" customFormat="1" x14ac:dyDescent="0.25">
      <c r="D97"/>
      <c r="E97" s="23"/>
      <c r="F97" s="23"/>
      <c r="G97"/>
      <c r="H97"/>
      <c r="J97"/>
      <c r="K97"/>
      <c r="L97"/>
      <c r="M97"/>
      <c r="N97"/>
      <c r="O97"/>
      <c r="P97"/>
      <c r="Q97"/>
      <c r="R97"/>
      <c r="S97"/>
      <c r="T97"/>
      <c r="U97"/>
    </row>
  </sheetData>
  <mergeCells count="1">
    <mergeCell ref="K1:O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32"/>
  <sheetViews>
    <sheetView topLeftCell="A19" workbookViewId="0">
      <selection activeCell="F18" sqref="F18"/>
    </sheetView>
  </sheetViews>
  <sheetFormatPr defaultRowHeight="14.4" x14ac:dyDescent="0.25"/>
  <cols>
    <col min="1" max="1" width="22.44140625" bestFit="1" customWidth="1"/>
    <col min="2" max="2" width="11.109375" bestFit="1" customWidth="1"/>
    <col min="3" max="3" width="16.88671875" customWidth="1"/>
    <col min="4" max="4" width="9.44140625" customWidth="1"/>
    <col min="5" max="5" width="11.109375" bestFit="1" customWidth="1"/>
    <col min="6" max="6" width="10.6640625" customWidth="1"/>
    <col min="9" max="9" width="10.44140625" bestFit="1" customWidth="1"/>
    <col min="10" max="10" width="13.21875" bestFit="1" customWidth="1"/>
    <col min="11" max="11" width="14.109375" style="43" bestFit="1" customWidth="1"/>
  </cols>
  <sheetData>
    <row r="1" spans="1:13" x14ac:dyDescent="0.25">
      <c r="A1" s="40" t="s">
        <v>153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13" x14ac:dyDescent="0.25">
      <c r="A2" t="s">
        <v>154</v>
      </c>
      <c r="B2" s="1" t="s">
        <v>155</v>
      </c>
      <c r="C2" s="1" t="s">
        <v>158</v>
      </c>
      <c r="D2" s="1" t="s">
        <v>159</v>
      </c>
      <c r="E2" s="1" t="s">
        <v>160</v>
      </c>
      <c r="F2" s="1" t="s">
        <v>161</v>
      </c>
      <c r="H2" s="30" t="s">
        <v>190</v>
      </c>
    </row>
    <row r="3" spans="1:13" x14ac:dyDescent="0.25">
      <c r="B3" s="1" t="s">
        <v>157</v>
      </c>
      <c r="C3" s="1">
        <v>25</v>
      </c>
      <c r="D3" s="1">
        <v>18</v>
      </c>
      <c r="E3" s="1">
        <v>6.2</v>
      </c>
      <c r="F3" s="1">
        <v>28</v>
      </c>
    </row>
    <row r="5" spans="1:13" ht="43.2" x14ac:dyDescent="0.25">
      <c r="A5" s="44" t="s">
        <v>191</v>
      </c>
      <c r="B5" s="24" t="s">
        <v>125</v>
      </c>
      <c r="C5" s="24" t="s">
        <v>105</v>
      </c>
      <c r="D5" s="24" t="s">
        <v>71</v>
      </c>
      <c r="E5" s="11" t="s">
        <v>70</v>
      </c>
      <c r="F5" s="9" t="s">
        <v>111</v>
      </c>
      <c r="G5" s="9" t="s">
        <v>110</v>
      </c>
      <c r="H5" s="9" t="s">
        <v>141</v>
      </c>
      <c r="I5" s="9" t="s">
        <v>174</v>
      </c>
      <c r="J5" s="24" t="s">
        <v>108</v>
      </c>
      <c r="K5" s="11" t="s">
        <v>109</v>
      </c>
    </row>
    <row r="6" spans="1:13" s="41" customFormat="1" x14ac:dyDescent="0.25">
      <c r="B6" s="15">
        <v>1</v>
      </c>
      <c r="C6" s="15" t="s">
        <v>156</v>
      </c>
      <c r="D6" s="15" t="s">
        <v>167</v>
      </c>
      <c r="E6" s="42">
        <f>C3</f>
        <v>25</v>
      </c>
      <c r="F6" s="31">
        <f>SUM(F7:F9)</f>
        <v>610245.10280154482</v>
      </c>
      <c r="G6" s="31">
        <f t="shared" ref="G6:I6" si="0">SUM(G7:G9)</f>
        <v>5558.3333333333339</v>
      </c>
      <c r="H6" s="31">
        <f t="shared" si="0"/>
        <v>27250</v>
      </c>
      <c r="I6" s="31">
        <f t="shared" si="0"/>
        <v>0</v>
      </c>
      <c r="J6" s="31">
        <f>SUM(F6:I6)</f>
        <v>643053.4361348782</v>
      </c>
      <c r="K6" s="42">
        <f>J6/E6</f>
        <v>25722.137445395128</v>
      </c>
    </row>
    <row r="7" spans="1:13" x14ac:dyDescent="0.25">
      <c r="B7" s="24">
        <v>1.1000000000000001</v>
      </c>
      <c r="C7" s="24" t="s">
        <v>162</v>
      </c>
      <c r="D7" s="24" t="s">
        <v>163</v>
      </c>
      <c r="E7" s="24">
        <f>D3*17500</f>
        <v>315000</v>
      </c>
      <c r="F7" s="20">
        <f>E7*字段及基础数据1!J5</f>
        <v>412258.70280154486</v>
      </c>
      <c r="G7" s="24"/>
      <c r="H7" s="24"/>
      <c r="I7" s="24"/>
      <c r="J7" s="31">
        <f t="shared" ref="J7:J9" si="1">SUM(F7:I7)</f>
        <v>412258.70280154486</v>
      </c>
      <c r="K7" s="42">
        <f t="shared" ref="K7:K9" si="2">J7/E7</f>
        <v>1.3087577866715709</v>
      </c>
    </row>
    <row r="8" spans="1:13" x14ac:dyDescent="0.25">
      <c r="B8" s="22">
        <v>1.2</v>
      </c>
      <c r="C8" s="11" t="s">
        <v>164</v>
      </c>
      <c r="D8" s="22" t="s">
        <v>166</v>
      </c>
      <c r="E8" s="22">
        <f>C3*1000-D3*220</f>
        <v>21040</v>
      </c>
      <c r="F8" s="22">
        <f>E8*字段及基础数据1!J16</f>
        <v>197986.4</v>
      </c>
      <c r="G8" s="22"/>
      <c r="H8" s="22"/>
      <c r="I8" s="22"/>
      <c r="J8" s="31">
        <f t="shared" si="1"/>
        <v>197986.4</v>
      </c>
      <c r="K8" s="42">
        <f t="shared" si="2"/>
        <v>9.41</v>
      </c>
    </row>
    <row r="9" spans="1:13" x14ac:dyDescent="0.25">
      <c r="B9" s="22">
        <v>1.3</v>
      </c>
      <c r="C9" s="22" t="s">
        <v>165</v>
      </c>
      <c r="D9" s="22" t="s">
        <v>168</v>
      </c>
      <c r="E9" s="22">
        <f>C3</f>
        <v>25</v>
      </c>
      <c r="F9" s="22"/>
      <c r="G9" s="22">
        <f>E9/30*字段及基础数据1!F27</f>
        <v>5558.3333333333339</v>
      </c>
      <c r="H9" s="22">
        <f>C3/30*字段及基础数据1!G27</f>
        <v>27250</v>
      </c>
      <c r="I9" s="22"/>
      <c r="J9" s="31">
        <f t="shared" si="1"/>
        <v>32808.333333333336</v>
      </c>
      <c r="K9" s="42">
        <f t="shared" si="2"/>
        <v>1312.3333333333335</v>
      </c>
    </row>
    <row r="12" spans="1:13" x14ac:dyDescent="0.25">
      <c r="A12" s="40" t="s">
        <v>169</v>
      </c>
      <c r="B12" s="1">
        <v>1</v>
      </c>
      <c r="C12" s="1">
        <v>2</v>
      </c>
      <c r="D12" s="1">
        <v>3</v>
      </c>
      <c r="E12" s="1">
        <v>4</v>
      </c>
      <c r="F12" s="1">
        <v>4</v>
      </c>
      <c r="G12" s="1">
        <v>5</v>
      </c>
      <c r="H12" s="1">
        <v>5</v>
      </c>
      <c r="I12" s="1">
        <v>6</v>
      </c>
      <c r="J12" s="1">
        <v>7</v>
      </c>
      <c r="K12" s="1">
        <v>8</v>
      </c>
    </row>
    <row r="13" spans="1:13" x14ac:dyDescent="0.25">
      <c r="A13" t="s">
        <v>154</v>
      </c>
      <c r="B13" s="1" t="s">
        <v>170</v>
      </c>
      <c r="C13" s="1" t="s">
        <v>177</v>
      </c>
      <c r="D13" s="1" t="s">
        <v>178</v>
      </c>
      <c r="E13" s="1" t="s">
        <v>179</v>
      </c>
      <c r="F13" s="1" t="s">
        <v>180</v>
      </c>
      <c r="G13" s="1" t="s">
        <v>172</v>
      </c>
      <c r="H13" s="1" t="s">
        <v>181</v>
      </c>
      <c r="I13" s="1" t="s">
        <v>182</v>
      </c>
      <c r="J13" s="1" t="s">
        <v>183</v>
      </c>
      <c r="K13" s="1" t="s">
        <v>184</v>
      </c>
      <c r="M13" s="30" t="s">
        <v>190</v>
      </c>
    </row>
    <row r="14" spans="1:13" x14ac:dyDescent="0.25">
      <c r="B14" s="1" t="s">
        <v>171</v>
      </c>
      <c r="C14" s="1">
        <v>220</v>
      </c>
      <c r="D14" s="1">
        <v>23</v>
      </c>
      <c r="E14" s="1">
        <v>3</v>
      </c>
      <c r="F14" s="1">
        <v>45</v>
      </c>
      <c r="G14" s="1" t="s">
        <v>173</v>
      </c>
      <c r="H14" s="1">
        <v>1000</v>
      </c>
      <c r="I14" s="1">
        <v>24</v>
      </c>
      <c r="J14" s="1">
        <v>4</v>
      </c>
      <c r="K14" s="4">
        <v>5000</v>
      </c>
    </row>
    <row r="15" spans="1:13" x14ac:dyDescent="0.25">
      <c r="B15" s="1"/>
      <c r="C15" s="1"/>
      <c r="D15" s="1"/>
      <c r="E15" s="1"/>
      <c r="F15" s="1"/>
      <c r="G15" s="1"/>
      <c r="H15" s="1"/>
      <c r="I15" s="1"/>
      <c r="J15" s="1"/>
      <c r="K15" s="4"/>
    </row>
    <row r="16" spans="1:13" ht="43.2" x14ac:dyDescent="0.25">
      <c r="A16" s="44" t="s">
        <v>191</v>
      </c>
      <c r="B16" s="24" t="s">
        <v>125</v>
      </c>
      <c r="C16" s="24" t="s">
        <v>105</v>
      </c>
      <c r="D16" s="24" t="s">
        <v>71</v>
      </c>
      <c r="E16" s="11" t="s">
        <v>70</v>
      </c>
      <c r="F16" s="9" t="s">
        <v>111</v>
      </c>
      <c r="G16" s="9" t="s">
        <v>110</v>
      </c>
      <c r="H16" s="9" t="s">
        <v>141</v>
      </c>
      <c r="I16" s="9" t="s">
        <v>107</v>
      </c>
      <c r="J16" s="24" t="s">
        <v>108</v>
      </c>
      <c r="K16" s="11" t="s">
        <v>109</v>
      </c>
    </row>
    <row r="17" spans="1:11" x14ac:dyDescent="0.25">
      <c r="B17" s="24" t="s">
        <v>188</v>
      </c>
      <c r="C17" s="24" t="s">
        <v>171</v>
      </c>
      <c r="D17" s="24" t="s">
        <v>163</v>
      </c>
      <c r="E17" s="24">
        <f>C14*D14*(E14+0.5)+K14</f>
        <v>22710</v>
      </c>
      <c r="F17" s="20">
        <f>SUM(F18:F21)</f>
        <v>29882.025000000001</v>
      </c>
      <c r="G17" s="24"/>
      <c r="H17" s="24"/>
      <c r="I17" s="24"/>
      <c r="J17" s="20">
        <f>SUM(F17:I17)</f>
        <v>29882.025000000001</v>
      </c>
      <c r="K17" s="20">
        <f>J17/E17</f>
        <v>1.3158091149273448</v>
      </c>
    </row>
    <row r="18" spans="1:11" s="43" customFormat="1" x14ac:dyDescent="0.25">
      <c r="B18" s="2" t="s">
        <v>46</v>
      </c>
      <c r="C18" s="11" t="s">
        <v>112</v>
      </c>
      <c r="D18" s="11" t="s">
        <v>86</v>
      </c>
      <c r="E18" s="11">
        <f>(D14+C14)*2*H14/1000*F14</f>
        <v>21870</v>
      </c>
      <c r="F18" s="27">
        <f>E18*字段及基础数据1!J7</f>
        <v>8748</v>
      </c>
      <c r="G18" s="27"/>
      <c r="H18" s="27"/>
      <c r="I18" s="27"/>
      <c r="J18" s="27">
        <f>SUM(F18:I18)</f>
        <v>8748</v>
      </c>
      <c r="K18" s="27">
        <f>J18/E18</f>
        <v>0.4</v>
      </c>
    </row>
    <row r="19" spans="1:11" s="43" customFormat="1" x14ac:dyDescent="0.25">
      <c r="B19" s="2" t="s">
        <v>47</v>
      </c>
      <c r="C19" s="11" t="s">
        <v>81</v>
      </c>
      <c r="D19" s="11" t="s">
        <v>86</v>
      </c>
      <c r="E19" s="11">
        <f>D14*C14*(J14+I14)</f>
        <v>141680</v>
      </c>
      <c r="F19" s="27">
        <f>E19*字段及基础数据1!J8</f>
        <v>4250.3999999999996</v>
      </c>
      <c r="G19" s="27"/>
      <c r="H19" s="27"/>
      <c r="I19" s="27"/>
      <c r="J19" s="27">
        <f t="shared" ref="J19:J21" si="3">SUM(F19:I19)</f>
        <v>4250.3999999999996</v>
      </c>
      <c r="K19" s="27">
        <f t="shared" ref="K19:K21" si="4">J19/E19</f>
        <v>0.03</v>
      </c>
    </row>
    <row r="20" spans="1:11" s="43" customFormat="1" x14ac:dyDescent="0.25">
      <c r="B20" s="2" t="s">
        <v>48</v>
      </c>
      <c r="C20" s="11" t="s">
        <v>82</v>
      </c>
      <c r="D20" s="11" t="s">
        <v>86</v>
      </c>
      <c r="E20" s="11">
        <f>D14*C14*(E14+0.5)*1.95</f>
        <v>34534.5</v>
      </c>
      <c r="F20" s="27">
        <f>E20*字段及基础数据1!J9</f>
        <v>8633.625</v>
      </c>
      <c r="G20" s="27"/>
      <c r="H20" s="27"/>
      <c r="I20" s="27"/>
      <c r="J20" s="27">
        <f t="shared" si="3"/>
        <v>8633.625</v>
      </c>
      <c r="K20" s="27">
        <f t="shared" si="4"/>
        <v>0.25</v>
      </c>
    </row>
    <row r="21" spans="1:11" s="43" customFormat="1" x14ac:dyDescent="0.25">
      <c r="B21" s="2" t="s">
        <v>49</v>
      </c>
      <c r="C21" s="11" t="s">
        <v>83</v>
      </c>
      <c r="D21" s="11" t="s">
        <v>85</v>
      </c>
      <c r="E21" s="11">
        <f>K14</f>
        <v>5000</v>
      </c>
      <c r="F21" s="27">
        <f>E21*字段及基础数据1!J10</f>
        <v>8250</v>
      </c>
      <c r="G21" s="27"/>
      <c r="H21" s="27"/>
      <c r="I21" s="27"/>
      <c r="J21" s="27">
        <f t="shared" si="3"/>
        <v>8250</v>
      </c>
      <c r="K21" s="27">
        <f t="shared" si="4"/>
        <v>1.65</v>
      </c>
    </row>
    <row r="23" spans="1:11" x14ac:dyDescent="0.25">
      <c r="B23" s="1">
        <v>1</v>
      </c>
      <c r="C23" s="1">
        <v>2</v>
      </c>
      <c r="D23" s="1">
        <v>3</v>
      </c>
    </row>
    <row r="24" spans="1:11" x14ac:dyDescent="0.25">
      <c r="A24" t="s">
        <v>154</v>
      </c>
      <c r="B24" s="1" t="s">
        <v>175</v>
      </c>
      <c r="C24" s="1" t="s">
        <v>185</v>
      </c>
      <c r="D24" s="1" t="s">
        <v>186</v>
      </c>
      <c r="E24" s="1" t="s">
        <v>187</v>
      </c>
      <c r="F24" s="1"/>
      <c r="G24" s="30" t="s">
        <v>190</v>
      </c>
      <c r="H24" s="1"/>
      <c r="I24" s="1"/>
      <c r="J24" s="1"/>
      <c r="K24" s="1"/>
    </row>
    <row r="25" spans="1:11" x14ac:dyDescent="0.25">
      <c r="B25" s="45" t="s">
        <v>176</v>
      </c>
      <c r="C25" s="1">
        <v>1500</v>
      </c>
      <c r="D25" s="1">
        <v>6.2</v>
      </c>
      <c r="E25" s="1">
        <v>3</v>
      </c>
      <c r="F25" s="1"/>
      <c r="G25" s="1"/>
      <c r="H25" s="1"/>
      <c r="I25" s="1"/>
      <c r="J25" s="1"/>
      <c r="K25" s="4"/>
    </row>
    <row r="26" spans="1:11" x14ac:dyDescent="0.25">
      <c r="B26" s="1"/>
      <c r="C26" s="1"/>
      <c r="D26" s="1"/>
      <c r="E26" s="1"/>
      <c r="F26" s="1"/>
      <c r="G26" s="1"/>
      <c r="H26" s="1"/>
      <c r="I26" s="1"/>
      <c r="J26" s="1"/>
      <c r="K26" s="4"/>
    </row>
    <row r="27" spans="1:11" ht="43.2" x14ac:dyDescent="0.25">
      <c r="A27" s="44" t="s">
        <v>191</v>
      </c>
      <c r="B27" s="24" t="s">
        <v>125</v>
      </c>
      <c r="C27" s="24" t="s">
        <v>105</v>
      </c>
      <c r="D27" s="24" t="s">
        <v>71</v>
      </c>
      <c r="E27" s="11" t="s">
        <v>70</v>
      </c>
      <c r="F27" s="9" t="s">
        <v>111</v>
      </c>
      <c r="G27" s="9" t="s">
        <v>110</v>
      </c>
      <c r="H27" s="9" t="s">
        <v>141</v>
      </c>
      <c r="I27" s="9" t="s">
        <v>107</v>
      </c>
      <c r="J27" s="24" t="s">
        <v>108</v>
      </c>
      <c r="K27" s="11" t="s">
        <v>109</v>
      </c>
    </row>
    <row r="28" spans="1:11" x14ac:dyDescent="0.25">
      <c r="B28" s="24" t="s">
        <v>189</v>
      </c>
      <c r="C28" s="46" t="s">
        <v>176</v>
      </c>
      <c r="D28" s="24" t="s">
        <v>166</v>
      </c>
      <c r="E28" s="24">
        <f>C25</f>
        <v>1500</v>
      </c>
      <c r="F28" s="20">
        <f>SUM(F29:F32)</f>
        <v>14365</v>
      </c>
      <c r="G28" s="24"/>
      <c r="H28" s="24"/>
      <c r="I28" s="24"/>
      <c r="J28" s="20">
        <f>SUM(F28:I28)</f>
        <v>14365</v>
      </c>
      <c r="K28" s="20">
        <f>J28/E28</f>
        <v>9.5766666666666662</v>
      </c>
    </row>
    <row r="29" spans="1:11" x14ac:dyDescent="0.25">
      <c r="B29" s="2" t="s">
        <v>46</v>
      </c>
      <c r="C29" s="24" t="s">
        <v>87</v>
      </c>
      <c r="D29" s="24" t="s">
        <v>92</v>
      </c>
      <c r="E29" s="24">
        <f>C25</f>
        <v>1500</v>
      </c>
      <c r="F29" s="27">
        <f>E29*字段及基础数据1!J18</f>
        <v>6000</v>
      </c>
      <c r="G29" s="27"/>
      <c r="H29" s="27"/>
      <c r="I29" s="27"/>
      <c r="J29" s="27">
        <f>SUM(F29:I29)</f>
        <v>6000</v>
      </c>
      <c r="K29" s="27">
        <f>J29/E29</f>
        <v>4</v>
      </c>
    </row>
    <row r="30" spans="1:11" x14ac:dyDescent="0.25">
      <c r="B30" s="2" t="s">
        <v>47</v>
      </c>
      <c r="C30" s="24" t="s">
        <v>88</v>
      </c>
      <c r="D30" s="24" t="s">
        <v>86</v>
      </c>
      <c r="E30" s="24">
        <f>C25*2*6.5</f>
        <v>19500</v>
      </c>
      <c r="F30" s="27">
        <f>E30*字段及基础数据1!J19</f>
        <v>7215</v>
      </c>
      <c r="G30" s="27"/>
      <c r="H30" s="27"/>
      <c r="I30" s="27"/>
      <c r="J30" s="27">
        <f t="shared" ref="J30:J32" si="5">SUM(F30:I30)</f>
        <v>7215</v>
      </c>
      <c r="K30" s="27">
        <f t="shared" ref="K30:K32" si="6">J30/E30</f>
        <v>0.37</v>
      </c>
    </row>
    <row r="31" spans="1:11" x14ac:dyDescent="0.25">
      <c r="B31" s="2" t="s">
        <v>48</v>
      </c>
      <c r="C31" s="24" t="s">
        <v>89</v>
      </c>
      <c r="D31" s="24" t="s">
        <v>86</v>
      </c>
      <c r="E31" s="24">
        <f>8000</f>
        <v>8000</v>
      </c>
      <c r="F31" s="27">
        <f>E31*字段及基础数据1!J20</f>
        <v>400</v>
      </c>
      <c r="G31" s="27"/>
      <c r="H31" s="27"/>
      <c r="I31" s="27"/>
      <c r="J31" s="27">
        <f t="shared" si="5"/>
        <v>400</v>
      </c>
      <c r="K31" s="27">
        <f t="shared" si="6"/>
        <v>0.05</v>
      </c>
    </row>
    <row r="32" spans="1:11" x14ac:dyDescent="0.25">
      <c r="B32" s="2" t="s">
        <v>49</v>
      </c>
      <c r="C32" s="24" t="s">
        <v>90</v>
      </c>
      <c r="D32" s="24" t="s">
        <v>91</v>
      </c>
      <c r="E32" s="24">
        <f>E25</f>
        <v>3</v>
      </c>
      <c r="F32" s="27">
        <f>E32*字段及基础数据1!J21</f>
        <v>750</v>
      </c>
      <c r="G32" s="27"/>
      <c r="H32" s="27"/>
      <c r="I32" s="27"/>
      <c r="J32" s="27">
        <f t="shared" si="5"/>
        <v>750</v>
      </c>
      <c r="K32" s="27">
        <f t="shared" si="6"/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L12"/>
  <sheetViews>
    <sheetView tabSelected="1" workbookViewId="0">
      <selection activeCell="H10" sqref="H10"/>
    </sheetView>
  </sheetViews>
  <sheetFormatPr defaultRowHeight="14.4" x14ac:dyDescent="0.25"/>
  <cols>
    <col min="2" max="2" width="15.109375" bestFit="1" customWidth="1"/>
    <col min="5" max="5" width="13" customWidth="1"/>
    <col min="6" max="6" width="11.33203125" customWidth="1"/>
    <col min="7" max="7" width="11.6640625" customWidth="1"/>
    <col min="8" max="8" width="12.88671875" customWidth="1"/>
    <col min="9" max="9" width="13" bestFit="1" customWidth="1"/>
    <col min="10" max="10" width="14.109375" bestFit="1" customWidth="1"/>
    <col min="11" max="11" width="21.33203125" bestFit="1" customWidth="1"/>
    <col min="12" max="12" width="19.21875" bestFit="1" customWidth="1"/>
  </cols>
  <sheetData>
    <row r="1" spans="1:12" ht="28.8" x14ac:dyDescent="0.25">
      <c r="A1" s="32" t="s">
        <v>125</v>
      </c>
      <c r="B1" s="32" t="s">
        <v>105</v>
      </c>
      <c r="C1" s="24" t="s">
        <v>71</v>
      </c>
      <c r="D1" s="11" t="s">
        <v>70</v>
      </c>
      <c r="E1" s="9" t="s">
        <v>111</v>
      </c>
      <c r="F1" s="9" t="s">
        <v>110</v>
      </c>
      <c r="G1" s="9" t="s">
        <v>141</v>
      </c>
      <c r="H1" s="9" t="s">
        <v>107</v>
      </c>
      <c r="I1" s="24" t="s">
        <v>108</v>
      </c>
      <c r="J1" s="25" t="s">
        <v>109</v>
      </c>
      <c r="K1" s="25" t="s">
        <v>150</v>
      </c>
      <c r="L1" s="25" t="s">
        <v>151</v>
      </c>
    </row>
    <row r="2" spans="1:12" x14ac:dyDescent="0.25">
      <c r="A2" s="7">
        <v>1</v>
      </c>
      <c r="B2" s="7" t="s">
        <v>142</v>
      </c>
      <c r="C2" s="7" t="s">
        <v>21</v>
      </c>
      <c r="D2" s="37">
        <v>30.2</v>
      </c>
      <c r="E2" s="21">
        <v>1351558.32</v>
      </c>
      <c r="F2" s="7">
        <v>167639.04000000001</v>
      </c>
      <c r="G2" s="7">
        <v>269940.52</v>
      </c>
      <c r="H2" s="7">
        <v>782857.11</v>
      </c>
      <c r="I2" s="21">
        <f>SUM(E2:H2)</f>
        <v>2571994.9900000002</v>
      </c>
      <c r="J2" s="35">
        <f>I2/D2</f>
        <v>85165.397019867552</v>
      </c>
      <c r="K2" s="38">
        <f>(E2+F2+G2)/I2</f>
        <v>0.69562261472367792</v>
      </c>
      <c r="L2" s="38">
        <f>H2/I2</f>
        <v>0.30437738527632197</v>
      </c>
    </row>
    <row r="3" spans="1:12" x14ac:dyDescent="0.25">
      <c r="A3" s="7">
        <v>2</v>
      </c>
      <c r="B3" s="7" t="s">
        <v>143</v>
      </c>
      <c r="C3" s="7" t="s">
        <v>21</v>
      </c>
      <c r="D3" s="37">
        <v>25.46</v>
      </c>
      <c r="E3" s="7">
        <v>1165839.2</v>
      </c>
      <c r="F3" s="7">
        <v>188351.79</v>
      </c>
      <c r="G3" s="7">
        <v>208913.6</v>
      </c>
      <c r="H3" s="7">
        <v>633799.49</v>
      </c>
      <c r="I3" s="21">
        <f>SUM(E3:H3)</f>
        <v>2196904.08</v>
      </c>
      <c r="J3" s="35">
        <f>I3/D3</f>
        <v>86288.455616653577</v>
      </c>
      <c r="K3" s="38">
        <f t="shared" ref="K3:K5" si="0">(E3+F3+G3)/I3</f>
        <v>0.71150333973616187</v>
      </c>
      <c r="L3" s="38">
        <f t="shared" ref="L3:L5" si="1">H3/I3</f>
        <v>0.28849666026383819</v>
      </c>
    </row>
    <row r="4" spans="1:12" x14ac:dyDescent="0.25">
      <c r="A4" s="7">
        <v>3</v>
      </c>
      <c r="B4" s="7" t="s">
        <v>144</v>
      </c>
      <c r="C4" s="7" t="s">
        <v>21</v>
      </c>
      <c r="D4" s="37">
        <v>29.312000000000001</v>
      </c>
      <c r="E4" s="21">
        <v>1668317.5703867499</v>
      </c>
      <c r="F4" s="7">
        <v>202752.93654349999</v>
      </c>
      <c r="G4" s="7">
        <v>298180.60121017997</v>
      </c>
      <c r="H4" s="7">
        <v>777773.09026312002</v>
      </c>
      <c r="I4" s="21">
        <f>SUM(E4:H4)</f>
        <v>2947024.1984035498</v>
      </c>
      <c r="J4" s="35">
        <f>I4/D4</f>
        <v>100539.85393025211</v>
      </c>
      <c r="K4" s="38">
        <f t="shared" si="0"/>
        <v>0.73608187856602869</v>
      </c>
      <c r="L4" s="38">
        <f t="shared" si="1"/>
        <v>0.26391812143397131</v>
      </c>
    </row>
    <row r="5" spans="1:12" x14ac:dyDescent="0.25">
      <c r="A5" s="7">
        <v>4</v>
      </c>
      <c r="B5" s="7" t="s">
        <v>145</v>
      </c>
      <c r="C5" s="7" t="s">
        <v>21</v>
      </c>
      <c r="D5" s="37">
        <v>20</v>
      </c>
      <c r="E5" s="21">
        <v>1457038.511973633</v>
      </c>
      <c r="F5" s="7">
        <v>209638.40931000881</v>
      </c>
      <c r="G5" s="7">
        <v>254845.40531091907</v>
      </c>
      <c r="H5" s="7">
        <v>951507.67637233762</v>
      </c>
      <c r="I5" s="21">
        <f>SUM(E5:H5)</f>
        <v>2873030.0029668985</v>
      </c>
      <c r="J5" s="35">
        <f>I5/D5</f>
        <v>143651.50014834493</v>
      </c>
      <c r="K5" s="38">
        <f t="shared" si="0"/>
        <v>0.66881387406684167</v>
      </c>
      <c r="L5" s="38">
        <f t="shared" si="1"/>
        <v>0.33118612593315838</v>
      </c>
    </row>
    <row r="6" spans="1:12" x14ac:dyDescent="0.25">
      <c r="A6" s="52" t="s">
        <v>152</v>
      </c>
      <c r="B6" s="52"/>
      <c r="C6" s="52"/>
      <c r="D6" s="52"/>
      <c r="E6" s="39">
        <f>E2/$I$2</f>
        <v>0.52549026154984846</v>
      </c>
      <c r="F6" s="39">
        <f t="shared" ref="F6:H6" si="2">F2/$I$2</f>
        <v>6.5178602855676629E-2</v>
      </c>
      <c r="G6" s="39">
        <f t="shared" si="2"/>
        <v>0.10495375031815284</v>
      </c>
      <c r="H6" s="39">
        <f t="shared" si="2"/>
        <v>0.30437738527632197</v>
      </c>
    </row>
    <row r="9" spans="1:12" x14ac:dyDescent="0.25">
      <c r="B9" s="36" t="s">
        <v>149</v>
      </c>
      <c r="C9" s="36"/>
      <c r="D9" s="36"/>
    </row>
    <row r="10" spans="1:12" x14ac:dyDescent="0.25">
      <c r="B10" s="36" t="s">
        <v>147</v>
      </c>
      <c r="C10" s="36"/>
      <c r="D10" s="36"/>
    </row>
    <row r="11" spans="1:12" x14ac:dyDescent="0.25">
      <c r="B11" s="36" t="s">
        <v>146</v>
      </c>
      <c r="C11" s="36"/>
      <c r="D11" s="36"/>
    </row>
    <row r="12" spans="1:12" x14ac:dyDescent="0.25">
      <c r="B12" s="36" t="s">
        <v>148</v>
      </c>
      <c r="C12" s="36"/>
      <c r="D12" s="36"/>
      <c r="E12" s="36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字段及基础数据1</vt:lpstr>
      <vt:lpstr>导入数据2</vt:lpstr>
      <vt:lpstr>计算分析表（以表1为原始数据）</vt:lpstr>
      <vt:lpstr>对比表（补充数据）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2020-09-24T16:10:24Z</dcterms:modified>
</cp:coreProperties>
</file>