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60" activeTab="2"/>
  </bookViews>
  <sheets>
    <sheet name="角色" sheetId="12" r:id="rId1"/>
    <sheet name="套装" sheetId="5" r:id="rId2"/>
    <sheet name="摆设" sheetId="6" r:id="rId3"/>
    <sheet name="更新日志" sheetId="13" r:id="rId4"/>
  </sheets>
  <definedNames>
    <definedName name="诗歌沉思间">套装!$C$2:$C$13</definedName>
    <definedName name="柔风低语间">套装!$C$15:$C$28</definedName>
    <definedName name="绯云文斋">套装!$C$30:$C$41</definedName>
    <definedName name="烟霞入梦阁">套装!$C$43:$C$54</definedName>
    <definedName name="秘术研究所">套装!$C$56:$C$68</definedName>
    <definedName name="柴烟庖屋">套装!$C$70:$C$76</definedName>
    <definedName name="遐久瞬梦间">套装!$C$78:$C$86</definedName>
    <definedName name="千振致业">套装!$C$88:$C$94</definedName>
    <definedName name="沉墨书舍">套装!$C$96:$C$105</definedName>
    <definedName name="枫香茶雾一室中">套装!$C$107:$C$116</definedName>
    <definedName name="兵刃锻造站">套装!$C$118:$C$127</definedName>
    <definedName name="牧歌之镇">套装!$C$129:$C$141</definedName>
    <definedName name="花鸟公园">套装!$C$143:$C$151</definedName>
    <definedName name="千家饔飧坊">套装!$C$153:$C$167</definedName>
    <definedName name="百里琳琅街">套装!$C$169:$C$182</definedName>
    <definedName name="轻策闲云居">套装!$C$184:$C$199</definedName>
    <definedName name="狩猎与歌舞之营">套装!$C$201:$C$218</definedName>
    <definedName name="星辰与深渊之旅">套装!$C$220:$C$229</definedName>
    <definedName name="晨曦果园">套装!$C$231:$C$240</definedName>
    <definedName name="正格之庭">套装!$C$242:$C$250</definedName>
    <definedName name="醒意汤泉">套装!$C$252:$C$262</definedName>
    <definedName name="村中匿影">套装!$C$264:$C$272</definedName>
    <definedName name="枝社旧绪">套装!$C$274:$C$287</definedName>
    <definedName name="千军致戎演兵场">套装!$C$289:$C$301</definedName>
    <definedName name="琼片遍郁野">套装!$C$303:$C$312</definedName>
    <definedName name="夏夜的追想">套装!$C$314:$C$325</definedName>
    <definedName name="樱染的街巷">套装!$C$327:$C$339</definedName>
    <definedName name="垂香木厨房货架">摆设!$C$2</definedName>
    <definedName name="开顶杉木货架">摆设!$C$3</definedName>
    <definedName name="组合式杉木货柜">摆设!$C$4</definedName>
    <definedName name="高大的桦木衣柜">摆设!$C$5</definedName>
    <definedName name="却砂木金纹衣柜">摆设!$C$6</definedName>
    <definedName name="孔雀木「万角」货柜">摆设!$C$7</definedName>
    <definedName name="孔雀木「不染」橱柜">摆设!$C$8</definedName>
    <definedName name="梦见木「露隐」衣柜">摆设!$C$9</definedName>
    <definedName name="图书馆双层书架">摆设!$C$10</definedName>
    <definedName name="萃华木臻品书架">摆设!$C$11</definedName>
    <definedName name="萃华木经济书架">摆设!$C$12</definedName>
    <definedName name="「司书的宝库」">摆设!$C$13</definedName>
    <definedName name="朱漆垂香木卷轴书架">摆设!$C$14</definedName>
    <definedName name="朱漆垂香木百宝阁">摆设!$C$15</definedName>
    <definedName name="垂香木商铺立柜">摆设!$C$16</definedName>
    <definedName name="厚重的图书馆长桌">摆设!$C$19</definedName>
    <definedName name="骑士团的办公桌">摆设!$C$20</definedName>
    <definedName name="便携炉灶">摆设!$C$21</definedName>
    <definedName name="菱形桌布的长桌">摆设!$C$22</definedName>
    <definedName name="木纹雅致的书法桌案">摆设!$C$23</definedName>
    <definedName name="松木方形茶桌">摆设!$C$24</definedName>
    <definedName name="稳固的桦木梳妆台">摆设!$C$25</definedName>
    <definedName name="梦见木「冷暖一桌」被炉">摆设!$C$26</definedName>
    <definedName name="孔雀木「石定」茶桌">摆设!$C$27</definedName>
    <definedName name="柔风加护的床榻">摆设!$C$30</definedName>
    <definedName name="烟霞云梦榻">摆设!$C$31</definedName>
    <definedName name="梦见木「樱眠」床榻">摆设!$C$32</definedName>
    <definedName name="柔软的会客厅沙发">摆设!$C$34</definedName>
    <definedName name="「晴空蓝的午后」">摆设!$C$35</definedName>
    <definedName name="「坚定意志」">摆设!$C$36</definedName>
    <definedName name="松木餐椅">摆设!$C$37</definedName>
    <definedName name="松木靠背茶椅">摆设!$C$38</definedName>
    <definedName name="松木朱漆圆凳">摆设!$C$39</definedName>
    <definedName name="桦木双屉床头柜">摆设!$C$41</definedName>
    <definedName name="却砂木金纹床头柜">摆设!$C$42</definedName>
    <definedName name="梦见木「礼待」着物架">摆设!$C$43</definedName>
    <definedName name="恒亮不熄的提灯">摆设!$C$52</definedName>
    <definedName name="琉璃亭却砂木立灯">摆设!$C$53</definedName>
    <definedName name="贝壳灯罩硬质台灯">摆设!$C$54</definedName>
    <definedName name="「铸瓷正则」">摆设!$C$59</definedName>
    <definedName name="「素守之瓶」">摆设!$C$60</definedName>
    <definedName name="整齐叠放的书本">摆设!$C$61</definedName>
    <definedName name="「学者的倦怠」">摆设!$C$62</definedName>
    <definedName name="「书信的礼节」">摆设!$C$63</definedName>
    <definedName name="精巧的沙漏摆件">摆设!$C$64</definedName>
    <definedName name="金色三重烛台">摆设!$C$68</definedName>
    <definedName name="「茶烟笼白榻」">摆设!$C$71</definedName>
    <definedName name="破邪之弦镝">摆设!$C$74</definedName>
    <definedName name="驱鬼之羽屏">摆设!$C$75</definedName>
    <definedName name="孔雀木「并提」层叠木匣">摆设!$C$76</definedName>
    <definedName name="「赤铁珊瑚」">摆设!$C$77</definedName>
    <definedName name="三眼守仙牌">摆设!$C$78</definedName>
    <definedName name="御伽木「近竹」院门">摆设!$C$82</definedName>
    <definedName name="御伽木「近竹」围栏">摆设!$C$83</definedName>
    <definedName name="花鸟喷泉">摆设!$C$92</definedName>
    <definedName name="丘丘螺旋瞭望塔">摆设!$C$93</definedName>
    <definedName name="丘丘简易草棚">摆设!$C$94</definedName>
    <definedName name="工程暂驻点">摆设!$C$95</definedName>
    <definedName name="白石温泉——「暖漫」">摆设!$C$96</definedName>
    <definedName name="白石温泉—「暖漫」">摆设!$C$96</definedName>
    <definedName name="枫木书柜—「墨染书心」">摆设!$C$17</definedName>
    <definedName name="枫木书柜—「千卷柜藏」">摆设!$C$18</definedName>
    <definedName name="茶室长桌—「座无隙」">摆设!$C$28</definedName>
    <definedName name="茶室柜台—「十四丸」">摆设!$C$29</definedName>
    <definedName name="茶室圆凳—「折痛辞」">摆设!$C$33</definedName>
    <definedName name="松木折屏—「云来帆影」">摆设!$C$40</definedName>
    <definedName name="茶室坐垫—「晚禾织」">摆设!$C$44</definedName>
    <definedName name="枫木仪鼓—「宴奏」">摆设!$C$45</definedName>
    <definedName name="茶室屏风—「垢身金心」">摆设!$C$46</definedName>
    <definedName name="宗传刀架—「四常法」">摆设!$C$47</definedName>
    <definedName name="旗本重铠—「影阵玄甲」">摆设!$C$48</definedName>
    <definedName name="梦见木「入画」折屏">摆设!$C$49</definedName>
    <definedName name="蒙德地毯—「明红的热忱」">摆设!$C$50</definedName>
    <definedName name="迎宾地毯—「惠然之顾」">摆设!$C$51</definedName>
    <definedName name="枫木地灯—「照澄」">摆设!$C$55</definedName>
    <definedName name="绿植盆栽—「澄澈的清风」">摆设!$C$56</definedName>
    <definedName name="花卉瓶栽—「盛放的曙红」">摆设!$C$57</definedName>
    <definedName name="绿植盆栽—「松青尺树上」">摆设!$C$58</definedName>
    <definedName name="炼金装置—「水火之间」">摆设!$C$65</definedName>
    <definedName name="炼金器件—「尘埃的重量」">摆设!$C$66</definedName>
    <definedName name="纸墨笔砚—「临池学书」">摆设!$C$67</definedName>
    <definedName name="白瓷茶具—「怀质抱真」">摆设!$C$69</definedName>
    <definedName name="茶室烛台—「无味火」">摆设!$C$70</definedName>
    <definedName name="茶室器物—「锁香笼」">摆设!$C$72</definedName>
    <definedName name="纸墨笔砚—「正定笔锋」">摆设!$C$73</definedName>
    <definedName name="要地牙门—「云底之能」">摆设!$C$79</definedName>
    <definedName name="要地栏楯—「约己之壁」">摆设!$C$80</definedName>
    <definedName name="栏楯转角—「瞩视无遗」">摆设!$C$81</definedName>
    <definedName name="阵屋正门—「忠肃」">摆设!$C$84</definedName>
    <definedName name="阵屋围栏—「错牙」">摆设!$C$85</definedName>
    <definedName name="阵屋围栏—「截断」">摆设!$C$86</definedName>
    <definedName name="阵屋桩木—「苦刺」">摆设!$C$87</definedName>
    <definedName name="温泉屏风—「适分」">摆设!$C$88</definedName>
    <definedName name="温泉外墙—「无越」">摆设!$C$89</definedName>
    <definedName name="温泉墙板—「稳足」">摆设!$C$90</definedName>
    <definedName name="温泉门厅—「避凉」">摆设!$C$91</definedName>
    <definedName name="璃月商铺—「客聚如潮」">摆设!$C$97</definedName>
    <definedName name="璃月民居—「岁不我与」">摆设!$C$98</definedName>
    <definedName name="高大阁楼的乡间住宅">摆设!$C$99</definedName>
    <definedName name="古典乡间住宅">摆设!$C$100</definedName>
    <definedName name="袖珍松木小屋">摆设!$C$101</definedName>
    <definedName name="丘丘前哨小屋">摆设!$C$102</definedName>
    <definedName name="丘丘领袖大殿">摆设!$C$103</definedName>
    <definedName name="丘丘双层警戒台">摆设!$C$104</definedName>
    <definedName name="御伽木拉面屋台">摆设!$C$105</definedName>
    <definedName name="开放式烘炉工坊">摆设!$C$106</definedName>
    <definedName name="「行商石门北」">摆设!$C$107</definedName>
    <definedName name="卷棚果蔬舆">摆设!$C$108</definedName>
    <definedName name="「百味四宫釜」">摆设!$C$109</definedName>
    <definedName name="果蔬摊—「案上田园」">摆设!$C$110</definedName>
    <definedName name="「云游碧水东」">摆设!$C$111</definedName>
    <definedName name="干草货棚">摆设!$C$112</definedName>
    <definedName name="硬顶避雷帐篷">摆设!$C$113</definedName>
    <definedName name="简易单人帐篷">摆设!$C$114</definedName>
    <definedName name="御伽木市井杂煮屋台">摆设!$C$115</definedName>
    <definedName name="花伞铺—「异梦绮彩」">摆设!$C$116</definedName>
    <definedName name="果蔬摊—「纯诚之味」">摆设!$C$117</definedName>
    <definedName name="祭典「定番」百货屋台">摆设!$C$118</definedName>
    <definedName name="祭典「奇番」百货屋台">摆设!$C$119</definedName>
    <definedName name="孔雀木「幸归」面具架">摆设!$C$120</definedName>
    <definedName name="「恒诰之龛」">摆设!$C$121</definedName>
    <definedName name="「净绪之龛」">摆设!$C$122</definedName>
    <definedName name="稻妻商铺—「千瑜百珉」">摆设!$C$123</definedName>
    <definedName name="稻妻民居—「三世共业」">摆设!$C$124</definedName>
    <definedName name="稻妻民居—「知变易通」">摆设!$C$125</definedName>
    <definedName name="稻妻筱屋—「静度岁晏」">摆设!$C$126</definedName>
    <definedName name="稻妻筱屋—「野逸入心」">摆设!$C$127</definedName>
    <definedName name="稻妻官邸—「严谕正办」">摆设!$C$128</definedName>
    <definedName name="官邸回廊—「势至权达」">摆设!$C$129</definedName>
    <definedName name="阵屋哨塔—「洞鉴」">摆设!$C$130</definedName>
    <definedName name="阵屋行帐—「时策」">摆设!$C$131</definedName>
    <definedName name="阵屋营房—「周固」">摆设!$C$132</definedName>
    <definedName name="御神签务所—「兆解」">摆设!$C$133</definedName>
    <definedName name="伏青石">摆设!$C$134</definedName>
    <definedName name="纤拳石">摆设!$C$135</definedName>
    <definedName name="「代宫司之印」">摆设!$C$136</definedName>
    <definedName name="寂修石">摆设!$C$137</definedName>
    <definedName name="涉浪石">摆设!$C$138</definedName>
    <definedName name="温泉白石—「秘火」">摆设!$C$139</definedName>
    <definedName name="「归风的苍色」">摆设!$C$140</definedName>
    <definedName name="天衡赤枫—「红叶如灼」">摆设!$C$141</definedName>
    <definedName name="茁壮的萃华树">摆设!$C$142</definedName>
    <definedName name="「花咲初退红」">摆设!$C$143</definedName>
    <definedName name="「春惜一斤染」">摆设!$C$144</definedName>
    <definedName name="「红鸢问寝觉」">摆设!$C$145</definedName>
    <definedName name="「纁漫雁来中」">摆设!$C$146</definedName>
    <definedName name="「片叶苏芳缀银朱」">摆设!$C$147</definedName>
    <definedName name="正逢花期的灌木丛">摆设!$C$148</definedName>
    <definedName name="「明冠羽叶」">摆设!$C$149</definedName>
    <definedName name="青衫景铄">摆设!$C$150</definedName>
    <definedName name="青衫问寒">摆设!$C$151</definedName>
    <definedName name="丛生蝶绿">摆设!$C$152</definedName>
    <definedName name="「猎人的暗哨」">摆设!$C$153</definedName>
    <definedName name="「紫苑叹幽弘」">摆设!$C$154</definedName>
    <definedName name="「影徙露草自伤悼」">摆设!$C$155</definedName>
    <definedName name="「晚花空言约」">摆设!$C$156</definedName>
    <definedName name="「薄红榴璃散千瓣」">摆设!$C$157</definedName>
    <definedName name="阵屋半钟—「轰雷之音」">摆设!$C$158</definedName>
    <definedName name="军势钲鼓—「破阵余响」">摆设!$C$159</definedName>
    <definedName name="御伽木「但饮」木桶">摆设!$C$160</definedName>
    <definedName name="厚壁「石胆」陶制水缸">摆设!$C$161</definedName>
    <definedName name="古法新造御伽木酒桶">摆设!$C$162</definedName>
    <definedName name="古法新造御伽木货箱">摆设!$C$163</definedName>
    <definedName name="交错放置的杉木货箱">摆设!$C$164</definedName>
    <definedName name="有序叠放的杉木酒桶">摆设!$C$165</definedName>
    <definedName name="沉甸甸的干草卷">摆设!$C$166</definedName>
    <definedName name="竹框酒坛—「琼浆待月往」">摆设!$C$167</definedName>
    <definedName name="玩具摊—「琳琅生趣」">摆设!$C$168</definedName>
    <definedName name="花伞铺—「簦下千彩」">摆设!$C$169</definedName>
    <definedName name="储物袋—「隐雷退散」">摆设!$C$170</definedName>
    <definedName name="果蔬商贩的谨慎">摆设!$C$171</definedName>
    <definedName name="丘丘弓箭标靶">摆设!$C$172</definedName>
    <definedName name="丘丘带角陶锅">摆设!$C$173</definedName>
    <definedName name="枯木方向标">摆设!$C$174</definedName>
    <definedName name="「冒险家难逃之重」">摆设!$C$175</definedName>
    <definedName name="结实的木桶">摆设!$C$176</definedName>
    <definedName name="高耸的木杆">摆设!$C$177</definedName>
    <definedName name="石制盏形水池">摆设!$C$178</definedName>
    <definedName name="转移壅土的木桶">摆设!$C$179</definedName>
    <definedName name="梦见木「灾祛」御签挂">摆设!$C$180</definedName>
    <definedName name="御建鸣神主尊旗">摆设!$C$181</definedName>
    <definedName name="阵屋枪架—「尖破」">摆设!$C$182</definedName>
    <definedName name="天狐雕像—「白辰嗣响」">摆设!$C$183</definedName>
    <definedName name="晴空缯彩游鱼旗">摆设!$C$184</definedName>
    <definedName name="梦见木「诚见」赛钱箱">摆设!$C$185</definedName>
    <definedName name="乡野水井—「下索密藏」">摆设!$C$186</definedName>
    <definedName name="杉木置物架">摆设!$C$187</definedName>
    <definedName name="杉木武器架">摆设!$C$188</definedName>
    <definedName name="硬木兵戈架">摆设!$C$189</definedName>
    <definedName name="简易货运拖车">摆设!$C$190</definedName>
    <definedName name="硬石加固的水井">摆设!$C$191</definedName>
    <definedName name="旧式水井">摆设!$C$192</definedName>
    <definedName name="硬顶水井—「但求虚澈」">摆设!$C$193</definedName>
    <definedName name="「冒险家的随身秘宝」">摆设!$C$194</definedName>
    <definedName name="五重灯笼祭典门关">摆设!$C$195</definedName>
    <definedName name="梦见木「空怀」路灯">摆设!$C$196</definedName>
    <definedName name="鱼脂白烛—「傍明」">摆设!$C$197</definedName>
    <definedName name="御伽木郊野路灯">摆设!$C$198</definedName>
    <definedName name="御伽木简本路灯">摆设!$C$199</definedName>
    <definedName name="铁艺雕花路灯">摆设!$C$200</definedName>
    <definedName name="野外松木路灯">摆设!$C$201</definedName>
    <definedName name="退邪灯—「明照左右」">摆设!$C$202</definedName>
    <definedName name="清影灯—「笔锋墨影」">摆设!$C$203</definedName>
    <definedName name="「果农的勤俭」">摆设!$C$204</definedName>
    <definedName name="卸力的松木围栏">摆设!$C$205</definedName>
    <definedName name="丘丘木制围栏">摆设!$C$206</definedName>
    <definedName name="丘丘图腾围栏">摆设!$C$207</definedName>
    <definedName name="葱郁的葡萄藤">摆设!$C$208</definedName>
    <definedName name="简易木制围栏">摆设!$C$209</definedName>
    <definedName name="施工过半的围栏">摆设!$C$210</definedName>
    <definedName name="御伽木「乐至」方凳">摆设!$C$211</definedName>
    <definedName name="平整的木制长凳">摆设!$C$212</definedName>
    <definedName name="平整的石制长凳">摆设!$C$213</definedName>
    <definedName name="御伽木「乐至」方桌">摆设!$C$214</definedName>
    <definedName name="重型杉木锻造桌">摆设!$C$215</definedName>
    <definedName name="宽大的松木长桌">摆设!$C$216</definedName>
    <definedName name="大型石制滚磨">摆设!$C$217</definedName>
    <definedName name="双重商摊—「运势层层高」">摆设!$C$218</definedName>
    <definedName name="竹制露天茶桌">摆设!$C$219</definedName>
    <definedName name="木制露天茶桌">摆设!$C$220</definedName>
    <definedName name="酒肆货柜—「会须百杯饮」">摆设!$C$221</definedName>
    <definedName name="抗浪结构双层货盘">摆设!$C$222</definedName>
    <definedName name="铸石地基—「修身砥行」">摆设!$C$223</definedName>
    <definedName name="铸石地基—「随车致雨」">摆设!$C$224</definedName>
    <definedName name="铸石地基—「倍道兼行」">摆设!$C$225</definedName>
    <definedName name="啊啊啊啊啊">套装!$D$6</definedName>
  </definedNames>
  <calcPr calcId="144525"/>
</workbook>
</file>

<file path=xl/sharedStrings.xml><?xml version="1.0" encoding="utf-8"?>
<sst xmlns="http://schemas.openxmlformats.org/spreadsheetml/2006/main" count="2693" uniqueCount="418">
  <si>
    <t>套装名称</t>
  </si>
  <si>
    <t>对应角色</t>
  </si>
  <si>
    <t>已拥有角色数量</t>
  </si>
  <si>
    <t>角色图鉴-默认排序</t>
  </si>
  <si>
    <t>优菈 琴 丽莎 菲谢尔 莫娜</t>
  </si>
  <si>
    <t>安柏</t>
  </si>
  <si>
    <t>优菈 芭芭拉 诺艾尔</t>
  </si>
  <si>
    <t>凯亚</t>
  </si>
  <si>
    <t>行秋 凝光 钟离 云堇</t>
  </si>
  <si>
    <t>丽莎</t>
  </si>
  <si>
    <t>烟绯 重云 甘雨 刻晴 胡桃</t>
  </si>
  <si>
    <t>芭芭拉</t>
  </si>
  <si>
    <t>丽莎 可莉 阿贝多 砂糖</t>
  </si>
  <si>
    <t>雷泽</t>
  </si>
  <si>
    <t>雷泽 香菱 魈 达达利亚 莫娜</t>
  </si>
  <si>
    <t>香菱</t>
  </si>
  <si>
    <t>早柚 珊瑚宫心海</t>
  </si>
  <si>
    <t>北斗</t>
  </si>
  <si>
    <t>神里绫华 雷电将军</t>
  </si>
  <si>
    <t>行秋</t>
  </si>
  <si>
    <t>珊瑚宫心海 久岐忍</t>
  </si>
  <si>
    <t>凝光</t>
  </si>
  <si>
    <t>枫原万叶 托马</t>
  </si>
  <si>
    <t>菲谢尔</t>
  </si>
  <si>
    <t>班尼特</t>
  </si>
  <si>
    <t>迪卢克 班尼特 诺艾尔 迪奥娜</t>
  </si>
  <si>
    <t>诺艾尔</t>
  </si>
  <si>
    <t>雷泽 安柏 迪奥娜</t>
  </si>
  <si>
    <t>重云</t>
  </si>
  <si>
    <t>琴 芭芭拉 凯亚 温迪 罗莎莉亚</t>
  </si>
  <si>
    <t>砂糖</t>
  </si>
  <si>
    <t>香菱 北斗 达达利亚 甘雨 辛焱 夜兰</t>
  </si>
  <si>
    <t>琴</t>
  </si>
  <si>
    <t>烟绯 行秋 凝光 钟离 刻晴 申鹤 云堇</t>
  </si>
  <si>
    <t>迪卢克</t>
  </si>
  <si>
    <t>魈 七七 辛焱 胡桃 申鹤 夜兰</t>
  </si>
  <si>
    <t>七七</t>
  </si>
  <si>
    <t>安柏 北斗 可莉 砂糖 埃洛伊</t>
  </si>
  <si>
    <t>莫娜</t>
  </si>
  <si>
    <t>菲谢尔 班尼特 七七 重云 阿贝多 埃洛伊</t>
  </si>
  <si>
    <t>刻晴</t>
  </si>
  <si>
    <t>凯亚 迪卢克 温迪 罗莎莉亚</t>
  </si>
  <si>
    <t>温迪</t>
  </si>
  <si>
    <t>九条裟罗 神里绫人</t>
  </si>
  <si>
    <t>可莉</t>
  </si>
  <si>
    <t>宵宫 五郎 八重神子</t>
  </si>
  <si>
    <t>迪奥娜</t>
  </si>
  <si>
    <t>早柚 五郎</t>
  </si>
  <si>
    <t>达达利亚</t>
  </si>
  <si>
    <t>雷电将军 八重神子</t>
  </si>
  <si>
    <t>辛焱</t>
  </si>
  <si>
    <t>九条裟罗</t>
  </si>
  <si>
    <t>钟离</t>
  </si>
  <si>
    <t>枫原万叶 荒泷一斗</t>
  </si>
  <si>
    <t>阿贝多</t>
  </si>
  <si>
    <t>神里绫华 荒泷一斗 神里绫人</t>
  </si>
  <si>
    <t>甘雨</t>
  </si>
  <si>
    <t>宵宫 托马 久岐忍</t>
  </si>
  <si>
    <t>魈</t>
  </si>
  <si>
    <t>胡桃</t>
  </si>
  <si>
    <t>罗莎莉亚</t>
  </si>
  <si>
    <t>烟绯</t>
  </si>
  <si>
    <t>优菈</t>
  </si>
  <si>
    <t>枫原万叶</t>
  </si>
  <si>
    <t>神里绫华</t>
  </si>
  <si>
    <t>早柚</t>
  </si>
  <si>
    <t>宵宫</t>
  </si>
  <si>
    <t>埃洛伊</t>
  </si>
  <si>
    <t>雷电将军</t>
  </si>
  <si>
    <t>珊瑚宫心海</t>
  </si>
  <si>
    <t>托马</t>
  </si>
  <si>
    <t>五郎</t>
  </si>
  <si>
    <t>荒泷一斗</t>
  </si>
  <si>
    <t>云堇</t>
  </si>
  <si>
    <t>申鹤</t>
  </si>
  <si>
    <t>八重神子</t>
  </si>
  <si>
    <t>神里绫人</t>
  </si>
  <si>
    <t>夜兰</t>
  </si>
  <si>
    <t>久岐忍</t>
  </si>
  <si>
    <t>套装</t>
  </si>
  <si>
    <t>摆设名称</t>
  </si>
  <si>
    <t>拥有数量</t>
  </si>
  <si>
    <t>所需数量</t>
  </si>
  <si>
    <t>一级分类</t>
  </si>
  <si>
    <t>二级分类</t>
  </si>
  <si>
    <t>星级</t>
  </si>
  <si>
    <t>版本</t>
  </si>
  <si>
    <t>获取方式</t>
  </si>
  <si>
    <t>诗歌沉思间</t>
  </si>
  <si>
    <t>大型摆设</t>
  </si>
  <si>
    <t>书柜</t>
  </si>
  <si>
    <t>4星</t>
  </si>
  <si>
    <t>洞天宝鉴奖励图纸(第四回)</t>
  </si>
  <si>
    <t>商店购买图纸(洞天百宝)</t>
  </si>
  <si>
    <t>桌子</t>
  </si>
  <si>
    <t>3星</t>
  </si>
  <si>
    <t>小型摆设</t>
  </si>
  <si>
    <t>椅子</t>
  </si>
  <si>
    <t>地毯</t>
  </si>
  <si>
    <t>摆件</t>
  </si>
  <si>
    <t>盆景</t>
  </si>
  <si>
    <t>器物</t>
  </si>
  <si>
    <t>商店购买图纸(洞天百宝), 洞天宝鉴奖励实物(第一回)</t>
  </si>
  <si>
    <t>柔风低语间</t>
  </si>
  <si>
    <t>柜子</t>
  </si>
  <si>
    <t>床</t>
  </si>
  <si>
    <t>饰品</t>
  </si>
  <si>
    <t>灯具</t>
  </si>
  <si>
    <t>洞天宝鉴奖励图纸(第一回)</t>
  </si>
  <si>
    <t>绯云文斋</t>
  </si>
  <si>
    <t>烟霞入梦阁</t>
  </si>
  <si>
    <t>秘术研究所</t>
  </si>
  <si>
    <t>柴烟庖屋</t>
  </si>
  <si>
    <t>洞天宝鉴奖励图纸(第二回)</t>
  </si>
  <si>
    <t>2星</t>
  </si>
  <si>
    <t>遐久瞬梦间</t>
  </si>
  <si>
    <t>商店购买图纸(2.2洞天百宝)</t>
  </si>
  <si>
    <t>千振致业</t>
  </si>
  <si>
    <t>沉墨书舍</t>
  </si>
  <si>
    <t>大世界宝箱图纸(鹤观—奇馈宝箱)</t>
  </si>
  <si>
    <t>套装图纸鹤观宝箱获取</t>
  </si>
  <si>
    <t>枫香茶雾一室中</t>
  </si>
  <si>
    <t>柜台</t>
  </si>
  <si>
    <t>声望赠送图纸(稻妻6级)</t>
  </si>
  <si>
    <t>兵刃锻造站</t>
  </si>
  <si>
    <t>建筑</t>
  </si>
  <si>
    <t>商户风格</t>
  </si>
  <si>
    <t>商店购买图纸(洞天百宝), 任务奖励实物(翠石砌玉壶·其一)</t>
  </si>
  <si>
    <t>地貌</t>
  </si>
  <si>
    <t>岩石</t>
  </si>
  <si>
    <t>商店购买实物(洞天百宝)</t>
  </si>
  <si>
    <t>乔木</t>
  </si>
  <si>
    <t>灌木</t>
  </si>
  <si>
    <t>景观</t>
  </si>
  <si>
    <t>室外摆设</t>
  </si>
  <si>
    <t>牧歌之镇</t>
  </si>
  <si>
    <t>蒙德风格</t>
  </si>
  <si>
    <t>洞天宝鉴奖励图纸(第三回)</t>
  </si>
  <si>
    <t>商店购买实物(洞天百宝), 洞天宝鉴奖励实物(第二回)</t>
  </si>
  <si>
    <t>物件</t>
  </si>
  <si>
    <t>花鸟公园</t>
  </si>
  <si>
    <t>庭院</t>
  </si>
  <si>
    <t>大型饰品</t>
  </si>
  <si>
    <t>信任等阶奖励图纸(9级)</t>
  </si>
  <si>
    <t>千家饔飧坊</t>
  </si>
  <si>
    <t>百里琳琅街</t>
  </si>
  <si>
    <t>自由摊位</t>
  </si>
  <si>
    <t>轻策闲云居</t>
  </si>
  <si>
    <t>院墙</t>
  </si>
  <si>
    <t>璃月风格</t>
  </si>
  <si>
    <t>信任等阶奖励图纸(10级)</t>
  </si>
  <si>
    <t>围栏</t>
  </si>
  <si>
    <t>狩猎与歌舞之营</t>
  </si>
  <si>
    <t>信任等阶奖励图纸(7级)</t>
  </si>
  <si>
    <t>信任等阶奖励图纸(5级)</t>
  </si>
  <si>
    <t>丘丘风格</t>
  </si>
  <si>
    <t>信任等阶奖励图纸(6级)</t>
  </si>
  <si>
    <t>信任等阶奖励图纸(8级)</t>
  </si>
  <si>
    <t>星辰与深渊之旅</t>
  </si>
  <si>
    <t>商店购买图纸(歌德)</t>
  </si>
  <si>
    <t>商店购买图纸(路爷)</t>
  </si>
  <si>
    <t>晨曦果园</t>
  </si>
  <si>
    <t>花坛</t>
  </si>
  <si>
    <t>正格之庭</t>
  </si>
  <si>
    <t>稻妻风格</t>
  </si>
  <si>
    <t>商店购买实物(2.2洞天百宝)</t>
  </si>
  <si>
    <t>任务奖励图纸(清籁逐雷记·其四)</t>
  </si>
  <si>
    <t>任务奖励图纸(月浴之渊最终场景击碎岩石后宝箱)</t>
  </si>
  <si>
    <t>醒意汤泉</t>
  </si>
  <si>
    <t>村中匿影</t>
  </si>
  <si>
    <t>枝社旧绪</t>
  </si>
  <si>
    <t>地面</t>
  </si>
  <si>
    <t>千军致戎演兵场</t>
  </si>
  <si>
    <t>琼片遍郁野</t>
  </si>
  <si>
    <t>夏夜的追想</t>
  </si>
  <si>
    <t>樱染的街巷</t>
  </si>
  <si>
    <t>商店购买图纸(2.1洞天百宝)</t>
  </si>
  <si>
    <t>垂香木厨房货架</t>
  </si>
  <si>
    <t>商店购买实物(1.5洞天百宝)</t>
  </si>
  <si>
    <t>开顶杉木货架</t>
  </si>
  <si>
    <t>组合式杉木货柜</t>
  </si>
  <si>
    <t>高大的桦木衣柜</t>
  </si>
  <si>
    <t>商店购买图纸(1.5洞天百宝)</t>
  </si>
  <si>
    <t>却砂木金纹衣柜</t>
  </si>
  <si>
    <t>孔雀木「万角」货柜</t>
  </si>
  <si>
    <t>孔雀木「不染」橱柜</t>
  </si>
  <si>
    <t>梦见木「露隐」衣柜</t>
  </si>
  <si>
    <t>图书馆双层书架</t>
  </si>
  <si>
    <t>萃华木臻品书架</t>
  </si>
  <si>
    <t>萃华木经济书架</t>
  </si>
  <si>
    <t>「司书的宝库」</t>
  </si>
  <si>
    <t>朱漆垂香木卷轴书架</t>
  </si>
  <si>
    <t>朱漆垂香木百宝阁</t>
  </si>
  <si>
    <t>垂香木商铺立柜</t>
  </si>
  <si>
    <t>枫木书柜—「墨染书心」</t>
  </si>
  <si>
    <t>枫木书柜—「千卷柜藏」</t>
  </si>
  <si>
    <t>厚重的图书馆长桌</t>
  </si>
  <si>
    <t>骑士团的办公桌</t>
  </si>
  <si>
    <t>便携炉灶</t>
  </si>
  <si>
    <t>菱形桌布的长桌</t>
  </si>
  <si>
    <t>商店购买图纸(1.5洞天百宝), 洞天宝鉴奖励实物(第一回)</t>
  </si>
  <si>
    <t>木纹雅致的书法桌案</t>
  </si>
  <si>
    <t>松木方形茶桌</t>
  </si>
  <si>
    <t>稳固的桦木梳妆台</t>
  </si>
  <si>
    <t>梦见木「冷暖一桌」被炉</t>
  </si>
  <si>
    <t>孔雀木「石定」茶桌</t>
  </si>
  <si>
    <t>茶室长桌—「座无隙」</t>
  </si>
  <si>
    <t>茶室柜台—「十四丸」</t>
  </si>
  <si>
    <t>柔风加护的床榻</t>
  </si>
  <si>
    <t>烟霞云梦榻</t>
  </si>
  <si>
    <t>梦见木「樱眠」床榻</t>
  </si>
  <si>
    <t>茶室圆凳—「折痛辞」</t>
  </si>
  <si>
    <t>柔软的会客厅沙发</t>
  </si>
  <si>
    <t>「晴空蓝的午后」</t>
  </si>
  <si>
    <t>「坚定意志」</t>
  </si>
  <si>
    <t>松木餐椅</t>
  </si>
  <si>
    <t>松木靠背茶椅</t>
  </si>
  <si>
    <t>松木朱漆圆凳</t>
  </si>
  <si>
    <t>松木折屏—「云来帆影」</t>
  </si>
  <si>
    <t>桦木双屉床头柜</t>
  </si>
  <si>
    <t>却砂木金纹床头柜</t>
  </si>
  <si>
    <t>梦见木「礼待」着物架</t>
  </si>
  <si>
    <t>茶室坐垫—「晚禾织」</t>
  </si>
  <si>
    <t>枫木仪鼓—「宴奏」</t>
  </si>
  <si>
    <t>茶室屏风—「垢身金心」</t>
  </si>
  <si>
    <t>宗传刀架—「四常法」</t>
  </si>
  <si>
    <t>旗本重铠—「影阵玄甲」</t>
  </si>
  <si>
    <t>梦见木「入画」折屏</t>
  </si>
  <si>
    <t>蒙德地毯—「明红的热忱」</t>
  </si>
  <si>
    <t>迎宾地毯—「惠然之顾」</t>
  </si>
  <si>
    <t>恒亮不熄的提灯</t>
  </si>
  <si>
    <t>琉璃亭却砂木立灯</t>
  </si>
  <si>
    <t>贝壳灯罩硬质台灯</t>
  </si>
  <si>
    <t>枫木地灯—「照澄」</t>
  </si>
  <si>
    <t>绿植盆栽—「澄澈的清风」</t>
  </si>
  <si>
    <t>花卉瓶栽—「盛放的曙红」</t>
  </si>
  <si>
    <t>绿植盆栽—「松青尺树上」</t>
  </si>
  <si>
    <t>「铸瓷正则」</t>
  </si>
  <si>
    <t>「素守之瓶」</t>
  </si>
  <si>
    <t>整齐叠放的书本</t>
  </si>
  <si>
    <t>「学者的倦怠」</t>
  </si>
  <si>
    <t>「书信的礼节」</t>
  </si>
  <si>
    <t>精巧的沙漏摆件</t>
  </si>
  <si>
    <t>炼金装置—「水火之间」</t>
  </si>
  <si>
    <t>炼金器件—「尘埃的重量」</t>
  </si>
  <si>
    <t>纸墨笔砚—「临池学书」</t>
  </si>
  <si>
    <t>金色三重烛台</t>
  </si>
  <si>
    <t>白瓷茶具—「怀质抱真」</t>
  </si>
  <si>
    <t>商店购买图纸(1.6洞天百宝)</t>
  </si>
  <si>
    <t>茶室烛台—「无味火」</t>
  </si>
  <si>
    <t>「茶烟笼白榻」</t>
  </si>
  <si>
    <t>茶室器物—「锁香笼」</t>
  </si>
  <si>
    <t>纸墨笔砚—「正定笔锋」</t>
  </si>
  <si>
    <t>破邪之弦镝</t>
  </si>
  <si>
    <t>驱鬼之羽屏</t>
  </si>
  <si>
    <t>孔雀木「并提」层叠木匣</t>
  </si>
  <si>
    <t>「赤铁珊瑚」</t>
  </si>
  <si>
    <t>三眼守仙牌</t>
  </si>
  <si>
    <t>要地牙门—「云底之能」</t>
  </si>
  <si>
    <t>要地栏楯—「约己之壁」</t>
  </si>
  <si>
    <t>栏楯转角—「瞩视无遗」</t>
  </si>
  <si>
    <t>御伽木「近竹」院门</t>
  </si>
  <si>
    <t>御伽木「近竹」围栏</t>
  </si>
  <si>
    <t>阵屋正门—「忠肃」</t>
  </si>
  <si>
    <t>阵屋围栏—「错牙」</t>
  </si>
  <si>
    <t>阵屋围栏—「截断」</t>
  </si>
  <si>
    <t>阵屋桩木—「苦刺」</t>
  </si>
  <si>
    <t>温泉屏风—「适分」</t>
  </si>
  <si>
    <t>温泉外墙—「无越」</t>
  </si>
  <si>
    <t>温泉墙板—「稳足」</t>
  </si>
  <si>
    <t>温泉门厅—「避凉」</t>
  </si>
  <si>
    <t>花鸟喷泉</t>
  </si>
  <si>
    <t>丘丘螺旋瞭望塔</t>
  </si>
  <si>
    <t>丘丘简易草棚</t>
  </si>
  <si>
    <t>工程暂驻点</t>
  </si>
  <si>
    <t>白石温泉—「暖漫」</t>
  </si>
  <si>
    <t>璃月商铺—「客聚如潮」</t>
  </si>
  <si>
    <t>璃月民居—「岁不我与」</t>
  </si>
  <si>
    <t>高大阁楼的乡间住宅</t>
  </si>
  <si>
    <t>古典乡间住宅</t>
  </si>
  <si>
    <t>袖珍松木小屋</t>
  </si>
  <si>
    <t>丘丘前哨小屋</t>
  </si>
  <si>
    <t>丘丘领袖大殿</t>
  </si>
  <si>
    <t>丘丘双层警戒台</t>
  </si>
  <si>
    <t>御伽木拉面屋台</t>
  </si>
  <si>
    <t>开放式烘炉工坊</t>
  </si>
  <si>
    <t>商店购买图纸(1.5洞天百宝), 任务奖励实物(翠石砌玉壶·其一)</t>
  </si>
  <si>
    <t>「行商石门北」</t>
  </si>
  <si>
    <t>卷棚果蔬舆</t>
  </si>
  <si>
    <t>「百味四宫釜」</t>
  </si>
  <si>
    <t>果蔬摊—「案上田园」</t>
  </si>
  <si>
    <t>「云游碧水东」</t>
  </si>
  <si>
    <t>干草货棚</t>
  </si>
  <si>
    <t>硬顶避雷帐篷</t>
  </si>
  <si>
    <t>商店购买图纸(1.5歌德)</t>
  </si>
  <si>
    <t>简易单人帐篷</t>
  </si>
  <si>
    <t>御伽木市井杂煮屋台</t>
  </si>
  <si>
    <t>花伞铺—「异梦绮彩」</t>
  </si>
  <si>
    <t>果蔬摊—「纯诚之味」</t>
  </si>
  <si>
    <t>祭典「定番」百货屋台</t>
  </si>
  <si>
    <t>祭典「奇番」百货屋台</t>
  </si>
  <si>
    <t>孔雀木「幸归」面具架</t>
  </si>
  <si>
    <t>「恒诰之龛」</t>
  </si>
  <si>
    <t>「净绪之龛」</t>
  </si>
  <si>
    <t>稻妻商铺—「千瑜百珉」</t>
  </si>
  <si>
    <t>稻妻民居—「三世共业」</t>
  </si>
  <si>
    <t>稻妻民居—「知变易通」</t>
  </si>
  <si>
    <t>稻妻筱屋—「静度岁晏」</t>
  </si>
  <si>
    <t>稻妻筱屋—「野逸入心」</t>
  </si>
  <si>
    <t>稻妻官邸—「严谕正办」</t>
  </si>
  <si>
    <t>官邸回廊—「势至权达」</t>
  </si>
  <si>
    <t>阵屋哨塔—「洞鉴」</t>
  </si>
  <si>
    <t>阵屋行帐—「时策」</t>
  </si>
  <si>
    <t>阵屋营房—「周固」</t>
  </si>
  <si>
    <t>御神签务所—「兆解」</t>
  </si>
  <si>
    <t>伏青石</t>
  </si>
  <si>
    <t>商店购买实物(1.5洞天百宝), 洞天宝鉴奖励实物(第二回)</t>
  </si>
  <si>
    <t>纤拳石</t>
  </si>
  <si>
    <t>「代宫司之印」</t>
  </si>
  <si>
    <t>寂修石</t>
  </si>
  <si>
    <t>涉浪石</t>
  </si>
  <si>
    <t>温泉白石—「秘火」</t>
  </si>
  <si>
    <t>「归风的苍色」</t>
  </si>
  <si>
    <t>天衡赤枫—「红叶如灼」</t>
  </si>
  <si>
    <t>茁壮的萃华树</t>
  </si>
  <si>
    <t>「花咲初退红」</t>
  </si>
  <si>
    <t>「春惜一斤染」</t>
  </si>
  <si>
    <t>「红鸢问寝觉」</t>
  </si>
  <si>
    <t>「纁漫雁来中」</t>
  </si>
  <si>
    <t>「片叶苏芳缀银朱」</t>
  </si>
  <si>
    <t>正逢花期的灌木丛</t>
  </si>
  <si>
    <t>「明冠羽叶」</t>
  </si>
  <si>
    <t>青衫景铄</t>
  </si>
  <si>
    <t>青衫问寒</t>
  </si>
  <si>
    <t>丛生蝶绿</t>
  </si>
  <si>
    <t>「猎人的暗哨」</t>
  </si>
  <si>
    <t>「紫苑叹幽弘」</t>
  </si>
  <si>
    <t>「影徙露草自伤悼」</t>
  </si>
  <si>
    <t>「晚花空言约」</t>
  </si>
  <si>
    <t>「薄红榴璃散千瓣」</t>
  </si>
  <si>
    <t>阵屋半钟—「轰雷之音」</t>
  </si>
  <si>
    <t>军势钲鼓—「破阵余响」</t>
  </si>
  <si>
    <t>御伽木「但饮」木桶</t>
  </si>
  <si>
    <t>厚壁「石胆」陶制水缸</t>
  </si>
  <si>
    <t>古法新造御伽木酒桶</t>
  </si>
  <si>
    <t>古法新造御伽木货箱</t>
  </si>
  <si>
    <t>交错放置的杉木货箱</t>
  </si>
  <si>
    <t>有序叠放的杉木酒桶</t>
  </si>
  <si>
    <t>沉甸甸的干草卷</t>
  </si>
  <si>
    <t>竹框酒坛—「琼浆待月往」</t>
  </si>
  <si>
    <t>玩具摊—「琳琅生趣」</t>
  </si>
  <si>
    <t>花伞铺—「簦下千彩」</t>
  </si>
  <si>
    <t>储物袋—「隐雷退散」</t>
  </si>
  <si>
    <t>果蔬商贩的谨慎</t>
  </si>
  <si>
    <t>丘丘弓箭标靶</t>
  </si>
  <si>
    <t>丘丘带角陶锅</t>
  </si>
  <si>
    <t>枯木方向标</t>
  </si>
  <si>
    <t>「冒险家难逃之重」</t>
  </si>
  <si>
    <t>商店购买图纸(1.5路爷)</t>
  </si>
  <si>
    <t>结实的木桶</t>
  </si>
  <si>
    <t>高耸的木杆</t>
  </si>
  <si>
    <t>石制盏形水池</t>
  </si>
  <si>
    <t>转移壅土的木桶</t>
  </si>
  <si>
    <t>梦见木「灾祛」御签挂</t>
  </si>
  <si>
    <t>御建鸣神主尊旗</t>
  </si>
  <si>
    <t>阵屋枪架—「尖破」</t>
  </si>
  <si>
    <t>天狐雕像—「白辰嗣响」</t>
  </si>
  <si>
    <t>晴空缯彩游鱼旗</t>
  </si>
  <si>
    <t>梦见木「诚见」赛钱箱</t>
  </si>
  <si>
    <t>乡野水井—「下索密藏」</t>
  </si>
  <si>
    <t>杉木置物架</t>
  </si>
  <si>
    <t>杉木武器架</t>
  </si>
  <si>
    <t>硬木兵戈架</t>
  </si>
  <si>
    <t>简易货运拖车</t>
  </si>
  <si>
    <t>硬石加固的水井</t>
  </si>
  <si>
    <t>旧式水井</t>
  </si>
  <si>
    <t>硬顶水井—「但求虚澈」</t>
  </si>
  <si>
    <t>「冒险家的随身秘宝」</t>
  </si>
  <si>
    <t>五重灯笼祭典门关</t>
  </si>
  <si>
    <t>梦见木「空怀」路灯</t>
  </si>
  <si>
    <t>鱼脂白烛—「傍明」</t>
  </si>
  <si>
    <t>御伽木郊野路灯</t>
  </si>
  <si>
    <t>御伽木简本路灯</t>
  </si>
  <si>
    <t>铁艺雕花路灯</t>
  </si>
  <si>
    <t>野外松木路灯</t>
  </si>
  <si>
    <t>退邪灯—「明照左右」</t>
  </si>
  <si>
    <t>清影灯—「笔锋墨影」</t>
  </si>
  <si>
    <t>「果农的勤俭」</t>
  </si>
  <si>
    <t>卸力的松木围栏</t>
  </si>
  <si>
    <t>丘丘木制围栏</t>
  </si>
  <si>
    <t>丘丘图腾围栏</t>
  </si>
  <si>
    <t>葱郁的葡萄藤</t>
  </si>
  <si>
    <t>简易木制围栏</t>
  </si>
  <si>
    <t>施工过半的围栏</t>
  </si>
  <si>
    <t>御伽木「乐至」方凳</t>
  </si>
  <si>
    <t>平整的木制长凳</t>
  </si>
  <si>
    <t>平整的石制长凳</t>
  </si>
  <si>
    <t>御伽木「乐至」方桌</t>
  </si>
  <si>
    <t>重型杉木锻造桌</t>
  </si>
  <si>
    <t>宽大的松木长桌</t>
  </si>
  <si>
    <t>大型石制滚磨</t>
  </si>
  <si>
    <t>双重商摊—「运势层层高」</t>
  </si>
  <si>
    <t>竹制露天茶桌</t>
  </si>
  <si>
    <t>木制露天茶桌</t>
  </si>
  <si>
    <t>酒肆货柜—「会须百杯饮」</t>
  </si>
  <si>
    <t>抗浪结构双层货盘</t>
  </si>
  <si>
    <t>铸石地基—「修身砥行」</t>
  </si>
  <si>
    <t>铸石地基—「随车致雨」</t>
  </si>
  <si>
    <t>铸石地基—「倍道兼行」</t>
  </si>
  <si>
    <t>更新内容</t>
  </si>
  <si>
    <t>更改星级描述错误，添加首行锁定</t>
  </si>
  <si>
    <t>更新神里绫人对应套装</t>
  </si>
  <si>
    <t>更新夜兰 久岐忍对应套装</t>
  </si>
  <si>
    <t>将角色拥有情况改为游戏内默认排序，以避免粘贴后新角色消失的情况</t>
  </si>
  <si>
    <t>麻烦老用户重新填一遍BOX，非常抱歉</t>
  </si>
  <si>
    <t>删除无用的“序号”列</t>
  </si>
  <si>
    <t>修正垂香木厨房货架的星级</t>
  </si>
  <si>
    <t>修正一些数据错误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</si>
</sst>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indexed="8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sz val="11"/>
      <name val="等线"/>
      <charset val="134"/>
      <scheme val="minor"/>
    </font>
    <font>
      <sz val="11"/>
      <color rgb="FF0070C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6"/>
      <name val="楷体"/>
      <charset val="134"/>
    </font>
    <font>
      <sz val="11"/>
      <name val="楷体"/>
      <charset val="134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DDBFF"/>
        <bgColor indexed="64"/>
      </patternFill>
    </fill>
    <fill>
      <patternFill patternType="solid">
        <fgColor rgb="FFCAA8E5"/>
        <bgColor indexed="64"/>
      </patternFill>
    </fill>
    <fill>
      <patternFill patternType="solid">
        <fgColor rgb="FFC9E8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/>
      <right/>
      <top/>
      <bottom style="thin">
        <color rgb="FFE7E6E6"/>
      </bottom>
      <diagonal/>
    </border>
    <border>
      <left/>
      <right style="medium">
        <color rgb="FFE7E6E6"/>
      </right>
      <top/>
      <bottom style="thin">
        <color rgb="FFE7E6E6"/>
      </bottom>
      <diagonal/>
    </border>
    <border>
      <left style="thin">
        <color rgb="FF9D9D9D"/>
      </left>
      <right style="thin">
        <color rgb="FF9D9D9D"/>
      </right>
      <top style="thin">
        <color rgb="FF9D9D9D"/>
      </top>
      <bottom style="thin">
        <color rgb="FF9D9D9D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21" borderId="9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37"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2" fillId="0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5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6" borderId="4" xfId="0" applyNumberFormat="1" applyFont="1" applyFill="1" applyBorder="1" applyAlignment="1">
      <alignment horizontal="center" vertical="center" wrapText="1"/>
    </xf>
    <xf numFmtId="0" fontId="4" fillId="6" borderId="4" xfId="10" applyNumberFormat="1" applyFont="1" applyFill="1" applyBorder="1" applyAlignment="1">
      <alignment horizontal="center"/>
    </xf>
    <xf numFmtId="0" fontId="2" fillId="6" borderId="4" xfId="0" applyNumberFormat="1" applyFont="1" applyFill="1" applyBorder="1" applyAlignment="1">
      <alignment horizontal="center"/>
    </xf>
    <xf numFmtId="0" fontId="2" fillId="6" borderId="4" xfId="0" applyNumberFormat="1" applyFont="1" applyFill="1" applyBorder="1" applyAlignment="1"/>
    <xf numFmtId="0" fontId="2" fillId="4" borderId="4" xfId="0" applyNumberFormat="1" applyFont="1" applyFill="1" applyBorder="1" applyAlignment="1">
      <alignment horizontal="center"/>
    </xf>
    <xf numFmtId="0" fontId="5" fillId="0" borderId="5" xfId="0" applyNumberFormat="1" applyFont="1" applyFill="1" applyBorder="1">
      <alignment vertical="center"/>
    </xf>
    <xf numFmtId="0" fontId="2" fillId="3" borderId="4" xfId="0" applyNumberFormat="1" applyFont="1" applyFill="1" applyBorder="1" applyAlignment="1">
      <alignment horizontal="center"/>
    </xf>
    <xf numFmtId="0" fontId="5" fillId="6" borderId="4" xfId="0" applyNumberFormat="1" applyFont="1" applyFill="1" applyBorder="1">
      <alignment vertical="center"/>
    </xf>
    <xf numFmtId="0" fontId="2" fillId="5" borderId="4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0" fontId="5" fillId="0" borderId="6" xfId="0" applyNumberFormat="1" applyFont="1" applyFill="1" applyBorder="1">
      <alignment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8" fillId="0" borderId="0" xfId="10" applyAlignment="1">
      <alignment horizontal="center" vertical="center"/>
    </xf>
    <xf numFmtId="0" fontId="4" fillId="0" borderId="0" xfId="10" applyFont="1" applyFill="1" applyAlignment="1">
      <alignment horizontal="center" vertical="center"/>
    </xf>
    <xf numFmtId="0" fontId="8" fillId="0" borderId="0" xfId="1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CAA8E5"/>
      <color rgb="006DDBFF"/>
      <color rgb="00C9E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0"/>
  <sheetViews>
    <sheetView workbookViewId="0">
      <selection activeCell="C19" sqref="C19"/>
    </sheetView>
  </sheetViews>
  <sheetFormatPr defaultColWidth="9" defaultRowHeight="14.25"/>
  <cols>
    <col min="1" max="1" width="14.375" style="28" customWidth="1"/>
    <col min="2" max="2" width="35.25" style="28" customWidth="1"/>
    <col min="3" max="3" width="18" style="28" customWidth="1"/>
    <col min="4" max="16383" width="9" style="28"/>
  </cols>
  <sheetData>
    <row r="1" s="28" customFormat="1" ht="20.25" spans="1:19">
      <c r="A1" s="30" t="s">
        <v>0</v>
      </c>
      <c r="B1" s="30" t="s">
        <v>1</v>
      </c>
      <c r="C1" s="30" t="s">
        <v>2</v>
      </c>
      <c r="I1"/>
      <c r="J1"/>
      <c r="K1" s="35" t="s">
        <v>3</v>
      </c>
      <c r="L1" s="36"/>
      <c r="M1" s="36"/>
      <c r="N1"/>
      <c r="O1"/>
      <c r="P1"/>
      <c r="Q1"/>
      <c r="R1"/>
      <c r="S1"/>
    </row>
    <row r="2" s="29" customFormat="1" spans="1:19">
      <c r="A2" s="31" t="str">
        <f>HYPERLINK("#套装!诗歌沉思间","诗歌沉思间")</f>
        <v>诗歌沉思间</v>
      </c>
      <c r="B2" s="29" t="s">
        <v>4</v>
      </c>
      <c r="C2" s="29">
        <f>SUM(L33,L16,L4,L11,L19)</f>
        <v>1</v>
      </c>
      <c r="I2"/>
      <c r="J2"/>
      <c r="K2" s="29" t="s">
        <v>5</v>
      </c>
      <c r="L2" s="29">
        <v>1</v>
      </c>
      <c r="M2" s="28"/>
      <c r="N2"/>
      <c r="O2"/>
      <c r="P2"/>
      <c r="Q2"/>
      <c r="R2"/>
      <c r="S2"/>
    </row>
    <row r="3" s="29" customFormat="1" spans="1:19">
      <c r="A3" s="31" t="str">
        <f>HYPERLINK("#套装!柔风低语间","柔风低语间")</f>
        <v>柔风低语间</v>
      </c>
      <c r="B3" s="29" t="s">
        <v>6</v>
      </c>
      <c r="C3" s="29">
        <f>SUM(L33,L5,L13)</f>
        <v>1</v>
      </c>
      <c r="I3"/>
      <c r="J3"/>
      <c r="K3" s="29" t="s">
        <v>7</v>
      </c>
      <c r="L3" s="29">
        <v>1</v>
      </c>
      <c r="M3" s="28"/>
      <c r="N3"/>
      <c r="O3"/>
      <c r="P3"/>
      <c r="Q3"/>
      <c r="R3"/>
      <c r="S3"/>
    </row>
    <row r="4" s="29" customFormat="1" spans="1:19">
      <c r="A4" s="32" t="str">
        <f>HYPERLINK("#套装!绯云文斋","绯云文斋")</f>
        <v>绯云文斋</v>
      </c>
      <c r="B4" s="29" t="s">
        <v>8</v>
      </c>
      <c r="C4" s="29">
        <f>SUM(L9,L10,L26,L45)</f>
        <v>0</v>
      </c>
      <c r="I4"/>
      <c r="J4"/>
      <c r="K4" s="29" t="s">
        <v>9</v>
      </c>
      <c r="L4" s="29">
        <v>1</v>
      </c>
      <c r="M4" s="28"/>
      <c r="N4"/>
      <c r="O4"/>
      <c r="P4"/>
      <c r="Q4"/>
      <c r="R4"/>
      <c r="S4"/>
    </row>
    <row r="5" s="29" customFormat="1" spans="1:19">
      <c r="A5" s="32" t="str">
        <f>HYPERLINK("#套装!烟霞入梦阁","烟霞入梦阁")</f>
        <v>烟霞入梦阁</v>
      </c>
      <c r="B5" s="29" t="s">
        <v>10</v>
      </c>
      <c r="C5" s="29">
        <f>SUM(L32,L14,L28,L20,L30)</f>
        <v>0</v>
      </c>
      <c r="I5"/>
      <c r="J5"/>
      <c r="K5" s="29" t="s">
        <v>11</v>
      </c>
      <c r="L5" s="29">
        <v>1</v>
      </c>
      <c r="M5" s="28"/>
      <c r="N5"/>
      <c r="O5"/>
      <c r="P5"/>
      <c r="Q5"/>
      <c r="R5"/>
      <c r="S5"/>
    </row>
    <row r="6" s="29" customFormat="1" spans="1:19">
      <c r="A6" s="32" t="str">
        <f>HYPERLINK("#套装!秘术研究所","秘术研究所")</f>
        <v>秘术研究所</v>
      </c>
      <c r="B6" s="29" t="s">
        <v>12</v>
      </c>
      <c r="C6" s="29">
        <f>SUM(L4,L22,L27,L15)</f>
        <v>1</v>
      </c>
      <c r="I6"/>
      <c r="J6"/>
      <c r="K6" s="29" t="s">
        <v>13</v>
      </c>
      <c r="M6" s="28"/>
      <c r="N6"/>
      <c r="O6"/>
      <c r="P6"/>
      <c r="Q6"/>
      <c r="R6"/>
      <c r="S6"/>
    </row>
    <row r="7" s="29" customFormat="1" spans="1:19">
      <c r="A7" s="32" t="str">
        <f>HYPERLINK("#套装!柴烟庖屋","柴烟庖屋")</f>
        <v>柴烟庖屋</v>
      </c>
      <c r="B7" s="29" t="s">
        <v>14</v>
      </c>
      <c r="C7" s="29">
        <f>SUM(L7,L6,L29,L24,L19)</f>
        <v>1</v>
      </c>
      <c r="I7"/>
      <c r="J7"/>
      <c r="K7" s="29" t="s">
        <v>15</v>
      </c>
      <c r="L7" s="29">
        <v>1</v>
      </c>
      <c r="M7" s="28"/>
      <c r="N7"/>
      <c r="O7"/>
      <c r="P7"/>
      <c r="Q7"/>
      <c r="R7"/>
      <c r="S7"/>
    </row>
    <row r="8" s="29" customFormat="1" spans="1:19">
      <c r="A8" s="33" t="str">
        <f>HYPERLINK("#套装!遐久瞬梦间","遐久瞬梦间")</f>
        <v>遐久瞬梦间</v>
      </c>
      <c r="B8" s="29" t="s">
        <v>16</v>
      </c>
      <c r="C8" s="29">
        <f>SUM(L36,L41)</f>
        <v>0</v>
      </c>
      <c r="I8"/>
      <c r="J8"/>
      <c r="K8" s="29" t="s">
        <v>17</v>
      </c>
      <c r="M8" s="28"/>
      <c r="N8"/>
      <c r="O8"/>
      <c r="P8"/>
      <c r="Q8"/>
      <c r="R8"/>
      <c r="S8"/>
    </row>
    <row r="9" s="29" customFormat="1" spans="1:19">
      <c r="A9" s="34" t="str">
        <f>HYPERLINK("#套装!千振致业","千振致业")</f>
        <v>千振致业</v>
      </c>
      <c r="B9" s="29" t="s">
        <v>18</v>
      </c>
      <c r="C9" s="29">
        <f>SUM(L35,L40)</f>
        <v>0</v>
      </c>
      <c r="I9"/>
      <c r="J9"/>
      <c r="K9" s="29" t="s">
        <v>19</v>
      </c>
      <c r="M9" s="28"/>
      <c r="N9"/>
      <c r="O9"/>
      <c r="P9"/>
      <c r="Q9"/>
      <c r="R9"/>
      <c r="S9"/>
    </row>
    <row r="10" s="29" customFormat="1" spans="1:19">
      <c r="A10" s="34" t="str">
        <f>HYPERLINK("#套装!沉墨书舍","沉墨书舍")</f>
        <v>沉墨书舍</v>
      </c>
      <c r="B10" s="29" t="s">
        <v>20</v>
      </c>
      <c r="C10" s="29">
        <f>SUM(L41,L50)</f>
        <v>0</v>
      </c>
      <c r="I10"/>
      <c r="J10"/>
      <c r="K10" s="29" t="s">
        <v>21</v>
      </c>
      <c r="M10" s="28"/>
      <c r="N10"/>
      <c r="O10"/>
      <c r="P10"/>
      <c r="Q10"/>
      <c r="R10"/>
      <c r="S10"/>
    </row>
    <row r="11" s="29" customFormat="1" spans="1:19">
      <c r="A11" s="33" t="str">
        <f>HYPERLINK("#套装!枫香茶雾一室中","枫香茶雾一室中")</f>
        <v>枫香茶雾一室中</v>
      </c>
      <c r="B11" s="29" t="s">
        <v>22</v>
      </c>
      <c r="C11" s="29">
        <f>SUM(L34,L42)</f>
        <v>0</v>
      </c>
      <c r="I11"/>
      <c r="J11"/>
      <c r="K11" s="29" t="s">
        <v>23</v>
      </c>
      <c r="M11" s="28"/>
      <c r="N11"/>
      <c r="O11"/>
      <c r="P11"/>
      <c r="Q11"/>
      <c r="R11"/>
      <c r="S11"/>
    </row>
    <row r="12" s="29" customFormat="1" spans="11:13">
      <c r="K12" s="29" t="s">
        <v>24</v>
      </c>
      <c r="M12" s="28"/>
    </row>
    <row r="13" s="29" customFormat="1" spans="1:13">
      <c r="A13" s="34" t="str">
        <f>HYPERLINK("#套装!兵刃锻造站","兵刃锻造站")</f>
        <v>兵刃锻造站</v>
      </c>
      <c r="B13" s="29" t="s">
        <v>25</v>
      </c>
      <c r="C13" s="29">
        <f>SUM(L17,L12,L13,L23)</f>
        <v>0</v>
      </c>
      <c r="K13" s="29" t="s">
        <v>26</v>
      </c>
      <c r="M13" s="28"/>
    </row>
    <row r="14" s="29" customFormat="1" spans="1:13">
      <c r="A14" s="34" t="str">
        <f>HYPERLINK("#套装!牧歌之镇","牧歌之镇")</f>
        <v>牧歌之镇</v>
      </c>
      <c r="B14" s="29" t="s">
        <v>27</v>
      </c>
      <c r="C14" s="29">
        <f>SUM(L6,L2,L23)</f>
        <v>1</v>
      </c>
      <c r="K14" s="29" t="s">
        <v>28</v>
      </c>
      <c r="M14" s="28"/>
    </row>
    <row r="15" s="29" customFormat="1" spans="1:13">
      <c r="A15" s="34" t="str">
        <f>HYPERLINK("#套装!花鸟公园","花鸟公园")</f>
        <v>花鸟公园</v>
      </c>
      <c r="B15" s="29" t="s">
        <v>29</v>
      </c>
      <c r="C15" s="29">
        <f>SUM(L16,L5,L3,L21,L31)</f>
        <v>2</v>
      </c>
      <c r="K15" s="29" t="s">
        <v>30</v>
      </c>
      <c r="L15" s="29"/>
      <c r="M15" s="28"/>
    </row>
    <row r="16" s="29" customFormat="1" spans="1:13">
      <c r="A16" s="34" t="str">
        <f>HYPERLINK("#套装!千家饔飧坊","千家饔飧坊")</f>
        <v>千家饔飧坊</v>
      </c>
      <c r="B16" s="29" t="s">
        <v>31</v>
      </c>
      <c r="C16" s="29">
        <f>SUM(L7,L8,L24,L28,L25,L49)</f>
        <v>1</v>
      </c>
      <c r="K16" s="29" t="s">
        <v>32</v>
      </c>
      <c r="L16" s="28"/>
      <c r="M16" s="28"/>
    </row>
    <row r="17" s="29" customFormat="1" spans="1:13">
      <c r="A17" s="34" t="str">
        <f>HYPERLINK("#套装!百里琳琅街","百里琳琅街")</f>
        <v>百里琳琅街</v>
      </c>
      <c r="B17" s="29" t="s">
        <v>33</v>
      </c>
      <c r="C17" s="29">
        <f>SUM(L32,L9,L10,L26,L20,L46,L45)</f>
        <v>0</v>
      </c>
      <c r="K17" s="29" t="s">
        <v>34</v>
      </c>
      <c r="M17" s="28"/>
    </row>
    <row r="18" s="29" customFormat="1" spans="1:13">
      <c r="A18" s="34" t="str">
        <f>HYPERLINK("#套装!轻策闲云居","轻策闲云居")</f>
        <v>轻策闲云居</v>
      </c>
      <c r="B18" s="29" t="s">
        <v>35</v>
      </c>
      <c r="C18" s="29">
        <f>SUM(L29,L18,L25,L30,L46,L49)</f>
        <v>0</v>
      </c>
      <c r="K18" s="29" t="s">
        <v>36</v>
      </c>
      <c r="M18" s="28"/>
    </row>
    <row r="19" s="29" customFormat="1" spans="1:13">
      <c r="A19" s="34" t="str">
        <f>HYPERLINK("#套装!狩猎与歌舞之营","狩猎与歌舞之营")</f>
        <v>狩猎与歌舞之营</v>
      </c>
      <c r="B19" s="29" t="s">
        <v>37</v>
      </c>
      <c r="C19" s="29">
        <f>SUM(L2,L8,L22,L15,L38)</f>
        <v>1</v>
      </c>
      <c r="K19" s="29" t="s">
        <v>38</v>
      </c>
      <c r="M19" s="28"/>
    </row>
    <row r="20" s="29" customFormat="1" spans="1:13">
      <c r="A20" s="34" t="str">
        <f>HYPERLINK("#套装!星辰与深渊之旅","星辰与深渊之旅")</f>
        <v>星辰与深渊之旅</v>
      </c>
      <c r="B20" s="29" t="s">
        <v>39</v>
      </c>
      <c r="C20" s="29">
        <f>SUM(L11,L12,L18,L14,L27,L38)</f>
        <v>0</v>
      </c>
      <c r="K20" s="29" t="s">
        <v>40</v>
      </c>
      <c r="M20" s="28"/>
    </row>
    <row r="21" s="29" customFormat="1" spans="1:13">
      <c r="A21" s="34" t="str">
        <f>HYPERLINK("#套装!晨曦果园","晨曦果园")</f>
        <v>晨曦果园</v>
      </c>
      <c r="B21" s="29" t="s">
        <v>41</v>
      </c>
      <c r="C21" s="29">
        <f>SUM(L17,L3,L21,L31)</f>
        <v>1</v>
      </c>
      <c r="K21" s="29" t="s">
        <v>42</v>
      </c>
      <c r="L21" s="28"/>
      <c r="M21" s="28"/>
    </row>
    <row r="22" s="29" customFormat="1" spans="1:13">
      <c r="A22" s="34" t="str">
        <f>HYPERLINK("#套装!正格之庭","正格之庭")</f>
        <v>正格之庭</v>
      </c>
      <c r="B22" s="29" t="s">
        <v>43</v>
      </c>
      <c r="C22" s="29">
        <f>SUM(L39,L48)</f>
        <v>0</v>
      </c>
      <c r="K22" s="29" t="s">
        <v>44</v>
      </c>
      <c r="M22" s="28"/>
    </row>
    <row r="23" s="29" customFormat="1" spans="1:13">
      <c r="A23" s="34" t="str">
        <f>HYPERLINK("#套装!醒意汤泉","醒意汤泉")</f>
        <v>醒意汤泉</v>
      </c>
      <c r="B23" s="29" t="s">
        <v>45</v>
      </c>
      <c r="C23" s="29">
        <f>SUM(L37,L43,L47)</f>
        <v>0</v>
      </c>
      <c r="K23" s="29" t="s">
        <v>46</v>
      </c>
      <c r="M23" s="28"/>
    </row>
    <row r="24" s="29" customFormat="1" spans="1:13">
      <c r="A24" s="34" t="str">
        <f>HYPERLINK("#套装!村中匿影","村中匿影")</f>
        <v>村中匿影</v>
      </c>
      <c r="B24" s="29" t="s">
        <v>47</v>
      </c>
      <c r="C24" s="29">
        <f>SUM(L36,L43)</f>
        <v>0</v>
      </c>
      <c r="K24" s="29" t="s">
        <v>48</v>
      </c>
      <c r="M24" s="28"/>
    </row>
    <row r="25" s="29" customFormat="1" spans="1:13">
      <c r="A25" s="34" t="str">
        <f>HYPERLINK("#套装!枝社旧绪","枝社旧绪")</f>
        <v>枝社旧绪</v>
      </c>
      <c r="B25" s="29" t="s">
        <v>49</v>
      </c>
      <c r="C25" s="29">
        <f>SUM(L40,L47)</f>
        <v>0</v>
      </c>
      <c r="K25" s="29" t="s">
        <v>50</v>
      </c>
      <c r="M25" s="28"/>
    </row>
    <row r="26" s="29" customFormat="1" spans="1:13">
      <c r="A26" s="33" t="str">
        <f>HYPERLINK("#套装!千军致戎演兵场","千军致戎演兵场")</f>
        <v>千军致戎演兵场</v>
      </c>
      <c r="B26" s="29" t="s">
        <v>51</v>
      </c>
      <c r="C26" s="29">
        <f>SUM(L39)</f>
        <v>0</v>
      </c>
      <c r="K26" s="29" t="s">
        <v>52</v>
      </c>
      <c r="M26" s="28"/>
    </row>
    <row r="27" s="29" customFormat="1" spans="1:13">
      <c r="A27" s="34" t="str">
        <f>HYPERLINK("#套装!琼片遍郁野","琼片遍郁野")</f>
        <v>琼片遍郁野</v>
      </c>
      <c r="B27" s="29" t="s">
        <v>53</v>
      </c>
      <c r="C27" s="29">
        <f>SUM(L34,L44)</f>
        <v>0</v>
      </c>
      <c r="K27" s="29" t="s">
        <v>54</v>
      </c>
      <c r="M27" s="28"/>
    </row>
    <row r="28" s="28" customFormat="1" spans="1:12">
      <c r="A28" s="33" t="str">
        <f>HYPERLINK("#套装!夏夜的追想","夏夜的追想")</f>
        <v>夏夜的追想</v>
      </c>
      <c r="B28" s="28" t="s">
        <v>55</v>
      </c>
      <c r="C28" s="28">
        <f>SUM(L35,L44,L48)</f>
        <v>0</v>
      </c>
      <c r="K28" s="29" t="s">
        <v>56</v>
      </c>
      <c r="L28" s="29"/>
    </row>
    <row r="29" s="28" customFormat="1" spans="1:11">
      <c r="A29" s="34" t="str">
        <f>HYPERLINK("#套装!樱染的街巷","樱染的街巷")</f>
        <v>樱染的街巷</v>
      </c>
      <c r="B29" s="28" t="s">
        <v>57</v>
      </c>
      <c r="C29" s="28">
        <f>SUM(L37,L42,L50)</f>
        <v>0</v>
      </c>
      <c r="K29" s="29" t="s">
        <v>58</v>
      </c>
    </row>
    <row r="30" spans="11:12">
      <c r="K30" s="29" t="s">
        <v>59</v>
      </c>
      <c r="L30" s="29"/>
    </row>
    <row r="31" spans="11:12">
      <c r="K31" s="29" t="s">
        <v>60</v>
      </c>
      <c r="L31" s="29"/>
    </row>
    <row r="32" spans="11:12">
      <c r="K32" s="29" t="s">
        <v>61</v>
      </c>
      <c r="L32" s="29"/>
    </row>
    <row r="33" spans="11:12">
      <c r="K33" s="29" t="s">
        <v>62</v>
      </c>
      <c r="L33" s="29"/>
    </row>
    <row r="34" spans="11:11">
      <c r="K34" s="29" t="s">
        <v>63</v>
      </c>
    </row>
    <row r="35" spans="11:12">
      <c r="K35" s="29" t="s">
        <v>64</v>
      </c>
      <c r="L35" s="29"/>
    </row>
    <row r="36" spans="11:11">
      <c r="K36" s="29" t="s">
        <v>65</v>
      </c>
    </row>
    <row r="37" spans="11:12">
      <c r="K37" s="29" t="s">
        <v>66</v>
      </c>
      <c r="L37" s="29"/>
    </row>
    <row r="38" spans="11:12">
      <c r="K38" s="29" t="s">
        <v>67</v>
      </c>
      <c r="L38" s="29"/>
    </row>
    <row r="39" spans="11:12">
      <c r="K39" s="29" t="s">
        <v>51</v>
      </c>
      <c r="L39" s="29"/>
    </row>
    <row r="40" spans="11:12">
      <c r="K40" s="29" t="s">
        <v>68</v>
      </c>
      <c r="L40" s="29"/>
    </row>
    <row r="41" spans="11:12">
      <c r="K41" s="29" t="s">
        <v>69</v>
      </c>
      <c r="L41" s="29"/>
    </row>
    <row r="42" spans="11:12">
      <c r="K42" s="29" t="s">
        <v>70</v>
      </c>
      <c r="L42" s="29"/>
    </row>
    <row r="43" spans="11:12">
      <c r="K43" s="29" t="s">
        <v>71</v>
      </c>
      <c r="L43" s="29"/>
    </row>
    <row r="44" spans="11:12">
      <c r="K44" s="29" t="s">
        <v>72</v>
      </c>
      <c r="L44" s="29"/>
    </row>
    <row r="45" spans="11:12">
      <c r="K45" s="29" t="s">
        <v>73</v>
      </c>
      <c r="L45" s="29"/>
    </row>
    <row r="46" spans="11:12">
      <c r="K46" s="29" t="s">
        <v>74</v>
      </c>
      <c r="L46" s="29"/>
    </row>
    <row r="47" spans="11:12">
      <c r="K47" s="29" t="s">
        <v>75</v>
      </c>
      <c r="L47" s="29"/>
    </row>
    <row r="48" spans="11:12">
      <c r="K48" s="29" t="s">
        <v>76</v>
      </c>
      <c r="L48" s="29"/>
    </row>
    <row r="49" spans="11:12">
      <c r="K49" s="29" t="s">
        <v>77</v>
      </c>
      <c r="L49" s="29"/>
    </row>
    <row r="50" spans="11:12">
      <c r="K50" s="29" t="s">
        <v>78</v>
      </c>
      <c r="L50" s="29"/>
    </row>
    <row r="80" spans="1:2">
      <c r="A80" s="29"/>
      <c r="B80" s="29"/>
    </row>
  </sheetData>
  <mergeCells count="1">
    <mergeCell ref="K1:M1"/>
  </mergeCells>
  <conditionalFormatting sqref="D$1:D$1048576">
    <cfRule type="containsText" dxfId="0" priority="1" operator="between" text="√">
      <formula>NOT(ISERROR(SEARCH("√",D1)))</formula>
    </cfRule>
  </conditionalFormatting>
  <dataValidations count="3">
    <dataValidation allowBlank="1" showInputMessage="1" showErrorMessage="1" sqref="K1:M1"/>
    <dataValidation type="list" allowBlank="1" showInputMessage="1" showErrorMessage="1" sqref="B80 L2:L1048576 T1:T11">
      <formula1>"1"</formula1>
    </dataValidation>
    <dataValidation type="list" allowBlank="1" showInputMessage="1" showErrorMessage="1" sqref="D2:D1048576">
      <formula1>"√"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0"/>
  <sheetViews>
    <sheetView topLeftCell="C1" workbookViewId="0">
      <pane ySplit="1" topLeftCell="A248" activePane="bottomLeft" state="frozen"/>
      <selection/>
      <selection pane="bottomLeft" activeCell="G18" sqref="G18"/>
    </sheetView>
  </sheetViews>
  <sheetFormatPr defaultColWidth="9" defaultRowHeight="14.25"/>
  <cols>
    <col min="1" max="1" width="3" hidden="1" customWidth="1"/>
    <col min="2" max="2" width="15" hidden="1" customWidth="1"/>
    <col min="3" max="3" width="4.25" customWidth="1"/>
    <col min="4" max="4" width="24" customWidth="1"/>
    <col min="5" max="5" width="8.75" customWidth="1"/>
    <col min="6" max="6" width="8.625" customWidth="1"/>
    <col min="7" max="8" width="9" customWidth="1"/>
    <col min="9" max="9" width="7" customWidth="1"/>
    <col min="10" max="10" width="12" customWidth="1"/>
    <col min="11" max="11" width="52.625" customWidth="1"/>
    <col min="12" max="12" width="0.433333333333333" hidden="1" customWidth="1"/>
    <col min="13" max="13" width="3.875" customWidth="1"/>
  </cols>
  <sheetData>
    <row r="1" spans="1:20">
      <c r="A1" s="2"/>
      <c r="B1" s="2"/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7"/>
      <c r="M1" s="7"/>
      <c r="N1" s="7"/>
      <c r="O1" s="7"/>
      <c r="P1" s="7"/>
      <c r="Q1" s="7"/>
      <c r="R1" s="7"/>
      <c r="S1" s="7"/>
      <c r="T1" s="7"/>
    </row>
    <row r="2" spans="1:12">
      <c r="A2" s="14">
        <v>1</v>
      </c>
      <c r="B2" s="14" t="s">
        <v>88</v>
      </c>
      <c r="C2" s="15" t="s">
        <v>88</v>
      </c>
      <c r="D2" s="16" t="str">
        <f>HYPERLINK("#摆设!图书馆双层书架","图书馆双层书架")</f>
        <v>图书馆双层书架</v>
      </c>
      <c r="E2" s="17">
        <f>摆设!D10</f>
        <v>0</v>
      </c>
      <c r="F2" s="17">
        <v>1</v>
      </c>
      <c r="G2" s="17" t="s">
        <v>89</v>
      </c>
      <c r="H2" s="17" t="s">
        <v>90</v>
      </c>
      <c r="I2" s="19" t="s">
        <v>91</v>
      </c>
      <c r="J2" s="17">
        <v>1.5</v>
      </c>
      <c r="K2" s="17" t="s">
        <v>92</v>
      </c>
      <c r="L2" s="20"/>
    </row>
    <row r="3" spans="1:12">
      <c r="A3" s="14">
        <v>2</v>
      </c>
      <c r="B3" s="14" t="s">
        <v>88</v>
      </c>
      <c r="C3" s="18"/>
      <c r="D3" s="16" t="str">
        <f>HYPERLINK("#摆设!萃华木臻品书架","萃华木臻品书架")</f>
        <v>萃华木臻品书架</v>
      </c>
      <c r="E3" s="17">
        <f>摆设!D11</f>
        <v>0</v>
      </c>
      <c r="F3" s="17">
        <v>2</v>
      </c>
      <c r="G3" s="17" t="s">
        <v>89</v>
      </c>
      <c r="H3" s="17" t="s">
        <v>90</v>
      </c>
      <c r="I3" s="19" t="s">
        <v>91</v>
      </c>
      <c r="J3" s="17">
        <v>1.5</v>
      </c>
      <c r="K3" s="17" t="s">
        <v>92</v>
      </c>
      <c r="L3" s="20"/>
    </row>
    <row r="4" spans="1:12">
      <c r="A4" s="14">
        <v>3</v>
      </c>
      <c r="B4" s="14" t="s">
        <v>88</v>
      </c>
      <c r="C4" s="18"/>
      <c r="D4" s="16" t="str">
        <f>HYPERLINK("#摆设!萃华木经济书架","萃华木经济书架")</f>
        <v>萃华木经济书架</v>
      </c>
      <c r="E4" s="17">
        <f>摆设!D12</f>
        <v>0</v>
      </c>
      <c r="F4" s="17">
        <v>1</v>
      </c>
      <c r="G4" s="17" t="s">
        <v>89</v>
      </c>
      <c r="H4" s="17" t="s">
        <v>90</v>
      </c>
      <c r="I4" s="19" t="s">
        <v>91</v>
      </c>
      <c r="J4" s="17">
        <v>1.5</v>
      </c>
      <c r="K4" s="17" t="s">
        <v>93</v>
      </c>
      <c r="L4" s="20"/>
    </row>
    <row r="5" spans="1:12">
      <c r="A5" s="14">
        <v>4</v>
      </c>
      <c r="B5" s="14" t="s">
        <v>88</v>
      </c>
      <c r="C5" s="18"/>
      <c r="D5" s="16" t="str">
        <f>HYPERLINK("#摆设!「司书的宝库」","「司书的宝库」")</f>
        <v>「司书的宝库」</v>
      </c>
      <c r="E5" s="17">
        <f>摆设!D13</f>
        <v>0</v>
      </c>
      <c r="F5" s="17">
        <v>1</v>
      </c>
      <c r="G5" s="17" t="s">
        <v>89</v>
      </c>
      <c r="H5" s="17" t="s">
        <v>90</v>
      </c>
      <c r="I5" s="19" t="s">
        <v>91</v>
      </c>
      <c r="J5" s="17">
        <v>1.5</v>
      </c>
      <c r="K5" s="17" t="s">
        <v>93</v>
      </c>
      <c r="L5" s="20"/>
    </row>
    <row r="6" spans="1:12">
      <c r="A6" s="14">
        <v>5</v>
      </c>
      <c r="B6" s="14" t="s">
        <v>88</v>
      </c>
      <c r="C6" s="18"/>
      <c r="D6" s="16" t="str">
        <f>HYPERLINK("#摆设!骑士团的办公桌","骑士团的办公桌")</f>
        <v>骑士团的办公桌</v>
      </c>
      <c r="E6" s="17">
        <f>摆设!D20</f>
        <v>0</v>
      </c>
      <c r="F6" s="17">
        <v>1</v>
      </c>
      <c r="G6" s="17" t="s">
        <v>89</v>
      </c>
      <c r="H6" s="17" t="s">
        <v>94</v>
      </c>
      <c r="I6" s="21" t="s">
        <v>95</v>
      </c>
      <c r="J6" s="17">
        <v>1.5</v>
      </c>
      <c r="K6" s="17" t="s">
        <v>93</v>
      </c>
      <c r="L6" s="20"/>
    </row>
    <row r="7" spans="1:12">
      <c r="A7" s="14">
        <v>6</v>
      </c>
      <c r="B7" s="14" t="s">
        <v>88</v>
      </c>
      <c r="C7" s="18"/>
      <c r="D7" s="16" t="str">
        <f>HYPERLINK("#摆设!柔软的会客厅沙发","柔软的会客厅沙发")</f>
        <v>柔软的会客厅沙发</v>
      </c>
      <c r="E7" s="17">
        <f>摆设!D34</f>
        <v>0</v>
      </c>
      <c r="F7" s="17">
        <v>1</v>
      </c>
      <c r="G7" s="17" t="s">
        <v>96</v>
      </c>
      <c r="H7" s="17" t="s">
        <v>97</v>
      </c>
      <c r="I7" s="19" t="s">
        <v>91</v>
      </c>
      <c r="J7" s="17">
        <v>1.5</v>
      </c>
      <c r="K7" s="17" t="s">
        <v>93</v>
      </c>
      <c r="L7" s="20"/>
    </row>
    <row r="8" spans="1:12">
      <c r="A8" s="14">
        <v>7</v>
      </c>
      <c r="B8" s="14" t="s">
        <v>88</v>
      </c>
      <c r="C8" s="18"/>
      <c r="D8" s="16" t="str">
        <f>HYPERLINK("#摆设!「晴空蓝的午后」","「晴空蓝的午后」")</f>
        <v>「晴空蓝的午后」</v>
      </c>
      <c r="E8" s="17">
        <f>摆设!D35</f>
        <v>0</v>
      </c>
      <c r="F8" s="17">
        <v>1</v>
      </c>
      <c r="G8" s="17" t="s">
        <v>96</v>
      </c>
      <c r="H8" s="17" t="s">
        <v>97</v>
      </c>
      <c r="I8" s="21" t="s">
        <v>95</v>
      </c>
      <c r="J8" s="17">
        <v>1.5</v>
      </c>
      <c r="K8" s="17" t="s">
        <v>93</v>
      </c>
      <c r="L8" s="20"/>
    </row>
    <row r="9" spans="1:12">
      <c r="A9" s="14">
        <v>8</v>
      </c>
      <c r="B9" s="14" t="s">
        <v>88</v>
      </c>
      <c r="C9" s="18"/>
      <c r="D9" s="16" t="str">
        <f>HYPERLINK("#摆设!松木朱漆圆凳","松木朱漆圆凳")</f>
        <v>松木朱漆圆凳</v>
      </c>
      <c r="E9" s="17">
        <f>摆设!D39</f>
        <v>0</v>
      </c>
      <c r="F9" s="17">
        <v>1</v>
      </c>
      <c r="G9" s="17" t="s">
        <v>96</v>
      </c>
      <c r="H9" s="17" t="s">
        <v>97</v>
      </c>
      <c r="I9" s="21" t="s">
        <v>95</v>
      </c>
      <c r="J9" s="17">
        <v>1.5</v>
      </c>
      <c r="K9" s="17" t="s">
        <v>93</v>
      </c>
      <c r="L9" s="20"/>
    </row>
    <row r="10" spans="1:12">
      <c r="A10" s="14">
        <v>9</v>
      </c>
      <c r="B10" s="14" t="s">
        <v>88</v>
      </c>
      <c r="C10" s="18"/>
      <c r="D10" s="16" t="str">
        <f>HYPERLINK("#摆设!蒙德地毯—「明红的热忱」","蒙德地毯—「明红的热忱」")</f>
        <v>蒙德地毯—「明红的热忱」</v>
      </c>
      <c r="E10" s="17">
        <f>摆设!D50</f>
        <v>0</v>
      </c>
      <c r="F10" s="17">
        <v>1</v>
      </c>
      <c r="G10" s="17" t="s">
        <v>96</v>
      </c>
      <c r="H10" s="17" t="s">
        <v>98</v>
      </c>
      <c r="I10" s="21" t="s">
        <v>95</v>
      </c>
      <c r="J10" s="17">
        <v>1.5</v>
      </c>
      <c r="K10" s="17" t="s">
        <v>93</v>
      </c>
      <c r="L10" s="20"/>
    </row>
    <row r="11" spans="1:12">
      <c r="A11" s="14">
        <v>10</v>
      </c>
      <c r="B11" s="14" t="s">
        <v>88</v>
      </c>
      <c r="C11" s="18"/>
      <c r="D11" s="16" t="str">
        <f>HYPERLINK("#摆设!绿植盆栽—「澄澈的清风」","绿植盆栽—「澄澈的清风」")</f>
        <v>绿植盆栽—「澄澈的清风」</v>
      </c>
      <c r="E11" s="17">
        <f>摆设!D56</f>
        <v>0</v>
      </c>
      <c r="F11" s="17">
        <v>1</v>
      </c>
      <c r="G11" s="17" t="s">
        <v>99</v>
      </c>
      <c r="H11" s="17" t="s">
        <v>100</v>
      </c>
      <c r="I11" s="21" t="s">
        <v>95</v>
      </c>
      <c r="J11" s="17">
        <v>1.5</v>
      </c>
      <c r="K11" s="17" t="s">
        <v>93</v>
      </c>
      <c r="L11" s="20"/>
    </row>
    <row r="12" spans="1:12">
      <c r="A12" s="14">
        <v>11</v>
      </c>
      <c r="B12" s="14" t="s">
        <v>88</v>
      </c>
      <c r="C12" s="18"/>
      <c r="D12" s="16" t="str">
        <f>HYPERLINK("#摆设!「书信的礼节」","「书信的礼节」")</f>
        <v>「书信的礼节」</v>
      </c>
      <c r="E12" s="17">
        <f>摆设!D63</f>
        <v>0</v>
      </c>
      <c r="F12" s="17">
        <v>1</v>
      </c>
      <c r="G12" s="17" t="s">
        <v>99</v>
      </c>
      <c r="H12" s="17" t="s">
        <v>101</v>
      </c>
      <c r="I12" s="21" t="s">
        <v>95</v>
      </c>
      <c r="J12" s="17">
        <v>1.5</v>
      </c>
      <c r="K12" s="17" t="s">
        <v>93</v>
      </c>
      <c r="L12" s="20"/>
    </row>
    <row r="13" spans="1:12">
      <c r="A13" s="14">
        <v>12</v>
      </c>
      <c r="B13" s="14" t="s">
        <v>88</v>
      </c>
      <c r="C13" s="18"/>
      <c r="D13" s="16" t="str">
        <f>HYPERLINK("#摆设!金色三重烛台","金色三重烛台")</f>
        <v>金色三重烛台</v>
      </c>
      <c r="E13" s="17">
        <f>摆设!D68</f>
        <v>0</v>
      </c>
      <c r="F13" s="17">
        <v>1</v>
      </c>
      <c r="G13" s="17" t="s">
        <v>99</v>
      </c>
      <c r="H13" s="17" t="s">
        <v>101</v>
      </c>
      <c r="I13" s="21" t="s">
        <v>95</v>
      </c>
      <c r="J13" s="17">
        <v>1.5</v>
      </c>
      <c r="K13" s="17" t="s">
        <v>102</v>
      </c>
      <c r="L13" s="20"/>
    </row>
    <row r="14" spans="1:12">
      <c r="A14" s="14"/>
      <c r="B14" s="14"/>
      <c r="C14" s="18"/>
      <c r="E14" s="17"/>
      <c r="F14" s="17"/>
      <c r="G14" s="17"/>
      <c r="H14" s="17"/>
      <c r="I14" s="17"/>
      <c r="J14" s="17"/>
      <c r="K14" s="17"/>
      <c r="L14" s="20"/>
    </row>
    <row r="15" spans="1:12">
      <c r="A15" s="14">
        <v>13</v>
      </c>
      <c r="B15" s="14" t="s">
        <v>103</v>
      </c>
      <c r="C15" s="15" t="s">
        <v>103</v>
      </c>
      <c r="D15" s="16" t="str">
        <f>HYPERLINK("#摆设!高大的桦木衣柜","高大的桦木衣柜")</f>
        <v>高大的桦木衣柜</v>
      </c>
      <c r="E15" s="17">
        <f>摆设!D5</f>
        <v>0</v>
      </c>
      <c r="F15" s="17">
        <v>1</v>
      </c>
      <c r="G15" s="17" t="s">
        <v>89</v>
      </c>
      <c r="H15" s="17" t="s">
        <v>104</v>
      </c>
      <c r="I15" s="21" t="s">
        <v>95</v>
      </c>
      <c r="J15" s="17">
        <v>1.5</v>
      </c>
      <c r="K15" s="17" t="s">
        <v>93</v>
      </c>
      <c r="L15" s="20"/>
    </row>
    <row r="16" spans="1:12">
      <c r="A16" s="14">
        <v>14</v>
      </c>
      <c r="B16" s="14" t="s">
        <v>103</v>
      </c>
      <c r="C16" s="18"/>
      <c r="D16" s="16" t="str">
        <f>HYPERLINK("#摆设!厚重的图书馆长桌","厚重的图书馆长桌")</f>
        <v>厚重的图书馆长桌</v>
      </c>
      <c r="E16" s="17">
        <f>摆设!D19</f>
        <v>0</v>
      </c>
      <c r="F16" s="17">
        <v>1</v>
      </c>
      <c r="G16" s="17" t="s">
        <v>89</v>
      </c>
      <c r="H16" s="17" t="s">
        <v>94</v>
      </c>
      <c r="I16" s="21" t="s">
        <v>95</v>
      </c>
      <c r="J16" s="17">
        <v>1.5</v>
      </c>
      <c r="K16" s="17" t="s">
        <v>92</v>
      </c>
      <c r="L16" s="20"/>
    </row>
    <row r="17" spans="1:12">
      <c r="A17" s="14">
        <v>15</v>
      </c>
      <c r="B17" s="14" t="s">
        <v>103</v>
      </c>
      <c r="C17" s="18"/>
      <c r="D17" s="16" t="str">
        <f>HYPERLINK("#摆设!骑士团的办公桌","骑士团的办公桌")</f>
        <v>骑士团的办公桌</v>
      </c>
      <c r="E17" s="17">
        <f>摆设!D20</f>
        <v>0</v>
      </c>
      <c r="F17" s="17">
        <v>1</v>
      </c>
      <c r="G17" s="17" t="s">
        <v>89</v>
      </c>
      <c r="H17" s="17" t="s">
        <v>94</v>
      </c>
      <c r="I17" s="21" t="s">
        <v>95</v>
      </c>
      <c r="J17" s="17">
        <v>1.5</v>
      </c>
      <c r="K17" s="17" t="s">
        <v>93</v>
      </c>
      <c r="L17" s="20"/>
    </row>
    <row r="18" spans="1:12">
      <c r="A18" s="14">
        <v>16</v>
      </c>
      <c r="B18" s="14" t="s">
        <v>103</v>
      </c>
      <c r="C18" s="18"/>
      <c r="D18" s="16" t="str">
        <f>HYPERLINK("#摆设!稳固的桦木梳妆台","稳固的桦木梳妆台")</f>
        <v>稳固的桦木梳妆台</v>
      </c>
      <c r="E18" s="17">
        <f>摆设!D25</f>
        <v>0</v>
      </c>
      <c r="F18" s="17">
        <v>1</v>
      </c>
      <c r="G18" s="17" t="s">
        <v>89</v>
      </c>
      <c r="H18" s="17" t="s">
        <v>94</v>
      </c>
      <c r="I18" s="21" t="s">
        <v>95</v>
      </c>
      <c r="J18" s="17">
        <v>1.5</v>
      </c>
      <c r="K18" s="17" t="s">
        <v>93</v>
      </c>
      <c r="L18" s="20"/>
    </row>
    <row r="19" spans="1:12">
      <c r="A19" s="14">
        <v>17</v>
      </c>
      <c r="B19" s="14" t="s">
        <v>103</v>
      </c>
      <c r="C19" s="18"/>
      <c r="D19" s="16" t="str">
        <f>HYPERLINK("#摆设!柔风加护的床榻","柔风加护的床榻")</f>
        <v>柔风加护的床榻</v>
      </c>
      <c r="E19" s="17">
        <f>摆设!D30</f>
        <v>0</v>
      </c>
      <c r="F19" s="17">
        <v>1</v>
      </c>
      <c r="G19" s="17" t="s">
        <v>89</v>
      </c>
      <c r="H19" s="17" t="s">
        <v>105</v>
      </c>
      <c r="I19" s="21" t="s">
        <v>95</v>
      </c>
      <c r="J19" s="17">
        <v>1.5</v>
      </c>
      <c r="K19" s="17" t="s">
        <v>93</v>
      </c>
      <c r="L19" s="20"/>
    </row>
    <row r="20" spans="1:12">
      <c r="A20" s="14">
        <v>18</v>
      </c>
      <c r="B20" s="14" t="s">
        <v>103</v>
      </c>
      <c r="C20" s="18"/>
      <c r="D20" s="16" t="str">
        <f>HYPERLINK("#摆设!「晴空蓝的午后」","「晴空蓝的午后」")</f>
        <v>「晴空蓝的午后」</v>
      </c>
      <c r="E20" s="17">
        <f>摆设!D35</f>
        <v>0</v>
      </c>
      <c r="F20" s="17">
        <v>1</v>
      </c>
      <c r="G20" s="17" t="s">
        <v>96</v>
      </c>
      <c r="H20" s="17" t="s">
        <v>97</v>
      </c>
      <c r="I20" s="21" t="s">
        <v>95</v>
      </c>
      <c r="J20" s="17">
        <v>1.5</v>
      </c>
      <c r="K20" s="17" t="s">
        <v>93</v>
      </c>
      <c r="L20" s="20"/>
    </row>
    <row r="21" spans="1:12">
      <c r="A21" s="14">
        <v>19</v>
      </c>
      <c r="B21" s="14" t="s">
        <v>103</v>
      </c>
      <c r="C21" s="18"/>
      <c r="D21" s="16" t="str">
        <f>HYPERLINK("#摆设!松木朱漆圆凳","松木朱漆圆凳")</f>
        <v>松木朱漆圆凳</v>
      </c>
      <c r="E21" s="17">
        <f>摆设!D39</f>
        <v>0</v>
      </c>
      <c r="F21" s="17">
        <v>1</v>
      </c>
      <c r="G21" s="17" t="s">
        <v>96</v>
      </c>
      <c r="H21" s="17" t="s">
        <v>97</v>
      </c>
      <c r="I21" s="21" t="s">
        <v>95</v>
      </c>
      <c r="J21" s="17">
        <v>1.5</v>
      </c>
      <c r="K21" s="17" t="s">
        <v>93</v>
      </c>
      <c r="L21" s="20"/>
    </row>
    <row r="22" spans="1:12">
      <c r="A22" s="14">
        <v>20</v>
      </c>
      <c r="B22" s="14" t="s">
        <v>103</v>
      </c>
      <c r="C22" s="18"/>
      <c r="D22" s="16" t="str">
        <f>HYPERLINK("#摆设!桦木双屉床头柜","桦木双屉床头柜")</f>
        <v>桦木双屉床头柜</v>
      </c>
      <c r="E22" s="17">
        <f>摆设!D41</f>
        <v>0</v>
      </c>
      <c r="F22" s="17">
        <v>1</v>
      </c>
      <c r="G22" s="17" t="s">
        <v>96</v>
      </c>
      <c r="H22" s="17" t="s">
        <v>106</v>
      </c>
      <c r="I22" s="21" t="s">
        <v>95</v>
      </c>
      <c r="J22" s="17">
        <v>1.5</v>
      </c>
      <c r="K22" s="17" t="s">
        <v>93</v>
      </c>
      <c r="L22" s="20"/>
    </row>
    <row r="23" spans="1:12">
      <c r="A23" s="14">
        <v>21</v>
      </c>
      <c r="B23" s="14" t="s">
        <v>103</v>
      </c>
      <c r="C23" s="18"/>
      <c r="D23" s="16" t="str">
        <f>HYPERLINK("#摆设!蒙德地毯—「明红的热忱」","蒙德地毯—「明红的热忱」")</f>
        <v>蒙德地毯—「明红的热忱」</v>
      </c>
      <c r="E23" s="17">
        <f>摆设!D50</f>
        <v>0</v>
      </c>
      <c r="F23" s="17">
        <v>1</v>
      </c>
      <c r="G23" s="17" t="s">
        <v>96</v>
      </c>
      <c r="H23" s="17" t="s">
        <v>98</v>
      </c>
      <c r="I23" s="21" t="s">
        <v>95</v>
      </c>
      <c r="J23" s="17">
        <v>1.5</v>
      </c>
      <c r="K23" s="17" t="s">
        <v>93</v>
      </c>
      <c r="L23" s="20"/>
    </row>
    <row r="24" spans="1:12">
      <c r="A24" s="14">
        <v>22</v>
      </c>
      <c r="B24" s="14" t="s">
        <v>103</v>
      </c>
      <c r="C24" s="18"/>
      <c r="D24" s="16" t="str">
        <f>HYPERLINK("#摆设!贝壳灯罩硬质台灯","贝壳灯罩硬质台灯")</f>
        <v>贝壳灯罩硬质台灯</v>
      </c>
      <c r="E24" s="17">
        <f>摆设!D54</f>
        <v>0</v>
      </c>
      <c r="F24" s="17">
        <v>1</v>
      </c>
      <c r="G24" s="17" t="s">
        <v>99</v>
      </c>
      <c r="H24" s="17" t="s">
        <v>107</v>
      </c>
      <c r="I24" s="21" t="s">
        <v>95</v>
      </c>
      <c r="J24" s="17">
        <v>1.5</v>
      </c>
      <c r="K24" s="17" t="s">
        <v>93</v>
      </c>
      <c r="L24" s="20"/>
    </row>
    <row r="25" spans="1:12">
      <c r="A25" s="14">
        <v>23</v>
      </c>
      <c r="B25" s="14" t="s">
        <v>103</v>
      </c>
      <c r="C25" s="18"/>
      <c r="D25" s="16" t="str">
        <f>HYPERLINK("#摆设!绿植盆栽—「澄澈的清风」","绿植盆栽—「澄澈的清风」")</f>
        <v>绿植盆栽—「澄澈的清风」</v>
      </c>
      <c r="E25" s="17">
        <f>摆设!D56</f>
        <v>0</v>
      </c>
      <c r="F25" s="17">
        <v>2</v>
      </c>
      <c r="G25" s="17" t="s">
        <v>99</v>
      </c>
      <c r="H25" s="17" t="s">
        <v>100</v>
      </c>
      <c r="I25" s="21" t="s">
        <v>95</v>
      </c>
      <c r="J25" s="17">
        <v>1.5</v>
      </c>
      <c r="K25" s="17" t="s">
        <v>93</v>
      </c>
      <c r="L25" s="20"/>
    </row>
    <row r="26" spans="1:12">
      <c r="A26" s="14">
        <v>24</v>
      </c>
      <c r="B26" s="14" t="s">
        <v>103</v>
      </c>
      <c r="C26" s="18"/>
      <c r="D26" s="16" t="str">
        <f>HYPERLINK("#摆设!花卉瓶栽—「盛放的曙红」","花卉瓶栽—「盛放的曙红」")</f>
        <v>花卉瓶栽—「盛放的曙红」</v>
      </c>
      <c r="E26" s="17">
        <f>摆设!D57</f>
        <v>0</v>
      </c>
      <c r="F26" s="17">
        <v>1</v>
      </c>
      <c r="G26" s="17" t="s">
        <v>99</v>
      </c>
      <c r="H26" s="17" t="s">
        <v>100</v>
      </c>
      <c r="I26" s="21" t="s">
        <v>95</v>
      </c>
      <c r="J26" s="17">
        <v>1.5</v>
      </c>
      <c r="K26" s="17" t="s">
        <v>108</v>
      </c>
      <c r="L26" s="20"/>
    </row>
    <row r="27" spans="1:12">
      <c r="A27" s="14">
        <v>25</v>
      </c>
      <c r="B27" s="14" t="s">
        <v>103</v>
      </c>
      <c r="C27" s="18"/>
      <c r="D27" s="16" t="str">
        <f>HYPERLINK("#摆设!精巧的沙漏摆件","精巧的沙漏摆件")</f>
        <v>精巧的沙漏摆件</v>
      </c>
      <c r="E27" s="17">
        <f>摆设!D64</f>
        <v>0</v>
      </c>
      <c r="F27" s="17">
        <v>1</v>
      </c>
      <c r="G27" s="17" t="s">
        <v>99</v>
      </c>
      <c r="H27" s="17" t="s">
        <v>101</v>
      </c>
      <c r="I27" s="21" t="s">
        <v>95</v>
      </c>
      <c r="J27" s="17">
        <v>1.5</v>
      </c>
      <c r="K27" s="17" t="s">
        <v>93</v>
      </c>
      <c r="L27" s="20"/>
    </row>
    <row r="28" spans="1:12">
      <c r="A28" s="14">
        <v>26</v>
      </c>
      <c r="B28" s="14" t="s">
        <v>103</v>
      </c>
      <c r="C28" s="18"/>
      <c r="D28" s="16" t="str">
        <f>HYPERLINK("#摆设!金色三重烛台","金色三重烛台")</f>
        <v>金色三重烛台</v>
      </c>
      <c r="E28" s="17">
        <f>摆设!D68</f>
        <v>0</v>
      </c>
      <c r="F28" s="17">
        <v>1</v>
      </c>
      <c r="G28" s="17" t="s">
        <v>99</v>
      </c>
      <c r="H28" s="17" t="s">
        <v>101</v>
      </c>
      <c r="I28" s="21" t="s">
        <v>95</v>
      </c>
      <c r="J28" s="17">
        <v>1.5</v>
      </c>
      <c r="K28" s="17" t="s">
        <v>102</v>
      </c>
      <c r="L28" s="20"/>
    </row>
    <row r="29" spans="1:12">
      <c r="A29" s="14"/>
      <c r="B29" s="14"/>
      <c r="C29" s="18"/>
      <c r="E29" s="17"/>
      <c r="F29" s="17"/>
      <c r="G29" s="17"/>
      <c r="H29" s="17"/>
      <c r="I29" s="17"/>
      <c r="J29" s="17"/>
      <c r="K29" s="17"/>
      <c r="L29" s="20"/>
    </row>
    <row r="30" spans="1:12">
      <c r="A30" s="14">
        <v>27</v>
      </c>
      <c r="B30" s="14" t="s">
        <v>109</v>
      </c>
      <c r="C30" s="15" t="s">
        <v>109</v>
      </c>
      <c r="D30" s="16" t="str">
        <f>HYPERLINK("#摆设!朱漆垂香木卷轴书架","朱漆垂香木卷轴书架")</f>
        <v>朱漆垂香木卷轴书架</v>
      </c>
      <c r="E30" s="17">
        <f>摆设!D14</f>
        <v>0</v>
      </c>
      <c r="F30" s="17">
        <v>1</v>
      </c>
      <c r="G30" s="17" t="s">
        <v>89</v>
      </c>
      <c r="H30" s="17" t="s">
        <v>90</v>
      </c>
      <c r="I30" s="21" t="s">
        <v>95</v>
      </c>
      <c r="J30" s="17">
        <v>1.5</v>
      </c>
      <c r="K30" s="17" t="s">
        <v>108</v>
      </c>
      <c r="L30" s="20"/>
    </row>
    <row r="31" spans="1:12">
      <c r="A31" s="14">
        <v>28</v>
      </c>
      <c r="B31" s="14" t="s">
        <v>109</v>
      </c>
      <c r="C31" s="18"/>
      <c r="D31" s="16" t="str">
        <f>HYPERLINK("#摆设!朱漆垂香木百宝阁","朱漆垂香木百宝阁")</f>
        <v>朱漆垂香木百宝阁</v>
      </c>
      <c r="E31" s="17">
        <f>摆设!D15</f>
        <v>0</v>
      </c>
      <c r="F31" s="17">
        <v>1</v>
      </c>
      <c r="G31" s="17" t="s">
        <v>89</v>
      </c>
      <c r="H31" s="17" t="s">
        <v>90</v>
      </c>
      <c r="I31" s="21" t="s">
        <v>95</v>
      </c>
      <c r="J31" s="17">
        <v>1.5</v>
      </c>
      <c r="K31" s="17" t="s">
        <v>108</v>
      </c>
      <c r="L31" s="20"/>
    </row>
    <row r="32" spans="1:12">
      <c r="A32" s="14">
        <v>29</v>
      </c>
      <c r="B32" s="14" t="s">
        <v>109</v>
      </c>
      <c r="C32" s="18"/>
      <c r="D32" s="16" t="str">
        <f>HYPERLINK("#摆设!垂香木商铺立柜","垂香木商铺立柜")</f>
        <v>垂香木商铺立柜</v>
      </c>
      <c r="E32" s="17">
        <f>摆设!D16</f>
        <v>0</v>
      </c>
      <c r="F32" s="17">
        <v>1</v>
      </c>
      <c r="G32" s="17" t="s">
        <v>89</v>
      </c>
      <c r="H32" s="17" t="s">
        <v>90</v>
      </c>
      <c r="I32" s="21" t="s">
        <v>95</v>
      </c>
      <c r="J32" s="17">
        <v>1.5</v>
      </c>
      <c r="K32" s="17" t="s">
        <v>108</v>
      </c>
      <c r="L32" s="20"/>
    </row>
    <row r="33" spans="1:12">
      <c r="A33" s="14">
        <v>30</v>
      </c>
      <c r="B33" s="14" t="s">
        <v>109</v>
      </c>
      <c r="C33" s="18"/>
      <c r="D33" s="16" t="str">
        <f>HYPERLINK("#摆设!木纹雅致的书法桌案","木纹雅致的书法桌案")</f>
        <v>木纹雅致的书法桌案</v>
      </c>
      <c r="E33" s="17">
        <f>摆设!D23</f>
        <v>0</v>
      </c>
      <c r="F33" s="17">
        <v>1</v>
      </c>
      <c r="G33" s="17" t="s">
        <v>89</v>
      </c>
      <c r="H33" s="17" t="s">
        <v>94</v>
      </c>
      <c r="I33" s="21" t="s">
        <v>95</v>
      </c>
      <c r="J33" s="17">
        <v>1.5</v>
      </c>
      <c r="K33" s="17" t="s">
        <v>108</v>
      </c>
      <c r="L33" s="20"/>
    </row>
    <row r="34" spans="1:12">
      <c r="A34" s="14">
        <v>31</v>
      </c>
      <c r="B34" s="14" t="s">
        <v>109</v>
      </c>
      <c r="C34" s="18"/>
      <c r="D34" s="16" t="str">
        <f>HYPERLINK("#摆设!松木靠背茶椅","松木靠背茶椅")</f>
        <v>松木靠背茶椅</v>
      </c>
      <c r="E34" s="17">
        <f>摆设!D38</f>
        <v>0</v>
      </c>
      <c r="F34" s="17">
        <v>2</v>
      </c>
      <c r="G34" s="17" t="s">
        <v>96</v>
      </c>
      <c r="H34" s="17" t="s">
        <v>97</v>
      </c>
      <c r="I34" s="21" t="s">
        <v>95</v>
      </c>
      <c r="J34" s="17">
        <v>1.5</v>
      </c>
      <c r="K34" s="17" t="s">
        <v>108</v>
      </c>
      <c r="L34" s="20"/>
    </row>
    <row r="35" spans="1:12">
      <c r="A35" s="14">
        <v>32</v>
      </c>
      <c r="B35" s="14" t="s">
        <v>109</v>
      </c>
      <c r="C35" s="18"/>
      <c r="D35" s="16" t="str">
        <f>HYPERLINK("#摆设!松木朱漆圆凳","松木朱漆圆凳")</f>
        <v>松木朱漆圆凳</v>
      </c>
      <c r="E35" s="17">
        <f>摆设!D39</f>
        <v>0</v>
      </c>
      <c r="F35" s="17">
        <v>1</v>
      </c>
      <c r="G35" s="17" t="s">
        <v>96</v>
      </c>
      <c r="H35" s="17" t="s">
        <v>97</v>
      </c>
      <c r="I35" s="21" t="s">
        <v>95</v>
      </c>
      <c r="J35" s="17">
        <v>1.5</v>
      </c>
      <c r="K35" s="17" t="s">
        <v>93</v>
      </c>
      <c r="L35" s="20"/>
    </row>
    <row r="36" spans="1:12">
      <c r="A36" s="14">
        <v>33</v>
      </c>
      <c r="B36" s="14" t="s">
        <v>109</v>
      </c>
      <c r="C36" s="18"/>
      <c r="D36" s="16" t="str">
        <f>HYPERLINK("#摆设!松木折屏—「云来帆影」","松木折屏—「云来帆影」")</f>
        <v>松木折屏—「云来帆影」</v>
      </c>
      <c r="E36" s="17">
        <f>摆设!D40</f>
        <v>0</v>
      </c>
      <c r="F36" s="17">
        <v>1</v>
      </c>
      <c r="G36" s="17" t="s">
        <v>96</v>
      </c>
      <c r="H36" s="17" t="s">
        <v>106</v>
      </c>
      <c r="I36" s="19" t="s">
        <v>91</v>
      </c>
      <c r="J36" s="17">
        <v>1.5</v>
      </c>
      <c r="K36" s="17" t="s">
        <v>108</v>
      </c>
      <c r="L36" s="20"/>
    </row>
    <row r="37" spans="1:12">
      <c r="A37" s="14">
        <v>34</v>
      </c>
      <c r="B37" s="14" t="s">
        <v>109</v>
      </c>
      <c r="C37" s="18"/>
      <c r="D37" s="16" t="str">
        <f>HYPERLINK("#摆设!迎宾地毯—「惠然之顾」","迎宾地毯—「惠然之顾」")</f>
        <v>迎宾地毯—「惠然之顾」</v>
      </c>
      <c r="E37" s="17">
        <f>摆设!D51</f>
        <v>0</v>
      </c>
      <c r="F37" s="17">
        <v>1</v>
      </c>
      <c r="G37" s="17" t="s">
        <v>96</v>
      </c>
      <c r="H37" s="17" t="s">
        <v>98</v>
      </c>
      <c r="I37" s="21" t="s">
        <v>95</v>
      </c>
      <c r="J37" s="17">
        <v>1.5</v>
      </c>
      <c r="K37" s="17" t="s">
        <v>108</v>
      </c>
      <c r="L37" s="20"/>
    </row>
    <row r="38" spans="1:12">
      <c r="A38" s="14">
        <v>35</v>
      </c>
      <c r="B38" s="14" t="s">
        <v>109</v>
      </c>
      <c r="C38" s="18"/>
      <c r="D38" s="16" t="str">
        <f>HYPERLINK("#摆设!琉璃亭却砂木立灯","琉璃亭却砂木立灯")</f>
        <v>琉璃亭却砂木立灯</v>
      </c>
      <c r="E38" s="17">
        <f>摆设!D53</f>
        <v>0</v>
      </c>
      <c r="F38" s="17">
        <v>1</v>
      </c>
      <c r="G38" s="17" t="s">
        <v>99</v>
      </c>
      <c r="H38" s="17" t="s">
        <v>107</v>
      </c>
      <c r="I38" s="21" t="s">
        <v>95</v>
      </c>
      <c r="J38" s="17">
        <v>1.5</v>
      </c>
      <c r="K38" s="17" t="s">
        <v>108</v>
      </c>
      <c r="L38" s="20"/>
    </row>
    <row r="39" spans="1:12">
      <c r="A39" s="14">
        <v>36</v>
      </c>
      <c r="B39" s="14" t="s">
        <v>109</v>
      </c>
      <c r="C39" s="18"/>
      <c r="D39" s="16" t="str">
        <f>HYPERLINK("#摆设!绿植盆栽—「澄澈的清风」","绿植盆栽—「澄澈的清风」")</f>
        <v>绿植盆栽—「澄澈的清风」</v>
      </c>
      <c r="E39" s="17">
        <f>摆设!D56</f>
        <v>0</v>
      </c>
      <c r="F39" s="17">
        <v>2</v>
      </c>
      <c r="G39" s="17" t="s">
        <v>99</v>
      </c>
      <c r="H39" s="17" t="s">
        <v>100</v>
      </c>
      <c r="I39" s="21" t="s">
        <v>95</v>
      </c>
      <c r="J39" s="17">
        <v>1.5</v>
      </c>
      <c r="K39" s="17" t="s">
        <v>93</v>
      </c>
      <c r="L39" s="20"/>
    </row>
    <row r="40" spans="1:12">
      <c r="A40" s="14">
        <v>37</v>
      </c>
      <c r="B40" s="14" t="s">
        <v>109</v>
      </c>
      <c r="C40" s="18"/>
      <c r="D40" s="16" t="str">
        <f>HYPERLINK("#摆设!绿植盆栽—「松青尺树上」","绿植盆栽—「松青尺树上」")</f>
        <v>绿植盆栽—「松青尺树上」</v>
      </c>
      <c r="E40" s="17">
        <f>摆设!D58</f>
        <v>0</v>
      </c>
      <c r="F40" s="17">
        <v>1</v>
      </c>
      <c r="G40" s="17" t="s">
        <v>99</v>
      </c>
      <c r="H40" s="17" t="s">
        <v>100</v>
      </c>
      <c r="I40" s="21" t="s">
        <v>95</v>
      </c>
      <c r="J40" s="17">
        <v>1.5</v>
      </c>
      <c r="K40" s="17" t="s">
        <v>93</v>
      </c>
      <c r="L40" s="20"/>
    </row>
    <row r="41" spans="1:12">
      <c r="A41" s="14">
        <v>38</v>
      </c>
      <c r="B41" s="14" t="s">
        <v>109</v>
      </c>
      <c r="C41" s="18"/>
      <c r="D41" s="16" t="str">
        <f>HYPERLINK("#摆设!纸墨笔砚—「临池学书」","纸墨笔砚—「临池学书」")</f>
        <v>纸墨笔砚—「临池学书」</v>
      </c>
      <c r="E41" s="17">
        <f>摆设!D67</f>
        <v>0</v>
      </c>
      <c r="F41" s="17">
        <v>1</v>
      </c>
      <c r="G41" s="17" t="s">
        <v>99</v>
      </c>
      <c r="H41" s="17" t="s">
        <v>101</v>
      </c>
      <c r="I41" s="21" t="s">
        <v>95</v>
      </c>
      <c r="J41" s="17">
        <v>1.5</v>
      </c>
      <c r="K41" s="17" t="s">
        <v>108</v>
      </c>
      <c r="L41" s="20"/>
    </row>
    <row r="42" spans="1:12">
      <c r="A42" s="14"/>
      <c r="B42" s="14"/>
      <c r="C42" s="18"/>
      <c r="E42" s="17"/>
      <c r="F42" s="17"/>
      <c r="G42" s="17"/>
      <c r="H42" s="17"/>
      <c r="I42" s="17"/>
      <c r="J42" s="17"/>
      <c r="K42" s="17"/>
      <c r="L42" s="20"/>
    </row>
    <row r="43" spans="1:12">
      <c r="A43" s="14">
        <v>39</v>
      </c>
      <c r="B43" s="14" t="s">
        <v>110</v>
      </c>
      <c r="C43" s="15" t="s">
        <v>110</v>
      </c>
      <c r="D43" s="16" t="str">
        <f>HYPERLINK("#摆设!却砂木金纹衣柜","却砂木金纹衣柜")</f>
        <v>却砂木金纹衣柜</v>
      </c>
      <c r="E43" s="17">
        <f>摆设!D6</f>
        <v>0</v>
      </c>
      <c r="F43" s="17">
        <v>1</v>
      </c>
      <c r="G43" s="17" t="s">
        <v>89</v>
      </c>
      <c r="H43" s="17" t="s">
        <v>104</v>
      </c>
      <c r="I43" s="21" t="s">
        <v>95</v>
      </c>
      <c r="J43" s="17">
        <v>1.5</v>
      </c>
      <c r="K43" s="17" t="s">
        <v>93</v>
      </c>
      <c r="L43" s="20"/>
    </row>
    <row r="44" spans="1:12">
      <c r="A44" s="14">
        <v>40</v>
      </c>
      <c r="B44" s="14" t="s">
        <v>110</v>
      </c>
      <c r="C44" s="18"/>
      <c r="D44" s="16" t="str">
        <f>HYPERLINK("#摆设!朱漆垂香木百宝阁","朱漆垂香木百宝阁")</f>
        <v>朱漆垂香木百宝阁</v>
      </c>
      <c r="E44" s="17">
        <f>摆设!D15</f>
        <v>0</v>
      </c>
      <c r="F44" s="17">
        <v>1</v>
      </c>
      <c r="G44" s="17" t="s">
        <v>89</v>
      </c>
      <c r="H44" s="17" t="s">
        <v>90</v>
      </c>
      <c r="I44" s="21" t="s">
        <v>95</v>
      </c>
      <c r="J44" s="17">
        <v>1.5</v>
      </c>
      <c r="K44" s="17" t="s">
        <v>108</v>
      </c>
      <c r="L44" s="20"/>
    </row>
    <row r="45" spans="1:12">
      <c r="A45" s="14">
        <v>41</v>
      </c>
      <c r="B45" s="14" t="s">
        <v>110</v>
      </c>
      <c r="C45" s="18"/>
      <c r="D45" s="16" t="str">
        <f>HYPERLINK("#摆设!松木方形茶桌","松木方形茶桌")</f>
        <v>松木方形茶桌</v>
      </c>
      <c r="E45" s="17">
        <f>摆设!D24</f>
        <v>0</v>
      </c>
      <c r="F45" s="17">
        <v>1</v>
      </c>
      <c r="G45" s="17" t="s">
        <v>89</v>
      </c>
      <c r="H45" s="17" t="s">
        <v>94</v>
      </c>
      <c r="I45" s="21" t="s">
        <v>95</v>
      </c>
      <c r="J45" s="17">
        <v>1.5</v>
      </c>
      <c r="K45" s="17" t="s">
        <v>108</v>
      </c>
      <c r="L45" s="20"/>
    </row>
    <row r="46" spans="1:12">
      <c r="A46" s="14">
        <v>42</v>
      </c>
      <c r="B46" s="14" t="s">
        <v>110</v>
      </c>
      <c r="C46" s="18"/>
      <c r="D46" s="16" t="str">
        <f>HYPERLINK("#摆设!烟霞云梦榻","烟霞云梦榻")</f>
        <v>烟霞云梦榻</v>
      </c>
      <c r="E46" s="17">
        <f>摆设!D31</f>
        <v>0</v>
      </c>
      <c r="F46" s="17">
        <v>1</v>
      </c>
      <c r="G46" s="17" t="s">
        <v>89</v>
      </c>
      <c r="H46" s="17" t="s">
        <v>105</v>
      </c>
      <c r="I46" s="21" t="s">
        <v>95</v>
      </c>
      <c r="J46" s="17">
        <v>1.5</v>
      </c>
      <c r="K46" s="17" t="s">
        <v>93</v>
      </c>
      <c r="L46" s="20"/>
    </row>
    <row r="47" spans="1:12">
      <c r="A47" s="14">
        <v>43</v>
      </c>
      <c r="B47" s="14" t="s">
        <v>110</v>
      </c>
      <c r="C47" s="18"/>
      <c r="D47" s="16" t="str">
        <f>HYPERLINK("#摆设!松木靠背茶椅","松木靠背茶椅")</f>
        <v>松木靠背茶椅</v>
      </c>
      <c r="E47" s="17">
        <f>摆设!D38</f>
        <v>0</v>
      </c>
      <c r="F47" s="17">
        <v>2</v>
      </c>
      <c r="G47" s="17" t="s">
        <v>96</v>
      </c>
      <c r="H47" s="17" t="s">
        <v>97</v>
      </c>
      <c r="I47" s="21" t="s">
        <v>95</v>
      </c>
      <c r="J47" s="17">
        <v>1.5</v>
      </c>
      <c r="K47" s="17" t="s">
        <v>108</v>
      </c>
      <c r="L47" s="20"/>
    </row>
    <row r="48" spans="1:12">
      <c r="A48" s="14">
        <v>44</v>
      </c>
      <c r="B48" s="14" t="s">
        <v>110</v>
      </c>
      <c r="C48" s="18"/>
      <c r="D48" s="16" t="str">
        <f>HYPERLINK("#摆设!松木折屏—「云来帆影」","松木折屏—「云来帆影」")</f>
        <v>松木折屏—「云来帆影」</v>
      </c>
      <c r="E48" s="17">
        <f>摆设!D40</f>
        <v>0</v>
      </c>
      <c r="F48" s="17">
        <v>1</v>
      </c>
      <c r="G48" s="17" t="s">
        <v>96</v>
      </c>
      <c r="H48" s="17" t="s">
        <v>106</v>
      </c>
      <c r="I48" s="19" t="s">
        <v>91</v>
      </c>
      <c r="J48" s="17">
        <v>1.5</v>
      </c>
      <c r="K48" s="17" t="s">
        <v>108</v>
      </c>
      <c r="L48" s="20"/>
    </row>
    <row r="49" spans="1:12">
      <c r="A49" s="14">
        <v>45</v>
      </c>
      <c r="B49" s="14" t="s">
        <v>110</v>
      </c>
      <c r="C49" s="18"/>
      <c r="D49" s="16" t="str">
        <f>HYPERLINK("#摆设!却砂木金纹床头柜","却砂木金纹床头柜")</f>
        <v>却砂木金纹床头柜</v>
      </c>
      <c r="E49" s="17">
        <f>摆设!D42</f>
        <v>0</v>
      </c>
      <c r="F49" s="17">
        <v>1</v>
      </c>
      <c r="G49" s="17" t="s">
        <v>96</v>
      </c>
      <c r="H49" s="17" t="s">
        <v>106</v>
      </c>
      <c r="I49" s="21" t="s">
        <v>95</v>
      </c>
      <c r="J49" s="17">
        <v>1.5</v>
      </c>
      <c r="K49" s="17" t="s">
        <v>93</v>
      </c>
      <c r="L49" s="20"/>
    </row>
    <row r="50" spans="1:12">
      <c r="A50" s="14">
        <v>46</v>
      </c>
      <c r="B50" s="14" t="s">
        <v>110</v>
      </c>
      <c r="C50" s="18"/>
      <c r="D50" s="16" t="str">
        <f>HYPERLINK("#摆设!迎宾地毯—「惠然之顾」","迎宾地毯—「惠然之顾」")</f>
        <v>迎宾地毯—「惠然之顾」</v>
      </c>
      <c r="E50" s="17">
        <f>摆设!D51</f>
        <v>0</v>
      </c>
      <c r="F50" s="17">
        <v>1</v>
      </c>
      <c r="G50" s="17" t="s">
        <v>96</v>
      </c>
      <c r="H50" s="17" t="s">
        <v>98</v>
      </c>
      <c r="I50" s="21" t="s">
        <v>95</v>
      </c>
      <c r="J50" s="17">
        <v>1.5</v>
      </c>
      <c r="K50" s="17" t="s">
        <v>108</v>
      </c>
      <c r="L50" s="20"/>
    </row>
    <row r="51" spans="1:12">
      <c r="A51" s="14">
        <v>47</v>
      </c>
      <c r="B51" s="14" t="s">
        <v>110</v>
      </c>
      <c r="C51" s="18"/>
      <c r="D51" s="16" t="str">
        <f>HYPERLINK("#摆设!琉璃亭却砂木立灯","琉璃亭却砂木立灯")</f>
        <v>琉璃亭却砂木立灯</v>
      </c>
      <c r="E51" s="17">
        <f>摆设!D53</f>
        <v>0</v>
      </c>
      <c r="F51" s="17">
        <v>1</v>
      </c>
      <c r="G51" s="17" t="s">
        <v>99</v>
      </c>
      <c r="H51" s="17" t="s">
        <v>107</v>
      </c>
      <c r="I51" s="21" t="s">
        <v>95</v>
      </c>
      <c r="J51" s="17">
        <v>1.5</v>
      </c>
      <c r="K51" s="17" t="s">
        <v>108</v>
      </c>
      <c r="L51" s="20"/>
    </row>
    <row r="52" spans="1:12">
      <c r="A52" s="14">
        <v>48</v>
      </c>
      <c r="B52" s="14" t="s">
        <v>110</v>
      </c>
      <c r="C52" s="18"/>
      <c r="D52" s="16" t="str">
        <f>HYPERLINK("#摆设!贝壳灯罩硬质台灯","贝壳灯罩硬质台灯")</f>
        <v>贝壳灯罩硬质台灯</v>
      </c>
      <c r="E52" s="17">
        <f>摆设!D54</f>
        <v>0</v>
      </c>
      <c r="F52" s="17">
        <v>1</v>
      </c>
      <c r="G52" s="17" t="s">
        <v>99</v>
      </c>
      <c r="H52" s="17" t="s">
        <v>107</v>
      </c>
      <c r="I52" s="21" t="s">
        <v>95</v>
      </c>
      <c r="J52" s="17">
        <v>1.5</v>
      </c>
      <c r="K52" s="17" t="s">
        <v>93</v>
      </c>
      <c r="L52" s="20"/>
    </row>
    <row r="53" spans="1:12">
      <c r="A53" s="14">
        <v>49</v>
      </c>
      <c r="B53" s="14" t="s">
        <v>110</v>
      </c>
      <c r="C53" s="18"/>
      <c r="D53" s="16" t="str">
        <f>HYPERLINK("#摆设!绿植盆栽—「澄澈的清风」","绿植盆栽—「澄澈的清风」")</f>
        <v>绿植盆栽—「澄澈的清风」</v>
      </c>
      <c r="E53" s="17">
        <f>摆设!D56</f>
        <v>0</v>
      </c>
      <c r="F53" s="17">
        <v>1</v>
      </c>
      <c r="G53" s="17" t="s">
        <v>99</v>
      </c>
      <c r="H53" s="17" t="s">
        <v>100</v>
      </c>
      <c r="I53" s="21" t="s">
        <v>95</v>
      </c>
      <c r="J53" s="17">
        <v>1.5</v>
      </c>
      <c r="K53" s="17" t="s">
        <v>93</v>
      </c>
      <c r="L53" s="20"/>
    </row>
    <row r="54" spans="1:12">
      <c r="A54" s="14">
        <v>50</v>
      </c>
      <c r="B54" s="14" t="s">
        <v>110</v>
      </c>
      <c r="C54" s="18"/>
      <c r="D54" s="16" t="str">
        <f>HYPERLINK("#摆设!白瓷茶具—「怀质抱真」","白瓷茶具—「怀质抱真」")</f>
        <v>白瓷茶具—「怀质抱真」</v>
      </c>
      <c r="E54" s="17">
        <f>摆设!D69</f>
        <v>0</v>
      </c>
      <c r="F54" s="17">
        <v>1</v>
      </c>
      <c r="G54" s="17" t="s">
        <v>99</v>
      </c>
      <c r="H54" s="17" t="s">
        <v>101</v>
      </c>
      <c r="I54" s="21" t="s">
        <v>95</v>
      </c>
      <c r="J54" s="17">
        <v>1.6</v>
      </c>
      <c r="K54" s="17" t="s">
        <v>93</v>
      </c>
      <c r="L54" s="20"/>
    </row>
    <row r="55" spans="1:12">
      <c r="A55" s="14"/>
      <c r="B55" s="14"/>
      <c r="C55" s="18"/>
      <c r="E55" s="17"/>
      <c r="F55" s="17"/>
      <c r="G55" s="17"/>
      <c r="H55" s="17"/>
      <c r="I55" s="17"/>
      <c r="J55" s="17"/>
      <c r="K55" s="17"/>
      <c r="L55" s="20"/>
    </row>
    <row r="56" spans="1:12">
      <c r="A56" s="14">
        <v>51</v>
      </c>
      <c r="B56" s="14" t="s">
        <v>111</v>
      </c>
      <c r="C56" s="15" t="s">
        <v>111</v>
      </c>
      <c r="D56" s="16" t="str">
        <f>HYPERLINK("#摆设!高大的桦木衣柜","高大的桦木衣柜")</f>
        <v>高大的桦木衣柜</v>
      </c>
      <c r="E56" s="17">
        <f>摆设!D5</f>
        <v>0</v>
      </c>
      <c r="F56" s="17">
        <v>1</v>
      </c>
      <c r="G56" s="17" t="s">
        <v>89</v>
      </c>
      <c r="H56" s="17" t="s">
        <v>104</v>
      </c>
      <c r="I56" s="21" t="s">
        <v>95</v>
      </c>
      <c r="J56" s="17">
        <v>1.5</v>
      </c>
      <c r="K56" s="17" t="s">
        <v>93</v>
      </c>
      <c r="L56" s="20"/>
    </row>
    <row r="57" spans="1:12">
      <c r="A57" s="14">
        <v>52</v>
      </c>
      <c r="B57" s="14" t="s">
        <v>111</v>
      </c>
      <c r="C57" s="18"/>
      <c r="D57" s="16" t="str">
        <f>HYPERLINK("#摆设!「司书的宝库」","「司书的宝库」")</f>
        <v>「司书的宝库」</v>
      </c>
      <c r="E57" s="17">
        <f>摆设!D13</f>
        <v>0</v>
      </c>
      <c r="F57" s="17">
        <v>1</v>
      </c>
      <c r="G57" s="17" t="s">
        <v>89</v>
      </c>
      <c r="H57" s="17" t="s">
        <v>90</v>
      </c>
      <c r="I57" s="19" t="s">
        <v>91</v>
      </c>
      <c r="J57" s="17">
        <v>1.5</v>
      </c>
      <c r="K57" s="17" t="s">
        <v>93</v>
      </c>
      <c r="L57" s="20"/>
    </row>
    <row r="58" spans="1:12">
      <c r="A58" s="14">
        <v>53</v>
      </c>
      <c r="B58" s="14" t="s">
        <v>111</v>
      </c>
      <c r="C58" s="18"/>
      <c r="D58" s="16" t="str">
        <f>HYPERLINK("#摆设!厚重的图书馆长桌","厚重的图书馆长桌")</f>
        <v>厚重的图书馆长桌</v>
      </c>
      <c r="E58" s="17">
        <f>摆设!D19</f>
        <v>0</v>
      </c>
      <c r="F58" s="17">
        <v>1</v>
      </c>
      <c r="G58" s="17" t="s">
        <v>89</v>
      </c>
      <c r="H58" s="17" t="s">
        <v>94</v>
      </c>
      <c r="I58" s="21" t="s">
        <v>95</v>
      </c>
      <c r="J58" s="17">
        <v>1.5</v>
      </c>
      <c r="K58" s="17" t="s">
        <v>92</v>
      </c>
      <c r="L58" s="20"/>
    </row>
    <row r="59" spans="1:12">
      <c r="A59" s="14">
        <v>54</v>
      </c>
      <c r="B59" s="14" t="s">
        <v>111</v>
      </c>
      <c r="C59" s="18"/>
      <c r="D59" s="16" t="str">
        <f>HYPERLINK("#摆设!骑士团的办公桌","骑士团的办公桌")</f>
        <v>骑士团的办公桌</v>
      </c>
      <c r="E59" s="17">
        <f>摆设!D20</f>
        <v>0</v>
      </c>
      <c r="F59" s="17">
        <v>1</v>
      </c>
      <c r="G59" s="17" t="s">
        <v>89</v>
      </c>
      <c r="H59" s="17" t="s">
        <v>94</v>
      </c>
      <c r="I59" s="21" t="s">
        <v>95</v>
      </c>
      <c r="J59" s="17">
        <v>1.5</v>
      </c>
      <c r="K59" s="17" t="s">
        <v>93</v>
      </c>
      <c r="L59" s="20"/>
    </row>
    <row r="60" spans="1:12">
      <c r="A60" s="14">
        <v>55</v>
      </c>
      <c r="B60" s="14" t="s">
        <v>111</v>
      </c>
      <c r="C60" s="18"/>
      <c r="D60" s="16" t="str">
        <f>HYPERLINK("#摆设!「晴空蓝的午后」","「晴空蓝的午后」")</f>
        <v>「晴空蓝的午后」</v>
      </c>
      <c r="E60" s="17">
        <f>摆设!D35</f>
        <v>0</v>
      </c>
      <c r="F60" s="17">
        <v>2</v>
      </c>
      <c r="G60" s="17" t="s">
        <v>96</v>
      </c>
      <c r="H60" s="17" t="s">
        <v>97</v>
      </c>
      <c r="I60" s="21" t="s">
        <v>95</v>
      </c>
      <c r="J60" s="17">
        <v>1.5</v>
      </c>
      <c r="K60" s="17" t="s">
        <v>93</v>
      </c>
      <c r="L60" s="20"/>
    </row>
    <row r="61" spans="1:12">
      <c r="A61" s="14">
        <v>56</v>
      </c>
      <c r="B61" s="14" t="s">
        <v>111</v>
      </c>
      <c r="C61" s="18"/>
      <c r="D61" s="16" t="str">
        <f>HYPERLINK("#摆设!「坚定意志」","「坚定意志」")</f>
        <v>「坚定意志」</v>
      </c>
      <c r="E61" s="17">
        <f>摆设!D36</f>
        <v>0</v>
      </c>
      <c r="F61" s="17">
        <v>1</v>
      </c>
      <c r="G61" s="17" t="s">
        <v>96</v>
      </c>
      <c r="H61" s="17" t="s">
        <v>97</v>
      </c>
      <c r="I61" s="21" t="s">
        <v>95</v>
      </c>
      <c r="J61" s="17">
        <v>1.5</v>
      </c>
      <c r="K61" s="17" t="s">
        <v>93</v>
      </c>
      <c r="L61" s="20"/>
    </row>
    <row r="62" spans="1:12">
      <c r="A62" s="14">
        <v>57</v>
      </c>
      <c r="B62" s="14" t="s">
        <v>111</v>
      </c>
      <c r="C62" s="18"/>
      <c r="D62" s="16" t="str">
        <f>HYPERLINK("#摆设!蒙德地毯—「明红的热忱」","蒙德地毯—「明红的热忱」")</f>
        <v>蒙德地毯—「明红的热忱」</v>
      </c>
      <c r="E62" s="17">
        <f>摆设!D50</f>
        <v>0</v>
      </c>
      <c r="F62" s="17">
        <v>1</v>
      </c>
      <c r="G62" s="17" t="s">
        <v>96</v>
      </c>
      <c r="H62" s="17" t="s">
        <v>98</v>
      </c>
      <c r="I62" s="21" t="s">
        <v>95</v>
      </c>
      <c r="J62" s="17">
        <v>1.5</v>
      </c>
      <c r="K62" s="17" t="s">
        <v>93</v>
      </c>
      <c r="L62" s="20"/>
    </row>
    <row r="63" spans="1:12">
      <c r="A63" s="14">
        <v>58</v>
      </c>
      <c r="B63" s="14" t="s">
        <v>111</v>
      </c>
      <c r="C63" s="18"/>
      <c r="D63" s="16" t="str">
        <f>HYPERLINK("#摆设!绿植盆栽—「澄澈的清风」","绿植盆栽—「澄澈的清风」")</f>
        <v>绿植盆栽—「澄澈的清风」</v>
      </c>
      <c r="E63" s="17">
        <f>摆设!D56</f>
        <v>0</v>
      </c>
      <c r="F63" s="17">
        <v>1</v>
      </c>
      <c r="G63" s="17" t="s">
        <v>99</v>
      </c>
      <c r="H63" s="17" t="s">
        <v>100</v>
      </c>
      <c r="I63" s="21" t="s">
        <v>95</v>
      </c>
      <c r="J63" s="17">
        <v>1.5</v>
      </c>
      <c r="K63" s="17" t="s">
        <v>93</v>
      </c>
      <c r="L63" s="20"/>
    </row>
    <row r="64" spans="1:12">
      <c r="A64" s="14">
        <v>59</v>
      </c>
      <c r="B64" s="14" t="s">
        <v>111</v>
      </c>
      <c r="C64" s="18"/>
      <c r="D64" s="16" t="str">
        <f>HYPERLINK("#摆设!整齐叠放的书本","整齐叠放的书本")</f>
        <v>整齐叠放的书本</v>
      </c>
      <c r="E64" s="17">
        <f>摆设!D61</f>
        <v>0</v>
      </c>
      <c r="F64" s="17">
        <v>1</v>
      </c>
      <c r="G64" s="17" t="s">
        <v>99</v>
      </c>
      <c r="H64" s="17" t="s">
        <v>101</v>
      </c>
      <c r="I64" s="21" t="s">
        <v>95</v>
      </c>
      <c r="J64" s="17">
        <v>1.5</v>
      </c>
      <c r="K64" s="17" t="s">
        <v>93</v>
      </c>
      <c r="L64" s="20"/>
    </row>
    <row r="65" spans="1:12">
      <c r="A65" s="14">
        <v>60</v>
      </c>
      <c r="B65" s="14" t="s">
        <v>111</v>
      </c>
      <c r="C65" s="18"/>
      <c r="D65" s="16" t="str">
        <f>HYPERLINK("#摆设!「学者的倦怠」","「学者的倦怠」")</f>
        <v>「学者的倦怠」</v>
      </c>
      <c r="E65" s="17">
        <f>摆设!D62</f>
        <v>0</v>
      </c>
      <c r="F65" s="17">
        <v>1</v>
      </c>
      <c r="G65" s="17" t="s">
        <v>99</v>
      </c>
      <c r="H65" s="17" t="s">
        <v>101</v>
      </c>
      <c r="I65" s="21" t="s">
        <v>95</v>
      </c>
      <c r="J65" s="17">
        <v>1.5</v>
      </c>
      <c r="K65" s="17" t="s">
        <v>93</v>
      </c>
      <c r="L65" s="20"/>
    </row>
    <row r="66" spans="1:12">
      <c r="A66" s="14">
        <v>61</v>
      </c>
      <c r="B66" s="14" t="s">
        <v>111</v>
      </c>
      <c r="C66" s="18"/>
      <c r="D66" s="16" t="str">
        <f>HYPERLINK("#摆设!精巧的沙漏摆件","精巧的沙漏摆件")</f>
        <v>精巧的沙漏摆件</v>
      </c>
      <c r="E66" s="17">
        <f>摆设!D64</f>
        <v>0</v>
      </c>
      <c r="F66" s="17">
        <v>1</v>
      </c>
      <c r="G66" s="17" t="s">
        <v>99</v>
      </c>
      <c r="H66" s="17" t="s">
        <v>101</v>
      </c>
      <c r="I66" s="21" t="s">
        <v>95</v>
      </c>
      <c r="J66" s="17">
        <v>1.5</v>
      </c>
      <c r="K66" s="17" t="s">
        <v>93</v>
      </c>
      <c r="L66" s="20"/>
    </row>
    <row r="67" spans="1:12">
      <c r="A67" s="14">
        <v>62</v>
      </c>
      <c r="B67" s="14" t="s">
        <v>111</v>
      </c>
      <c r="C67" s="18"/>
      <c r="D67" s="16" t="str">
        <f>HYPERLINK("#摆设!炼金装置—「水火之间」","炼金装置—「水火之间」")</f>
        <v>炼金装置—「水火之间」</v>
      </c>
      <c r="E67" s="17">
        <f>摆设!D65</f>
        <v>0</v>
      </c>
      <c r="F67" s="17">
        <v>1</v>
      </c>
      <c r="G67" s="17" t="s">
        <v>99</v>
      </c>
      <c r="H67" s="17" t="s">
        <v>101</v>
      </c>
      <c r="I67" s="21" t="s">
        <v>95</v>
      </c>
      <c r="J67" s="17">
        <v>1.5</v>
      </c>
      <c r="K67" s="17" t="s">
        <v>93</v>
      </c>
      <c r="L67" s="20"/>
    </row>
    <row r="68" spans="1:12">
      <c r="A68" s="14">
        <v>63</v>
      </c>
      <c r="B68" s="14" t="s">
        <v>111</v>
      </c>
      <c r="C68" s="18"/>
      <c r="D68" s="16" t="str">
        <f>HYPERLINK("#摆设!炼金器件—「尘埃的重量」","炼金器件—「尘埃的重量」")</f>
        <v>炼金器件—「尘埃的重量」</v>
      </c>
      <c r="E68" s="17">
        <f>摆设!D66</f>
        <v>0</v>
      </c>
      <c r="F68" s="17">
        <v>1</v>
      </c>
      <c r="G68" s="17" t="s">
        <v>99</v>
      </c>
      <c r="H68" s="17" t="s">
        <v>101</v>
      </c>
      <c r="I68" s="21" t="s">
        <v>95</v>
      </c>
      <c r="J68" s="17">
        <v>1.5</v>
      </c>
      <c r="K68" s="17" t="s">
        <v>93</v>
      </c>
      <c r="L68" s="20"/>
    </row>
    <row r="69" spans="1:12">
      <c r="A69" s="14"/>
      <c r="B69" s="14"/>
      <c r="C69" s="18"/>
      <c r="E69" s="17"/>
      <c r="F69" s="17"/>
      <c r="G69" s="17"/>
      <c r="H69" s="17"/>
      <c r="I69" s="17"/>
      <c r="J69" s="17"/>
      <c r="K69" s="17"/>
      <c r="L69" s="20"/>
    </row>
    <row r="70" spans="1:12">
      <c r="A70" s="14">
        <v>64</v>
      </c>
      <c r="B70" s="14" t="s">
        <v>112</v>
      </c>
      <c r="C70" s="15" t="s">
        <v>112</v>
      </c>
      <c r="D70" s="16" t="str">
        <f>HYPERLINK("#摆设!开顶杉木货架","开顶杉木货架")</f>
        <v>开顶杉木货架</v>
      </c>
      <c r="E70" s="17">
        <f>摆设!D3</f>
        <v>0</v>
      </c>
      <c r="F70" s="17">
        <v>1</v>
      </c>
      <c r="G70" s="17" t="s">
        <v>89</v>
      </c>
      <c r="H70" s="17" t="s">
        <v>104</v>
      </c>
      <c r="I70" s="21" t="s">
        <v>95</v>
      </c>
      <c r="J70" s="17">
        <v>1.5</v>
      </c>
      <c r="K70" s="17" t="s">
        <v>113</v>
      </c>
      <c r="L70" s="20"/>
    </row>
    <row r="71" spans="1:12">
      <c r="A71" s="14">
        <v>65</v>
      </c>
      <c r="B71" s="14" t="s">
        <v>112</v>
      </c>
      <c r="C71" s="18"/>
      <c r="D71" s="16" t="str">
        <f>HYPERLINK("#摆设!组合式杉木货柜","组合式杉木货柜")</f>
        <v>组合式杉木货柜</v>
      </c>
      <c r="E71" s="17">
        <f>摆设!D4</f>
        <v>0</v>
      </c>
      <c r="F71" s="17">
        <v>1</v>
      </c>
      <c r="G71" s="17" t="s">
        <v>89</v>
      </c>
      <c r="H71" s="17" t="s">
        <v>104</v>
      </c>
      <c r="I71" s="21" t="s">
        <v>95</v>
      </c>
      <c r="J71" s="17">
        <v>1.5</v>
      </c>
      <c r="K71" s="17" t="s">
        <v>113</v>
      </c>
      <c r="L71" s="20"/>
    </row>
    <row r="72" spans="1:12">
      <c r="A72" s="14">
        <v>66</v>
      </c>
      <c r="B72" s="14" t="s">
        <v>112</v>
      </c>
      <c r="C72" s="18"/>
      <c r="D72" s="16" t="str">
        <f>HYPERLINK("#摆设!便携炉灶","便携炉灶")</f>
        <v>便携炉灶</v>
      </c>
      <c r="E72" s="17">
        <f>摆设!D21</f>
        <v>0</v>
      </c>
      <c r="F72" s="17">
        <v>1</v>
      </c>
      <c r="G72" s="17" t="s">
        <v>89</v>
      </c>
      <c r="H72" s="17" t="s">
        <v>94</v>
      </c>
      <c r="I72" s="21" t="s">
        <v>95</v>
      </c>
      <c r="J72" s="17">
        <v>1.5</v>
      </c>
      <c r="K72" s="17" t="s">
        <v>113</v>
      </c>
      <c r="L72" s="20"/>
    </row>
    <row r="73" spans="1:12">
      <c r="A73" s="14">
        <v>67</v>
      </c>
      <c r="B73" s="14" t="s">
        <v>112</v>
      </c>
      <c r="C73" s="18"/>
      <c r="D73" s="16" t="str">
        <f>HYPERLINK("#摆设!稳固的桦木梳妆台","稳固的桦木梳妆台")</f>
        <v>稳固的桦木梳妆台</v>
      </c>
      <c r="E73" s="17">
        <f>摆设!D25</f>
        <v>0</v>
      </c>
      <c r="F73" s="17">
        <v>2</v>
      </c>
      <c r="G73" s="17" t="s">
        <v>89</v>
      </c>
      <c r="H73" s="17" t="s">
        <v>94</v>
      </c>
      <c r="I73" s="21" t="s">
        <v>95</v>
      </c>
      <c r="J73" s="17">
        <v>1.5</v>
      </c>
      <c r="K73" s="17" t="s">
        <v>93</v>
      </c>
      <c r="L73" s="20"/>
    </row>
    <row r="74" spans="1:12">
      <c r="A74" s="14">
        <v>68</v>
      </c>
      <c r="B74" s="14" t="s">
        <v>112</v>
      </c>
      <c r="C74" s="18"/>
      <c r="D74" s="16" t="str">
        <f>HYPERLINK("#摆设!松木餐椅","松木餐椅")</f>
        <v>松木餐椅</v>
      </c>
      <c r="E74" s="17">
        <f>摆设!D37</f>
        <v>0</v>
      </c>
      <c r="F74" s="17">
        <v>3</v>
      </c>
      <c r="G74" s="17" t="s">
        <v>96</v>
      </c>
      <c r="H74" s="17" t="s">
        <v>97</v>
      </c>
      <c r="I74" s="23" t="s">
        <v>114</v>
      </c>
      <c r="J74" s="17">
        <v>1.5</v>
      </c>
      <c r="K74" s="17" t="s">
        <v>102</v>
      </c>
      <c r="L74" s="20"/>
    </row>
    <row r="75" spans="1:12">
      <c r="A75" s="14">
        <v>69</v>
      </c>
      <c r="B75" s="14" t="s">
        <v>112</v>
      </c>
      <c r="C75" s="18"/>
      <c r="D75" s="16" t="str">
        <f>HYPERLINK("#摆设!恒亮不熄的提灯","恒亮不熄的提灯")</f>
        <v>恒亮不熄的提灯</v>
      </c>
      <c r="E75" s="17">
        <f>摆设!D52</f>
        <v>0</v>
      </c>
      <c r="F75" s="17">
        <v>2</v>
      </c>
      <c r="G75" s="17" t="s">
        <v>99</v>
      </c>
      <c r="H75" s="17" t="s">
        <v>107</v>
      </c>
      <c r="I75" s="21" t="s">
        <v>95</v>
      </c>
      <c r="J75" s="17">
        <v>1.5</v>
      </c>
      <c r="K75" s="17" t="s">
        <v>93</v>
      </c>
      <c r="L75" s="20"/>
    </row>
    <row r="76" spans="1:12">
      <c r="A76" s="14">
        <v>70</v>
      </c>
      <c r="B76" s="14" t="s">
        <v>112</v>
      </c>
      <c r="C76" s="18"/>
      <c r="D76" s="16" t="str">
        <f>HYPERLINK("#摆设!菱形桌布的长桌","菱形桌布的长桌")</f>
        <v>菱形桌布的长桌</v>
      </c>
      <c r="E76" s="17">
        <f>摆设!D22</f>
        <v>0</v>
      </c>
      <c r="F76" s="17">
        <v>1</v>
      </c>
      <c r="G76" s="17" t="s">
        <v>89</v>
      </c>
      <c r="H76" s="17" t="s">
        <v>94</v>
      </c>
      <c r="I76" s="21" t="s">
        <v>95</v>
      </c>
      <c r="J76" s="17">
        <v>1.5</v>
      </c>
      <c r="K76" s="17" t="s">
        <v>102</v>
      </c>
      <c r="L76" s="20"/>
    </row>
    <row r="77" spans="1:12">
      <c r="A77" s="14"/>
      <c r="B77" s="14"/>
      <c r="C77" s="18"/>
      <c r="D77" s="16"/>
      <c r="E77" s="17"/>
      <c r="F77" s="17"/>
      <c r="G77" s="17"/>
      <c r="H77" s="17"/>
      <c r="I77" s="17"/>
      <c r="J77" s="17"/>
      <c r="K77" s="17"/>
      <c r="L77" s="20"/>
    </row>
    <row r="78" spans="1:12">
      <c r="A78" s="14"/>
      <c r="B78" s="14"/>
      <c r="C78" s="15" t="s">
        <v>115</v>
      </c>
      <c r="D78" s="16" t="str">
        <f>HYPERLINK("#摆设!梦见木「露隐」衣柜","梦见木「露隐」衣柜")</f>
        <v>梦见木「露隐」衣柜</v>
      </c>
      <c r="E78" s="17">
        <f>摆设!D9</f>
        <v>0</v>
      </c>
      <c r="F78" s="17">
        <v>1</v>
      </c>
      <c r="G78" s="17" t="s">
        <v>89</v>
      </c>
      <c r="H78" s="17" t="s">
        <v>104</v>
      </c>
      <c r="I78" s="21" t="s">
        <v>95</v>
      </c>
      <c r="J78" s="17">
        <v>2.2</v>
      </c>
      <c r="K78" s="17" t="s">
        <v>116</v>
      </c>
      <c r="L78" s="20"/>
    </row>
    <row r="79" spans="1:12">
      <c r="A79" s="14"/>
      <c r="B79" s="14"/>
      <c r="C79" s="22"/>
      <c r="D79" s="16" t="str">
        <f>HYPERLINK("#摆设!梦见木「冷暖一桌」被炉","梦见木「冷暖一桌」被炉")</f>
        <v>梦见木「冷暖一桌」被炉</v>
      </c>
      <c r="E79" s="17">
        <f>摆设!D26</f>
        <v>0</v>
      </c>
      <c r="F79" s="17">
        <v>1</v>
      </c>
      <c r="G79" s="17" t="s">
        <v>89</v>
      </c>
      <c r="H79" s="17" t="s">
        <v>94</v>
      </c>
      <c r="I79" s="19" t="s">
        <v>91</v>
      </c>
      <c r="J79" s="17">
        <v>2.2</v>
      </c>
      <c r="K79" s="17" t="s">
        <v>116</v>
      </c>
      <c r="L79" s="20"/>
    </row>
    <row r="80" spans="1:12">
      <c r="A80" s="14"/>
      <c r="B80" s="14"/>
      <c r="C80" s="22"/>
      <c r="D80" s="16" t="str">
        <f>HYPERLINK("#摆设!梦见木「樱眠」床榻","梦见木「樱眠」床榻")</f>
        <v>梦见木「樱眠」床榻</v>
      </c>
      <c r="E80" s="17">
        <f>摆设!D32</f>
        <v>0</v>
      </c>
      <c r="F80" s="17">
        <v>1</v>
      </c>
      <c r="G80" s="17" t="s">
        <v>89</v>
      </c>
      <c r="H80" s="17" t="s">
        <v>105</v>
      </c>
      <c r="I80" s="21" t="s">
        <v>95</v>
      </c>
      <c r="J80" s="17">
        <v>2.2</v>
      </c>
      <c r="K80" s="17" t="s">
        <v>116</v>
      </c>
      <c r="L80" s="20"/>
    </row>
    <row r="81" spans="1:12">
      <c r="A81" s="14"/>
      <c r="B81" s="14"/>
      <c r="C81" s="22"/>
      <c r="D81" s="16" t="str">
        <f>HYPERLINK("#摆设!梦见木「礼待」着物架","梦见木「礼待」着物架")</f>
        <v>梦见木「礼待」着物架</v>
      </c>
      <c r="E81" s="17">
        <f>摆设!D43</f>
        <v>0</v>
      </c>
      <c r="F81" s="17">
        <v>1</v>
      </c>
      <c r="G81" s="17" t="s">
        <v>96</v>
      </c>
      <c r="H81" s="17" t="s">
        <v>106</v>
      </c>
      <c r="I81" s="21" t="s">
        <v>95</v>
      </c>
      <c r="J81" s="17">
        <v>2.2</v>
      </c>
      <c r="K81" s="17" t="s">
        <v>116</v>
      </c>
      <c r="L81" s="20"/>
    </row>
    <row r="82" spans="1:12">
      <c r="A82" s="14"/>
      <c r="B82" s="14"/>
      <c r="C82" s="22"/>
      <c r="D82" s="16" t="str">
        <f>HYPERLINK("#摆设!茶室坐垫—「晚禾织」","茶室坐垫—「晚禾织」")</f>
        <v>茶室坐垫—「晚禾织」</v>
      </c>
      <c r="E82" s="17">
        <f>摆设!D44</f>
        <v>0</v>
      </c>
      <c r="F82" s="17">
        <v>4</v>
      </c>
      <c r="G82" s="17" t="s">
        <v>96</v>
      </c>
      <c r="H82" s="17" t="s">
        <v>106</v>
      </c>
      <c r="I82" s="23" t="s">
        <v>114</v>
      </c>
      <c r="J82" s="17">
        <v>2.2</v>
      </c>
      <c r="K82" s="17" t="s">
        <v>116</v>
      </c>
      <c r="L82" s="20"/>
    </row>
    <row r="83" spans="1:12">
      <c r="A83" s="14"/>
      <c r="B83" s="14"/>
      <c r="C83" s="22"/>
      <c r="D83" s="16" t="str">
        <f>HYPERLINK("#摆设!梦见木「入画」折屏","梦见木「入画」折屏")</f>
        <v>梦见木「入画」折屏</v>
      </c>
      <c r="E83" s="17">
        <f>摆设!D49</f>
        <v>0</v>
      </c>
      <c r="F83" s="17">
        <v>1</v>
      </c>
      <c r="G83" s="17" t="s">
        <v>96</v>
      </c>
      <c r="H83" s="17" t="s">
        <v>106</v>
      </c>
      <c r="I83" s="19" t="s">
        <v>91</v>
      </c>
      <c r="J83" s="17">
        <v>2.2</v>
      </c>
      <c r="K83" s="17" t="s">
        <v>116</v>
      </c>
      <c r="L83" s="20"/>
    </row>
    <row r="84" spans="1:12">
      <c r="A84" s="14"/>
      <c r="B84" s="14"/>
      <c r="C84" s="22"/>
      <c r="D84" s="16" t="str">
        <f>HYPERLINK("#摆设!「铸瓷正则」","「铸瓷正则」")</f>
        <v>「铸瓷正则」</v>
      </c>
      <c r="E84" s="17">
        <f>摆设!D59</f>
        <v>0</v>
      </c>
      <c r="F84" s="17">
        <v>1</v>
      </c>
      <c r="G84" s="17" t="s">
        <v>99</v>
      </c>
      <c r="H84" s="17" t="s">
        <v>100</v>
      </c>
      <c r="I84" s="21" t="s">
        <v>95</v>
      </c>
      <c r="J84" s="17">
        <v>2.2</v>
      </c>
      <c r="K84" s="17" t="s">
        <v>116</v>
      </c>
      <c r="L84" s="20"/>
    </row>
    <row r="85" spans="1:12">
      <c r="A85" s="14"/>
      <c r="B85" s="14"/>
      <c r="C85" s="22"/>
      <c r="D85" s="16" t="str">
        <f>HYPERLINK("#摆设!驱鬼之羽屏","驱鬼之羽屏")</f>
        <v>驱鬼之羽屏</v>
      </c>
      <c r="E85" s="17">
        <f>摆设!D75</f>
        <v>0</v>
      </c>
      <c r="F85" s="17">
        <v>1</v>
      </c>
      <c r="G85" s="17" t="s">
        <v>99</v>
      </c>
      <c r="H85" s="17" t="s">
        <v>101</v>
      </c>
      <c r="I85" s="21" t="s">
        <v>95</v>
      </c>
      <c r="J85" s="17">
        <v>2.2</v>
      </c>
      <c r="K85" s="17" t="s">
        <v>116</v>
      </c>
      <c r="L85" s="20"/>
    </row>
    <row r="86" spans="1:12">
      <c r="A86" s="14"/>
      <c r="B86" s="14"/>
      <c r="C86" s="22"/>
      <c r="D86" s="16" t="str">
        <f>HYPERLINK("#摆设!「赤铁珊瑚」","「赤铁珊瑚」")</f>
        <v>「赤铁珊瑚」</v>
      </c>
      <c r="E86" s="17">
        <f>摆设!D77</f>
        <v>0</v>
      </c>
      <c r="F86" s="17">
        <v>1</v>
      </c>
      <c r="G86" s="17" t="s">
        <v>99</v>
      </c>
      <c r="H86" s="17" t="s">
        <v>101</v>
      </c>
      <c r="I86" s="21" t="s">
        <v>95</v>
      </c>
      <c r="J86" s="17">
        <v>2.2</v>
      </c>
      <c r="K86" s="17" t="s">
        <v>116</v>
      </c>
      <c r="L86" s="20"/>
    </row>
    <row r="87" spans="1:12">
      <c r="A87" s="14"/>
      <c r="B87" s="14"/>
      <c r="C87" s="22"/>
      <c r="D87" s="16"/>
      <c r="E87" s="17"/>
      <c r="F87" s="17"/>
      <c r="G87" s="17"/>
      <c r="H87" s="17"/>
      <c r="I87" s="17"/>
      <c r="J87" s="17"/>
      <c r="K87" s="17"/>
      <c r="L87" s="20"/>
    </row>
    <row r="88" spans="1:12">
      <c r="A88" s="14"/>
      <c r="B88" s="14"/>
      <c r="C88" s="15" t="s">
        <v>117</v>
      </c>
      <c r="D88" s="16" t="str">
        <f>HYPERLINK("#摆设!茶室坐垫—「晚禾织」","茶室坐垫—「晚禾织」")</f>
        <v>茶室坐垫—「晚禾织」</v>
      </c>
      <c r="E88" s="17">
        <f>摆设!D44</f>
        <v>0</v>
      </c>
      <c r="F88" s="17">
        <v>2</v>
      </c>
      <c r="G88" s="17" t="s">
        <v>96</v>
      </c>
      <c r="H88" s="17" t="s">
        <v>106</v>
      </c>
      <c r="I88" s="23" t="s">
        <v>114</v>
      </c>
      <c r="J88" s="17">
        <v>2.2</v>
      </c>
      <c r="K88" s="17" t="s">
        <v>116</v>
      </c>
      <c r="L88" s="20"/>
    </row>
    <row r="89" spans="1:12">
      <c r="A89" s="14"/>
      <c r="B89" s="14"/>
      <c r="C89" s="22"/>
      <c r="D89" s="16" t="str">
        <f>HYPERLINK("#摆设!枫木仪鼓—「宴奏」","枫木仪鼓—「宴奏」")</f>
        <v>枫木仪鼓—「宴奏」</v>
      </c>
      <c r="E89" s="17">
        <f>摆设!D45</f>
        <v>0</v>
      </c>
      <c r="F89" s="17">
        <v>1</v>
      </c>
      <c r="G89" s="17" t="s">
        <v>96</v>
      </c>
      <c r="H89" s="17" t="s">
        <v>106</v>
      </c>
      <c r="I89" s="21" t="s">
        <v>95</v>
      </c>
      <c r="J89" s="17">
        <v>2.2</v>
      </c>
      <c r="K89" s="17" t="s">
        <v>116</v>
      </c>
      <c r="L89" s="20"/>
    </row>
    <row r="90" spans="1:12">
      <c r="A90" s="14"/>
      <c r="B90" s="14"/>
      <c r="C90" s="22"/>
      <c r="D90" s="16" t="str">
        <f>HYPERLINK("#摆设!茶室屏风—「垢身金心」","茶室屏风—「垢身金心」")</f>
        <v>茶室屏风—「垢身金心」</v>
      </c>
      <c r="E90" s="17">
        <f>摆设!D46</f>
        <v>0</v>
      </c>
      <c r="F90" s="17">
        <v>4</v>
      </c>
      <c r="G90" s="17" t="s">
        <v>96</v>
      </c>
      <c r="H90" s="17" t="s">
        <v>106</v>
      </c>
      <c r="I90" s="19" t="s">
        <v>91</v>
      </c>
      <c r="J90" s="17">
        <v>2.2</v>
      </c>
      <c r="K90" s="17" t="s">
        <v>116</v>
      </c>
      <c r="L90" s="20"/>
    </row>
    <row r="91" spans="1:12">
      <c r="A91" s="14"/>
      <c r="B91" s="14"/>
      <c r="C91" s="22"/>
      <c r="D91" s="16" t="str">
        <f>HYPERLINK("#摆设!宗传刀架—「四常法」","宗传刀架—「四常法」")</f>
        <v>宗传刀架—「四常法」</v>
      </c>
      <c r="E91" s="17">
        <f>摆设!D47</f>
        <v>0</v>
      </c>
      <c r="F91" s="17">
        <v>2</v>
      </c>
      <c r="G91" s="17" t="s">
        <v>96</v>
      </c>
      <c r="H91" s="17" t="s">
        <v>106</v>
      </c>
      <c r="I91" s="19" t="s">
        <v>91</v>
      </c>
      <c r="J91" s="17">
        <v>2.2</v>
      </c>
      <c r="K91" s="17" t="s">
        <v>116</v>
      </c>
      <c r="L91" s="20"/>
    </row>
    <row r="92" spans="1:12">
      <c r="A92" s="14"/>
      <c r="B92" s="14"/>
      <c r="C92" s="22"/>
      <c r="D92" s="16" t="str">
        <f>HYPERLINK("#摆设!旗本重铠—「影阵玄甲」","旗本重铠—「影阵玄甲」")</f>
        <v>旗本重铠—「影阵玄甲」</v>
      </c>
      <c r="E92" s="17">
        <f>摆设!D48</f>
        <v>0</v>
      </c>
      <c r="F92" s="17">
        <v>1</v>
      </c>
      <c r="G92" s="17" t="s">
        <v>96</v>
      </c>
      <c r="H92" s="17" t="s">
        <v>106</v>
      </c>
      <c r="I92" s="19" t="s">
        <v>91</v>
      </c>
      <c r="J92" s="17">
        <v>2.2</v>
      </c>
      <c r="K92" s="17" t="s">
        <v>116</v>
      </c>
      <c r="L92" s="20"/>
    </row>
    <row r="93" spans="1:12">
      <c r="A93" s="14"/>
      <c r="B93" s="14"/>
      <c r="C93" s="22"/>
      <c r="D93" s="16" t="str">
        <f>HYPERLINK("#摆设!枫木地灯—「照澄」","枫木地灯—「照澄」")</f>
        <v>枫木地灯—「照澄」</v>
      </c>
      <c r="E93" s="17">
        <f>摆设!D55</f>
        <v>0</v>
      </c>
      <c r="F93" s="17">
        <v>1</v>
      </c>
      <c r="G93" s="17" t="s">
        <v>99</v>
      </c>
      <c r="H93" s="17" t="s">
        <v>107</v>
      </c>
      <c r="I93" s="21" t="s">
        <v>95</v>
      </c>
      <c r="J93" s="17">
        <v>2.2</v>
      </c>
      <c r="K93" s="17" t="s">
        <v>116</v>
      </c>
      <c r="L93" s="20"/>
    </row>
    <row r="94" spans="1:12">
      <c r="A94" s="14"/>
      <c r="B94" s="14"/>
      <c r="C94" s="22"/>
      <c r="D94" s="16" t="str">
        <f>HYPERLINK("#摆设!破邪之弦镝","破邪之弦镝")</f>
        <v>破邪之弦镝</v>
      </c>
      <c r="E94" s="17">
        <f>摆设!D74</f>
        <v>0</v>
      </c>
      <c r="F94" s="17">
        <v>1</v>
      </c>
      <c r="G94" s="17" t="s">
        <v>99</v>
      </c>
      <c r="H94" s="17" t="s">
        <v>101</v>
      </c>
      <c r="I94" s="21" t="s">
        <v>95</v>
      </c>
      <c r="J94" s="17">
        <v>2.2</v>
      </c>
      <c r="K94" s="17" t="s">
        <v>116</v>
      </c>
      <c r="L94" s="20"/>
    </row>
    <row r="95" spans="1:12">
      <c r="A95" s="14"/>
      <c r="B95" s="14"/>
      <c r="C95" s="22"/>
      <c r="D95" s="16"/>
      <c r="E95" s="17"/>
      <c r="F95" s="17"/>
      <c r="G95" s="17"/>
      <c r="H95" s="17"/>
      <c r="I95" s="17"/>
      <c r="J95" s="17"/>
      <c r="K95" s="17"/>
      <c r="L95" s="20"/>
    </row>
    <row r="96" spans="1:13">
      <c r="A96" s="14"/>
      <c r="B96" s="14"/>
      <c r="C96" s="15" t="s">
        <v>118</v>
      </c>
      <c r="D96" s="16" t="str">
        <f>HYPERLINK("#摆设!枫木书柜—「墨染书心」","枫木书柜—「墨染书心」")</f>
        <v>枫木书柜—「墨染书心」</v>
      </c>
      <c r="E96" s="17">
        <f>摆设!D17</f>
        <v>0</v>
      </c>
      <c r="F96" s="17">
        <v>2</v>
      </c>
      <c r="G96" s="17" t="s">
        <v>89</v>
      </c>
      <c r="H96" s="17" t="s">
        <v>90</v>
      </c>
      <c r="I96" s="19" t="s">
        <v>91</v>
      </c>
      <c r="J96" s="17">
        <v>2.2</v>
      </c>
      <c r="K96" s="17" t="s">
        <v>119</v>
      </c>
      <c r="L96" s="20"/>
      <c r="M96" s="24" t="s">
        <v>120</v>
      </c>
    </row>
    <row r="97" spans="1:13">
      <c r="A97" s="14"/>
      <c r="B97" s="14"/>
      <c r="C97" s="22"/>
      <c r="D97" s="16" t="str">
        <f>HYPERLINK("#摆设!枫木书柜—「千卷柜藏」","枫木书柜—「千卷柜藏」")</f>
        <v>枫木书柜—「千卷柜藏」</v>
      </c>
      <c r="E97" s="17">
        <f>摆设!D18</f>
        <v>0</v>
      </c>
      <c r="F97" s="17">
        <v>1</v>
      </c>
      <c r="G97" s="17" t="s">
        <v>89</v>
      </c>
      <c r="H97" s="17" t="s">
        <v>90</v>
      </c>
      <c r="I97" s="19" t="s">
        <v>91</v>
      </c>
      <c r="J97" s="17">
        <v>2.2</v>
      </c>
      <c r="K97" s="17" t="s">
        <v>119</v>
      </c>
      <c r="L97" s="20"/>
      <c r="M97" s="24"/>
    </row>
    <row r="98" spans="1:13">
      <c r="A98" s="14"/>
      <c r="B98" s="14"/>
      <c r="C98" s="22"/>
      <c r="D98" s="16" t="str">
        <f>HYPERLINK("#摆设!茶室长桌—「座无隙」","茶室长桌—「座无隙」")</f>
        <v>茶室长桌—「座无隙」</v>
      </c>
      <c r="E98" s="17">
        <f>摆设!D28</f>
        <v>0</v>
      </c>
      <c r="F98" s="17">
        <v>1</v>
      </c>
      <c r="G98" s="17" t="s">
        <v>89</v>
      </c>
      <c r="H98" s="17" t="s">
        <v>94</v>
      </c>
      <c r="I98" s="21" t="s">
        <v>95</v>
      </c>
      <c r="J98" s="17">
        <v>2.2</v>
      </c>
      <c r="K98" s="17" t="s">
        <v>119</v>
      </c>
      <c r="L98" s="20"/>
      <c r="M98" s="24"/>
    </row>
    <row r="99" spans="1:13">
      <c r="A99" s="14"/>
      <c r="B99" s="14"/>
      <c r="C99" s="22"/>
      <c r="D99" s="16" t="str">
        <f>HYPERLINK("#摆设!茶室坐垫—「晚禾织」","茶室坐垫—「晚禾织」")</f>
        <v>茶室坐垫—「晚禾织」</v>
      </c>
      <c r="E99" s="17">
        <f>摆设!D44</f>
        <v>0</v>
      </c>
      <c r="F99" s="17">
        <v>1</v>
      </c>
      <c r="G99" s="17" t="s">
        <v>96</v>
      </c>
      <c r="H99" s="17" t="s">
        <v>106</v>
      </c>
      <c r="I99" s="23" t="s">
        <v>114</v>
      </c>
      <c r="J99" s="17">
        <v>2.2</v>
      </c>
      <c r="K99" s="17" t="s">
        <v>116</v>
      </c>
      <c r="L99" s="20"/>
      <c r="M99" s="24"/>
    </row>
    <row r="100" spans="1:13">
      <c r="A100" s="14"/>
      <c r="B100" s="14"/>
      <c r="C100" s="22"/>
      <c r="D100" s="16" t="str">
        <f>HYPERLINK("#摆设!茶室屏风—「垢身金心」","茶室屏风—「垢身金心」")</f>
        <v>茶室屏风—「垢身金心」</v>
      </c>
      <c r="E100" s="17">
        <f>摆设!D46</f>
        <v>0</v>
      </c>
      <c r="F100" s="17">
        <v>2</v>
      </c>
      <c r="G100" s="17" t="s">
        <v>96</v>
      </c>
      <c r="H100" s="17" t="s">
        <v>106</v>
      </c>
      <c r="I100" s="19" t="s">
        <v>91</v>
      </c>
      <c r="J100" s="17">
        <v>2.2</v>
      </c>
      <c r="K100" s="17" t="s">
        <v>116</v>
      </c>
      <c r="L100" s="20"/>
      <c r="M100" s="24"/>
    </row>
    <row r="101" spans="1:13">
      <c r="A101" s="14"/>
      <c r="B101" s="14"/>
      <c r="C101" s="22"/>
      <c r="D101" s="16" t="str">
        <f>HYPERLINK("#摆设!枫木地灯—「照澄」","枫木地灯—「照澄」")</f>
        <v>枫木地灯—「照澄」</v>
      </c>
      <c r="E101" s="17">
        <f>摆设!D55</f>
        <v>0</v>
      </c>
      <c r="F101" s="17">
        <v>1</v>
      </c>
      <c r="G101" s="17" t="s">
        <v>99</v>
      </c>
      <c r="H101" s="17" t="s">
        <v>107</v>
      </c>
      <c r="I101" s="21" t="s">
        <v>95</v>
      </c>
      <c r="J101" s="17">
        <v>2.2</v>
      </c>
      <c r="K101" s="17" t="s">
        <v>116</v>
      </c>
      <c r="L101" s="20"/>
      <c r="M101" s="24"/>
    </row>
    <row r="102" spans="1:13">
      <c r="A102" s="14"/>
      <c r="B102" s="14"/>
      <c r="C102" s="22"/>
      <c r="D102" s="16" t="str">
        <f>HYPERLINK("#摆设!「铸瓷正则」","「铸瓷正则」")</f>
        <v>「铸瓷正则」</v>
      </c>
      <c r="E102" s="17">
        <f>摆设!D59</f>
        <v>0</v>
      </c>
      <c r="F102" s="17">
        <v>1</v>
      </c>
      <c r="G102" s="17" t="s">
        <v>99</v>
      </c>
      <c r="H102" s="17" t="s">
        <v>100</v>
      </c>
      <c r="I102" s="21" t="s">
        <v>95</v>
      </c>
      <c r="J102" s="17">
        <v>2.2</v>
      </c>
      <c r="K102" s="17" t="s">
        <v>116</v>
      </c>
      <c r="L102" s="20"/>
      <c r="M102" s="24"/>
    </row>
    <row r="103" spans="1:13">
      <c r="A103" s="14"/>
      <c r="B103" s="14"/>
      <c r="C103" s="22"/>
      <c r="D103" s="16" t="str">
        <f>HYPERLINK("#摆设!茶室烛台—「无味火」","茶室烛台—「无味火」")</f>
        <v>茶室烛台—「无味火」</v>
      </c>
      <c r="E103" s="17">
        <f>摆设!D70</f>
        <v>0</v>
      </c>
      <c r="F103" s="17">
        <v>1</v>
      </c>
      <c r="G103" s="17" t="s">
        <v>99</v>
      </c>
      <c r="H103" s="17" t="s">
        <v>101</v>
      </c>
      <c r="I103" s="21" t="s">
        <v>95</v>
      </c>
      <c r="J103" s="17">
        <v>2.2</v>
      </c>
      <c r="K103" s="17" t="s">
        <v>119</v>
      </c>
      <c r="L103" s="20"/>
      <c r="M103" s="24"/>
    </row>
    <row r="104" spans="1:13">
      <c r="A104" s="14"/>
      <c r="B104" s="14"/>
      <c r="C104" s="22"/>
      <c r="D104" s="16" t="str">
        <f>HYPERLINK("#摆设!纸墨笔砚—「正定笔锋」","纸墨笔砚—「正定笔锋」")</f>
        <v>纸墨笔砚—「正定笔锋」</v>
      </c>
      <c r="E104" s="17">
        <f>摆设!D73</f>
        <v>0</v>
      </c>
      <c r="F104" s="17">
        <v>1</v>
      </c>
      <c r="G104" s="17" t="s">
        <v>99</v>
      </c>
      <c r="H104" s="17" t="s">
        <v>101</v>
      </c>
      <c r="I104" s="21" t="s">
        <v>95</v>
      </c>
      <c r="J104" s="17">
        <v>2.2</v>
      </c>
      <c r="K104" s="17" t="s">
        <v>119</v>
      </c>
      <c r="L104" s="20"/>
      <c r="M104" s="24"/>
    </row>
    <row r="105" spans="1:13">
      <c r="A105" s="14"/>
      <c r="B105" s="14"/>
      <c r="C105" s="22"/>
      <c r="D105" s="16" t="str">
        <f>HYPERLINK("#摆设!「赤铁珊瑚」","「赤铁珊瑚」")</f>
        <v>「赤铁珊瑚」</v>
      </c>
      <c r="E105" s="17">
        <f>摆设!D77</f>
        <v>0</v>
      </c>
      <c r="F105" s="17">
        <v>1</v>
      </c>
      <c r="G105" s="17" t="s">
        <v>99</v>
      </c>
      <c r="H105" s="17" t="s">
        <v>101</v>
      </c>
      <c r="I105" s="21" t="s">
        <v>95</v>
      </c>
      <c r="J105" s="17">
        <v>2.2</v>
      </c>
      <c r="K105" s="17" t="s">
        <v>116</v>
      </c>
      <c r="L105" s="20"/>
      <c r="M105" s="24"/>
    </row>
    <row r="106" spans="1:13">
      <c r="A106" s="14"/>
      <c r="B106" s="14"/>
      <c r="C106" s="22"/>
      <c r="D106" s="16"/>
      <c r="E106" s="17"/>
      <c r="F106" s="17"/>
      <c r="G106" s="17"/>
      <c r="H106" s="17"/>
      <c r="I106" s="17"/>
      <c r="J106" s="17"/>
      <c r="K106" s="17"/>
      <c r="L106" s="20"/>
      <c r="M106" s="24"/>
    </row>
    <row r="107" spans="1:12">
      <c r="A107" s="14"/>
      <c r="B107" s="14"/>
      <c r="C107" s="15" t="s">
        <v>121</v>
      </c>
      <c r="D107" s="16" t="str">
        <f>HYPERLINK("#摆设!孔雀木「万角」货柜","孔雀木「万角」货柜")</f>
        <v>孔雀木「万角」货柜</v>
      </c>
      <c r="E107" s="17">
        <f>摆设!D7</f>
        <v>0</v>
      </c>
      <c r="F107" s="17">
        <v>1</v>
      </c>
      <c r="G107" s="17" t="s">
        <v>89</v>
      </c>
      <c r="H107" s="17" t="s">
        <v>104</v>
      </c>
      <c r="I107" s="21" t="s">
        <v>95</v>
      </c>
      <c r="J107" s="17">
        <v>2.2</v>
      </c>
      <c r="K107" s="17" t="s">
        <v>116</v>
      </c>
      <c r="L107" s="20"/>
    </row>
    <row r="108" spans="1:12">
      <c r="A108" s="14"/>
      <c r="B108" s="14"/>
      <c r="C108" s="22"/>
      <c r="D108" s="16" t="str">
        <f>HYPERLINK("#摆设!孔雀木「不染」橱柜","孔雀木「不染」橱柜")</f>
        <v>孔雀木「不染」橱柜</v>
      </c>
      <c r="E108" s="17">
        <f>摆设!D8</f>
        <v>0</v>
      </c>
      <c r="F108" s="17">
        <v>1</v>
      </c>
      <c r="G108" s="17" t="s">
        <v>89</v>
      </c>
      <c r="H108" s="17" t="s">
        <v>104</v>
      </c>
      <c r="I108" s="21" t="s">
        <v>95</v>
      </c>
      <c r="J108" s="17">
        <v>2.2</v>
      </c>
      <c r="K108" s="17" t="s">
        <v>116</v>
      </c>
      <c r="L108" s="20"/>
    </row>
    <row r="109" spans="1:12">
      <c r="A109" s="14"/>
      <c r="B109" s="14"/>
      <c r="C109" s="22"/>
      <c r="D109" s="16" t="str">
        <f>HYPERLINK("#摆设!孔雀木「石定」茶桌","孔雀木「石定」茶桌")</f>
        <v>孔雀木「石定」茶桌</v>
      </c>
      <c r="E109" s="17">
        <f>摆设!D27</f>
        <v>0</v>
      </c>
      <c r="F109" s="17">
        <v>1</v>
      </c>
      <c r="G109" s="17" t="s">
        <v>89</v>
      </c>
      <c r="H109" s="17" t="s">
        <v>94</v>
      </c>
      <c r="I109" s="21" t="s">
        <v>95</v>
      </c>
      <c r="J109" s="17">
        <v>2.2</v>
      </c>
      <c r="K109" s="17" t="s">
        <v>116</v>
      </c>
      <c r="L109" s="20"/>
    </row>
    <row r="110" spans="1:12">
      <c r="A110" s="14"/>
      <c r="B110" s="14"/>
      <c r="C110" s="22"/>
      <c r="D110" s="16" t="str">
        <f>HYPERLINK("#摆设!茶室柜台—「十四丸」","茶室柜台—「十四丸」")</f>
        <v>茶室柜台—「十四丸」</v>
      </c>
      <c r="E110" s="17">
        <f>摆设!D29</f>
        <v>0</v>
      </c>
      <c r="F110" s="17">
        <v>1</v>
      </c>
      <c r="G110" s="17" t="s">
        <v>89</v>
      </c>
      <c r="H110" s="17" t="s">
        <v>122</v>
      </c>
      <c r="I110" s="21" t="s">
        <v>95</v>
      </c>
      <c r="J110" s="17">
        <v>2.2</v>
      </c>
      <c r="K110" s="17" t="s">
        <v>116</v>
      </c>
      <c r="L110" s="20"/>
    </row>
    <row r="111" spans="1:12">
      <c r="A111" s="14"/>
      <c r="B111" s="14"/>
      <c r="C111" s="22"/>
      <c r="D111" s="16" t="str">
        <f>HYPERLINK("#摆设!茶室圆凳—「折痛辞」","茶室圆凳—「折痛辞」")</f>
        <v>茶室圆凳—「折痛辞」</v>
      </c>
      <c r="E111" s="17">
        <f>摆设!D33</f>
        <v>0</v>
      </c>
      <c r="F111" s="17">
        <v>3</v>
      </c>
      <c r="G111" s="17" t="s">
        <v>96</v>
      </c>
      <c r="H111" s="17" t="s">
        <v>97</v>
      </c>
      <c r="I111" s="23" t="s">
        <v>114</v>
      </c>
      <c r="J111" s="17">
        <v>2.2</v>
      </c>
      <c r="K111" s="17" t="s">
        <v>116</v>
      </c>
      <c r="L111" s="20"/>
    </row>
    <row r="112" spans="1:12">
      <c r="A112" s="14"/>
      <c r="B112" s="14"/>
      <c r="C112" s="22"/>
      <c r="D112" s="16" t="str">
        <f>HYPERLINK("#摆设!「素守之瓶」","「素守之瓶」")</f>
        <v>「素守之瓶」</v>
      </c>
      <c r="E112" s="17">
        <f>摆设!D60</f>
        <v>0</v>
      </c>
      <c r="F112" s="17">
        <v>1</v>
      </c>
      <c r="G112" s="17" t="s">
        <v>99</v>
      </c>
      <c r="H112" s="17" t="s">
        <v>100</v>
      </c>
      <c r="I112" s="21" t="s">
        <v>95</v>
      </c>
      <c r="J112" s="17">
        <v>2.2</v>
      </c>
      <c r="K112" s="17" t="s">
        <v>116</v>
      </c>
      <c r="L112" s="20"/>
    </row>
    <row r="113" spans="1:12">
      <c r="A113" s="14"/>
      <c r="B113" s="14"/>
      <c r="C113" s="22"/>
      <c r="D113" s="16" t="str">
        <f>HYPERLINK("#摆设!「茶烟笼白榻」","「茶烟笼白榻」")</f>
        <v>「茶烟笼白榻」</v>
      </c>
      <c r="E113" s="17">
        <f>摆设!D71</f>
        <v>0</v>
      </c>
      <c r="F113" s="17">
        <v>1</v>
      </c>
      <c r="G113" s="17" t="s">
        <v>99</v>
      </c>
      <c r="H113" s="17" t="s">
        <v>101</v>
      </c>
      <c r="I113" s="21" t="s">
        <v>95</v>
      </c>
      <c r="J113" s="17">
        <v>2</v>
      </c>
      <c r="K113" s="17" t="s">
        <v>123</v>
      </c>
      <c r="L113" s="20"/>
    </row>
    <row r="114" spans="1:12">
      <c r="A114" s="14"/>
      <c r="B114" s="14"/>
      <c r="C114" s="22"/>
      <c r="D114" s="16" t="str">
        <f>HYPERLINK("#摆设!茶室器物—「锁香笼」","茶室器物—「锁香笼」")</f>
        <v>茶室器物—「锁香笼」</v>
      </c>
      <c r="E114" s="17">
        <f>摆设!D72</f>
        <v>0</v>
      </c>
      <c r="F114" s="17">
        <v>1</v>
      </c>
      <c r="G114" s="17" t="s">
        <v>99</v>
      </c>
      <c r="H114" s="17" t="s">
        <v>101</v>
      </c>
      <c r="I114" s="21" t="s">
        <v>95</v>
      </c>
      <c r="J114" s="17">
        <v>2.2</v>
      </c>
      <c r="K114" s="17" t="s">
        <v>116</v>
      </c>
      <c r="L114" s="20"/>
    </row>
    <row r="115" spans="1:12">
      <c r="A115" s="14"/>
      <c r="B115" s="14"/>
      <c r="C115" s="22"/>
      <c r="D115" s="16" t="str">
        <f>HYPERLINK("#摆设!驱鬼之羽屏","驱鬼之羽屏")</f>
        <v>驱鬼之羽屏</v>
      </c>
      <c r="E115" s="17">
        <f>摆设!D75</f>
        <v>0</v>
      </c>
      <c r="F115" s="17">
        <v>1</v>
      </c>
      <c r="G115" s="17" t="s">
        <v>99</v>
      </c>
      <c r="H115" s="17" t="s">
        <v>101</v>
      </c>
      <c r="I115" s="21" t="s">
        <v>95</v>
      </c>
      <c r="J115" s="17">
        <v>2.2</v>
      </c>
      <c r="K115" s="17" t="s">
        <v>116</v>
      </c>
      <c r="L115" s="20"/>
    </row>
    <row r="116" spans="1:12">
      <c r="A116" s="14"/>
      <c r="B116" s="14"/>
      <c r="C116" s="22"/>
      <c r="D116" s="16" t="str">
        <f>HYPERLINK("#摆设!孔雀木「并提」层叠木匣","孔雀木「并提」层叠木匣")</f>
        <v>孔雀木「并提」层叠木匣</v>
      </c>
      <c r="E116" s="17">
        <f>摆设!D76</f>
        <v>0</v>
      </c>
      <c r="F116" s="17">
        <v>1</v>
      </c>
      <c r="G116" s="17" t="s">
        <v>99</v>
      </c>
      <c r="H116" s="17" t="s">
        <v>101</v>
      </c>
      <c r="I116" s="21" t="s">
        <v>95</v>
      </c>
      <c r="J116" s="17">
        <v>2.2</v>
      </c>
      <c r="K116" s="17" t="s">
        <v>116</v>
      </c>
      <c r="L116" s="20"/>
    </row>
    <row r="117" spans="1:12">
      <c r="A117" s="14"/>
      <c r="B117" s="14"/>
      <c r="C117" s="22"/>
      <c r="D117" s="16"/>
      <c r="E117" s="17"/>
      <c r="F117" s="17"/>
      <c r="G117" s="17"/>
      <c r="H117" s="17"/>
      <c r="I117" s="17"/>
      <c r="J117" s="17"/>
      <c r="K117" s="17"/>
      <c r="L117" s="20"/>
    </row>
    <row r="118" spans="1:12">
      <c r="A118" s="14">
        <v>71</v>
      </c>
      <c r="B118" s="14" t="s">
        <v>124</v>
      </c>
      <c r="C118" s="15" t="s">
        <v>124</v>
      </c>
      <c r="D118" s="16" t="str">
        <f>HYPERLINK("#摆设!开放式烘炉工坊","开放式烘炉工坊")</f>
        <v>开放式烘炉工坊</v>
      </c>
      <c r="E118" s="17">
        <f>摆设!D106</f>
        <v>0</v>
      </c>
      <c r="F118" s="17">
        <v>1</v>
      </c>
      <c r="G118" s="17" t="s">
        <v>125</v>
      </c>
      <c r="H118" s="17" t="s">
        <v>126</v>
      </c>
      <c r="I118" s="19" t="s">
        <v>91</v>
      </c>
      <c r="J118" s="17">
        <v>1.5</v>
      </c>
      <c r="K118" s="17" t="s">
        <v>127</v>
      </c>
      <c r="L118" s="20"/>
    </row>
    <row r="119" spans="1:12">
      <c r="A119" s="14">
        <v>72</v>
      </c>
      <c r="B119" s="14" t="s">
        <v>124</v>
      </c>
      <c r="C119" s="18"/>
      <c r="D119" s="16" t="str">
        <f>HYPERLINK("#摆设!纤拳石","纤拳石")</f>
        <v>纤拳石</v>
      </c>
      <c r="E119" s="17">
        <f>摆设!D135</f>
        <v>0</v>
      </c>
      <c r="F119" s="17">
        <v>1</v>
      </c>
      <c r="G119" s="17" t="s">
        <v>128</v>
      </c>
      <c r="H119" s="17" t="s">
        <v>129</v>
      </c>
      <c r="I119" s="21" t="s">
        <v>95</v>
      </c>
      <c r="J119" s="17">
        <v>1.5</v>
      </c>
      <c r="K119" s="17" t="s">
        <v>130</v>
      </c>
      <c r="L119" s="20"/>
    </row>
    <row r="120" spans="1:12">
      <c r="A120" s="14">
        <v>73</v>
      </c>
      <c r="B120" s="14" t="s">
        <v>124</v>
      </c>
      <c r="C120" s="18"/>
      <c r="D120" s="16" t="str">
        <f>HYPERLINK("#摆设!茁壮的萃华树","茁壮的萃华树")</f>
        <v>茁壮的萃华树</v>
      </c>
      <c r="E120" s="17">
        <f>摆设!D142</f>
        <v>0</v>
      </c>
      <c r="F120" s="17">
        <v>1</v>
      </c>
      <c r="G120" s="17" t="s">
        <v>128</v>
      </c>
      <c r="H120" s="17" t="s">
        <v>131</v>
      </c>
      <c r="I120" s="21" t="s">
        <v>95</v>
      </c>
      <c r="J120" s="17">
        <v>1.5</v>
      </c>
      <c r="K120" s="17" t="s">
        <v>130</v>
      </c>
      <c r="L120" s="20"/>
    </row>
    <row r="121" spans="1:12">
      <c r="A121" s="14">
        <v>74</v>
      </c>
      <c r="B121" s="14" t="s">
        <v>124</v>
      </c>
      <c r="C121" s="18"/>
      <c r="D121" s="16" t="str">
        <f>HYPERLINK("#摆设!青衫景铄","青衫景铄")</f>
        <v>青衫景铄</v>
      </c>
      <c r="E121" s="17">
        <f>摆设!D150</f>
        <v>0</v>
      </c>
      <c r="F121" s="17">
        <v>1</v>
      </c>
      <c r="G121" s="17" t="s">
        <v>128</v>
      </c>
      <c r="H121" s="17" t="s">
        <v>132</v>
      </c>
      <c r="I121" s="23" t="s">
        <v>114</v>
      </c>
      <c r="J121" s="17">
        <v>1.5</v>
      </c>
      <c r="K121" s="17" t="s">
        <v>130</v>
      </c>
      <c r="L121" s="20"/>
    </row>
    <row r="122" spans="1:12">
      <c r="A122" s="14">
        <v>75</v>
      </c>
      <c r="B122" s="14" t="s">
        <v>124</v>
      </c>
      <c r="C122" s="18"/>
      <c r="D122" s="16" t="str">
        <f>HYPERLINK("#摆设!杉木置物架","杉木置物架")</f>
        <v>杉木置物架</v>
      </c>
      <c r="E122" s="17">
        <f>摆设!D187</f>
        <v>0</v>
      </c>
      <c r="F122" s="17">
        <v>1</v>
      </c>
      <c r="G122" s="17" t="s">
        <v>133</v>
      </c>
      <c r="H122" s="17" t="s">
        <v>106</v>
      </c>
      <c r="I122" s="23" t="s">
        <v>114</v>
      </c>
      <c r="J122" s="17">
        <v>1.5</v>
      </c>
      <c r="K122" s="17" t="s">
        <v>93</v>
      </c>
      <c r="L122" s="20"/>
    </row>
    <row r="123" spans="1:12">
      <c r="A123" s="14">
        <v>76</v>
      </c>
      <c r="B123" s="14" t="s">
        <v>124</v>
      </c>
      <c r="C123" s="18"/>
      <c r="D123" s="16" t="str">
        <f>HYPERLINK("#摆设!杉木武器架","杉木武器架")</f>
        <v>杉木武器架</v>
      </c>
      <c r="E123" s="17">
        <f>摆设!D188</f>
        <v>0</v>
      </c>
      <c r="F123" s="17">
        <v>3</v>
      </c>
      <c r="G123" s="17" t="s">
        <v>133</v>
      </c>
      <c r="H123" s="17" t="s">
        <v>106</v>
      </c>
      <c r="I123" s="23" t="s">
        <v>114</v>
      </c>
      <c r="J123" s="17">
        <v>1.5</v>
      </c>
      <c r="K123" s="17" t="s">
        <v>93</v>
      </c>
      <c r="L123" s="20"/>
    </row>
    <row r="124" spans="1:12">
      <c r="A124" s="14">
        <v>77</v>
      </c>
      <c r="B124" s="14" t="s">
        <v>124</v>
      </c>
      <c r="C124" s="18"/>
      <c r="D124" s="16" t="str">
        <f>HYPERLINK("#摆设!硬木兵戈架","硬木兵戈架")</f>
        <v>硬木兵戈架</v>
      </c>
      <c r="E124" s="17">
        <f>摆设!D189</f>
        <v>0</v>
      </c>
      <c r="F124" s="17">
        <v>2</v>
      </c>
      <c r="G124" s="17" t="s">
        <v>133</v>
      </c>
      <c r="H124" s="17" t="s">
        <v>106</v>
      </c>
      <c r="I124" s="21" t="s">
        <v>95</v>
      </c>
      <c r="J124" s="17">
        <v>1.5</v>
      </c>
      <c r="K124" s="17" t="s">
        <v>93</v>
      </c>
      <c r="L124" s="20"/>
    </row>
    <row r="125" spans="1:12">
      <c r="A125" s="14">
        <v>78</v>
      </c>
      <c r="B125" s="14" t="s">
        <v>124</v>
      </c>
      <c r="C125" s="18"/>
      <c r="D125" s="16" t="str">
        <f>HYPERLINK("#摆设!旧式水井","旧式水井")</f>
        <v>旧式水井</v>
      </c>
      <c r="E125" s="17">
        <f>摆设!D192</f>
        <v>0</v>
      </c>
      <c r="F125" s="17">
        <v>1</v>
      </c>
      <c r="G125" s="17" t="s">
        <v>133</v>
      </c>
      <c r="H125" s="17" t="s">
        <v>106</v>
      </c>
      <c r="I125" s="23" t="s">
        <v>114</v>
      </c>
      <c r="J125" s="17">
        <v>1.5</v>
      </c>
      <c r="K125" s="17" t="s">
        <v>93</v>
      </c>
      <c r="L125" s="20"/>
    </row>
    <row r="126" spans="1:12">
      <c r="A126" s="14">
        <v>79</v>
      </c>
      <c r="B126" s="14" t="s">
        <v>124</v>
      </c>
      <c r="C126" s="18"/>
      <c r="D126" s="16" t="str">
        <f>HYPERLINK("#摆设!重型杉木锻造桌","重型杉木锻造桌")</f>
        <v>重型杉木锻造桌</v>
      </c>
      <c r="E126" s="17">
        <f>摆设!D215</f>
        <v>0</v>
      </c>
      <c r="F126" s="17">
        <v>1</v>
      </c>
      <c r="G126" s="17" t="s">
        <v>134</v>
      </c>
      <c r="H126" s="17" t="s">
        <v>94</v>
      </c>
      <c r="I126" s="21" t="s">
        <v>95</v>
      </c>
      <c r="J126" s="17">
        <v>1.5</v>
      </c>
      <c r="K126" s="17" t="s">
        <v>93</v>
      </c>
      <c r="L126" s="20"/>
    </row>
    <row r="127" spans="1:12">
      <c r="A127" s="14">
        <v>80</v>
      </c>
      <c r="B127" s="14" t="s">
        <v>124</v>
      </c>
      <c r="C127" s="18"/>
      <c r="D127" s="16" t="str">
        <f>HYPERLINK("#摆设!宽大的松木长桌","宽大的松木长桌")</f>
        <v>宽大的松木长桌</v>
      </c>
      <c r="E127" s="17">
        <f>摆设!D216</f>
        <v>0</v>
      </c>
      <c r="F127" s="17">
        <v>1</v>
      </c>
      <c r="G127" s="17" t="s">
        <v>134</v>
      </c>
      <c r="H127" s="17" t="s">
        <v>94</v>
      </c>
      <c r="I127" s="23" t="s">
        <v>114</v>
      </c>
      <c r="J127" s="17">
        <v>1.5</v>
      </c>
      <c r="K127" s="17" t="s">
        <v>93</v>
      </c>
      <c r="L127" s="20"/>
    </row>
    <row r="128" spans="1:12">
      <c r="A128" s="14"/>
      <c r="B128" s="14"/>
      <c r="C128" s="18"/>
      <c r="E128" s="17"/>
      <c r="F128" s="17"/>
      <c r="G128" s="17"/>
      <c r="H128" s="17"/>
      <c r="I128" s="17"/>
      <c r="J128" s="17"/>
      <c r="K128" s="17"/>
      <c r="L128" s="20"/>
    </row>
    <row r="129" spans="1:12">
      <c r="A129" s="14">
        <v>81</v>
      </c>
      <c r="B129" s="14" t="s">
        <v>135</v>
      </c>
      <c r="C129" s="15" t="s">
        <v>135</v>
      </c>
      <c r="D129" s="16" t="str">
        <f>HYPERLINK("#摆设!高大阁楼的乡间住宅","高大阁楼的乡间住宅")</f>
        <v>高大阁楼的乡间住宅</v>
      </c>
      <c r="E129" s="17">
        <f>摆设!D99</f>
        <v>0</v>
      </c>
      <c r="F129" s="17">
        <v>1</v>
      </c>
      <c r="G129" s="17" t="s">
        <v>125</v>
      </c>
      <c r="H129" s="17" t="s">
        <v>136</v>
      </c>
      <c r="I129" s="21" t="s">
        <v>95</v>
      </c>
      <c r="J129" s="17">
        <v>1.5</v>
      </c>
      <c r="K129" s="17" t="s">
        <v>93</v>
      </c>
      <c r="L129" s="20"/>
    </row>
    <row r="130" spans="1:12">
      <c r="A130" s="14">
        <v>82</v>
      </c>
      <c r="B130" s="14" t="s">
        <v>135</v>
      </c>
      <c r="C130" s="18"/>
      <c r="D130" s="16" t="str">
        <f>HYPERLINK("#摆设!古典乡间住宅","古典乡间住宅")</f>
        <v>古典乡间住宅</v>
      </c>
      <c r="E130" s="17">
        <f>摆设!D100</f>
        <v>0</v>
      </c>
      <c r="F130" s="17">
        <v>1</v>
      </c>
      <c r="G130" s="17" t="s">
        <v>125</v>
      </c>
      <c r="H130" s="17" t="s">
        <v>136</v>
      </c>
      <c r="I130" s="21" t="s">
        <v>95</v>
      </c>
      <c r="J130" s="17">
        <v>1.5</v>
      </c>
      <c r="K130" s="17" t="s">
        <v>137</v>
      </c>
      <c r="L130" s="20"/>
    </row>
    <row r="131" spans="1:12">
      <c r="A131" s="14">
        <v>83</v>
      </c>
      <c r="B131" s="14" t="s">
        <v>135</v>
      </c>
      <c r="C131" s="18"/>
      <c r="D131" s="16" t="str">
        <f>HYPERLINK("#摆设!袖珍松木小屋","袖珍松木小屋")</f>
        <v>袖珍松木小屋</v>
      </c>
      <c r="E131" s="17">
        <f>摆设!D101</f>
        <v>0</v>
      </c>
      <c r="F131" s="17">
        <v>1</v>
      </c>
      <c r="G131" s="17" t="s">
        <v>125</v>
      </c>
      <c r="H131" s="17" t="s">
        <v>136</v>
      </c>
      <c r="I131" s="21" t="s">
        <v>95</v>
      </c>
      <c r="J131" s="17">
        <v>1.5</v>
      </c>
      <c r="K131" s="17" t="s">
        <v>137</v>
      </c>
      <c r="L131" s="20"/>
    </row>
    <row r="132" spans="1:12">
      <c r="A132" s="14">
        <v>84</v>
      </c>
      <c r="B132" s="14" t="s">
        <v>135</v>
      </c>
      <c r="C132" s="18"/>
      <c r="D132" s="16" t="str">
        <f>HYPERLINK("#摆设!纤拳石","纤拳石")</f>
        <v>纤拳石</v>
      </c>
      <c r="E132" s="17">
        <f>摆设!D135</f>
        <v>0</v>
      </c>
      <c r="F132" s="17">
        <v>1</v>
      </c>
      <c r="G132" s="17" t="s">
        <v>128</v>
      </c>
      <c r="H132" s="17" t="s">
        <v>129</v>
      </c>
      <c r="I132" s="21" t="s">
        <v>95</v>
      </c>
      <c r="J132" s="17">
        <v>1.5</v>
      </c>
      <c r="K132" s="17" t="s">
        <v>130</v>
      </c>
      <c r="L132" s="20"/>
    </row>
    <row r="133" spans="1:12">
      <c r="A133" s="14">
        <v>85</v>
      </c>
      <c r="B133" s="14" t="s">
        <v>135</v>
      </c>
      <c r="C133" s="18"/>
      <c r="D133" s="16" t="str">
        <f>HYPERLINK("#摆设!「归风的苍色」","「归风的苍色」")</f>
        <v>「归风的苍色」</v>
      </c>
      <c r="E133" s="17">
        <f>摆设!D140</f>
        <v>0</v>
      </c>
      <c r="F133" s="17">
        <v>1</v>
      </c>
      <c r="G133" s="17" t="s">
        <v>128</v>
      </c>
      <c r="H133" s="17" t="s">
        <v>131</v>
      </c>
      <c r="I133" s="21" t="s">
        <v>95</v>
      </c>
      <c r="J133" s="17">
        <v>1.5</v>
      </c>
      <c r="K133" s="17" t="s">
        <v>138</v>
      </c>
      <c r="L133" s="20"/>
    </row>
    <row r="134" spans="1:12">
      <c r="A134" s="14">
        <v>86</v>
      </c>
      <c r="B134" s="14" t="s">
        <v>135</v>
      </c>
      <c r="C134" s="18"/>
      <c r="D134" s="16" t="str">
        <f>HYPERLINK("#摆设!交错放置的杉木货箱","交错放置的杉木货箱")</f>
        <v>交错放置的杉木货箱</v>
      </c>
      <c r="E134" s="17">
        <f>摆设!D164</f>
        <v>0</v>
      </c>
      <c r="F134" s="17">
        <v>1</v>
      </c>
      <c r="G134" s="17" t="s">
        <v>133</v>
      </c>
      <c r="H134" s="17" t="s">
        <v>139</v>
      </c>
      <c r="I134" s="23" t="s">
        <v>114</v>
      </c>
      <c r="J134" s="17">
        <v>1.5</v>
      </c>
      <c r="K134" s="17" t="s">
        <v>93</v>
      </c>
      <c r="L134" s="20"/>
    </row>
    <row r="135" spans="1:12">
      <c r="A135" s="14">
        <v>87</v>
      </c>
      <c r="B135" s="14" t="s">
        <v>135</v>
      </c>
      <c r="C135" s="18"/>
      <c r="D135" s="16" t="str">
        <f>HYPERLINK("#摆设!有序叠放的杉木酒桶","有序叠放的杉木酒桶")</f>
        <v>有序叠放的杉木酒桶</v>
      </c>
      <c r="E135" s="17">
        <f>摆设!D165</f>
        <v>0</v>
      </c>
      <c r="F135" s="17">
        <v>1</v>
      </c>
      <c r="G135" s="17" t="s">
        <v>133</v>
      </c>
      <c r="H135" s="17" t="s">
        <v>139</v>
      </c>
      <c r="I135" s="23" t="s">
        <v>114</v>
      </c>
      <c r="J135" s="17">
        <v>1.5</v>
      </c>
      <c r="K135" s="17" t="s">
        <v>93</v>
      </c>
      <c r="L135" s="20"/>
    </row>
    <row r="136" spans="1:12">
      <c r="A136" s="14">
        <v>88</v>
      </c>
      <c r="B136" s="14" t="s">
        <v>135</v>
      </c>
      <c r="C136" s="18"/>
      <c r="D136" s="16" t="str">
        <f>HYPERLINK("#摆设!沉甸甸的干草卷","沉甸甸的干草卷")</f>
        <v>沉甸甸的干草卷</v>
      </c>
      <c r="E136" s="17">
        <f>摆设!D166</f>
        <v>0</v>
      </c>
      <c r="F136" s="17">
        <v>1</v>
      </c>
      <c r="G136" s="17" t="s">
        <v>133</v>
      </c>
      <c r="H136" s="17" t="s">
        <v>139</v>
      </c>
      <c r="I136" s="23" t="s">
        <v>114</v>
      </c>
      <c r="J136" s="17">
        <v>1.5</v>
      </c>
      <c r="K136" s="17" t="s">
        <v>93</v>
      </c>
      <c r="L136" s="20"/>
    </row>
    <row r="137" spans="1:12">
      <c r="A137" s="14">
        <v>89</v>
      </c>
      <c r="B137" s="14" t="s">
        <v>135</v>
      </c>
      <c r="C137" s="18"/>
      <c r="D137" s="16" t="str">
        <f>HYPERLINK("#摆设!简易货运拖车","简易货运拖车")</f>
        <v>简易货运拖车</v>
      </c>
      <c r="E137" s="17">
        <f>摆设!D190</f>
        <v>0</v>
      </c>
      <c r="F137" s="17">
        <v>1</v>
      </c>
      <c r="G137" s="17" t="s">
        <v>133</v>
      </c>
      <c r="H137" s="17" t="s">
        <v>106</v>
      </c>
      <c r="I137" s="23" t="s">
        <v>114</v>
      </c>
      <c r="J137" s="17">
        <v>1.5</v>
      </c>
      <c r="K137" s="17" t="s">
        <v>93</v>
      </c>
      <c r="L137" s="20"/>
    </row>
    <row r="138" spans="1:12">
      <c r="A138" s="14">
        <v>90</v>
      </c>
      <c r="B138" s="14" t="s">
        <v>135</v>
      </c>
      <c r="C138" s="18"/>
      <c r="D138" s="16" t="str">
        <f>HYPERLINK("#摆设!硬顶水井—「但求虚澈」","硬顶水井—「但求虚澈」")</f>
        <v>硬顶水井—「但求虚澈」</v>
      </c>
      <c r="E138" s="17">
        <f>摆设!D193</f>
        <v>0</v>
      </c>
      <c r="F138" s="17">
        <v>1</v>
      </c>
      <c r="G138" s="17" t="s">
        <v>133</v>
      </c>
      <c r="H138" s="17" t="s">
        <v>106</v>
      </c>
      <c r="I138" s="21" t="s">
        <v>95</v>
      </c>
      <c r="J138" s="17">
        <v>1.5</v>
      </c>
      <c r="K138" s="17" t="s">
        <v>113</v>
      </c>
      <c r="L138" s="20"/>
    </row>
    <row r="139" spans="1:12">
      <c r="A139" s="14">
        <v>91</v>
      </c>
      <c r="B139" s="14" t="s">
        <v>135</v>
      </c>
      <c r="C139" s="18"/>
      <c r="D139" s="16" t="str">
        <f>HYPERLINK("#摆设!野外松木路灯","野外松木路灯")</f>
        <v>野外松木路灯</v>
      </c>
      <c r="E139" s="17">
        <f>摆设!D201</f>
        <v>0</v>
      </c>
      <c r="F139" s="17">
        <v>2</v>
      </c>
      <c r="G139" s="17" t="s">
        <v>133</v>
      </c>
      <c r="H139" s="17" t="s">
        <v>107</v>
      </c>
      <c r="I139" s="23" t="s">
        <v>114</v>
      </c>
      <c r="J139" s="17">
        <v>1.5</v>
      </c>
      <c r="K139" s="17" t="s">
        <v>137</v>
      </c>
      <c r="L139" s="20"/>
    </row>
    <row r="140" spans="1:12">
      <c r="A140" s="14">
        <v>92</v>
      </c>
      <c r="B140" s="14" t="s">
        <v>135</v>
      </c>
      <c r="C140" s="18"/>
      <c r="D140" s="16" t="str">
        <f>HYPERLINK("#摆设!平整的木制长凳","平整的木制长凳")</f>
        <v>平整的木制长凳</v>
      </c>
      <c r="E140" s="17">
        <f>摆设!D212</f>
        <v>0</v>
      </c>
      <c r="F140" s="17">
        <v>2</v>
      </c>
      <c r="G140" s="17" t="s">
        <v>134</v>
      </c>
      <c r="H140" s="17" t="s">
        <v>97</v>
      </c>
      <c r="I140" s="23" t="s">
        <v>114</v>
      </c>
      <c r="J140" s="17">
        <v>1.5</v>
      </c>
      <c r="K140" s="17" t="s">
        <v>93</v>
      </c>
      <c r="L140" s="20"/>
    </row>
    <row r="141" spans="1:12">
      <c r="A141" s="14">
        <v>93</v>
      </c>
      <c r="B141" s="14" t="s">
        <v>135</v>
      </c>
      <c r="C141" s="18"/>
      <c r="D141" s="16" t="str">
        <f>HYPERLINK("#摆设!宽大的松木长桌","宽大的松木长桌")</f>
        <v>宽大的松木长桌</v>
      </c>
      <c r="E141" s="17">
        <f>摆设!D216</f>
        <v>0</v>
      </c>
      <c r="F141" s="17">
        <v>1</v>
      </c>
      <c r="G141" s="17" t="s">
        <v>134</v>
      </c>
      <c r="H141" s="17" t="s">
        <v>94</v>
      </c>
      <c r="I141" s="23" t="s">
        <v>114</v>
      </c>
      <c r="J141" s="17">
        <v>1.5</v>
      </c>
      <c r="K141" s="17" t="s">
        <v>93</v>
      </c>
      <c r="L141" s="20"/>
    </row>
    <row r="142" spans="1:12">
      <c r="A142" s="14"/>
      <c r="B142" s="14"/>
      <c r="C142" s="18"/>
      <c r="E142" s="17"/>
      <c r="F142" s="17"/>
      <c r="G142" s="17"/>
      <c r="H142" s="17"/>
      <c r="I142" s="17"/>
      <c r="J142" s="17"/>
      <c r="K142" s="17"/>
      <c r="L142" s="20"/>
    </row>
    <row r="143" spans="1:12">
      <c r="A143" s="14">
        <v>94</v>
      </c>
      <c r="B143" s="14" t="s">
        <v>140</v>
      </c>
      <c r="C143" s="15" t="s">
        <v>140</v>
      </c>
      <c r="D143" s="16" t="str">
        <f>HYPERLINK("#摆设!花鸟喷泉","花鸟喷泉")</f>
        <v>花鸟喷泉</v>
      </c>
      <c r="E143" s="17">
        <f>摆设!D92</f>
        <v>0</v>
      </c>
      <c r="F143" s="17">
        <v>1</v>
      </c>
      <c r="G143" s="17" t="s">
        <v>141</v>
      </c>
      <c r="H143" s="17" t="s">
        <v>142</v>
      </c>
      <c r="I143" s="19" t="s">
        <v>91</v>
      </c>
      <c r="J143" s="17">
        <v>1.5</v>
      </c>
      <c r="K143" s="17" t="s">
        <v>143</v>
      </c>
      <c r="L143" s="20"/>
    </row>
    <row r="144" spans="1:12">
      <c r="A144" s="14">
        <v>95</v>
      </c>
      <c r="B144" s="14" t="s">
        <v>140</v>
      </c>
      <c r="C144" s="18"/>
      <c r="D144" s="16" t="str">
        <f>HYPERLINK("#摆设!「归风的苍色」","「归风的苍色」")</f>
        <v>「归风的苍色」</v>
      </c>
      <c r="E144" s="17">
        <f>摆设!D140</f>
        <v>0</v>
      </c>
      <c r="F144" s="17">
        <v>1</v>
      </c>
      <c r="G144" s="17" t="s">
        <v>128</v>
      </c>
      <c r="H144" s="17" t="s">
        <v>131</v>
      </c>
      <c r="I144" s="21" t="s">
        <v>95</v>
      </c>
      <c r="J144" s="17">
        <v>1.5</v>
      </c>
      <c r="K144" s="17" t="s">
        <v>138</v>
      </c>
      <c r="L144" s="20"/>
    </row>
    <row r="145" spans="1:12">
      <c r="A145" s="14">
        <v>96</v>
      </c>
      <c r="B145" s="14" t="s">
        <v>140</v>
      </c>
      <c r="C145" s="18"/>
      <c r="D145" s="16" t="str">
        <f>HYPERLINK("#摆设!茁壮的萃华树","茁壮的萃华树")</f>
        <v>茁壮的萃华树</v>
      </c>
      <c r="E145" s="17">
        <f>摆设!D142</f>
        <v>0</v>
      </c>
      <c r="F145" s="17">
        <v>1</v>
      </c>
      <c r="G145" s="17" t="s">
        <v>128</v>
      </c>
      <c r="H145" s="17" t="s">
        <v>131</v>
      </c>
      <c r="I145" s="21" t="s">
        <v>95</v>
      </c>
      <c r="J145" s="17">
        <v>1.5</v>
      </c>
      <c r="K145" s="17" t="s">
        <v>130</v>
      </c>
      <c r="L145" s="20"/>
    </row>
    <row r="146" spans="1:12">
      <c r="A146" s="14">
        <v>97</v>
      </c>
      <c r="B146" s="14" t="s">
        <v>140</v>
      </c>
      <c r="C146" s="18"/>
      <c r="D146" s="16" t="str">
        <f>HYPERLINK("#摆设!正逢花期的灌木丛","正逢花期的灌木丛")</f>
        <v>正逢花期的灌木丛</v>
      </c>
      <c r="E146" s="17">
        <f>摆设!D148</f>
        <v>0</v>
      </c>
      <c r="F146" s="17">
        <v>4</v>
      </c>
      <c r="G146" s="17" t="s">
        <v>128</v>
      </c>
      <c r="H146" s="17" t="s">
        <v>132</v>
      </c>
      <c r="I146" s="21" t="s">
        <v>95</v>
      </c>
      <c r="J146" s="17">
        <v>1.5</v>
      </c>
      <c r="K146" s="17" t="s">
        <v>130</v>
      </c>
      <c r="L146" s="20"/>
    </row>
    <row r="147" spans="1:12">
      <c r="A147" s="14">
        <v>98</v>
      </c>
      <c r="B147" s="14" t="s">
        <v>140</v>
      </c>
      <c r="C147" s="18"/>
      <c r="D147" s="16" t="str">
        <f>HYPERLINK("#摆设!青衫景铄","青衫景铄")</f>
        <v>青衫景铄</v>
      </c>
      <c r="E147" s="17">
        <f>摆设!D150</f>
        <v>0</v>
      </c>
      <c r="F147" s="17">
        <v>2</v>
      </c>
      <c r="G147" s="17" t="s">
        <v>128</v>
      </c>
      <c r="H147" s="17" t="s">
        <v>132</v>
      </c>
      <c r="I147" s="23" t="s">
        <v>114</v>
      </c>
      <c r="J147" s="17">
        <v>1.5</v>
      </c>
      <c r="K147" s="17" t="s">
        <v>130</v>
      </c>
      <c r="L147" s="20"/>
    </row>
    <row r="148" spans="1:12">
      <c r="A148" s="14">
        <v>99</v>
      </c>
      <c r="B148" s="14" t="s">
        <v>140</v>
      </c>
      <c r="C148" s="18"/>
      <c r="D148" s="16" t="str">
        <f>HYPERLINK("#摆设!石制盏形水池","石制盏形水池")</f>
        <v>石制盏形水池</v>
      </c>
      <c r="E148" s="17">
        <f>摆设!D178</f>
        <v>0</v>
      </c>
      <c r="F148" s="17">
        <v>1</v>
      </c>
      <c r="G148" s="17" t="s">
        <v>133</v>
      </c>
      <c r="H148" s="17" t="s">
        <v>139</v>
      </c>
      <c r="I148" s="21" t="s">
        <v>95</v>
      </c>
      <c r="J148" s="17">
        <v>1.6</v>
      </c>
      <c r="K148" s="17" t="s">
        <v>93</v>
      </c>
      <c r="L148" s="20"/>
    </row>
    <row r="149" spans="1:12">
      <c r="A149" s="14">
        <v>100</v>
      </c>
      <c r="B149" s="14" t="s">
        <v>140</v>
      </c>
      <c r="C149" s="18"/>
      <c r="D149" s="16" t="str">
        <f>HYPERLINK("#摆设!铁艺雕花路灯","铁艺雕花路灯")</f>
        <v>铁艺雕花路灯</v>
      </c>
      <c r="E149" s="17">
        <f>摆设!D200</f>
        <v>0</v>
      </c>
      <c r="F149" s="17">
        <v>1</v>
      </c>
      <c r="G149" s="17" t="s">
        <v>133</v>
      </c>
      <c r="H149" s="17" t="s">
        <v>107</v>
      </c>
      <c r="I149" s="21" t="s">
        <v>95</v>
      </c>
      <c r="J149" s="17">
        <v>1.5</v>
      </c>
      <c r="K149" s="17" t="s">
        <v>93</v>
      </c>
      <c r="L149" s="20"/>
    </row>
    <row r="150" spans="1:12">
      <c r="A150" s="14">
        <v>101</v>
      </c>
      <c r="B150" s="14" t="s">
        <v>140</v>
      </c>
      <c r="C150" s="18"/>
      <c r="D150" s="16" t="str">
        <f>HYPERLINK("#摆设!平整的木制长凳","平整的木制长凳")</f>
        <v>平整的木制长凳</v>
      </c>
      <c r="E150" s="17">
        <f>摆设!D212</f>
        <v>0</v>
      </c>
      <c r="F150" s="17">
        <v>3</v>
      </c>
      <c r="G150" s="17" t="s">
        <v>134</v>
      </c>
      <c r="H150" s="17" t="s">
        <v>97</v>
      </c>
      <c r="I150" s="23" t="s">
        <v>114</v>
      </c>
      <c r="J150" s="17">
        <v>1.5</v>
      </c>
      <c r="K150" s="17" t="s">
        <v>93</v>
      </c>
      <c r="L150" s="20"/>
    </row>
    <row r="151" spans="1:12">
      <c r="A151" s="14">
        <v>102</v>
      </c>
      <c r="B151" s="14" t="s">
        <v>140</v>
      </c>
      <c r="C151" s="18"/>
      <c r="D151" s="16" t="str">
        <f>HYPERLINK("#摆设!平整的石制长凳","平整的石制长凳")</f>
        <v>平整的石制长凳</v>
      </c>
      <c r="E151" s="17">
        <f>摆设!D213</f>
        <v>0</v>
      </c>
      <c r="F151" s="17">
        <v>2</v>
      </c>
      <c r="G151" s="17" t="s">
        <v>134</v>
      </c>
      <c r="H151" s="17" t="s">
        <v>97</v>
      </c>
      <c r="I151" s="23" t="s">
        <v>114</v>
      </c>
      <c r="J151" s="17">
        <v>1.5</v>
      </c>
      <c r="K151" s="17" t="s">
        <v>93</v>
      </c>
      <c r="L151" s="20"/>
    </row>
    <row r="152" spans="1:12">
      <c r="A152" s="14"/>
      <c r="B152" s="14"/>
      <c r="C152" s="18"/>
      <c r="E152" s="17"/>
      <c r="F152" s="17"/>
      <c r="G152" s="17"/>
      <c r="H152" s="17"/>
      <c r="I152" s="17"/>
      <c r="J152" s="17"/>
      <c r="K152" s="17"/>
      <c r="L152" s="20"/>
    </row>
    <row r="153" spans="1:12">
      <c r="A153" s="14">
        <v>103</v>
      </c>
      <c r="B153" s="14" t="s">
        <v>144</v>
      </c>
      <c r="C153" s="15" t="s">
        <v>144</v>
      </c>
      <c r="D153" s="16" t="str">
        <f>HYPERLINK("#摆设!「行商石门北」","「行商石门北」")</f>
        <v>「行商石门北」</v>
      </c>
      <c r="E153" s="17">
        <f>摆设!D107</f>
        <v>0</v>
      </c>
      <c r="F153" s="17">
        <v>1</v>
      </c>
      <c r="G153" s="17" t="s">
        <v>125</v>
      </c>
      <c r="H153" s="17" t="s">
        <v>126</v>
      </c>
      <c r="I153" s="21" t="s">
        <v>95</v>
      </c>
      <c r="J153" s="17">
        <v>1.5</v>
      </c>
      <c r="K153" s="17" t="s">
        <v>93</v>
      </c>
      <c r="L153" s="20"/>
    </row>
    <row r="154" spans="1:12">
      <c r="A154" s="14">
        <v>104</v>
      </c>
      <c r="B154" s="14" t="s">
        <v>144</v>
      </c>
      <c r="C154" s="18"/>
      <c r="D154" s="16" t="str">
        <f>HYPERLINK("#摆设!「百味四宫釜」","「百味四宫釜」")</f>
        <v>「百味四宫釜」</v>
      </c>
      <c r="E154" s="17">
        <f>摆设!D109</f>
        <v>0</v>
      </c>
      <c r="F154" s="17">
        <v>1</v>
      </c>
      <c r="G154" s="17" t="s">
        <v>125</v>
      </c>
      <c r="H154" s="17" t="s">
        <v>126</v>
      </c>
      <c r="I154" s="21" t="s">
        <v>95</v>
      </c>
      <c r="J154" s="17">
        <v>1.5</v>
      </c>
      <c r="K154" s="17" t="s">
        <v>92</v>
      </c>
      <c r="L154" s="20"/>
    </row>
    <row r="155" spans="1:12">
      <c r="A155" s="14">
        <v>105</v>
      </c>
      <c r="B155" s="14" t="s">
        <v>144</v>
      </c>
      <c r="C155" s="18"/>
      <c r="D155" s="16" t="str">
        <f>HYPERLINK("#摆设!果蔬摊—「案上田园」","果蔬摊—「案上田园」")</f>
        <v>果蔬摊—「案上田园」</v>
      </c>
      <c r="E155" s="17">
        <f>摆设!D110</f>
        <v>0</v>
      </c>
      <c r="F155" s="17">
        <v>1</v>
      </c>
      <c r="G155" s="17" t="s">
        <v>125</v>
      </c>
      <c r="H155" s="17" t="s">
        <v>126</v>
      </c>
      <c r="I155" s="21" t="s">
        <v>95</v>
      </c>
      <c r="J155" s="17">
        <v>1.5</v>
      </c>
      <c r="K155" s="17" t="s">
        <v>93</v>
      </c>
      <c r="L155" s="20"/>
    </row>
    <row r="156" spans="1:12">
      <c r="A156" s="14">
        <v>106</v>
      </c>
      <c r="B156" s="14" t="s">
        <v>144</v>
      </c>
      <c r="C156" s="18"/>
      <c r="D156" s="16" t="str">
        <f>HYPERLINK("#摆设!茁壮的萃华树","茁壮的萃华树")</f>
        <v>茁壮的萃华树</v>
      </c>
      <c r="E156" s="17">
        <f>摆设!D142</f>
        <v>0</v>
      </c>
      <c r="F156" s="17">
        <v>1</v>
      </c>
      <c r="G156" s="17" t="s">
        <v>128</v>
      </c>
      <c r="H156" s="17" t="s">
        <v>131</v>
      </c>
      <c r="I156" s="21" t="s">
        <v>95</v>
      </c>
      <c r="J156" s="17">
        <v>1.5</v>
      </c>
      <c r="K156" s="17" t="s">
        <v>130</v>
      </c>
      <c r="L156" s="20"/>
    </row>
    <row r="157" spans="1:12">
      <c r="A157" s="14">
        <v>107</v>
      </c>
      <c r="B157" s="14" t="s">
        <v>144</v>
      </c>
      <c r="C157" s="18"/>
      <c r="D157" s="16" t="str">
        <f>HYPERLINK("#摆设!「猎人的暗哨」","「猎人的暗哨」")</f>
        <v>「猎人的暗哨」</v>
      </c>
      <c r="E157" s="17">
        <f>摆设!D153</f>
        <v>0</v>
      </c>
      <c r="F157" s="17">
        <v>1</v>
      </c>
      <c r="G157" s="17" t="s">
        <v>128</v>
      </c>
      <c r="H157" s="17" t="s">
        <v>132</v>
      </c>
      <c r="I157" s="21" t="s">
        <v>95</v>
      </c>
      <c r="J157" s="17">
        <v>1.5</v>
      </c>
      <c r="K157" s="17" t="s">
        <v>130</v>
      </c>
      <c r="L157" s="20"/>
    </row>
    <row r="158" spans="1:12">
      <c r="A158" s="14">
        <v>108</v>
      </c>
      <c r="B158" s="14" t="s">
        <v>144</v>
      </c>
      <c r="C158" s="18"/>
      <c r="D158" s="16" t="str">
        <f>HYPERLINK("#摆设!竹框酒坛—「琼浆待月往」","竹框酒坛—「琼浆待月往」")</f>
        <v>竹框酒坛—「琼浆待月往」</v>
      </c>
      <c r="E158" s="17">
        <f>摆设!D167</f>
        <v>0</v>
      </c>
      <c r="F158" s="17">
        <v>2</v>
      </c>
      <c r="G158" s="17" t="s">
        <v>133</v>
      </c>
      <c r="H158" s="17" t="s">
        <v>139</v>
      </c>
      <c r="I158" s="21" t="s">
        <v>95</v>
      </c>
      <c r="J158" s="17">
        <v>1.5</v>
      </c>
      <c r="K158" s="17" t="s">
        <v>93</v>
      </c>
      <c r="L158" s="20"/>
    </row>
    <row r="159" spans="1:12">
      <c r="A159" s="14">
        <v>109</v>
      </c>
      <c r="B159" s="14" t="s">
        <v>144</v>
      </c>
      <c r="C159" s="18"/>
      <c r="D159" s="16" t="str">
        <f>HYPERLINK("#摆设!储物袋—「隐雷退散」","储物袋—「隐雷退散」")</f>
        <v>储物袋—「隐雷退散」</v>
      </c>
      <c r="E159" s="17">
        <f>摆设!D170</f>
        <v>0</v>
      </c>
      <c r="F159" s="17">
        <v>2</v>
      </c>
      <c r="G159" s="17" t="s">
        <v>133</v>
      </c>
      <c r="H159" s="17" t="s">
        <v>139</v>
      </c>
      <c r="I159" s="23" t="s">
        <v>114</v>
      </c>
      <c r="J159" s="17">
        <v>1.5</v>
      </c>
      <c r="K159" s="17" t="s">
        <v>93</v>
      </c>
      <c r="L159" s="20"/>
    </row>
    <row r="160" spans="1:12">
      <c r="A160" s="14">
        <v>110</v>
      </c>
      <c r="B160" s="14" t="s">
        <v>144</v>
      </c>
      <c r="C160" s="18"/>
      <c r="D160" s="16" t="str">
        <f>HYPERLINK("#摆设!果蔬商贩的谨慎","果蔬商贩的谨慎")</f>
        <v>果蔬商贩的谨慎</v>
      </c>
      <c r="E160" s="17">
        <f>摆设!D171</f>
        <v>0</v>
      </c>
      <c r="F160" s="17">
        <v>1</v>
      </c>
      <c r="G160" s="17" t="s">
        <v>133</v>
      </c>
      <c r="H160" s="17" t="s">
        <v>139</v>
      </c>
      <c r="I160" s="21" t="s">
        <v>95</v>
      </c>
      <c r="J160" s="17">
        <v>1.5</v>
      </c>
      <c r="K160" s="17" t="s">
        <v>93</v>
      </c>
      <c r="L160" s="20"/>
    </row>
    <row r="161" spans="1:12">
      <c r="A161" s="14">
        <v>111</v>
      </c>
      <c r="B161" s="14" t="s">
        <v>144</v>
      </c>
      <c r="C161" s="18"/>
      <c r="D161" s="16" t="str">
        <f>HYPERLINK("#摆设!旧式水井","旧式水井")</f>
        <v>旧式水井</v>
      </c>
      <c r="E161" s="17">
        <f>摆设!D192</f>
        <v>0</v>
      </c>
      <c r="F161" s="17">
        <v>1</v>
      </c>
      <c r="G161" s="17" t="s">
        <v>133</v>
      </c>
      <c r="H161" s="17" t="s">
        <v>106</v>
      </c>
      <c r="I161" s="23" t="s">
        <v>114</v>
      </c>
      <c r="J161" s="17">
        <v>1.5</v>
      </c>
      <c r="K161" s="17" t="s">
        <v>93</v>
      </c>
      <c r="L161" s="20"/>
    </row>
    <row r="162" spans="1:12">
      <c r="A162" s="14">
        <v>112</v>
      </c>
      <c r="B162" s="14" t="s">
        <v>144</v>
      </c>
      <c r="C162" s="18"/>
      <c r="D162" s="16" t="str">
        <f>HYPERLINK("#摆设!退邪灯—「明照左右」","退邪灯—「明照左右」")</f>
        <v>退邪灯—「明照左右」</v>
      </c>
      <c r="E162" s="17">
        <f>摆设!D202</f>
        <v>0</v>
      </c>
      <c r="F162" s="17">
        <v>1</v>
      </c>
      <c r="G162" s="17" t="s">
        <v>133</v>
      </c>
      <c r="H162" s="17" t="s">
        <v>107</v>
      </c>
      <c r="I162" s="21" t="s">
        <v>95</v>
      </c>
      <c r="J162" s="17">
        <v>1.5</v>
      </c>
      <c r="K162" s="17" t="s">
        <v>93</v>
      </c>
      <c r="L162" s="20"/>
    </row>
    <row r="163" spans="1:12">
      <c r="A163" s="14">
        <v>113</v>
      </c>
      <c r="B163" s="14" t="s">
        <v>144</v>
      </c>
      <c r="C163" s="18"/>
      <c r="D163" s="16" t="str">
        <f>HYPERLINK("#摆设!双重商摊—「运势层层高」","双重商摊—「运势层层高」")</f>
        <v>双重商摊—「运势层层高」</v>
      </c>
      <c r="E163" s="17">
        <f>摆设!D218</f>
        <v>0</v>
      </c>
      <c r="F163" s="17">
        <v>1</v>
      </c>
      <c r="G163" s="17" t="s">
        <v>134</v>
      </c>
      <c r="H163" s="17" t="s">
        <v>94</v>
      </c>
      <c r="I163" s="21" t="s">
        <v>95</v>
      </c>
      <c r="J163" s="17">
        <v>1.5</v>
      </c>
      <c r="K163" s="17" t="s">
        <v>108</v>
      </c>
      <c r="L163" s="20"/>
    </row>
    <row r="164" spans="1:12">
      <c r="A164" s="14">
        <v>114</v>
      </c>
      <c r="B164" s="14" t="s">
        <v>144</v>
      </c>
      <c r="C164" s="18"/>
      <c r="D164" s="16" t="str">
        <f>HYPERLINK("#摆设!竹制露天茶桌","竹制露天茶桌")</f>
        <v>竹制露天茶桌</v>
      </c>
      <c r="E164" s="17">
        <f>摆设!D219</f>
        <v>0</v>
      </c>
      <c r="F164" s="17">
        <v>1</v>
      </c>
      <c r="G164" s="17" t="s">
        <v>134</v>
      </c>
      <c r="H164" s="17" t="s">
        <v>94</v>
      </c>
      <c r="I164" s="21" t="s">
        <v>95</v>
      </c>
      <c r="J164" s="17">
        <v>1.5</v>
      </c>
      <c r="K164" s="17" t="s">
        <v>93</v>
      </c>
      <c r="L164" s="20"/>
    </row>
    <row r="165" spans="1:12">
      <c r="A165" s="14">
        <v>115</v>
      </c>
      <c r="B165" s="14" t="s">
        <v>144</v>
      </c>
      <c r="C165" s="18"/>
      <c r="D165" s="16" t="str">
        <f>HYPERLINK("#摆设!木制露天茶桌","木制露天茶桌")</f>
        <v>木制露天茶桌</v>
      </c>
      <c r="E165" s="17">
        <f>摆设!D220</f>
        <v>0</v>
      </c>
      <c r="F165" s="17">
        <v>3</v>
      </c>
      <c r="G165" s="17" t="s">
        <v>134</v>
      </c>
      <c r="H165" s="17" t="s">
        <v>94</v>
      </c>
      <c r="I165" s="21" t="s">
        <v>95</v>
      </c>
      <c r="J165" s="17">
        <v>1.5</v>
      </c>
      <c r="K165" s="17" t="s">
        <v>113</v>
      </c>
      <c r="L165" s="20"/>
    </row>
    <row r="166" spans="1:12">
      <c r="A166" s="14">
        <v>116</v>
      </c>
      <c r="B166" s="14" t="s">
        <v>144</v>
      </c>
      <c r="C166" s="18"/>
      <c r="D166" s="16" t="str">
        <f>HYPERLINK("#摆设!酒肆货柜—「会须百杯饮」","酒肆货柜—「会须百杯饮」")</f>
        <v>酒肆货柜—「会须百杯饮」</v>
      </c>
      <c r="E166" s="17">
        <f>摆设!D221</f>
        <v>0</v>
      </c>
      <c r="F166" s="17">
        <v>1</v>
      </c>
      <c r="G166" s="17" t="s">
        <v>134</v>
      </c>
      <c r="H166" s="17" t="s">
        <v>104</v>
      </c>
      <c r="I166" s="21" t="s">
        <v>95</v>
      </c>
      <c r="J166" s="17">
        <v>1.5</v>
      </c>
      <c r="K166" s="17" t="s">
        <v>93</v>
      </c>
      <c r="L166" s="20"/>
    </row>
    <row r="167" spans="1:12">
      <c r="A167" s="14">
        <v>117</v>
      </c>
      <c r="B167" s="14" t="s">
        <v>144</v>
      </c>
      <c r="C167" s="18"/>
      <c r="D167" s="16" t="str">
        <f>HYPERLINK("#摆设!垂香木厨房货架","垂香木厨房货架")</f>
        <v>垂香木厨房货架</v>
      </c>
      <c r="E167" s="17">
        <f>摆设!D2</f>
        <v>0</v>
      </c>
      <c r="F167" s="17">
        <v>1</v>
      </c>
      <c r="G167" s="17" t="s">
        <v>89</v>
      </c>
      <c r="H167" s="17" t="s">
        <v>104</v>
      </c>
      <c r="I167" s="23" t="s">
        <v>114</v>
      </c>
      <c r="J167" s="17">
        <v>1.5</v>
      </c>
      <c r="K167" s="17" t="s">
        <v>130</v>
      </c>
      <c r="L167" s="20"/>
    </row>
    <row r="168" spans="1:12">
      <c r="A168" s="14"/>
      <c r="B168" s="14"/>
      <c r="C168" s="18"/>
      <c r="E168" s="17"/>
      <c r="F168" s="17"/>
      <c r="G168" s="17"/>
      <c r="H168" s="17"/>
      <c r="I168" s="17"/>
      <c r="J168" s="17"/>
      <c r="K168" s="17"/>
      <c r="L168" s="20"/>
    </row>
    <row r="169" spans="1:12">
      <c r="A169" s="14">
        <v>118</v>
      </c>
      <c r="B169" s="14" t="s">
        <v>145</v>
      </c>
      <c r="C169" s="15" t="s">
        <v>145</v>
      </c>
      <c r="D169" s="16" t="str">
        <f>HYPERLINK("#摆设!松木餐椅","松木餐椅")</f>
        <v>松木餐椅</v>
      </c>
      <c r="E169" s="17">
        <f>摆设!D37</f>
        <v>0</v>
      </c>
      <c r="F169" s="17">
        <v>1</v>
      </c>
      <c r="G169" s="17" t="s">
        <v>96</v>
      </c>
      <c r="H169" s="17" t="s">
        <v>97</v>
      </c>
      <c r="I169" s="23" t="s">
        <v>114</v>
      </c>
      <c r="J169" s="17">
        <v>1.5</v>
      </c>
      <c r="K169" s="17" t="s">
        <v>102</v>
      </c>
      <c r="L169" s="20"/>
    </row>
    <row r="170" spans="1:12">
      <c r="A170" s="14">
        <v>119</v>
      </c>
      <c r="B170" s="14" t="s">
        <v>145</v>
      </c>
      <c r="C170" s="18"/>
      <c r="D170" s="16" t="str">
        <f>HYPERLINK("#摆设!「行商石门北」","「行商石门北」")</f>
        <v>「行商石门北」</v>
      </c>
      <c r="E170" s="17">
        <f>摆设!D107</f>
        <v>0</v>
      </c>
      <c r="F170" s="17">
        <v>1</v>
      </c>
      <c r="G170" s="17" t="s">
        <v>125</v>
      </c>
      <c r="H170" s="17" t="s">
        <v>126</v>
      </c>
      <c r="I170" s="21" t="s">
        <v>95</v>
      </c>
      <c r="J170" s="17">
        <v>1.5</v>
      </c>
      <c r="K170" s="17" t="s">
        <v>93</v>
      </c>
      <c r="L170" s="20"/>
    </row>
    <row r="171" spans="1:12">
      <c r="A171" s="14">
        <v>120</v>
      </c>
      <c r="B171" s="14" t="s">
        <v>145</v>
      </c>
      <c r="C171" s="18"/>
      <c r="D171" s="16" t="str">
        <f>HYPERLINK("#摆设!卷棚果蔬舆","卷棚果蔬舆")</f>
        <v>卷棚果蔬舆</v>
      </c>
      <c r="E171" s="17">
        <f>摆设!D108</f>
        <v>0</v>
      </c>
      <c r="F171" s="17">
        <v>1</v>
      </c>
      <c r="G171" s="17" t="s">
        <v>125</v>
      </c>
      <c r="H171" s="17" t="s">
        <v>126</v>
      </c>
      <c r="I171" s="21" t="s">
        <v>95</v>
      </c>
      <c r="J171" s="17">
        <v>1.5</v>
      </c>
      <c r="K171" s="17" t="s">
        <v>93</v>
      </c>
      <c r="L171" s="20"/>
    </row>
    <row r="172" spans="1:12">
      <c r="A172" s="14">
        <v>121</v>
      </c>
      <c r="B172" s="14" t="s">
        <v>145</v>
      </c>
      <c r="C172" s="18"/>
      <c r="D172" s="16" t="str">
        <f>HYPERLINK("#摆设!「云游碧水东」","「云游碧水东」")</f>
        <v>「云游碧水东」</v>
      </c>
      <c r="E172" s="17">
        <f>摆设!D111</f>
        <v>0</v>
      </c>
      <c r="F172" s="17">
        <v>1</v>
      </c>
      <c r="G172" s="17" t="s">
        <v>125</v>
      </c>
      <c r="H172" s="17" t="s">
        <v>146</v>
      </c>
      <c r="I172" s="21" t="s">
        <v>95</v>
      </c>
      <c r="J172" s="17">
        <v>1.5</v>
      </c>
      <c r="K172" s="17" t="s">
        <v>113</v>
      </c>
      <c r="L172" s="20"/>
    </row>
    <row r="173" spans="1:12">
      <c r="A173" s="14">
        <v>122</v>
      </c>
      <c r="B173" s="14" t="s">
        <v>145</v>
      </c>
      <c r="C173" s="18"/>
      <c r="D173" s="16" t="str">
        <f>HYPERLINK("#摆设!竹框酒坛—「琼浆待月往」","竹框酒坛—「琼浆待月往」")</f>
        <v>竹框酒坛—「琼浆待月往」</v>
      </c>
      <c r="E173" s="17">
        <f>摆设!D167</f>
        <v>0</v>
      </c>
      <c r="F173" s="17">
        <v>1</v>
      </c>
      <c r="G173" s="17" t="s">
        <v>133</v>
      </c>
      <c r="H173" s="17" t="s">
        <v>139</v>
      </c>
      <c r="I173" s="21" t="s">
        <v>95</v>
      </c>
      <c r="J173" s="17">
        <v>1.5</v>
      </c>
      <c r="K173" s="17" t="s">
        <v>93</v>
      </c>
      <c r="L173" s="20"/>
    </row>
    <row r="174" spans="1:12">
      <c r="A174" s="14">
        <v>123</v>
      </c>
      <c r="B174" s="14" t="s">
        <v>145</v>
      </c>
      <c r="C174" s="18"/>
      <c r="D174" s="16" t="str">
        <f>HYPERLINK("#摆设!玩具摊—「琳琅生趣」","玩具摊—「琳琅生趣」")</f>
        <v>玩具摊—「琳琅生趣」</v>
      </c>
      <c r="E174" s="17">
        <f>摆设!D168</f>
        <v>0</v>
      </c>
      <c r="F174" s="17">
        <v>1</v>
      </c>
      <c r="G174" s="17" t="s">
        <v>133</v>
      </c>
      <c r="H174" s="17" t="s">
        <v>139</v>
      </c>
      <c r="I174" s="21" t="s">
        <v>95</v>
      </c>
      <c r="J174" s="17">
        <v>1.5</v>
      </c>
      <c r="K174" s="17" t="s">
        <v>108</v>
      </c>
      <c r="L174" s="20"/>
    </row>
    <row r="175" spans="1:12">
      <c r="A175" s="14">
        <v>124</v>
      </c>
      <c r="B175" s="14" t="s">
        <v>145</v>
      </c>
      <c r="C175" s="18"/>
      <c r="D175" s="16" t="str">
        <f>HYPERLINK("#摆设!花伞铺—「簦下千彩」","花伞铺—「簦下千彩」")</f>
        <v>花伞铺—「簦下千彩」</v>
      </c>
      <c r="E175" s="17">
        <f>摆设!D169</f>
        <v>0</v>
      </c>
      <c r="F175" s="17">
        <v>1</v>
      </c>
      <c r="G175" s="17" t="s">
        <v>133</v>
      </c>
      <c r="H175" s="17" t="s">
        <v>139</v>
      </c>
      <c r="I175" s="21" t="s">
        <v>95</v>
      </c>
      <c r="J175" s="17">
        <v>1.5</v>
      </c>
      <c r="K175" s="17" t="s">
        <v>108</v>
      </c>
      <c r="L175" s="20"/>
    </row>
    <row r="176" spans="1:12">
      <c r="A176" s="14">
        <v>125</v>
      </c>
      <c r="B176" s="14" t="s">
        <v>145</v>
      </c>
      <c r="C176" s="18"/>
      <c r="D176" s="16" t="str">
        <f>HYPERLINK("#摆设!储物袋—「隐雷退散」","储物袋—「隐雷退散」")</f>
        <v>储物袋—「隐雷退散」</v>
      </c>
      <c r="E176" s="17">
        <f>摆设!D170</f>
        <v>0</v>
      </c>
      <c r="F176" s="17">
        <v>1</v>
      </c>
      <c r="G176" s="17" t="s">
        <v>133</v>
      </c>
      <c r="H176" s="17" t="s">
        <v>139</v>
      </c>
      <c r="I176" s="23" t="s">
        <v>114</v>
      </c>
      <c r="J176" s="17">
        <v>1.5</v>
      </c>
      <c r="K176" s="17" t="s">
        <v>93</v>
      </c>
      <c r="L176" s="20"/>
    </row>
    <row r="177" spans="1:12">
      <c r="A177" s="14">
        <v>126</v>
      </c>
      <c r="B177" s="14" t="s">
        <v>145</v>
      </c>
      <c r="C177" s="18"/>
      <c r="D177" s="16" t="str">
        <f>HYPERLINK("#摆设!果蔬商贩的谨慎","果蔬商贩的谨慎")</f>
        <v>果蔬商贩的谨慎</v>
      </c>
      <c r="E177" s="17">
        <f>摆设!D171</f>
        <v>0</v>
      </c>
      <c r="F177" s="17">
        <v>1</v>
      </c>
      <c r="G177" s="17" t="s">
        <v>133</v>
      </c>
      <c r="H177" s="17" t="s">
        <v>139</v>
      </c>
      <c r="I177" s="21" t="s">
        <v>95</v>
      </c>
      <c r="J177" s="17">
        <v>1.5</v>
      </c>
      <c r="K177" s="17" t="s">
        <v>93</v>
      </c>
      <c r="L177" s="20"/>
    </row>
    <row r="178" spans="1:12">
      <c r="A178" s="14">
        <v>127</v>
      </c>
      <c r="B178" s="14" t="s">
        <v>145</v>
      </c>
      <c r="C178" s="18"/>
      <c r="D178" s="16" t="str">
        <f>HYPERLINK("#摆设!退邪灯—「明照左右」","退邪灯—「明照左右」")</f>
        <v>退邪灯—「明照左右」</v>
      </c>
      <c r="E178" s="17">
        <f>摆设!D202</f>
        <v>0</v>
      </c>
      <c r="F178" s="17">
        <v>1</v>
      </c>
      <c r="G178" s="17" t="s">
        <v>133</v>
      </c>
      <c r="H178" s="17" t="s">
        <v>107</v>
      </c>
      <c r="I178" s="21" t="s">
        <v>95</v>
      </c>
      <c r="J178" s="17">
        <v>1.5</v>
      </c>
      <c r="K178" s="17" t="s">
        <v>93</v>
      </c>
      <c r="L178" s="20"/>
    </row>
    <row r="179" spans="1:12">
      <c r="A179" s="14">
        <v>128</v>
      </c>
      <c r="B179" s="14" t="s">
        <v>145</v>
      </c>
      <c r="C179" s="18"/>
      <c r="D179" s="16" t="str">
        <f>HYPERLINK("#摆设!双重商摊—「运势层层高」","双重商摊—「运势层层高」")</f>
        <v>双重商摊—「运势层层高」</v>
      </c>
      <c r="E179" s="17">
        <f>摆设!D218</f>
        <v>0</v>
      </c>
      <c r="F179" s="17">
        <v>1</v>
      </c>
      <c r="G179" s="17" t="s">
        <v>134</v>
      </c>
      <c r="H179" s="17" t="s">
        <v>94</v>
      </c>
      <c r="I179" s="21" t="s">
        <v>95</v>
      </c>
      <c r="J179" s="17">
        <v>1.5</v>
      </c>
      <c r="K179" s="17" t="s">
        <v>108</v>
      </c>
      <c r="L179" s="20"/>
    </row>
    <row r="180" spans="1:12">
      <c r="A180" s="14">
        <v>129</v>
      </c>
      <c r="B180" s="14" t="s">
        <v>145</v>
      </c>
      <c r="C180" s="18"/>
      <c r="D180" s="16" t="str">
        <f>HYPERLINK("#摆设!竹制露天茶桌","竹制露天茶桌")</f>
        <v>竹制露天茶桌</v>
      </c>
      <c r="E180" s="17">
        <f>摆设!D219</f>
        <v>0</v>
      </c>
      <c r="F180" s="17">
        <v>1</v>
      </c>
      <c r="G180" s="17" t="s">
        <v>134</v>
      </c>
      <c r="H180" s="17" t="s">
        <v>94</v>
      </c>
      <c r="I180" s="21" t="s">
        <v>95</v>
      </c>
      <c r="J180" s="17">
        <v>1.5</v>
      </c>
      <c r="K180" s="17" t="s">
        <v>93</v>
      </c>
      <c r="L180" s="20"/>
    </row>
    <row r="181" spans="1:12">
      <c r="A181" s="14">
        <v>130</v>
      </c>
      <c r="B181" s="14" t="s">
        <v>145</v>
      </c>
      <c r="C181" s="18"/>
      <c r="D181" s="16" t="str">
        <f>HYPERLINK("#摆设!酒肆货柜—「会须百杯饮」","酒肆货柜—「会须百杯饮」")</f>
        <v>酒肆货柜—「会须百杯饮」</v>
      </c>
      <c r="E181" s="17">
        <f>摆设!D221</f>
        <v>0</v>
      </c>
      <c r="F181" s="17">
        <v>1</v>
      </c>
      <c r="G181" s="17" t="s">
        <v>134</v>
      </c>
      <c r="H181" s="17" t="s">
        <v>104</v>
      </c>
      <c r="I181" s="21" t="s">
        <v>95</v>
      </c>
      <c r="J181" s="17">
        <v>1.5</v>
      </c>
      <c r="K181" s="17" t="s">
        <v>93</v>
      </c>
      <c r="L181" s="20"/>
    </row>
    <row r="182" spans="1:12">
      <c r="A182" s="14">
        <v>131</v>
      </c>
      <c r="B182" s="14" t="s">
        <v>145</v>
      </c>
      <c r="C182" s="18"/>
      <c r="D182" s="16" t="str">
        <f>HYPERLINK("#摆设!抗浪结构双层货盘","抗浪结构双层货盘")</f>
        <v>抗浪结构双层货盘</v>
      </c>
      <c r="E182" s="17">
        <f>摆设!D222</f>
        <v>0</v>
      </c>
      <c r="F182" s="17">
        <v>1</v>
      </c>
      <c r="G182" s="17" t="s">
        <v>134</v>
      </c>
      <c r="H182" s="17" t="s">
        <v>104</v>
      </c>
      <c r="I182" s="21" t="s">
        <v>95</v>
      </c>
      <c r="J182" s="17">
        <v>1.5</v>
      </c>
      <c r="K182" s="17" t="s">
        <v>93</v>
      </c>
      <c r="L182" s="20"/>
    </row>
    <row r="183" spans="1:12">
      <c r="A183" s="14"/>
      <c r="B183" s="14"/>
      <c r="C183" s="18"/>
      <c r="E183" s="17"/>
      <c r="F183" s="17"/>
      <c r="G183" s="17"/>
      <c r="H183" s="17"/>
      <c r="I183" s="17"/>
      <c r="J183" s="17"/>
      <c r="K183" s="17"/>
      <c r="L183" s="20"/>
    </row>
    <row r="184" spans="1:12">
      <c r="A184" s="14">
        <v>132</v>
      </c>
      <c r="B184" s="14" t="s">
        <v>147</v>
      </c>
      <c r="C184" s="15" t="s">
        <v>147</v>
      </c>
      <c r="D184" s="16" t="str">
        <f>HYPERLINK("#摆设!三眼守仙牌","三眼守仙牌")</f>
        <v>三眼守仙牌</v>
      </c>
      <c r="E184" s="17">
        <f>摆设!D78</f>
        <v>0</v>
      </c>
      <c r="F184" s="17">
        <v>1</v>
      </c>
      <c r="G184" s="17" t="s">
        <v>141</v>
      </c>
      <c r="H184" s="17" t="s">
        <v>148</v>
      </c>
      <c r="I184" s="19" t="s">
        <v>91</v>
      </c>
      <c r="J184" s="17">
        <v>1.5</v>
      </c>
      <c r="K184" s="17" t="s">
        <v>137</v>
      </c>
      <c r="L184" s="20"/>
    </row>
    <row r="185" spans="1:12">
      <c r="A185" s="14">
        <v>133</v>
      </c>
      <c r="B185" s="14" t="s">
        <v>147</v>
      </c>
      <c r="C185" s="18"/>
      <c r="D185" s="16" t="str">
        <f>HYPERLINK("#摆设!璃月商铺—「客聚如潮」","璃月商铺—「客聚如潮」")</f>
        <v>璃月商铺—「客聚如潮」</v>
      </c>
      <c r="E185" s="17">
        <f>摆设!D97</f>
        <v>0</v>
      </c>
      <c r="F185" s="17">
        <v>1</v>
      </c>
      <c r="G185" s="17" t="s">
        <v>125</v>
      </c>
      <c r="H185" s="17" t="s">
        <v>149</v>
      </c>
      <c r="I185" s="21" t="s">
        <v>95</v>
      </c>
      <c r="J185" s="17">
        <v>1.5</v>
      </c>
      <c r="K185" s="17" t="s">
        <v>113</v>
      </c>
      <c r="L185" s="20"/>
    </row>
    <row r="186" spans="1:12">
      <c r="A186" s="14">
        <v>134</v>
      </c>
      <c r="B186" s="14" t="s">
        <v>147</v>
      </c>
      <c r="C186" s="18"/>
      <c r="D186" s="16" t="str">
        <f>HYPERLINK("#摆设!璃月民居—「岁不我与」","璃月民居—「岁不我与」")</f>
        <v>璃月民居—「岁不我与」</v>
      </c>
      <c r="E186" s="17">
        <f>摆设!D98</f>
        <v>0</v>
      </c>
      <c r="F186" s="17">
        <v>1</v>
      </c>
      <c r="G186" s="17" t="s">
        <v>125</v>
      </c>
      <c r="H186" s="17" t="s">
        <v>149</v>
      </c>
      <c r="I186" s="21" t="s">
        <v>95</v>
      </c>
      <c r="J186" s="17">
        <v>1.5</v>
      </c>
      <c r="K186" s="17" t="s">
        <v>150</v>
      </c>
      <c r="L186" s="20"/>
    </row>
    <row r="187" spans="1:12">
      <c r="A187" s="14">
        <v>135</v>
      </c>
      <c r="B187" s="14" t="s">
        <v>147</v>
      </c>
      <c r="C187" s="18"/>
      <c r="D187" s="16" t="str">
        <f>HYPERLINK("#摆设!干草货棚","干草货棚")</f>
        <v>干草货棚</v>
      </c>
      <c r="E187" s="17">
        <f>摆设!D112</f>
        <v>0</v>
      </c>
      <c r="F187" s="17">
        <v>1</v>
      </c>
      <c r="G187" s="17" t="s">
        <v>125</v>
      </c>
      <c r="H187" s="17" t="s">
        <v>146</v>
      </c>
      <c r="I187" s="23" t="s">
        <v>114</v>
      </c>
      <c r="J187" s="17">
        <v>1.5</v>
      </c>
      <c r="K187" s="17" t="s">
        <v>93</v>
      </c>
      <c r="L187" s="20"/>
    </row>
    <row r="188" spans="1:12">
      <c r="A188" s="14">
        <v>136</v>
      </c>
      <c r="B188" s="14" t="s">
        <v>147</v>
      </c>
      <c r="C188" s="18"/>
      <c r="D188" s="16" t="str">
        <f>HYPERLINK("#摆设!纤拳石","纤拳石")</f>
        <v>纤拳石</v>
      </c>
      <c r="E188" s="17">
        <f>摆设!D135</f>
        <v>0</v>
      </c>
      <c r="F188" s="17">
        <v>2</v>
      </c>
      <c r="G188" s="17" t="s">
        <v>128</v>
      </c>
      <c r="H188" s="17" t="s">
        <v>129</v>
      </c>
      <c r="I188" s="21" t="s">
        <v>95</v>
      </c>
      <c r="J188" s="17">
        <v>1.5</v>
      </c>
      <c r="K188" s="17" t="s">
        <v>130</v>
      </c>
      <c r="L188" s="20"/>
    </row>
    <row r="189" spans="1:12">
      <c r="A189" s="14">
        <v>137</v>
      </c>
      <c r="B189" s="14" t="s">
        <v>147</v>
      </c>
      <c r="C189" s="18"/>
      <c r="D189" s="16" t="str">
        <f>HYPERLINK("#摆设!「归风的苍色」","「归风的苍色」")</f>
        <v>「归风的苍色」</v>
      </c>
      <c r="E189" s="17">
        <f>摆设!D140</f>
        <v>0</v>
      </c>
      <c r="F189" s="17">
        <v>1</v>
      </c>
      <c r="G189" s="17" t="s">
        <v>128</v>
      </c>
      <c r="H189" s="17" t="s">
        <v>131</v>
      </c>
      <c r="I189" s="21" t="s">
        <v>95</v>
      </c>
      <c r="J189" s="17">
        <v>1.5</v>
      </c>
      <c r="K189" s="17" t="s">
        <v>138</v>
      </c>
      <c r="L189" s="20"/>
    </row>
    <row r="190" spans="1:12">
      <c r="A190" s="14">
        <v>138</v>
      </c>
      <c r="B190" s="14" t="s">
        <v>147</v>
      </c>
      <c r="C190" s="18"/>
      <c r="D190" s="16" t="str">
        <f>HYPERLINK("#摆设!青衫景铄","青衫景铄")</f>
        <v>青衫景铄</v>
      </c>
      <c r="E190" s="17">
        <f>摆设!D150</f>
        <v>0</v>
      </c>
      <c r="F190" s="17">
        <v>1</v>
      </c>
      <c r="G190" s="17" t="s">
        <v>128</v>
      </c>
      <c r="H190" s="17" t="s">
        <v>132</v>
      </c>
      <c r="I190" s="23" t="s">
        <v>114</v>
      </c>
      <c r="J190" s="17">
        <v>1.5</v>
      </c>
      <c r="K190" s="17" t="s">
        <v>130</v>
      </c>
      <c r="L190" s="20"/>
    </row>
    <row r="191" spans="1:12">
      <c r="A191" s="14">
        <v>139</v>
      </c>
      <c r="B191" s="14" t="s">
        <v>147</v>
      </c>
      <c r="C191" s="18"/>
      <c r="D191" s="16" t="str">
        <f>HYPERLINK("#摆设!丛生蝶绿","丛生蝶绿")</f>
        <v>丛生蝶绿</v>
      </c>
      <c r="E191" s="17">
        <f>摆设!D152</f>
        <v>0</v>
      </c>
      <c r="F191" s="17">
        <v>1</v>
      </c>
      <c r="G191" s="17" t="s">
        <v>128</v>
      </c>
      <c r="H191" s="17" t="s">
        <v>132</v>
      </c>
      <c r="I191" s="23" t="s">
        <v>114</v>
      </c>
      <c r="J191" s="17">
        <v>1.5</v>
      </c>
      <c r="K191" s="17" t="s">
        <v>130</v>
      </c>
      <c r="L191" s="20"/>
    </row>
    <row r="192" spans="1:12">
      <c r="A192" s="14">
        <v>140</v>
      </c>
      <c r="B192" s="14" t="s">
        <v>147</v>
      </c>
      <c r="C192" s="18"/>
      <c r="D192" s="16" t="str">
        <f>HYPERLINK("#摆设!硬石加固的水井","硬石加固的水井")</f>
        <v>硬石加固的水井</v>
      </c>
      <c r="E192" s="17">
        <f>摆设!D191</f>
        <v>0</v>
      </c>
      <c r="F192" s="17">
        <v>1</v>
      </c>
      <c r="G192" s="17" t="s">
        <v>133</v>
      </c>
      <c r="H192" s="17" t="s">
        <v>106</v>
      </c>
      <c r="I192" s="21" t="s">
        <v>95</v>
      </c>
      <c r="J192" s="17">
        <v>1.5</v>
      </c>
      <c r="K192" s="17" t="s">
        <v>93</v>
      </c>
      <c r="L192" s="20"/>
    </row>
    <row r="193" spans="1:12">
      <c r="A193" s="14">
        <v>141</v>
      </c>
      <c r="B193" s="14" t="s">
        <v>147</v>
      </c>
      <c r="C193" s="18"/>
      <c r="D193" s="16" t="str">
        <f>HYPERLINK("#摆设!退邪灯—「明照左右」","退邪灯—「明照左右」")</f>
        <v>退邪灯—「明照左右」</v>
      </c>
      <c r="E193" s="17">
        <f>摆设!D202</f>
        <v>0</v>
      </c>
      <c r="F193" s="17">
        <v>1</v>
      </c>
      <c r="G193" s="17" t="s">
        <v>133</v>
      </c>
      <c r="H193" s="17" t="s">
        <v>107</v>
      </c>
      <c r="I193" s="21" t="s">
        <v>95</v>
      </c>
      <c r="J193" s="17">
        <v>1.5</v>
      </c>
      <c r="K193" s="17" t="s">
        <v>93</v>
      </c>
      <c r="L193" s="20"/>
    </row>
    <row r="194" spans="1:12">
      <c r="A194" s="14">
        <v>142</v>
      </c>
      <c r="B194" s="14" t="s">
        <v>147</v>
      </c>
      <c r="C194" s="18"/>
      <c r="D194" s="16" t="str">
        <f>HYPERLINK("#摆设!清影灯—「笔锋墨影」","清影灯—「笔锋墨影」")</f>
        <v>清影灯—「笔锋墨影」</v>
      </c>
      <c r="E194" s="17">
        <f>摆设!D203</f>
        <v>0</v>
      </c>
      <c r="F194" s="17">
        <v>1</v>
      </c>
      <c r="G194" s="17" t="s">
        <v>133</v>
      </c>
      <c r="H194" s="17" t="s">
        <v>107</v>
      </c>
      <c r="I194" s="21" t="s">
        <v>95</v>
      </c>
      <c r="J194" s="17">
        <v>1.5</v>
      </c>
      <c r="K194" s="17" t="s">
        <v>93</v>
      </c>
      <c r="L194" s="20"/>
    </row>
    <row r="195" spans="1:12">
      <c r="A195" s="14">
        <v>143</v>
      </c>
      <c r="B195" s="14" t="s">
        <v>147</v>
      </c>
      <c r="C195" s="18"/>
      <c r="D195" s="16" t="str">
        <f>HYPERLINK("#摆设!卸力的松木围栏","卸力的松木围栏")</f>
        <v>卸力的松木围栏</v>
      </c>
      <c r="E195" s="17">
        <f>摆设!D205</f>
        <v>0</v>
      </c>
      <c r="F195" s="17">
        <v>4</v>
      </c>
      <c r="G195" s="17" t="s">
        <v>134</v>
      </c>
      <c r="H195" s="17" t="s">
        <v>151</v>
      </c>
      <c r="I195" s="23" t="s">
        <v>114</v>
      </c>
      <c r="J195" s="17">
        <v>1.5</v>
      </c>
      <c r="K195" s="17" t="s">
        <v>137</v>
      </c>
      <c r="L195" s="20"/>
    </row>
    <row r="196" spans="1:12">
      <c r="A196" s="14">
        <v>144</v>
      </c>
      <c r="B196" s="14" t="s">
        <v>147</v>
      </c>
      <c r="C196" s="18"/>
      <c r="D196" s="16" t="str">
        <f>HYPERLINK("#摆设!大型石制滚磨","大型石制滚磨")</f>
        <v>大型石制滚磨</v>
      </c>
      <c r="E196" s="17">
        <f>摆设!D217</f>
        <v>0</v>
      </c>
      <c r="F196" s="17">
        <v>1</v>
      </c>
      <c r="G196" s="17" t="s">
        <v>134</v>
      </c>
      <c r="H196" s="17" t="s">
        <v>94</v>
      </c>
      <c r="I196" s="21" t="s">
        <v>95</v>
      </c>
      <c r="J196" s="17">
        <v>1.5</v>
      </c>
      <c r="K196" s="17" t="s">
        <v>93</v>
      </c>
      <c r="L196" s="20"/>
    </row>
    <row r="197" spans="1:12">
      <c r="A197" s="14">
        <v>145</v>
      </c>
      <c r="B197" s="14" t="s">
        <v>147</v>
      </c>
      <c r="C197" s="18"/>
      <c r="D197" s="16" t="str">
        <f>HYPERLINK("#摆设!竹制露天茶桌","竹制露天茶桌")</f>
        <v>竹制露天茶桌</v>
      </c>
      <c r="E197" s="17">
        <f>摆设!D219</f>
        <v>0</v>
      </c>
      <c r="F197" s="17">
        <v>2</v>
      </c>
      <c r="G197" s="17" t="s">
        <v>134</v>
      </c>
      <c r="H197" s="17" t="s">
        <v>94</v>
      </c>
      <c r="I197" s="21" t="s">
        <v>95</v>
      </c>
      <c r="J197" s="17">
        <v>1.5</v>
      </c>
      <c r="K197" s="17" t="s">
        <v>93</v>
      </c>
      <c r="L197" s="20"/>
    </row>
    <row r="198" spans="1:12">
      <c r="A198" s="14">
        <v>146</v>
      </c>
      <c r="B198" s="14" t="s">
        <v>147</v>
      </c>
      <c r="C198" s="18"/>
      <c r="D198" s="16" t="str">
        <f>HYPERLINK("#摆设!木制露天茶桌","木制露天茶桌")</f>
        <v>木制露天茶桌</v>
      </c>
      <c r="E198" s="17">
        <f>摆设!D220</f>
        <v>0</v>
      </c>
      <c r="F198" s="17">
        <v>1</v>
      </c>
      <c r="G198" s="17" t="s">
        <v>134</v>
      </c>
      <c r="H198" s="17" t="s">
        <v>94</v>
      </c>
      <c r="I198" s="21" t="s">
        <v>95</v>
      </c>
      <c r="J198" s="17">
        <v>1.5</v>
      </c>
      <c r="K198" s="17" t="s">
        <v>113</v>
      </c>
      <c r="L198" s="20"/>
    </row>
    <row r="199" spans="1:12">
      <c r="A199" s="14">
        <v>147</v>
      </c>
      <c r="B199" s="14" t="s">
        <v>147</v>
      </c>
      <c r="C199" s="18"/>
      <c r="D199" s="16" t="str">
        <f>HYPERLINK("#摆设!抗浪结构双层货盘","抗浪结构双层货盘")</f>
        <v>抗浪结构双层货盘</v>
      </c>
      <c r="E199" s="17">
        <f>摆设!D222</f>
        <v>0</v>
      </c>
      <c r="F199" s="17">
        <v>1</v>
      </c>
      <c r="G199" s="17" t="s">
        <v>134</v>
      </c>
      <c r="H199" s="17" t="s">
        <v>104</v>
      </c>
      <c r="I199" s="21" t="s">
        <v>95</v>
      </c>
      <c r="J199" s="17">
        <v>1.5</v>
      </c>
      <c r="K199" s="17" t="s">
        <v>93</v>
      </c>
      <c r="L199" s="20"/>
    </row>
    <row r="200" spans="1:12">
      <c r="A200" s="14"/>
      <c r="B200" s="14"/>
      <c r="C200" s="18"/>
      <c r="E200" s="17"/>
      <c r="F200" s="17"/>
      <c r="G200" s="17"/>
      <c r="H200" s="17"/>
      <c r="I200" s="17"/>
      <c r="J200" s="17"/>
      <c r="K200" s="17"/>
      <c r="L200" s="20"/>
    </row>
    <row r="201" spans="1:12">
      <c r="A201" s="14">
        <v>148</v>
      </c>
      <c r="B201" s="14" t="s">
        <v>152</v>
      </c>
      <c r="C201" s="15" t="s">
        <v>152</v>
      </c>
      <c r="D201" s="16" t="str">
        <f>HYPERLINK("#摆设!丘丘螺旋瞭望塔","丘丘螺旋瞭望塔")</f>
        <v>丘丘螺旋瞭望塔</v>
      </c>
      <c r="E201" s="17">
        <f>摆设!D93</f>
        <v>0</v>
      </c>
      <c r="F201" s="17">
        <v>1</v>
      </c>
      <c r="G201" s="17" t="s">
        <v>141</v>
      </c>
      <c r="H201" s="17" t="s">
        <v>142</v>
      </c>
      <c r="I201" s="21" t="s">
        <v>95</v>
      </c>
      <c r="J201" s="17">
        <v>1.5</v>
      </c>
      <c r="K201" s="17" t="s">
        <v>153</v>
      </c>
      <c r="L201" s="20"/>
    </row>
    <row r="202" spans="1:12">
      <c r="A202" s="14">
        <v>149</v>
      </c>
      <c r="B202" s="14" t="s">
        <v>152</v>
      </c>
      <c r="C202" s="18"/>
      <c r="D202" s="16" t="str">
        <f>HYPERLINK("#摆设!丘丘简易草棚","丘丘简易草棚")</f>
        <v>丘丘简易草棚</v>
      </c>
      <c r="E202" s="17">
        <f>摆设!D94</f>
        <v>0</v>
      </c>
      <c r="F202" s="17">
        <v>1</v>
      </c>
      <c r="G202" s="17" t="s">
        <v>141</v>
      </c>
      <c r="H202" s="17" t="s">
        <v>142</v>
      </c>
      <c r="I202" s="23" t="s">
        <v>114</v>
      </c>
      <c r="J202" s="17">
        <v>1.5</v>
      </c>
      <c r="K202" s="17" t="s">
        <v>154</v>
      </c>
      <c r="L202" s="20"/>
    </row>
    <row r="203" spans="1:12">
      <c r="A203" s="14">
        <v>150</v>
      </c>
      <c r="B203" s="14" t="s">
        <v>152</v>
      </c>
      <c r="C203" s="18"/>
      <c r="D203" s="16" t="str">
        <f>HYPERLINK("#摆设!丘丘前哨小屋","丘丘前哨小屋")</f>
        <v>丘丘前哨小屋</v>
      </c>
      <c r="E203" s="17">
        <f>摆设!D102</f>
        <v>0</v>
      </c>
      <c r="F203" s="17">
        <v>1</v>
      </c>
      <c r="G203" s="17" t="s">
        <v>125</v>
      </c>
      <c r="H203" s="17" t="s">
        <v>155</v>
      </c>
      <c r="I203" s="21" t="s">
        <v>95</v>
      </c>
      <c r="J203" s="17">
        <v>1.5</v>
      </c>
      <c r="K203" s="17" t="s">
        <v>156</v>
      </c>
      <c r="L203" s="20"/>
    </row>
    <row r="204" spans="1:12">
      <c r="A204" s="14">
        <v>151</v>
      </c>
      <c r="B204" s="14" t="s">
        <v>152</v>
      </c>
      <c r="C204" s="18"/>
      <c r="D204" s="16" t="str">
        <f>HYPERLINK("#摆设!丘丘领袖大殿","丘丘领袖大殿")</f>
        <v>丘丘领袖大殿</v>
      </c>
      <c r="E204" s="17">
        <f>摆设!D103</f>
        <v>0</v>
      </c>
      <c r="F204" s="17">
        <v>1</v>
      </c>
      <c r="G204" s="17" t="s">
        <v>125</v>
      </c>
      <c r="H204" s="17" t="s">
        <v>155</v>
      </c>
      <c r="I204" s="19" t="s">
        <v>91</v>
      </c>
      <c r="J204" s="17">
        <v>1.5</v>
      </c>
      <c r="K204" s="17" t="s">
        <v>143</v>
      </c>
      <c r="L204" s="20"/>
    </row>
    <row r="205" spans="1:12">
      <c r="A205" s="14">
        <v>152</v>
      </c>
      <c r="B205" s="14" t="s">
        <v>152</v>
      </c>
      <c r="C205" s="18"/>
      <c r="D205" s="16" t="str">
        <f>HYPERLINK("#摆设!丘丘双层警戒台","丘丘双层警戒台")</f>
        <v>丘丘双层警戒台</v>
      </c>
      <c r="E205" s="17">
        <f>摆设!D104</f>
        <v>0</v>
      </c>
      <c r="F205" s="17">
        <v>1</v>
      </c>
      <c r="G205" s="17" t="s">
        <v>125</v>
      </c>
      <c r="H205" s="17" t="s">
        <v>155</v>
      </c>
      <c r="I205" s="21" t="s">
        <v>95</v>
      </c>
      <c r="J205" s="17">
        <v>1.5</v>
      </c>
      <c r="K205" s="17" t="s">
        <v>157</v>
      </c>
      <c r="L205" s="20"/>
    </row>
    <row r="206" spans="1:12">
      <c r="A206" s="14">
        <v>153</v>
      </c>
      <c r="B206" s="14" t="s">
        <v>152</v>
      </c>
      <c r="C206" s="18"/>
      <c r="D206" s="16" t="str">
        <f>HYPERLINK("#摆设!伏青石","伏青石")</f>
        <v>伏青石</v>
      </c>
      <c r="E206" s="17">
        <f>摆设!D134</f>
        <v>0</v>
      </c>
      <c r="F206" s="17">
        <v>1</v>
      </c>
      <c r="G206" s="17" t="s">
        <v>128</v>
      </c>
      <c r="H206" s="17" t="s">
        <v>129</v>
      </c>
      <c r="I206" s="21" t="s">
        <v>95</v>
      </c>
      <c r="J206" s="17">
        <v>1.5</v>
      </c>
      <c r="K206" s="17" t="s">
        <v>138</v>
      </c>
      <c r="L206" s="20"/>
    </row>
    <row r="207" spans="1:12">
      <c r="A207" s="14">
        <v>154</v>
      </c>
      <c r="B207" s="14" t="s">
        <v>152</v>
      </c>
      <c r="C207" s="18"/>
      <c r="D207" s="16" t="str">
        <f>HYPERLINK("#摆设!纤拳石","纤拳石")</f>
        <v>纤拳石</v>
      </c>
      <c r="E207" s="17">
        <f>摆设!D135</f>
        <v>0</v>
      </c>
      <c r="F207" s="17">
        <v>1</v>
      </c>
      <c r="G207" s="17" t="s">
        <v>128</v>
      </c>
      <c r="H207" s="17" t="s">
        <v>129</v>
      </c>
      <c r="I207" s="21" t="s">
        <v>95</v>
      </c>
      <c r="J207" s="17">
        <v>1.5</v>
      </c>
      <c r="K207" s="17" t="s">
        <v>130</v>
      </c>
      <c r="L207" s="20"/>
    </row>
    <row r="208" spans="1:12">
      <c r="A208" s="14">
        <v>155</v>
      </c>
      <c r="B208" s="14" t="s">
        <v>152</v>
      </c>
      <c r="C208" s="18"/>
      <c r="D208" s="16" t="str">
        <f>HYPERLINK("#摆设!「归风的苍色」","「归风的苍色」")</f>
        <v>「归风的苍色」</v>
      </c>
      <c r="E208" s="17">
        <f>摆设!D140</f>
        <v>0</v>
      </c>
      <c r="F208" s="17">
        <v>1</v>
      </c>
      <c r="G208" s="17" t="s">
        <v>128</v>
      </c>
      <c r="H208" s="17" t="s">
        <v>131</v>
      </c>
      <c r="I208" s="21" t="s">
        <v>95</v>
      </c>
      <c r="J208" s="17">
        <v>1.5</v>
      </c>
      <c r="K208" s="17" t="s">
        <v>138</v>
      </c>
      <c r="L208" s="20"/>
    </row>
    <row r="209" spans="1:12">
      <c r="A209" s="14">
        <v>156</v>
      </c>
      <c r="B209" s="14" t="s">
        <v>152</v>
      </c>
      <c r="C209" s="18"/>
      <c r="D209" s="16" t="str">
        <f>HYPERLINK("#摆设!茁壮的萃华树","茁壮的萃华树")</f>
        <v>茁壮的萃华树</v>
      </c>
      <c r="E209" s="17">
        <f>摆设!D142</f>
        <v>0</v>
      </c>
      <c r="F209" s="17">
        <v>1</v>
      </c>
      <c r="G209" s="17" t="s">
        <v>128</v>
      </c>
      <c r="H209" s="17" t="s">
        <v>131</v>
      </c>
      <c r="I209" s="21" t="s">
        <v>95</v>
      </c>
      <c r="J209" s="17">
        <v>1.5</v>
      </c>
      <c r="K209" s="17" t="s">
        <v>130</v>
      </c>
      <c r="L209" s="20"/>
    </row>
    <row r="210" spans="1:12">
      <c r="A210" s="14">
        <v>157</v>
      </c>
      <c r="B210" s="14" t="s">
        <v>152</v>
      </c>
      <c r="C210" s="18"/>
      <c r="D210" s="16" t="str">
        <f>HYPERLINK("#摆设!青衫景铄","青衫景铄")</f>
        <v>青衫景铄</v>
      </c>
      <c r="E210" s="17">
        <f>摆设!D150</f>
        <v>0</v>
      </c>
      <c r="F210" s="17">
        <v>1</v>
      </c>
      <c r="G210" s="17" t="s">
        <v>128</v>
      </c>
      <c r="H210" s="17" t="s">
        <v>132</v>
      </c>
      <c r="I210" s="23" t="s">
        <v>114</v>
      </c>
      <c r="J210" s="17">
        <v>1.5</v>
      </c>
      <c r="K210" s="17" t="s">
        <v>130</v>
      </c>
      <c r="L210" s="20"/>
    </row>
    <row r="211" spans="1:12">
      <c r="A211" s="14">
        <v>158</v>
      </c>
      <c r="B211" s="14" t="s">
        <v>152</v>
      </c>
      <c r="C211" s="18"/>
      <c r="D211" s="16" t="str">
        <f>HYPERLINK("#摆设!青衫问寒","青衫问寒")</f>
        <v>青衫问寒</v>
      </c>
      <c r="E211" s="17">
        <f>摆设!D151</f>
        <v>0</v>
      </c>
      <c r="F211" s="17">
        <v>1</v>
      </c>
      <c r="G211" s="17" t="s">
        <v>128</v>
      </c>
      <c r="H211" s="17" t="s">
        <v>132</v>
      </c>
      <c r="I211" s="23" t="s">
        <v>114</v>
      </c>
      <c r="J211" s="17">
        <v>1.5</v>
      </c>
      <c r="K211" s="17" t="s">
        <v>130</v>
      </c>
      <c r="L211" s="20"/>
    </row>
    <row r="212" spans="1:12">
      <c r="A212" s="14">
        <v>159</v>
      </c>
      <c r="B212" s="14" t="s">
        <v>152</v>
      </c>
      <c r="C212" s="18"/>
      <c r="D212" s="16" t="str">
        <f>HYPERLINK("#摆设!丘丘弓箭标靶","丘丘弓箭标靶")</f>
        <v>丘丘弓箭标靶</v>
      </c>
      <c r="E212" s="17">
        <f>摆设!D172</f>
        <v>0</v>
      </c>
      <c r="F212" s="17">
        <v>1</v>
      </c>
      <c r="G212" s="17" t="s">
        <v>133</v>
      </c>
      <c r="H212" s="17" t="s">
        <v>139</v>
      </c>
      <c r="I212" s="21" t="s">
        <v>95</v>
      </c>
      <c r="J212" s="17">
        <v>1.5</v>
      </c>
      <c r="K212" s="17" t="s">
        <v>93</v>
      </c>
      <c r="L212" s="20"/>
    </row>
    <row r="213" spans="1:12">
      <c r="A213" s="14">
        <v>160</v>
      </c>
      <c r="B213" s="14" t="s">
        <v>152</v>
      </c>
      <c r="C213" s="18"/>
      <c r="D213" s="16" t="str">
        <f>HYPERLINK("#摆设!丘丘带角陶锅","丘丘带角陶锅")</f>
        <v>丘丘带角陶锅</v>
      </c>
      <c r="E213" s="17">
        <f>摆设!D173</f>
        <v>0</v>
      </c>
      <c r="F213" s="17">
        <v>1</v>
      </c>
      <c r="G213" s="17" t="s">
        <v>133</v>
      </c>
      <c r="H213" s="17" t="s">
        <v>139</v>
      </c>
      <c r="I213" s="21" t="s">
        <v>95</v>
      </c>
      <c r="J213" s="17">
        <v>1.5</v>
      </c>
      <c r="K213" s="17" t="s">
        <v>93</v>
      </c>
      <c r="L213" s="20"/>
    </row>
    <row r="214" spans="1:12">
      <c r="A214" s="14">
        <v>161</v>
      </c>
      <c r="B214" s="14" t="s">
        <v>152</v>
      </c>
      <c r="C214" s="18"/>
      <c r="D214" s="16" t="str">
        <f>HYPERLINK("#摆设!杉木置物架","杉木置物架")</f>
        <v>杉木置物架</v>
      </c>
      <c r="E214" s="17">
        <f>摆设!D187</f>
        <v>0</v>
      </c>
      <c r="F214" s="17">
        <v>1</v>
      </c>
      <c r="G214" s="17" t="s">
        <v>133</v>
      </c>
      <c r="H214" s="17" t="s">
        <v>106</v>
      </c>
      <c r="I214" s="23" t="s">
        <v>114</v>
      </c>
      <c r="J214" s="17">
        <v>1.5</v>
      </c>
      <c r="K214" s="17" t="s">
        <v>93</v>
      </c>
      <c r="L214" s="20"/>
    </row>
    <row r="215" spans="1:12">
      <c r="A215" s="14">
        <v>162</v>
      </c>
      <c r="B215" s="14" t="s">
        <v>152</v>
      </c>
      <c r="C215" s="18"/>
      <c r="D215" s="16" t="str">
        <f>HYPERLINK("#摆设!杉木武器架","杉木武器架")</f>
        <v>杉木武器架</v>
      </c>
      <c r="E215" s="17">
        <f>摆设!D188</f>
        <v>0</v>
      </c>
      <c r="F215" s="17">
        <v>1</v>
      </c>
      <c r="G215" s="17" t="s">
        <v>133</v>
      </c>
      <c r="H215" s="17" t="s">
        <v>106</v>
      </c>
      <c r="I215" s="23" t="s">
        <v>114</v>
      </c>
      <c r="J215" s="17">
        <v>1.5</v>
      </c>
      <c r="K215" s="17" t="s">
        <v>93</v>
      </c>
      <c r="L215" s="20"/>
    </row>
    <row r="216" spans="1:12">
      <c r="A216" s="14">
        <v>163</v>
      </c>
      <c r="B216" s="14" t="s">
        <v>152</v>
      </c>
      <c r="C216" s="18"/>
      <c r="D216" s="16" t="str">
        <f>HYPERLINK("#摆设!硬木兵戈架","硬木兵戈架")</f>
        <v>硬木兵戈架</v>
      </c>
      <c r="E216" s="17">
        <f>摆设!D189</f>
        <v>0</v>
      </c>
      <c r="F216" s="17">
        <v>1</v>
      </c>
      <c r="G216" s="17" t="s">
        <v>133</v>
      </c>
      <c r="H216" s="17" t="s">
        <v>106</v>
      </c>
      <c r="I216" s="21" t="s">
        <v>95</v>
      </c>
      <c r="J216" s="17">
        <v>1.5</v>
      </c>
      <c r="K216" s="17" t="s">
        <v>93</v>
      </c>
      <c r="L216" s="20"/>
    </row>
    <row r="217" spans="1:12">
      <c r="A217" s="14">
        <v>164</v>
      </c>
      <c r="B217" s="14" t="s">
        <v>152</v>
      </c>
      <c r="C217" s="18"/>
      <c r="D217" s="16" t="str">
        <f>HYPERLINK("#摆设!丘丘木制围栏","丘丘木制围栏")</f>
        <v>丘丘木制围栏</v>
      </c>
      <c r="E217" s="17">
        <f>摆设!D206</f>
        <v>0</v>
      </c>
      <c r="F217" s="17">
        <v>2</v>
      </c>
      <c r="G217" s="17" t="s">
        <v>134</v>
      </c>
      <c r="H217" s="17" t="s">
        <v>151</v>
      </c>
      <c r="I217" s="23" t="s">
        <v>114</v>
      </c>
      <c r="J217" s="17">
        <v>1.5</v>
      </c>
      <c r="K217" s="17" t="s">
        <v>93</v>
      </c>
      <c r="L217" s="20"/>
    </row>
    <row r="218" spans="1:12">
      <c r="A218" s="14">
        <v>165</v>
      </c>
      <c r="B218" s="14" t="s">
        <v>152</v>
      </c>
      <c r="C218" s="18"/>
      <c r="D218" s="16" t="str">
        <f>HYPERLINK("#摆设!丘丘图腾围栏","丘丘图腾围栏")</f>
        <v>丘丘图腾围栏</v>
      </c>
      <c r="E218" s="17">
        <f>摆设!D207</f>
        <v>0</v>
      </c>
      <c r="F218" s="17">
        <v>2</v>
      </c>
      <c r="G218" s="17" t="s">
        <v>134</v>
      </c>
      <c r="H218" s="17" t="s">
        <v>151</v>
      </c>
      <c r="I218" s="23" t="s">
        <v>114</v>
      </c>
      <c r="J218" s="17">
        <v>1.5</v>
      </c>
      <c r="K218" s="17" t="s">
        <v>93</v>
      </c>
      <c r="L218" s="20"/>
    </row>
    <row r="219" spans="1:12">
      <c r="A219" s="14"/>
      <c r="B219" s="14"/>
      <c r="C219" s="18"/>
      <c r="E219" s="17"/>
      <c r="F219" s="17"/>
      <c r="G219" s="17"/>
      <c r="H219" s="17"/>
      <c r="I219" s="17"/>
      <c r="J219" s="17"/>
      <c r="K219" s="17"/>
      <c r="L219" s="20"/>
    </row>
    <row r="220" spans="1:12">
      <c r="A220" s="14">
        <v>166</v>
      </c>
      <c r="B220" s="14" t="s">
        <v>158</v>
      </c>
      <c r="C220" s="15" t="s">
        <v>158</v>
      </c>
      <c r="D220" s="16" t="str">
        <f>HYPERLINK("#摆设!「学者的倦怠」","「学者的倦怠」")</f>
        <v>「学者的倦怠」</v>
      </c>
      <c r="E220" s="17">
        <f>摆设!D62</f>
        <v>0</v>
      </c>
      <c r="F220" s="17">
        <v>1</v>
      </c>
      <c r="G220" s="17" t="s">
        <v>99</v>
      </c>
      <c r="H220" s="17" t="s">
        <v>101</v>
      </c>
      <c r="I220" s="21" t="s">
        <v>95</v>
      </c>
      <c r="J220" s="17">
        <v>1.5</v>
      </c>
      <c r="K220" s="17" t="s">
        <v>93</v>
      </c>
      <c r="L220" s="20"/>
    </row>
    <row r="221" spans="1:12">
      <c r="A221" s="14">
        <v>167</v>
      </c>
      <c r="B221" s="14" t="s">
        <v>158</v>
      </c>
      <c r="C221" s="18"/>
      <c r="D221" s="16" t="str">
        <f>HYPERLINK("#摆设!硬顶避雷帐篷","硬顶避雷帐篷")</f>
        <v>硬顶避雷帐篷</v>
      </c>
      <c r="E221" s="17">
        <f>摆设!D113</f>
        <v>0</v>
      </c>
      <c r="F221" s="17">
        <v>1</v>
      </c>
      <c r="G221" s="17" t="s">
        <v>125</v>
      </c>
      <c r="H221" s="17" t="s">
        <v>146</v>
      </c>
      <c r="I221" s="21" t="s">
        <v>95</v>
      </c>
      <c r="J221" s="17">
        <v>1.5</v>
      </c>
      <c r="K221" s="17" t="s">
        <v>159</v>
      </c>
      <c r="L221" s="20"/>
    </row>
    <row r="222" spans="1:12">
      <c r="A222" s="14">
        <v>168</v>
      </c>
      <c r="B222" s="14" t="s">
        <v>158</v>
      </c>
      <c r="C222" s="18"/>
      <c r="D222" s="16" t="str">
        <f>HYPERLINK("#摆设!简易单人帐篷","简易单人帐篷")</f>
        <v>简易单人帐篷</v>
      </c>
      <c r="E222" s="17">
        <f>摆设!D114</f>
        <v>0</v>
      </c>
      <c r="F222" s="17">
        <v>1</v>
      </c>
      <c r="G222" s="17" t="s">
        <v>125</v>
      </c>
      <c r="H222" s="17" t="s">
        <v>146</v>
      </c>
      <c r="I222" s="21" t="s">
        <v>95</v>
      </c>
      <c r="J222" s="17">
        <v>1.5</v>
      </c>
      <c r="K222" s="17" t="s">
        <v>159</v>
      </c>
      <c r="L222" s="20"/>
    </row>
    <row r="223" spans="1:12">
      <c r="A223" s="14">
        <v>169</v>
      </c>
      <c r="B223" s="14" t="s">
        <v>158</v>
      </c>
      <c r="C223" s="18"/>
      <c r="D223" s="16" t="str">
        <f>HYPERLINK("#摆设!纤拳石","纤拳石")</f>
        <v>纤拳石</v>
      </c>
      <c r="E223" s="17">
        <f>摆设!D135</f>
        <v>0</v>
      </c>
      <c r="F223" s="17">
        <v>2</v>
      </c>
      <c r="G223" s="17" t="s">
        <v>128</v>
      </c>
      <c r="H223" s="17" t="s">
        <v>129</v>
      </c>
      <c r="I223" s="21" t="s">
        <v>95</v>
      </c>
      <c r="J223" s="17">
        <v>1.5</v>
      </c>
      <c r="K223" s="17" t="s">
        <v>130</v>
      </c>
      <c r="L223" s="20"/>
    </row>
    <row r="224" spans="1:12">
      <c r="A224" s="14">
        <v>170</v>
      </c>
      <c r="B224" s="14" t="s">
        <v>158</v>
      </c>
      <c r="C224" s="18"/>
      <c r="D224" s="16" t="str">
        <f>HYPERLINK("#摆设!天衡赤枫—「红叶如灼」","天衡赤枫—「红叶如灼」")</f>
        <v>天衡赤枫—「红叶如灼」</v>
      </c>
      <c r="E224" s="17">
        <f>摆设!D141</f>
        <v>0</v>
      </c>
      <c r="F224" s="17">
        <v>1</v>
      </c>
      <c r="G224" s="17" t="s">
        <v>128</v>
      </c>
      <c r="H224" s="17" t="s">
        <v>131</v>
      </c>
      <c r="I224" s="21" t="s">
        <v>95</v>
      </c>
      <c r="J224" s="17">
        <v>1.5</v>
      </c>
      <c r="K224" s="17" t="s">
        <v>130</v>
      </c>
      <c r="L224" s="20"/>
    </row>
    <row r="225" spans="1:12">
      <c r="A225" s="14">
        <v>171</v>
      </c>
      <c r="B225" s="14" t="s">
        <v>158</v>
      </c>
      <c r="C225" s="18"/>
      <c r="D225" s="16" t="str">
        <f>HYPERLINK("#摆设!「明冠羽叶」","「明冠羽叶」")</f>
        <v>「明冠羽叶」</v>
      </c>
      <c r="E225" s="17">
        <f>摆设!D149</f>
        <v>0</v>
      </c>
      <c r="F225" s="17">
        <v>1</v>
      </c>
      <c r="G225" s="17" t="s">
        <v>128</v>
      </c>
      <c r="H225" s="17" t="s">
        <v>132</v>
      </c>
      <c r="I225" s="21" t="s">
        <v>95</v>
      </c>
      <c r="J225" s="17">
        <v>1.5</v>
      </c>
      <c r="K225" s="17" t="s">
        <v>138</v>
      </c>
      <c r="L225" s="20"/>
    </row>
    <row r="226" spans="1:12">
      <c r="A226" s="14">
        <v>172</v>
      </c>
      <c r="B226" s="14" t="s">
        <v>158</v>
      </c>
      <c r="C226" s="18"/>
      <c r="D226" s="16" t="str">
        <f>HYPERLINK("#摆设!青衫问寒","青衫问寒")</f>
        <v>青衫问寒</v>
      </c>
      <c r="E226" s="17">
        <f>摆设!D151</f>
        <v>0</v>
      </c>
      <c r="F226" s="17">
        <v>2</v>
      </c>
      <c r="G226" s="17" t="s">
        <v>128</v>
      </c>
      <c r="H226" s="17" t="s">
        <v>132</v>
      </c>
      <c r="I226" s="23" t="s">
        <v>114</v>
      </c>
      <c r="J226" s="17">
        <v>1.5</v>
      </c>
      <c r="K226" s="17" t="s">
        <v>130</v>
      </c>
      <c r="L226" s="20"/>
    </row>
    <row r="227" spans="1:12">
      <c r="A227" s="14">
        <v>173</v>
      </c>
      <c r="B227" s="14" t="s">
        <v>158</v>
      </c>
      <c r="C227" s="18"/>
      <c r="D227" s="16" t="str">
        <f>HYPERLINK("#摆设!枯木方向标","枯木方向标")</f>
        <v>枯木方向标</v>
      </c>
      <c r="E227" s="17">
        <f>摆设!D174</f>
        <v>0</v>
      </c>
      <c r="F227" s="17">
        <v>1</v>
      </c>
      <c r="G227" s="17" t="s">
        <v>133</v>
      </c>
      <c r="H227" s="17" t="s">
        <v>139</v>
      </c>
      <c r="I227" s="23" t="s">
        <v>114</v>
      </c>
      <c r="J227" s="17">
        <v>1.5</v>
      </c>
      <c r="K227" s="17" t="s">
        <v>159</v>
      </c>
      <c r="L227" s="20"/>
    </row>
    <row r="228" spans="1:12">
      <c r="A228" s="14">
        <v>174</v>
      </c>
      <c r="B228" s="14" t="s">
        <v>158</v>
      </c>
      <c r="C228" s="18"/>
      <c r="D228" s="16" t="str">
        <f>HYPERLINK("#摆设!「冒险家难逃之重」","「冒险家难逃之重」")</f>
        <v>「冒险家难逃之重」</v>
      </c>
      <c r="E228" s="17">
        <f>摆设!D175</f>
        <v>0</v>
      </c>
      <c r="F228" s="17">
        <v>1</v>
      </c>
      <c r="G228" s="17" t="s">
        <v>133</v>
      </c>
      <c r="H228" s="17" t="s">
        <v>139</v>
      </c>
      <c r="I228" s="21" t="s">
        <v>95</v>
      </c>
      <c r="J228" s="17">
        <v>1.5</v>
      </c>
      <c r="K228" s="17" t="s">
        <v>160</v>
      </c>
      <c r="L228" s="20"/>
    </row>
    <row r="229" spans="1:12">
      <c r="A229" s="14">
        <v>175</v>
      </c>
      <c r="B229" s="14" t="s">
        <v>158</v>
      </c>
      <c r="C229" s="18"/>
      <c r="D229" s="16" t="str">
        <f>HYPERLINK("#摆设!「冒险家的随身秘宝」","「冒险家的随身秘宝」")</f>
        <v>「冒险家的随身秘宝」</v>
      </c>
      <c r="E229" s="17">
        <f>摆设!D194</f>
        <v>0</v>
      </c>
      <c r="F229" s="17">
        <v>1</v>
      </c>
      <c r="G229" s="17" t="s">
        <v>133</v>
      </c>
      <c r="H229" s="17" t="s">
        <v>106</v>
      </c>
      <c r="I229" s="21" t="s">
        <v>95</v>
      </c>
      <c r="J229" s="17">
        <v>1.6</v>
      </c>
      <c r="K229" s="17" t="s">
        <v>93</v>
      </c>
      <c r="L229" s="20"/>
    </row>
    <row r="230" spans="1:12">
      <c r="A230" s="14"/>
      <c r="B230" s="14"/>
      <c r="C230" s="18"/>
      <c r="E230" s="17"/>
      <c r="F230" s="17"/>
      <c r="G230" s="17"/>
      <c r="H230" s="17"/>
      <c r="I230" s="17"/>
      <c r="J230" s="17"/>
      <c r="K230" s="17"/>
      <c r="L230" s="20"/>
    </row>
    <row r="231" spans="1:12">
      <c r="A231" s="14">
        <v>176</v>
      </c>
      <c r="B231" s="14" t="s">
        <v>161</v>
      </c>
      <c r="C231" s="15" t="s">
        <v>161</v>
      </c>
      <c r="D231" s="16" t="str">
        <f>HYPERLINK("#摆设!工程暂驻点","工程暂驻点")</f>
        <v>工程暂驻点</v>
      </c>
      <c r="E231" s="17">
        <f>摆设!D95</f>
        <v>0</v>
      </c>
      <c r="F231" s="17">
        <v>1</v>
      </c>
      <c r="G231" s="17" t="s">
        <v>141</v>
      </c>
      <c r="H231" s="17" t="s">
        <v>142</v>
      </c>
      <c r="I231" s="23" t="s">
        <v>114</v>
      </c>
      <c r="J231" s="17">
        <v>1.6</v>
      </c>
      <c r="K231" s="17" t="s">
        <v>93</v>
      </c>
      <c r="L231" s="20"/>
    </row>
    <row r="232" spans="1:12">
      <c r="A232" s="14">
        <v>177</v>
      </c>
      <c r="B232" s="14" t="s">
        <v>161</v>
      </c>
      <c r="C232" s="18"/>
      <c r="D232" s="16" t="str">
        <f>HYPERLINK("#摆设!有序叠放的杉木酒桶","有序叠放的杉木酒桶")</f>
        <v>有序叠放的杉木酒桶</v>
      </c>
      <c r="E232" s="17">
        <f>摆设!D165</f>
        <v>0</v>
      </c>
      <c r="F232" s="17">
        <v>1</v>
      </c>
      <c r="G232" s="17" t="s">
        <v>133</v>
      </c>
      <c r="H232" s="17" t="s">
        <v>139</v>
      </c>
      <c r="I232" s="23" t="s">
        <v>114</v>
      </c>
      <c r="J232" s="17">
        <v>1.5</v>
      </c>
      <c r="K232" s="17" t="s">
        <v>93</v>
      </c>
      <c r="L232" s="20"/>
    </row>
    <row r="233" spans="1:12">
      <c r="A233" s="14">
        <v>178</v>
      </c>
      <c r="B233" s="14" t="s">
        <v>161</v>
      </c>
      <c r="C233" s="18"/>
      <c r="D233" s="16" t="str">
        <f>HYPERLINK("#摆设!结实的木桶","结实的木桶")</f>
        <v>结实的木桶</v>
      </c>
      <c r="E233" s="17">
        <f>摆设!D176</f>
        <v>0</v>
      </c>
      <c r="F233" s="17">
        <v>1</v>
      </c>
      <c r="G233" s="17" t="s">
        <v>133</v>
      </c>
      <c r="H233" s="17" t="s">
        <v>139</v>
      </c>
      <c r="I233" s="23" t="s">
        <v>114</v>
      </c>
      <c r="J233" s="17">
        <v>1.6</v>
      </c>
      <c r="K233" s="17" t="s">
        <v>93</v>
      </c>
      <c r="L233" s="20"/>
    </row>
    <row r="234" spans="1:12">
      <c r="A234" s="14">
        <v>179</v>
      </c>
      <c r="B234" s="14" t="s">
        <v>161</v>
      </c>
      <c r="C234" s="18"/>
      <c r="D234" s="16" t="str">
        <f>HYPERLINK("#摆设!高耸的木杆","高耸的木杆")</f>
        <v>高耸的木杆</v>
      </c>
      <c r="E234" s="17">
        <f>摆设!D177</f>
        <v>0</v>
      </c>
      <c r="F234" s="17">
        <v>2</v>
      </c>
      <c r="G234" s="17" t="s">
        <v>133</v>
      </c>
      <c r="H234" s="17" t="s">
        <v>139</v>
      </c>
      <c r="I234" s="23" t="s">
        <v>114</v>
      </c>
      <c r="J234" s="17">
        <v>1.6</v>
      </c>
      <c r="K234" s="17" t="s">
        <v>93</v>
      </c>
      <c r="L234" s="20"/>
    </row>
    <row r="235" spans="1:12">
      <c r="A235" s="14">
        <v>180</v>
      </c>
      <c r="B235" s="14" t="s">
        <v>161</v>
      </c>
      <c r="C235" s="18"/>
      <c r="D235" s="16" t="str">
        <f>HYPERLINK("#摆设!转移壅土的木桶","转移壅土的木桶")</f>
        <v>转移壅土的木桶</v>
      </c>
      <c r="E235" s="17">
        <f>摆设!D179</f>
        <v>0</v>
      </c>
      <c r="F235" s="17">
        <v>1</v>
      </c>
      <c r="G235" s="17" t="s">
        <v>133</v>
      </c>
      <c r="H235" s="17" t="s">
        <v>162</v>
      </c>
      <c r="I235" s="23" t="s">
        <v>114</v>
      </c>
      <c r="J235" s="17">
        <v>1.6</v>
      </c>
      <c r="K235" s="17" t="s">
        <v>93</v>
      </c>
      <c r="L235" s="20"/>
    </row>
    <row r="236" spans="1:12">
      <c r="A236" s="14">
        <v>181</v>
      </c>
      <c r="B236" s="14" t="s">
        <v>161</v>
      </c>
      <c r="C236" s="18"/>
      <c r="D236" s="16" t="str">
        <f>HYPERLINK("#摆设!简易货运拖车","简易货运拖车")</f>
        <v>简易货运拖车</v>
      </c>
      <c r="E236" s="17">
        <f>摆设!D190</f>
        <v>0</v>
      </c>
      <c r="F236" s="17">
        <v>1</v>
      </c>
      <c r="G236" s="17" t="s">
        <v>133</v>
      </c>
      <c r="H236" s="17" t="s">
        <v>106</v>
      </c>
      <c r="I236" s="23" t="s">
        <v>114</v>
      </c>
      <c r="J236" s="17">
        <v>1.5</v>
      </c>
      <c r="K236" s="17" t="s">
        <v>93</v>
      </c>
      <c r="L236" s="20"/>
    </row>
    <row r="237" spans="1:12">
      <c r="A237" s="14">
        <v>182</v>
      </c>
      <c r="B237" s="14" t="s">
        <v>161</v>
      </c>
      <c r="C237" s="18"/>
      <c r="D237" s="16" t="str">
        <f>HYPERLINK("#摆设!野外松木路灯","野外松木路灯")</f>
        <v>野外松木路灯</v>
      </c>
      <c r="E237" s="17">
        <f>摆设!D201</f>
        <v>0</v>
      </c>
      <c r="F237" s="17">
        <v>1</v>
      </c>
      <c r="G237" s="17" t="s">
        <v>133</v>
      </c>
      <c r="H237" s="17" t="s">
        <v>107</v>
      </c>
      <c r="I237" s="23" t="s">
        <v>114</v>
      </c>
      <c r="J237" s="17">
        <v>1.5</v>
      </c>
      <c r="K237" s="17" t="s">
        <v>137</v>
      </c>
      <c r="L237" s="20"/>
    </row>
    <row r="238" spans="1:12">
      <c r="A238" s="14">
        <v>183</v>
      </c>
      <c r="B238" s="14" t="s">
        <v>161</v>
      </c>
      <c r="C238" s="18"/>
      <c r="D238" s="16" t="str">
        <f>HYPERLINK("#摆设!葱郁的葡萄藤","葱郁的葡萄藤")</f>
        <v>葱郁的葡萄藤</v>
      </c>
      <c r="E238" s="17">
        <f>摆设!D208</f>
        <v>0</v>
      </c>
      <c r="F238" s="17">
        <v>8</v>
      </c>
      <c r="G238" s="17" t="s">
        <v>134</v>
      </c>
      <c r="H238" s="17" t="s">
        <v>151</v>
      </c>
      <c r="I238" s="21" t="s">
        <v>95</v>
      </c>
      <c r="J238" s="17">
        <v>1.5</v>
      </c>
      <c r="K238" s="17" t="s">
        <v>93</v>
      </c>
      <c r="L238" s="20"/>
    </row>
    <row r="239" spans="1:12">
      <c r="A239" s="14">
        <v>184</v>
      </c>
      <c r="B239" s="14" t="s">
        <v>161</v>
      </c>
      <c r="C239" s="18"/>
      <c r="D239" s="16" t="str">
        <f>HYPERLINK("#摆设!简易木制围栏","简易木制围栏")</f>
        <v>简易木制围栏</v>
      </c>
      <c r="E239" s="17">
        <f>摆设!D209</f>
        <v>0</v>
      </c>
      <c r="F239" s="17">
        <v>2</v>
      </c>
      <c r="G239" s="17" t="s">
        <v>134</v>
      </c>
      <c r="H239" s="17" t="s">
        <v>151</v>
      </c>
      <c r="I239" s="23" t="s">
        <v>114</v>
      </c>
      <c r="J239" s="17">
        <v>1.6</v>
      </c>
      <c r="K239" s="17" t="s">
        <v>93</v>
      </c>
      <c r="L239" s="20"/>
    </row>
    <row r="240" spans="1:12">
      <c r="A240" s="14">
        <v>185</v>
      </c>
      <c r="B240" s="14" t="s">
        <v>161</v>
      </c>
      <c r="C240" s="18"/>
      <c r="D240" s="16" t="str">
        <f>HYPERLINK("#摆设!施工过半的围栏","施工过半的围栏")</f>
        <v>施工过半的围栏</v>
      </c>
      <c r="E240" s="17">
        <f>摆设!D210</f>
        <v>0</v>
      </c>
      <c r="F240" s="17">
        <v>2</v>
      </c>
      <c r="G240" s="17" t="s">
        <v>134</v>
      </c>
      <c r="H240" s="17" t="s">
        <v>151</v>
      </c>
      <c r="I240" s="23" t="s">
        <v>114</v>
      </c>
      <c r="J240" s="17">
        <v>1.6</v>
      </c>
      <c r="K240" s="17" t="s">
        <v>93</v>
      </c>
      <c r="L240" s="20"/>
    </row>
    <row r="241" spans="1:12">
      <c r="A241" s="14"/>
      <c r="B241" s="14"/>
      <c r="C241" s="18"/>
      <c r="E241" s="17"/>
      <c r="F241" s="17"/>
      <c r="G241" s="17"/>
      <c r="H241" s="17"/>
      <c r="I241" s="17"/>
      <c r="J241" s="17"/>
      <c r="K241" s="17"/>
      <c r="L241" s="20"/>
    </row>
    <row r="242" spans="1:13">
      <c r="A242" s="14"/>
      <c r="B242" s="14"/>
      <c r="C242" s="15" t="s">
        <v>163</v>
      </c>
      <c r="D242" s="16" t="str">
        <f>HYPERLINK("#摆设!要地牙门—「云底之能」","要地牙门—「云底之能」")</f>
        <v>要地牙门—「云底之能」</v>
      </c>
      <c r="E242" s="17">
        <f>摆设!D79</f>
        <v>0</v>
      </c>
      <c r="F242" s="17">
        <v>1</v>
      </c>
      <c r="G242" s="17" t="s">
        <v>141</v>
      </c>
      <c r="H242" s="17" t="s">
        <v>148</v>
      </c>
      <c r="I242" s="21" t="s">
        <v>95</v>
      </c>
      <c r="J242" s="17">
        <v>2.2</v>
      </c>
      <c r="K242" s="17" t="s">
        <v>119</v>
      </c>
      <c r="L242" s="20"/>
      <c r="M242" s="24" t="s">
        <v>120</v>
      </c>
    </row>
    <row r="243" spans="1:13">
      <c r="A243" s="14"/>
      <c r="B243" s="14"/>
      <c r="C243" s="22"/>
      <c r="D243" s="16" t="str">
        <f>HYPERLINK("#摆设!要地栏楯—「约己之壁」","要地栏楯—「约己之壁」")</f>
        <v>要地栏楯—「约己之壁」</v>
      </c>
      <c r="E243" s="17">
        <f>摆设!D80</f>
        <v>0</v>
      </c>
      <c r="F243" s="17">
        <v>4</v>
      </c>
      <c r="G243" s="17" t="s">
        <v>141</v>
      </c>
      <c r="H243" s="17" t="s">
        <v>148</v>
      </c>
      <c r="I243" s="21" t="s">
        <v>95</v>
      </c>
      <c r="J243" s="17">
        <v>2.2</v>
      </c>
      <c r="K243" s="17" t="s">
        <v>119</v>
      </c>
      <c r="L243" s="20"/>
      <c r="M243" s="24"/>
    </row>
    <row r="244" spans="1:13">
      <c r="A244" s="14"/>
      <c r="B244" s="14"/>
      <c r="C244" s="22"/>
      <c r="D244" s="16" t="str">
        <f>HYPERLINK("#摆设!栏楯转角—「瞩视无遗」","栏楯转角—「瞩视无遗」")</f>
        <v>栏楯转角—「瞩视无遗」</v>
      </c>
      <c r="E244" s="17">
        <f>摆设!D81</f>
        <v>0</v>
      </c>
      <c r="F244" s="17">
        <v>3</v>
      </c>
      <c r="G244" s="17" t="s">
        <v>141</v>
      </c>
      <c r="H244" s="17" t="s">
        <v>148</v>
      </c>
      <c r="I244" s="21" t="s">
        <v>95</v>
      </c>
      <c r="J244" s="17">
        <v>2.2</v>
      </c>
      <c r="K244" s="17" t="s">
        <v>119</v>
      </c>
      <c r="L244" s="20"/>
      <c r="M244" s="24"/>
    </row>
    <row r="245" spans="1:13">
      <c r="A245" s="14"/>
      <c r="B245" s="14"/>
      <c r="C245" s="22"/>
      <c r="D245" s="16" t="str">
        <f>HYPERLINK("#摆设!稻妻官邸—「严谕正办」","稻妻官邸—「严谕正办」")</f>
        <v>稻妻官邸—「严谕正办」</v>
      </c>
      <c r="E245" s="17">
        <f>摆设!D128</f>
        <v>0</v>
      </c>
      <c r="F245" s="17">
        <v>1</v>
      </c>
      <c r="G245" s="17" t="s">
        <v>125</v>
      </c>
      <c r="H245" s="17" t="s">
        <v>164</v>
      </c>
      <c r="I245" s="19" t="s">
        <v>91</v>
      </c>
      <c r="J245" s="17">
        <v>2.2</v>
      </c>
      <c r="K245" s="17" t="s">
        <v>119</v>
      </c>
      <c r="L245" s="20"/>
      <c r="M245" s="24"/>
    </row>
    <row r="246" spans="1:13">
      <c r="A246" s="14"/>
      <c r="B246" s="14"/>
      <c r="C246" s="22"/>
      <c r="D246" s="16" t="str">
        <f>HYPERLINK("#摆设!官邸回廊—「势至权达」","官邸回廊—「势至权达」")</f>
        <v>官邸回廊—「势至权达」</v>
      </c>
      <c r="E246" s="17">
        <f>摆设!D129</f>
        <v>0</v>
      </c>
      <c r="F246" s="17">
        <v>2</v>
      </c>
      <c r="G246" s="17" t="s">
        <v>125</v>
      </c>
      <c r="H246" s="17" t="s">
        <v>164</v>
      </c>
      <c r="I246" s="19" t="s">
        <v>91</v>
      </c>
      <c r="J246" s="17">
        <v>2.2</v>
      </c>
      <c r="K246" s="17" t="s">
        <v>119</v>
      </c>
      <c r="L246" s="20"/>
      <c r="M246" s="24"/>
    </row>
    <row r="247" spans="1:13">
      <c r="A247" s="14"/>
      <c r="B247" s="14"/>
      <c r="C247" s="22"/>
      <c r="D247" s="16" t="str">
        <f>HYPERLINK("#摆设!「红鸢问寝觉」","「红鸢问寝觉」")</f>
        <v>「红鸢问寝觉」</v>
      </c>
      <c r="E247" s="17">
        <f>摆设!D145</f>
        <v>0</v>
      </c>
      <c r="F247" s="17">
        <v>1</v>
      </c>
      <c r="G247" s="17" t="s">
        <v>128</v>
      </c>
      <c r="H247" s="17" t="s">
        <v>131</v>
      </c>
      <c r="I247" s="21" t="s">
        <v>95</v>
      </c>
      <c r="J247" s="17">
        <v>2.2</v>
      </c>
      <c r="K247" s="17" t="s">
        <v>165</v>
      </c>
      <c r="L247" s="20"/>
      <c r="M247" s="24"/>
    </row>
    <row r="248" spans="1:13">
      <c r="A248" s="14"/>
      <c r="B248" s="14"/>
      <c r="C248" s="22"/>
      <c r="D248" s="16" t="str">
        <f>HYPERLINK("#摆设!「片叶苏芳缀银朱」","「片叶苏芳缀银朱」")</f>
        <v>「片叶苏芳缀银朱」</v>
      </c>
      <c r="E248" s="17">
        <f>摆设!D147</f>
        <v>0</v>
      </c>
      <c r="F248" s="17">
        <v>2</v>
      </c>
      <c r="G248" s="17" t="s">
        <v>128</v>
      </c>
      <c r="H248" s="17" t="s">
        <v>131</v>
      </c>
      <c r="I248" s="21" t="s">
        <v>95</v>
      </c>
      <c r="J248" s="17">
        <v>2.2</v>
      </c>
      <c r="K248" s="17" t="s">
        <v>165</v>
      </c>
      <c r="L248" s="20"/>
      <c r="M248" s="24"/>
    </row>
    <row r="249" spans="1:13">
      <c r="A249" s="14"/>
      <c r="B249" s="14"/>
      <c r="C249" s="22"/>
      <c r="D249" s="16" t="str">
        <f>HYPERLINK("#摆设!阵屋半钟—「轰雷之音」","阵屋半钟—「轰雷之音」")</f>
        <v>阵屋半钟—「轰雷之音」</v>
      </c>
      <c r="E249" s="17">
        <f>摆设!D158</f>
        <v>0</v>
      </c>
      <c r="F249" s="17">
        <v>1</v>
      </c>
      <c r="G249" s="17" t="s">
        <v>133</v>
      </c>
      <c r="H249" s="17" t="s">
        <v>139</v>
      </c>
      <c r="I249" s="21" t="s">
        <v>95</v>
      </c>
      <c r="J249" s="17">
        <v>2.1</v>
      </c>
      <c r="K249" s="17" t="s">
        <v>166</v>
      </c>
      <c r="L249" s="20"/>
      <c r="M249" s="24"/>
    </row>
    <row r="250" spans="1:13">
      <c r="A250" s="14"/>
      <c r="B250" s="14"/>
      <c r="C250" s="22"/>
      <c r="D250" s="16" t="str">
        <f>HYPERLINK("#摆设!军势钲鼓—「破阵余响」","军势钲鼓—「破阵余响」")</f>
        <v>军势钲鼓—「破阵余响」</v>
      </c>
      <c r="E250" s="17">
        <f>摆设!D159</f>
        <v>0</v>
      </c>
      <c r="F250" s="17">
        <v>2</v>
      </c>
      <c r="G250" s="17" t="s">
        <v>133</v>
      </c>
      <c r="H250" s="17" t="s">
        <v>139</v>
      </c>
      <c r="I250" s="19" t="s">
        <v>91</v>
      </c>
      <c r="J250" s="17">
        <v>2.1</v>
      </c>
      <c r="K250" s="17" t="s">
        <v>167</v>
      </c>
      <c r="L250" s="20"/>
      <c r="M250" s="24"/>
    </row>
    <row r="251" spans="1:13">
      <c r="A251" s="14"/>
      <c r="B251" s="14"/>
      <c r="C251" s="22"/>
      <c r="E251" s="17"/>
      <c r="F251" s="17"/>
      <c r="G251" s="17"/>
      <c r="H251" s="17"/>
      <c r="I251" s="17"/>
      <c r="J251" s="17"/>
      <c r="K251" s="17"/>
      <c r="L251" s="20"/>
      <c r="M251" s="24"/>
    </row>
    <row r="252" spans="1:13">
      <c r="A252" s="14"/>
      <c r="B252" s="14"/>
      <c r="C252" s="15" t="s">
        <v>168</v>
      </c>
      <c r="D252" s="16" t="str">
        <f>HYPERLINK("#摆设!温泉屏风—「适分」","温泉屏风—「适分」")</f>
        <v>温泉屏风—「适分」</v>
      </c>
      <c r="E252" s="17">
        <f>摆设!D88</f>
        <v>0</v>
      </c>
      <c r="F252" s="17">
        <v>2</v>
      </c>
      <c r="G252" s="17" t="s">
        <v>141</v>
      </c>
      <c r="H252" s="17" t="s">
        <v>148</v>
      </c>
      <c r="I252" s="21" t="s">
        <v>95</v>
      </c>
      <c r="J252" s="17">
        <v>2.2</v>
      </c>
      <c r="K252" s="17" t="s">
        <v>116</v>
      </c>
      <c r="L252" s="20"/>
      <c r="M252" s="25"/>
    </row>
    <row r="253" spans="1:13">
      <c r="A253" s="14"/>
      <c r="B253" s="14"/>
      <c r="C253" s="22"/>
      <c r="D253" s="16" t="str">
        <f>HYPERLINK("#摆设!温泉外墙—「无越」","温泉外墙—「无越」")</f>
        <v>温泉外墙—「无越」</v>
      </c>
      <c r="E253" s="17">
        <f>摆设!D89</f>
        <v>0</v>
      </c>
      <c r="F253" s="17">
        <v>6</v>
      </c>
      <c r="G253" s="17" t="s">
        <v>141</v>
      </c>
      <c r="H253" s="17" t="s">
        <v>148</v>
      </c>
      <c r="I253" s="21" t="s">
        <v>95</v>
      </c>
      <c r="J253" s="17">
        <v>2.2</v>
      </c>
      <c r="K253" s="17" t="s">
        <v>116</v>
      </c>
      <c r="L253" s="20"/>
      <c r="M253" s="25"/>
    </row>
    <row r="254" spans="1:13">
      <c r="A254" s="14"/>
      <c r="B254" s="14"/>
      <c r="C254" s="22"/>
      <c r="D254" s="16" t="str">
        <f>HYPERLINK("#摆设!温泉墙板—「稳足」","温泉墙板—「稳足」")</f>
        <v>温泉墙板—「稳足」</v>
      </c>
      <c r="E254" s="17">
        <f>摆设!D90</f>
        <v>0</v>
      </c>
      <c r="F254" s="17">
        <v>1</v>
      </c>
      <c r="G254" s="17" t="s">
        <v>141</v>
      </c>
      <c r="H254" s="17" t="s">
        <v>148</v>
      </c>
      <c r="I254" s="21" t="s">
        <v>95</v>
      </c>
      <c r="J254" s="17">
        <v>2.2</v>
      </c>
      <c r="K254" s="17" t="s">
        <v>116</v>
      </c>
      <c r="L254" s="20"/>
      <c r="M254" s="25"/>
    </row>
    <row r="255" spans="1:13">
      <c r="A255" s="14"/>
      <c r="B255" s="14"/>
      <c r="C255" s="22"/>
      <c r="D255" s="16" t="str">
        <f>HYPERLINK("#摆设!温泉门厅—「避凉」","温泉门厅—「避凉」")</f>
        <v>温泉门厅—「避凉」</v>
      </c>
      <c r="E255" s="17">
        <f>摆设!D91</f>
        <v>0</v>
      </c>
      <c r="F255" s="17">
        <v>1</v>
      </c>
      <c r="G255" s="17" t="s">
        <v>141</v>
      </c>
      <c r="H255" s="17" t="s">
        <v>148</v>
      </c>
      <c r="I255" s="21" t="s">
        <v>95</v>
      </c>
      <c r="J255" s="17">
        <v>2.2</v>
      </c>
      <c r="K255" s="17" t="s">
        <v>116</v>
      </c>
      <c r="L255" s="20"/>
      <c r="M255" s="25"/>
    </row>
    <row r="256" spans="1:13">
      <c r="A256" s="14"/>
      <c r="B256" s="14"/>
      <c r="C256" s="22"/>
      <c r="D256" s="16" t="str">
        <f>HYPERLINK("#摆设!白石温泉—「暖漫」","白石温泉—「暖漫」")</f>
        <v>白石温泉—「暖漫」</v>
      </c>
      <c r="E256" s="17">
        <f>摆设!D96</f>
        <v>0</v>
      </c>
      <c r="F256" s="17">
        <v>1</v>
      </c>
      <c r="G256" s="17" t="s">
        <v>141</v>
      </c>
      <c r="H256" s="17" t="s">
        <v>142</v>
      </c>
      <c r="I256" s="21" t="s">
        <v>95</v>
      </c>
      <c r="J256" s="17">
        <v>2.2</v>
      </c>
      <c r="K256" s="17" t="s">
        <v>116</v>
      </c>
      <c r="L256" s="20"/>
      <c r="M256" s="25"/>
    </row>
    <row r="257" spans="1:13">
      <c r="A257" s="14"/>
      <c r="B257" s="14"/>
      <c r="C257" s="22"/>
      <c r="D257" s="16" t="str">
        <f>HYPERLINK("#摆设!寂修石","寂修石")</f>
        <v>寂修石</v>
      </c>
      <c r="E257" s="17">
        <f>摆设!D137</f>
        <v>0</v>
      </c>
      <c r="F257" s="17">
        <v>1</v>
      </c>
      <c r="G257" s="17" t="s">
        <v>128</v>
      </c>
      <c r="H257" s="17" t="s">
        <v>129</v>
      </c>
      <c r="I257" s="23" t="s">
        <v>114</v>
      </c>
      <c r="J257" s="17">
        <v>2.2</v>
      </c>
      <c r="K257" s="17" t="s">
        <v>165</v>
      </c>
      <c r="L257" s="20"/>
      <c r="M257" s="25"/>
    </row>
    <row r="258" spans="1:13">
      <c r="A258" s="14"/>
      <c r="B258" s="14"/>
      <c r="C258" s="22"/>
      <c r="D258" s="16" t="str">
        <f>HYPERLINK("#摆设!涉浪石","涉浪石")</f>
        <v>涉浪石</v>
      </c>
      <c r="E258" s="17">
        <f>摆设!D138</f>
        <v>0</v>
      </c>
      <c r="F258" s="17">
        <v>1</v>
      </c>
      <c r="G258" s="17" t="s">
        <v>128</v>
      </c>
      <c r="H258" s="17" t="s">
        <v>129</v>
      </c>
      <c r="I258" s="23" t="s">
        <v>114</v>
      </c>
      <c r="J258" s="17">
        <v>2.2</v>
      </c>
      <c r="K258" s="17" t="s">
        <v>165</v>
      </c>
      <c r="L258" s="20"/>
      <c r="M258" s="25"/>
    </row>
    <row r="259" spans="1:13">
      <c r="A259" s="14"/>
      <c r="B259" s="14"/>
      <c r="C259" s="22"/>
      <c r="D259" s="16" t="str">
        <f>HYPERLINK("#摆设!温泉白石—「秘火」","温泉白石—「秘火」")</f>
        <v>温泉白石—「秘火」</v>
      </c>
      <c r="E259" s="17">
        <f>摆设!D139</f>
        <v>0</v>
      </c>
      <c r="F259" s="17">
        <v>1</v>
      </c>
      <c r="G259" s="17" t="s">
        <v>128</v>
      </c>
      <c r="H259" s="17" t="s">
        <v>129</v>
      </c>
      <c r="I259" s="21" t="s">
        <v>95</v>
      </c>
      <c r="J259" s="17">
        <v>2.2</v>
      </c>
      <c r="K259" s="17" t="s">
        <v>165</v>
      </c>
      <c r="L259" s="20"/>
      <c r="M259" s="25"/>
    </row>
    <row r="260" spans="1:13">
      <c r="A260" s="14"/>
      <c r="B260" s="14"/>
      <c r="C260" s="22"/>
      <c r="D260" s="16" t="str">
        <f>HYPERLINK("#摆设!「花咲初退红」","「花咲初退红」")</f>
        <v>「花咲初退红」</v>
      </c>
      <c r="E260" s="17">
        <f>摆设!D143</f>
        <v>0</v>
      </c>
      <c r="F260" s="17">
        <v>1</v>
      </c>
      <c r="G260" s="17" t="s">
        <v>128</v>
      </c>
      <c r="H260" s="17" t="s">
        <v>131</v>
      </c>
      <c r="I260" s="21" t="s">
        <v>95</v>
      </c>
      <c r="J260" s="17">
        <v>2.2</v>
      </c>
      <c r="K260" s="17" t="s">
        <v>165</v>
      </c>
      <c r="L260" s="20"/>
      <c r="M260" s="25"/>
    </row>
    <row r="261" spans="1:13">
      <c r="A261" s="14"/>
      <c r="B261" s="14"/>
      <c r="C261" s="22"/>
      <c r="D261" s="16" t="str">
        <f>HYPERLINK("#摆设!「春惜一斤染」","「春惜一斤染」")</f>
        <v>「春惜一斤染」</v>
      </c>
      <c r="E261" s="17">
        <f>摆设!D144</f>
        <v>0</v>
      </c>
      <c r="F261" s="17">
        <v>1</v>
      </c>
      <c r="G261" s="17" t="s">
        <v>128</v>
      </c>
      <c r="H261" s="17" t="s">
        <v>131</v>
      </c>
      <c r="I261" s="21" t="s">
        <v>95</v>
      </c>
      <c r="J261" s="17">
        <v>2.2</v>
      </c>
      <c r="K261" s="17" t="s">
        <v>165</v>
      </c>
      <c r="L261" s="20"/>
      <c r="M261" s="25"/>
    </row>
    <row r="262" spans="1:13">
      <c r="A262" s="14"/>
      <c r="B262" s="14"/>
      <c r="C262" s="22"/>
      <c r="D262" s="16" t="str">
        <f>HYPERLINK("#摆设!「薄红榴璃散千瓣」","「薄红榴璃散千瓣」")</f>
        <v>「薄红榴璃散千瓣」</v>
      </c>
      <c r="E262" s="17">
        <f>摆设!D157</f>
        <v>0</v>
      </c>
      <c r="F262" s="17">
        <v>2</v>
      </c>
      <c r="G262" s="17" t="s">
        <v>128</v>
      </c>
      <c r="H262" s="17" t="s">
        <v>132</v>
      </c>
      <c r="I262" s="21" t="s">
        <v>95</v>
      </c>
      <c r="J262" s="17">
        <v>2.2</v>
      </c>
      <c r="K262" s="17" t="s">
        <v>165</v>
      </c>
      <c r="L262" s="20"/>
      <c r="M262" s="24" t="s">
        <v>120</v>
      </c>
    </row>
    <row r="263" spans="1:13">
      <c r="A263" s="14"/>
      <c r="B263" s="14"/>
      <c r="C263" s="22"/>
      <c r="E263" s="17"/>
      <c r="F263" s="17"/>
      <c r="G263" s="17"/>
      <c r="H263" s="17"/>
      <c r="I263" s="17"/>
      <c r="J263" s="17"/>
      <c r="K263" s="17"/>
      <c r="L263" s="20"/>
      <c r="M263" s="24"/>
    </row>
    <row r="264" spans="1:13">
      <c r="A264" s="14"/>
      <c r="B264" s="14"/>
      <c r="C264" s="15" t="s">
        <v>169</v>
      </c>
      <c r="D264" s="16" t="str">
        <f>HYPERLINK("#摆设!御伽木「近竹」院门","御伽木「近竹」院门")</f>
        <v>御伽木「近竹」院门</v>
      </c>
      <c r="E264" s="17">
        <f>摆设!D82</f>
        <v>0</v>
      </c>
      <c r="F264" s="17">
        <v>1</v>
      </c>
      <c r="G264" s="17" t="s">
        <v>141</v>
      </c>
      <c r="H264" s="17" t="s">
        <v>148</v>
      </c>
      <c r="I264" s="23" t="s">
        <v>114</v>
      </c>
      <c r="J264" s="17">
        <v>2.2</v>
      </c>
      <c r="K264" s="17" t="s">
        <v>119</v>
      </c>
      <c r="L264" s="20"/>
      <c r="M264" s="24"/>
    </row>
    <row r="265" spans="1:13">
      <c r="A265" s="14"/>
      <c r="B265" s="14"/>
      <c r="C265" s="22"/>
      <c r="D265" s="16" t="str">
        <f>HYPERLINK("#摆设!御伽木「近竹」围栏","御伽木「近竹」围栏")</f>
        <v>御伽木「近竹」围栏</v>
      </c>
      <c r="E265" s="17">
        <f>摆设!D83</f>
        <v>0</v>
      </c>
      <c r="F265" s="17">
        <v>10</v>
      </c>
      <c r="G265" s="17" t="s">
        <v>141</v>
      </c>
      <c r="H265" s="17" t="s">
        <v>148</v>
      </c>
      <c r="I265" s="23" t="s">
        <v>114</v>
      </c>
      <c r="J265" s="17">
        <v>2.2</v>
      </c>
      <c r="K265" s="17" t="s">
        <v>119</v>
      </c>
      <c r="L265" s="20"/>
      <c r="M265" s="24"/>
    </row>
    <row r="266" spans="1:13">
      <c r="A266" s="14"/>
      <c r="B266" s="14"/>
      <c r="C266" s="22"/>
      <c r="D266" s="16" t="str">
        <f>HYPERLINK("#摆设!稻妻筱屋—「静度岁晏」","稻妻筱屋—「静度岁晏」")</f>
        <v>稻妻筱屋—「静度岁晏」</v>
      </c>
      <c r="E266" s="17">
        <f>摆设!D126</f>
        <v>0</v>
      </c>
      <c r="F266" s="17">
        <v>1</v>
      </c>
      <c r="G266" s="17" t="s">
        <v>125</v>
      </c>
      <c r="H266" s="17" t="s">
        <v>164</v>
      </c>
      <c r="I266" s="21" t="s">
        <v>95</v>
      </c>
      <c r="J266" s="17">
        <v>2.2</v>
      </c>
      <c r="K266" s="17" t="s">
        <v>119</v>
      </c>
      <c r="L266" s="20"/>
      <c r="M266" s="24"/>
    </row>
    <row r="267" spans="1:13">
      <c r="A267" s="14"/>
      <c r="B267" s="14"/>
      <c r="C267" s="22"/>
      <c r="D267" s="16" t="str">
        <f>HYPERLINK("#摆设!稻妻筱屋—「野逸入心」","稻妻筱屋—「野逸入心」")</f>
        <v>稻妻筱屋—「野逸入心」</v>
      </c>
      <c r="E267" s="17">
        <f>摆设!D127</f>
        <v>0</v>
      </c>
      <c r="F267" s="17">
        <v>1</v>
      </c>
      <c r="G267" s="17" t="s">
        <v>125</v>
      </c>
      <c r="H267" s="17" t="s">
        <v>164</v>
      </c>
      <c r="I267" s="21" t="s">
        <v>95</v>
      </c>
      <c r="J267" s="17">
        <v>2.2</v>
      </c>
      <c r="K267" s="17" t="s">
        <v>119</v>
      </c>
      <c r="L267" s="20"/>
      <c r="M267" s="24"/>
    </row>
    <row r="268" spans="1:13">
      <c r="A268" s="14"/>
      <c r="B268" s="14"/>
      <c r="C268" s="22"/>
      <c r="D268" s="16" t="str">
        <f>HYPERLINK("#摆设!「纁漫雁来中」","「纁漫雁来中」")</f>
        <v>「纁漫雁来中」</v>
      </c>
      <c r="E268" s="17">
        <f>摆设!D146</f>
        <v>0</v>
      </c>
      <c r="F268" s="17">
        <v>1</v>
      </c>
      <c r="G268" s="17" t="s">
        <v>128</v>
      </c>
      <c r="H268" s="17" t="s">
        <v>131</v>
      </c>
      <c r="I268" s="21" t="s">
        <v>95</v>
      </c>
      <c r="J268" s="17">
        <v>2.2</v>
      </c>
      <c r="K268" s="17" t="s">
        <v>165</v>
      </c>
      <c r="L268" s="20"/>
      <c r="M268" s="24"/>
    </row>
    <row r="269" spans="1:13">
      <c r="A269" s="14"/>
      <c r="B269" s="14"/>
      <c r="C269" s="22"/>
      <c r="D269" s="16" t="str">
        <f>HYPERLINK("#摆设!御伽木「但饮」木桶","御伽木「但饮」木桶")</f>
        <v>御伽木「但饮」木桶</v>
      </c>
      <c r="E269" s="17">
        <f>摆设!D160</f>
        <v>0</v>
      </c>
      <c r="F269" s="17">
        <v>1</v>
      </c>
      <c r="G269" s="17" t="s">
        <v>133</v>
      </c>
      <c r="H269" s="17" t="s">
        <v>139</v>
      </c>
      <c r="I269" s="23" t="s">
        <v>114</v>
      </c>
      <c r="J269" s="17">
        <v>2.2</v>
      </c>
      <c r="K269" s="17" t="s">
        <v>119</v>
      </c>
      <c r="L269" s="20"/>
      <c r="M269" s="24"/>
    </row>
    <row r="270" spans="1:13">
      <c r="A270" s="14"/>
      <c r="B270" s="14"/>
      <c r="C270" s="22"/>
      <c r="D270" s="16" t="str">
        <f>HYPERLINK("#摆设!厚壁「石胆」陶制水缸","厚壁「石胆」陶制水缸")</f>
        <v>厚壁「石胆」陶制水缸</v>
      </c>
      <c r="E270" s="17">
        <f>摆设!D161</f>
        <v>0</v>
      </c>
      <c r="F270" s="17">
        <v>1</v>
      </c>
      <c r="G270" s="17" t="s">
        <v>133</v>
      </c>
      <c r="H270" s="17" t="s">
        <v>139</v>
      </c>
      <c r="I270" s="23" t="s">
        <v>114</v>
      </c>
      <c r="J270" s="17">
        <v>2.2</v>
      </c>
      <c r="K270" s="17" t="s">
        <v>119</v>
      </c>
      <c r="L270" s="20"/>
      <c r="M270" s="24"/>
    </row>
    <row r="271" spans="1:13">
      <c r="A271" s="14"/>
      <c r="B271" s="14"/>
      <c r="C271" s="22"/>
      <c r="D271" s="16" t="str">
        <f>HYPERLINK("#摆设!晴空缯彩游鱼旗","晴空缯彩游鱼旗")</f>
        <v>晴空缯彩游鱼旗</v>
      </c>
      <c r="E271" s="17">
        <f>摆设!D184</f>
        <v>0</v>
      </c>
      <c r="F271" s="17">
        <v>1</v>
      </c>
      <c r="G271" s="17" t="s">
        <v>133</v>
      </c>
      <c r="H271" s="17" t="s">
        <v>106</v>
      </c>
      <c r="I271" s="21" t="s">
        <v>95</v>
      </c>
      <c r="J271" s="17">
        <v>2.2</v>
      </c>
      <c r="K271" s="17" t="s">
        <v>119</v>
      </c>
      <c r="L271" s="20"/>
      <c r="M271" s="24"/>
    </row>
    <row r="272" spans="1:13">
      <c r="A272" s="14"/>
      <c r="B272" s="14"/>
      <c r="C272" s="22"/>
      <c r="D272" s="16" t="str">
        <f>HYPERLINK("#摆设!「果农的勤俭」","「果农的勤俭」")</f>
        <v>「果农的勤俭」</v>
      </c>
      <c r="E272" s="17">
        <f>摆设!D204</f>
        <v>0</v>
      </c>
      <c r="F272" s="17">
        <v>6</v>
      </c>
      <c r="G272" s="17" t="s">
        <v>134</v>
      </c>
      <c r="H272" s="17" t="s">
        <v>151</v>
      </c>
      <c r="I272" s="21" t="s">
        <v>95</v>
      </c>
      <c r="J272" s="17">
        <v>2.2</v>
      </c>
      <c r="K272" s="17" t="s">
        <v>119</v>
      </c>
      <c r="L272" s="20"/>
      <c r="M272" s="24"/>
    </row>
    <row r="273" spans="1:13">
      <c r="A273" s="14"/>
      <c r="B273" s="14"/>
      <c r="C273" s="22"/>
      <c r="E273" s="17"/>
      <c r="F273" s="17"/>
      <c r="G273" s="17"/>
      <c r="H273" s="17"/>
      <c r="I273" s="17"/>
      <c r="J273" s="17"/>
      <c r="K273" s="17"/>
      <c r="L273" s="20"/>
      <c r="M273" s="24"/>
    </row>
    <row r="274" spans="1:13">
      <c r="A274" s="14"/>
      <c r="B274" s="14"/>
      <c r="C274" s="15" t="s">
        <v>170</v>
      </c>
      <c r="D274" s="16" t="str">
        <f>HYPERLINK("#摆设!「净绪之龛」","「净绪之龛」")</f>
        <v>「净绪之龛」</v>
      </c>
      <c r="E274" s="17">
        <f>摆设!D122</f>
        <v>0</v>
      </c>
      <c r="F274" s="17">
        <v>1</v>
      </c>
      <c r="G274" s="17" t="s">
        <v>125</v>
      </c>
      <c r="H274" s="17" t="s">
        <v>164</v>
      </c>
      <c r="I274" s="19" t="s">
        <v>91</v>
      </c>
      <c r="J274" s="17">
        <v>2.1</v>
      </c>
      <c r="K274" s="17" t="s">
        <v>166</v>
      </c>
      <c r="L274" s="20"/>
      <c r="M274" s="24" t="s">
        <v>120</v>
      </c>
    </row>
    <row r="275" spans="1:13">
      <c r="A275" s="14"/>
      <c r="B275" s="14"/>
      <c r="C275" s="22"/>
      <c r="D275" s="16" t="str">
        <f>HYPERLINK("#摆设!御神签务所—「兆解」","御神签务所—「兆解」")</f>
        <v>御神签务所—「兆解」</v>
      </c>
      <c r="E275" s="17">
        <f>摆设!D133</f>
        <v>0</v>
      </c>
      <c r="F275" s="17">
        <v>1</v>
      </c>
      <c r="G275" s="17" t="s">
        <v>125</v>
      </c>
      <c r="H275" s="17" t="s">
        <v>164</v>
      </c>
      <c r="I275" s="19" t="s">
        <v>91</v>
      </c>
      <c r="J275" s="17">
        <v>2.2</v>
      </c>
      <c r="K275" s="17" t="s">
        <v>119</v>
      </c>
      <c r="L275" s="20"/>
      <c r="M275" s="24"/>
    </row>
    <row r="276" spans="1:13">
      <c r="A276" s="14"/>
      <c r="B276" s="14"/>
      <c r="C276" s="22"/>
      <c r="D276" s="16" t="str">
        <f>HYPERLINK("#摆设!「代宫司之印」","「代宫司之印」")</f>
        <v>「代宫司之印」</v>
      </c>
      <c r="E276" s="17">
        <f>摆设!D136</f>
        <v>0</v>
      </c>
      <c r="F276" s="17">
        <v>1</v>
      </c>
      <c r="G276" s="17" t="s">
        <v>128</v>
      </c>
      <c r="H276" s="17" t="s">
        <v>129</v>
      </c>
      <c r="I276" s="21" t="s">
        <v>95</v>
      </c>
      <c r="J276" s="17">
        <v>2.2</v>
      </c>
      <c r="K276" s="17" t="s">
        <v>165</v>
      </c>
      <c r="L276" s="20"/>
      <c r="M276" s="24"/>
    </row>
    <row r="277" spans="1:13">
      <c r="A277" s="14"/>
      <c r="B277" s="14"/>
      <c r="C277" s="22"/>
      <c r="D277" s="16" t="str">
        <f>HYPERLINK("#摆设!「红鸢问寝觉」","「红鸢问寝觉」")</f>
        <v>「红鸢问寝觉」</v>
      </c>
      <c r="E277" s="17">
        <f>摆设!D145</f>
        <v>0</v>
      </c>
      <c r="F277" s="17">
        <v>2</v>
      </c>
      <c r="G277" s="17" t="s">
        <v>128</v>
      </c>
      <c r="H277" s="17" t="s">
        <v>131</v>
      </c>
      <c r="I277" s="21" t="s">
        <v>95</v>
      </c>
      <c r="J277" s="17">
        <v>2.2</v>
      </c>
      <c r="K277" s="17" t="s">
        <v>165</v>
      </c>
      <c r="L277" s="20"/>
      <c r="M277" s="24"/>
    </row>
    <row r="278" spans="1:13">
      <c r="A278" s="14"/>
      <c r="B278" s="14"/>
      <c r="C278" s="22"/>
      <c r="D278" s="16" t="str">
        <f>HYPERLINK("#摆设!「片叶苏芳缀银朱」","「片叶苏芳缀银朱」")</f>
        <v>「片叶苏芳缀银朱」</v>
      </c>
      <c r="E278" s="17">
        <f>摆设!D147</f>
        <v>0</v>
      </c>
      <c r="F278" s="17">
        <v>1</v>
      </c>
      <c r="G278" s="17" t="s">
        <v>128</v>
      </c>
      <c r="H278" s="17" t="s">
        <v>131</v>
      </c>
      <c r="I278" s="21" t="s">
        <v>95</v>
      </c>
      <c r="J278" s="17">
        <v>2.2</v>
      </c>
      <c r="K278" s="17" t="s">
        <v>165</v>
      </c>
      <c r="L278" s="20"/>
      <c r="M278" s="24"/>
    </row>
    <row r="279" spans="1:13">
      <c r="A279" s="14"/>
      <c r="B279" s="14"/>
      <c r="C279" s="22"/>
      <c r="D279" s="16" t="str">
        <f>HYPERLINK("#摆设!「紫苑叹幽弘」","「紫苑叹幽弘」")</f>
        <v>「紫苑叹幽弘」</v>
      </c>
      <c r="E279" s="17">
        <f>摆设!D154</f>
        <v>0</v>
      </c>
      <c r="F279" s="17">
        <v>1</v>
      </c>
      <c r="G279" s="17" t="s">
        <v>128</v>
      </c>
      <c r="H279" s="17" t="s">
        <v>132</v>
      </c>
      <c r="I279" s="21" t="s">
        <v>95</v>
      </c>
      <c r="J279" s="17">
        <v>2.2</v>
      </c>
      <c r="K279" s="17" t="s">
        <v>165</v>
      </c>
      <c r="L279" s="20"/>
      <c r="M279" s="24"/>
    </row>
    <row r="280" spans="1:13">
      <c r="A280" s="14"/>
      <c r="B280" s="14"/>
      <c r="C280" s="22"/>
      <c r="D280" s="16" t="str">
        <f>HYPERLINK("#摆设!梦见木「灾祛」御签挂","梦见木「灾祛」御签挂")</f>
        <v>梦见木「灾祛」御签挂</v>
      </c>
      <c r="E280" s="17">
        <f>摆设!D180</f>
        <v>0</v>
      </c>
      <c r="F280" s="17">
        <v>1</v>
      </c>
      <c r="G280" s="17" t="s">
        <v>133</v>
      </c>
      <c r="H280" s="17" t="s">
        <v>106</v>
      </c>
      <c r="I280" s="21" t="s">
        <v>95</v>
      </c>
      <c r="J280" s="17">
        <v>2.2</v>
      </c>
      <c r="K280" s="17" t="s">
        <v>119</v>
      </c>
      <c r="L280" s="20"/>
      <c r="M280" s="24"/>
    </row>
    <row r="281" spans="1:13">
      <c r="A281" s="14"/>
      <c r="B281" s="14"/>
      <c r="C281" s="22"/>
      <c r="D281" s="16" t="str">
        <f>HYPERLINK("#摆设!天狐雕像—「白辰嗣响」","天狐雕像—「白辰嗣响」")</f>
        <v>天狐雕像—「白辰嗣响」</v>
      </c>
      <c r="E281" s="17">
        <f>摆设!D183</f>
        <v>0</v>
      </c>
      <c r="F281" s="17">
        <v>2</v>
      </c>
      <c r="G281" s="17" t="s">
        <v>133</v>
      </c>
      <c r="H281" s="17" t="s">
        <v>106</v>
      </c>
      <c r="I281" s="21" t="s">
        <v>95</v>
      </c>
      <c r="J281" s="17">
        <v>2.2</v>
      </c>
      <c r="K281" s="17" t="s">
        <v>119</v>
      </c>
      <c r="L281" s="20"/>
      <c r="M281" s="24"/>
    </row>
    <row r="282" spans="1:13">
      <c r="A282" s="14"/>
      <c r="B282" s="14"/>
      <c r="C282" s="22"/>
      <c r="D282" s="16" t="str">
        <f>HYPERLINK("#摆设!梦见木「诚见」赛钱箱","梦见木「诚见」赛钱箱")</f>
        <v>梦见木「诚见」赛钱箱</v>
      </c>
      <c r="E282" s="17">
        <f>摆设!D185</f>
        <v>0</v>
      </c>
      <c r="F282" s="17">
        <v>1</v>
      </c>
      <c r="G282" s="17" t="s">
        <v>133</v>
      </c>
      <c r="H282" s="17" t="s">
        <v>106</v>
      </c>
      <c r="I282" s="21" t="s">
        <v>95</v>
      </c>
      <c r="J282" s="17">
        <v>2.2</v>
      </c>
      <c r="K282" s="17" t="s">
        <v>119</v>
      </c>
      <c r="L282" s="20"/>
      <c r="M282" s="24"/>
    </row>
    <row r="283" spans="1:13">
      <c r="A283" s="14"/>
      <c r="B283" s="14"/>
      <c r="C283" s="22"/>
      <c r="D283" s="16" t="str">
        <f>HYPERLINK("#摆设!梦见木「空怀」路灯","梦见木「空怀」路灯")</f>
        <v>梦见木「空怀」路灯</v>
      </c>
      <c r="E283" s="17">
        <f>摆设!D196</f>
        <v>0</v>
      </c>
      <c r="F283" s="17">
        <v>2</v>
      </c>
      <c r="G283" s="17" t="s">
        <v>133</v>
      </c>
      <c r="H283" s="17" t="s">
        <v>107</v>
      </c>
      <c r="I283" s="21" t="s">
        <v>95</v>
      </c>
      <c r="J283" s="17">
        <v>2.2</v>
      </c>
      <c r="K283" s="17" t="s">
        <v>119</v>
      </c>
      <c r="L283" s="20"/>
      <c r="M283" s="24"/>
    </row>
    <row r="284" spans="1:13">
      <c r="A284" s="14"/>
      <c r="B284" s="14"/>
      <c r="C284" s="22"/>
      <c r="D284" s="16" t="str">
        <f>HYPERLINK("#摆设!鱼脂白烛—「傍明」","鱼脂白烛—「傍明」")</f>
        <v>鱼脂白烛—「傍明」</v>
      </c>
      <c r="E284" s="17">
        <f>摆设!D197</f>
        <v>0</v>
      </c>
      <c r="F284" s="17">
        <v>3</v>
      </c>
      <c r="G284" s="17" t="s">
        <v>133</v>
      </c>
      <c r="H284" s="17" t="s">
        <v>107</v>
      </c>
      <c r="I284" s="23" t="s">
        <v>114</v>
      </c>
      <c r="J284" s="17">
        <v>2.2</v>
      </c>
      <c r="K284" s="17" t="s">
        <v>119</v>
      </c>
      <c r="L284" s="20"/>
      <c r="M284" s="24"/>
    </row>
    <row r="285" spans="1:13">
      <c r="A285" s="14"/>
      <c r="B285" s="14"/>
      <c r="C285" s="22"/>
      <c r="D285" s="16" t="str">
        <f>HYPERLINK("#摆设!铸石地基—「修身砥行」","铸石地基—「修身砥行」")</f>
        <v>铸石地基—「修身砥行」</v>
      </c>
      <c r="E285" s="17">
        <f>摆设!D223</f>
        <v>0</v>
      </c>
      <c r="F285" s="17">
        <v>1</v>
      </c>
      <c r="G285" s="17" t="s">
        <v>134</v>
      </c>
      <c r="H285" s="17" t="s">
        <v>171</v>
      </c>
      <c r="I285" s="21" t="s">
        <v>95</v>
      </c>
      <c r="J285" s="17">
        <v>2.2</v>
      </c>
      <c r="K285" s="17" t="s">
        <v>116</v>
      </c>
      <c r="L285" s="20"/>
      <c r="M285" s="24"/>
    </row>
    <row r="286" spans="1:13">
      <c r="A286" s="14"/>
      <c r="B286" s="14"/>
      <c r="C286" s="22"/>
      <c r="D286" s="16" t="str">
        <f>HYPERLINK("#摆设!铸石地基—「随车致雨」","铸石地基—「随车致雨」")</f>
        <v>铸石地基—「随车致雨」</v>
      </c>
      <c r="E286" s="17">
        <f>摆设!D224</f>
        <v>0</v>
      </c>
      <c r="F286" s="17">
        <v>2</v>
      </c>
      <c r="G286" s="17" t="s">
        <v>134</v>
      </c>
      <c r="H286" s="17" t="s">
        <v>171</v>
      </c>
      <c r="I286" s="21" t="s">
        <v>95</v>
      </c>
      <c r="J286" s="17">
        <v>2.2</v>
      </c>
      <c r="K286" s="17" t="s">
        <v>116</v>
      </c>
      <c r="L286" s="20"/>
      <c r="M286" s="24"/>
    </row>
    <row r="287" spans="1:13">
      <c r="A287" s="14"/>
      <c r="B287" s="14"/>
      <c r="C287" s="22"/>
      <c r="D287" s="16" t="str">
        <f>HYPERLINK("#摆设!铸石地基—「倍道兼行」","铸石地基—「倍道兼行」")</f>
        <v>铸石地基—「倍道兼行」</v>
      </c>
      <c r="E287" s="17">
        <f>摆设!D225</f>
        <v>0</v>
      </c>
      <c r="F287" s="17">
        <v>2</v>
      </c>
      <c r="G287" s="17" t="s">
        <v>134</v>
      </c>
      <c r="H287" s="17" t="s">
        <v>171</v>
      </c>
      <c r="I287" s="21" t="s">
        <v>95</v>
      </c>
      <c r="J287" s="17">
        <v>2.2</v>
      </c>
      <c r="K287" s="17" t="s">
        <v>116</v>
      </c>
      <c r="L287" s="20"/>
      <c r="M287" s="24"/>
    </row>
    <row r="288" spans="1:13">
      <c r="A288" s="14"/>
      <c r="B288" s="14"/>
      <c r="C288" s="22"/>
      <c r="E288" s="17"/>
      <c r="F288" s="17"/>
      <c r="G288" s="17"/>
      <c r="H288" s="17"/>
      <c r="I288" s="17"/>
      <c r="J288" s="17"/>
      <c r="K288" s="17"/>
      <c r="L288" s="20"/>
      <c r="M288" s="24"/>
    </row>
    <row r="289" spans="1:13">
      <c r="A289" s="14"/>
      <c r="B289" s="14"/>
      <c r="C289" s="15" t="s">
        <v>172</v>
      </c>
      <c r="D289" s="16" t="str">
        <f>HYPERLINK("#摆设!阵屋正门—「忠肃」","阵屋正门—「忠肃」")</f>
        <v>阵屋正门—「忠肃」</v>
      </c>
      <c r="E289" s="17">
        <f>摆设!D84</f>
        <v>0</v>
      </c>
      <c r="F289" s="17">
        <v>1</v>
      </c>
      <c r="G289" s="17" t="s">
        <v>141</v>
      </c>
      <c r="H289" s="17" t="s">
        <v>148</v>
      </c>
      <c r="I289" s="21" t="s">
        <v>95</v>
      </c>
      <c r="J289" s="17">
        <v>2.2</v>
      </c>
      <c r="K289" s="17" t="s">
        <v>116</v>
      </c>
      <c r="L289" s="20"/>
      <c r="M289" s="25"/>
    </row>
    <row r="290" spans="1:13">
      <c r="A290" s="14"/>
      <c r="B290" s="14"/>
      <c r="C290" s="22"/>
      <c r="D290" s="16" t="str">
        <f>HYPERLINK("#摆设!阵屋围栏—「错牙」","阵屋围栏—「错牙」")</f>
        <v>阵屋围栏—「错牙」</v>
      </c>
      <c r="E290" s="17">
        <f>摆设!D85</f>
        <v>0</v>
      </c>
      <c r="F290" s="17">
        <v>5</v>
      </c>
      <c r="G290" s="17" t="s">
        <v>141</v>
      </c>
      <c r="H290" s="17" t="s">
        <v>148</v>
      </c>
      <c r="I290" s="21" t="s">
        <v>95</v>
      </c>
      <c r="J290" s="17">
        <v>2.2</v>
      </c>
      <c r="K290" s="17" t="s">
        <v>116</v>
      </c>
      <c r="L290" s="20"/>
      <c r="M290" s="25"/>
    </row>
    <row r="291" spans="1:13">
      <c r="A291" s="14"/>
      <c r="B291" s="14"/>
      <c r="C291" s="22"/>
      <c r="D291" s="16" t="str">
        <f>HYPERLINK("#摆设!阵屋围栏—「截断」","阵屋围栏—「截断」")</f>
        <v>阵屋围栏—「截断」</v>
      </c>
      <c r="E291" s="17">
        <f>摆设!D86</f>
        <v>0</v>
      </c>
      <c r="F291" s="17">
        <v>2</v>
      </c>
      <c r="G291" s="17" t="s">
        <v>141</v>
      </c>
      <c r="H291" s="17" t="s">
        <v>148</v>
      </c>
      <c r="I291" s="21" t="s">
        <v>95</v>
      </c>
      <c r="J291" s="17">
        <v>2.2</v>
      </c>
      <c r="K291" s="17" t="s">
        <v>116</v>
      </c>
      <c r="L291" s="20"/>
      <c r="M291" s="25"/>
    </row>
    <row r="292" spans="1:13">
      <c r="A292" s="14"/>
      <c r="B292" s="14"/>
      <c r="C292" s="22"/>
      <c r="D292" s="16" t="str">
        <f>HYPERLINK("#摆设!阵屋桩木—「苦刺」","阵屋桩木—「苦刺」")</f>
        <v>阵屋桩木—「苦刺」</v>
      </c>
      <c r="E292" s="17">
        <f>摆设!D87</f>
        <v>0</v>
      </c>
      <c r="F292" s="17">
        <v>5</v>
      </c>
      <c r="G292" s="17" t="s">
        <v>141</v>
      </c>
      <c r="H292" s="17" t="s">
        <v>148</v>
      </c>
      <c r="I292" s="21" t="s">
        <v>95</v>
      </c>
      <c r="J292" s="17">
        <v>2.2</v>
      </c>
      <c r="K292" s="17" t="s">
        <v>116</v>
      </c>
      <c r="L292" s="20"/>
      <c r="M292" s="25"/>
    </row>
    <row r="293" spans="1:13">
      <c r="A293" s="14"/>
      <c r="B293" s="14"/>
      <c r="C293" s="22"/>
      <c r="D293" s="16" t="str">
        <f>HYPERLINK("#摆设!阵屋哨塔—「洞鉴」","阵屋哨塔—「洞鉴」")</f>
        <v>阵屋哨塔—「洞鉴」</v>
      </c>
      <c r="E293" s="17">
        <f>摆设!D130</f>
        <v>0</v>
      </c>
      <c r="F293" s="17">
        <v>1</v>
      </c>
      <c r="G293" s="17" t="s">
        <v>125</v>
      </c>
      <c r="H293" s="17" t="s">
        <v>164</v>
      </c>
      <c r="I293" s="21" t="s">
        <v>95</v>
      </c>
      <c r="J293" s="17">
        <v>2.2</v>
      </c>
      <c r="K293" s="17" t="s">
        <v>116</v>
      </c>
      <c r="L293" s="20"/>
      <c r="M293" s="25"/>
    </row>
    <row r="294" spans="1:13">
      <c r="A294" s="14"/>
      <c r="B294" s="14"/>
      <c r="C294" s="22"/>
      <c r="D294" s="16" t="str">
        <f>HYPERLINK("#摆设!阵屋行帐—「时策」","阵屋行帐—「时策」")</f>
        <v>阵屋行帐—「时策」</v>
      </c>
      <c r="E294" s="17">
        <f>摆设!D131</f>
        <v>0</v>
      </c>
      <c r="F294" s="17">
        <v>1</v>
      </c>
      <c r="G294" s="17" t="s">
        <v>125</v>
      </c>
      <c r="H294" s="17" t="s">
        <v>164</v>
      </c>
      <c r="I294" s="19" t="s">
        <v>91</v>
      </c>
      <c r="J294" s="17">
        <v>2.2</v>
      </c>
      <c r="K294" s="17" t="s">
        <v>116</v>
      </c>
      <c r="L294" s="20"/>
      <c r="M294" s="25"/>
    </row>
    <row r="295" spans="1:13">
      <c r="A295" s="14"/>
      <c r="B295" s="14"/>
      <c r="C295" s="22"/>
      <c r="D295" s="16" t="str">
        <f>HYPERLINK("#摆设!阵屋营房—「周固」","阵屋营房—「周固」")</f>
        <v>阵屋营房—「周固」</v>
      </c>
      <c r="E295" s="17">
        <f>摆设!D132</f>
        <v>0</v>
      </c>
      <c r="F295" s="17">
        <v>1</v>
      </c>
      <c r="G295" s="17" t="s">
        <v>125</v>
      </c>
      <c r="H295" s="17" t="s">
        <v>164</v>
      </c>
      <c r="I295" s="21" t="s">
        <v>95</v>
      </c>
      <c r="J295" s="17">
        <v>2.2</v>
      </c>
      <c r="K295" s="17" t="s">
        <v>116</v>
      </c>
      <c r="L295" s="20"/>
      <c r="M295" s="25"/>
    </row>
    <row r="296" spans="1:13">
      <c r="A296" s="14"/>
      <c r="B296" s="14"/>
      <c r="C296" s="22"/>
      <c r="D296" s="16" t="str">
        <f>HYPERLINK("#摆设!「纁漫雁来中」","「纁漫雁来中」")</f>
        <v>「纁漫雁来中」</v>
      </c>
      <c r="E296" s="17">
        <f>摆设!D146</f>
        <v>0</v>
      </c>
      <c r="F296" s="17">
        <v>1</v>
      </c>
      <c r="G296" s="17" t="s">
        <v>128</v>
      </c>
      <c r="H296" s="17" t="s">
        <v>131</v>
      </c>
      <c r="I296" s="21" t="s">
        <v>95</v>
      </c>
      <c r="J296" s="17">
        <v>2.2</v>
      </c>
      <c r="K296" s="17" t="s">
        <v>165</v>
      </c>
      <c r="L296" s="20"/>
      <c r="M296" s="25"/>
    </row>
    <row r="297" spans="1:13">
      <c r="A297" s="14"/>
      <c r="B297" s="14"/>
      <c r="C297" s="22"/>
      <c r="D297" s="16" t="str">
        <f>HYPERLINK("#摆设!「片叶苏芳缀银朱」","「片叶苏芳缀银朱」")</f>
        <v>「片叶苏芳缀银朱」</v>
      </c>
      <c r="E297" s="17">
        <f>摆设!D147</f>
        <v>0</v>
      </c>
      <c r="F297" s="17">
        <v>1</v>
      </c>
      <c r="G297" s="17" t="s">
        <v>128</v>
      </c>
      <c r="H297" s="17" t="s">
        <v>131</v>
      </c>
      <c r="I297" s="21" t="s">
        <v>95</v>
      </c>
      <c r="J297" s="17">
        <v>2.2</v>
      </c>
      <c r="K297" s="17" t="s">
        <v>165</v>
      </c>
      <c r="L297" s="20"/>
      <c r="M297" s="25"/>
    </row>
    <row r="298" spans="1:13">
      <c r="A298" s="14"/>
      <c r="B298" s="14"/>
      <c r="C298" s="22"/>
      <c r="D298" s="16" t="str">
        <f>HYPERLINK("#摆设!古法新造御伽木酒桶","古法新造御伽木酒桶")</f>
        <v>古法新造御伽木酒桶</v>
      </c>
      <c r="E298" s="17">
        <f>摆设!D162</f>
        <v>0</v>
      </c>
      <c r="F298" s="17">
        <v>1</v>
      </c>
      <c r="G298" s="17" t="s">
        <v>133</v>
      </c>
      <c r="H298" s="17" t="s">
        <v>139</v>
      </c>
      <c r="I298" s="23" t="s">
        <v>114</v>
      </c>
      <c r="J298" s="17">
        <v>2.2</v>
      </c>
      <c r="K298" s="17" t="s">
        <v>116</v>
      </c>
      <c r="L298" s="20"/>
      <c r="M298" s="25"/>
    </row>
    <row r="299" spans="1:13">
      <c r="A299" s="14"/>
      <c r="B299" s="14"/>
      <c r="C299" s="22"/>
      <c r="D299" s="16" t="str">
        <f>HYPERLINK("#摆设!御建鸣神主尊旗","御建鸣神主尊旗")</f>
        <v>御建鸣神主尊旗</v>
      </c>
      <c r="E299" s="17">
        <f>摆设!D181</f>
        <v>0</v>
      </c>
      <c r="F299" s="17">
        <v>2</v>
      </c>
      <c r="G299" s="17" t="s">
        <v>133</v>
      </c>
      <c r="H299" s="17" t="s">
        <v>106</v>
      </c>
      <c r="I299" s="21" t="s">
        <v>95</v>
      </c>
      <c r="J299" s="17">
        <v>2.2</v>
      </c>
      <c r="K299" s="17" t="s">
        <v>116</v>
      </c>
      <c r="L299" s="20"/>
      <c r="M299" s="25"/>
    </row>
    <row r="300" spans="1:13">
      <c r="A300" s="14"/>
      <c r="B300" s="14"/>
      <c r="C300" s="22"/>
      <c r="D300" s="16" t="str">
        <f>HYPERLINK("#摆设!阵屋枪架—「尖破」","阵屋枪架—「尖破」")</f>
        <v>阵屋枪架—「尖破」</v>
      </c>
      <c r="E300" s="17">
        <f>摆设!D182</f>
        <v>0</v>
      </c>
      <c r="F300" s="17">
        <v>2</v>
      </c>
      <c r="G300" s="17" t="s">
        <v>133</v>
      </c>
      <c r="H300" s="17" t="s">
        <v>106</v>
      </c>
      <c r="I300" s="21" t="s">
        <v>95</v>
      </c>
      <c r="J300" s="17">
        <v>2.2</v>
      </c>
      <c r="K300" s="17" t="s">
        <v>116</v>
      </c>
      <c r="L300" s="20"/>
      <c r="M300" s="25"/>
    </row>
    <row r="301" spans="1:13">
      <c r="A301" s="14"/>
      <c r="B301" s="14"/>
      <c r="C301" s="22"/>
      <c r="D301" s="16" t="str">
        <f>HYPERLINK("#摆设!乡野水井—「下索密藏」","乡野水井—「下索密藏」")</f>
        <v>乡野水井—「下索密藏」</v>
      </c>
      <c r="E301" s="17">
        <f>摆设!D186</f>
        <v>0</v>
      </c>
      <c r="F301" s="17">
        <v>1</v>
      </c>
      <c r="G301" s="17" t="s">
        <v>133</v>
      </c>
      <c r="H301" s="17" t="s">
        <v>106</v>
      </c>
      <c r="I301" s="21" t="s">
        <v>95</v>
      </c>
      <c r="J301" s="17">
        <v>2.2</v>
      </c>
      <c r="K301" s="17" t="s">
        <v>116</v>
      </c>
      <c r="L301" s="20"/>
      <c r="M301" s="25"/>
    </row>
    <row r="302" spans="1:13">
      <c r="A302" s="14"/>
      <c r="B302" s="14"/>
      <c r="C302" s="22"/>
      <c r="E302" s="17"/>
      <c r="F302" s="17"/>
      <c r="G302" s="17"/>
      <c r="H302" s="17"/>
      <c r="I302" s="21"/>
      <c r="J302" s="17"/>
      <c r="K302" s="17"/>
      <c r="L302" s="20"/>
      <c r="M302" s="25"/>
    </row>
    <row r="303" spans="1:13">
      <c r="A303" s="14"/>
      <c r="B303" s="14"/>
      <c r="C303" s="15" t="s">
        <v>173</v>
      </c>
      <c r="D303" s="16" t="str">
        <f>HYPERLINK("#摆设!「恒诰之龛」","「恒诰之龛」")</f>
        <v>「恒诰之龛」</v>
      </c>
      <c r="E303" s="17">
        <f>摆设!D121</f>
        <v>0</v>
      </c>
      <c r="F303" s="17">
        <v>1</v>
      </c>
      <c r="G303" s="17" t="s">
        <v>125</v>
      </c>
      <c r="H303" s="17" t="s">
        <v>164</v>
      </c>
      <c r="I303" s="21" t="s">
        <v>95</v>
      </c>
      <c r="J303" s="17">
        <v>2.1</v>
      </c>
      <c r="K303" s="17" t="s">
        <v>167</v>
      </c>
      <c r="L303" s="20"/>
      <c r="M303" s="24" t="s">
        <v>120</v>
      </c>
    </row>
    <row r="304" spans="1:13">
      <c r="A304" s="14"/>
      <c r="B304" s="14"/>
      <c r="C304" s="22"/>
      <c r="D304" s="16" t="str">
        <f>HYPERLINK("#摆设!「代宫司之印」","「代宫司之印」")</f>
        <v>「代宫司之印」</v>
      </c>
      <c r="E304" s="17">
        <f>摆设!D136</f>
        <v>0</v>
      </c>
      <c r="F304" s="17">
        <v>1</v>
      </c>
      <c r="G304" s="17" t="s">
        <v>128</v>
      </c>
      <c r="H304" s="17" t="s">
        <v>129</v>
      </c>
      <c r="I304" s="21" t="s">
        <v>95</v>
      </c>
      <c r="J304" s="17">
        <v>2.2</v>
      </c>
      <c r="K304" s="17" t="s">
        <v>165</v>
      </c>
      <c r="L304" s="20"/>
      <c r="M304" s="24"/>
    </row>
    <row r="305" spans="1:13">
      <c r="A305" s="14"/>
      <c r="B305" s="14"/>
      <c r="C305" s="22"/>
      <c r="D305" s="16" t="str">
        <f>HYPERLINK("#摆设!寂修石","寂修石")</f>
        <v>寂修石</v>
      </c>
      <c r="E305" s="17">
        <f>摆设!D137</f>
        <v>0</v>
      </c>
      <c r="F305" s="17">
        <v>2</v>
      </c>
      <c r="G305" s="17" t="s">
        <v>128</v>
      </c>
      <c r="H305" s="17" t="s">
        <v>129</v>
      </c>
      <c r="I305" s="23" t="s">
        <v>114</v>
      </c>
      <c r="J305" s="17">
        <v>2.2</v>
      </c>
      <c r="K305" s="17" t="s">
        <v>165</v>
      </c>
      <c r="L305" s="20"/>
      <c r="M305" s="24"/>
    </row>
    <row r="306" spans="1:13">
      <c r="A306" s="14"/>
      <c r="B306" s="14"/>
      <c r="C306" s="22"/>
      <c r="D306" s="16" t="str">
        <f>HYPERLINK("#摆设!涉浪石","涉浪石")</f>
        <v>涉浪石</v>
      </c>
      <c r="E306" s="17">
        <f>摆设!D138</f>
        <v>0</v>
      </c>
      <c r="F306" s="17">
        <v>1</v>
      </c>
      <c r="G306" s="17" t="s">
        <v>128</v>
      </c>
      <c r="H306" s="17" t="s">
        <v>129</v>
      </c>
      <c r="I306" s="23" t="s">
        <v>114</v>
      </c>
      <c r="J306" s="17">
        <v>2.2</v>
      </c>
      <c r="K306" s="17" t="s">
        <v>165</v>
      </c>
      <c r="L306" s="20"/>
      <c r="M306" s="24"/>
    </row>
    <row r="307" spans="1:13">
      <c r="A307" s="14"/>
      <c r="B307" s="14"/>
      <c r="C307" s="22"/>
      <c r="D307" s="16" t="str">
        <f>HYPERLINK("#摆设!「红鸢问寝觉」","「红鸢问寝觉」")</f>
        <v>「红鸢问寝觉」</v>
      </c>
      <c r="E307" s="17">
        <f>摆设!D145</f>
        <v>0</v>
      </c>
      <c r="F307" s="17">
        <v>1</v>
      </c>
      <c r="G307" s="17" t="s">
        <v>128</v>
      </c>
      <c r="H307" s="17" t="s">
        <v>131</v>
      </c>
      <c r="I307" s="21" t="s">
        <v>95</v>
      </c>
      <c r="J307" s="17">
        <v>2.2</v>
      </c>
      <c r="K307" s="17" t="s">
        <v>165</v>
      </c>
      <c r="L307" s="20"/>
      <c r="M307" s="24"/>
    </row>
    <row r="308" spans="1:13">
      <c r="A308" s="14"/>
      <c r="B308" s="14"/>
      <c r="C308" s="22"/>
      <c r="D308" s="16" t="str">
        <f>HYPERLINK("#摆设!「片叶苏芳缀银朱」","「片叶苏芳缀银朱」")</f>
        <v>「片叶苏芳缀银朱」</v>
      </c>
      <c r="E308" s="17">
        <f>摆设!D147</f>
        <v>0</v>
      </c>
      <c r="F308" s="17">
        <v>1</v>
      </c>
      <c r="G308" s="17" t="s">
        <v>128</v>
      </c>
      <c r="H308" s="17" t="s">
        <v>131</v>
      </c>
      <c r="I308" s="21" t="s">
        <v>95</v>
      </c>
      <c r="J308" s="17">
        <v>2.2</v>
      </c>
      <c r="K308" s="17" t="s">
        <v>165</v>
      </c>
      <c r="L308" s="20"/>
      <c r="M308" s="24"/>
    </row>
    <row r="309" spans="1:13">
      <c r="A309" s="14"/>
      <c r="B309" s="14"/>
      <c r="C309" s="22"/>
      <c r="D309" s="16" t="str">
        <f>HYPERLINK("#摆设!「影徙露草自伤悼」","「影徙露草自伤悼」")</f>
        <v>「影徙露草自伤悼」</v>
      </c>
      <c r="E309" s="17">
        <f>摆设!D155</f>
        <v>0</v>
      </c>
      <c r="F309" s="17">
        <v>7</v>
      </c>
      <c r="G309" s="17" t="s">
        <v>128</v>
      </c>
      <c r="H309" s="17" t="s">
        <v>132</v>
      </c>
      <c r="I309" s="21" t="s">
        <v>95</v>
      </c>
      <c r="J309" s="17">
        <v>2.2</v>
      </c>
      <c r="K309" s="17" t="s">
        <v>165</v>
      </c>
      <c r="L309" s="20"/>
      <c r="M309" s="24"/>
    </row>
    <row r="310" spans="1:13">
      <c r="A310" s="14"/>
      <c r="B310" s="14"/>
      <c r="C310" s="22"/>
      <c r="D310" s="16" t="str">
        <f>HYPERLINK("#摆设!「晚花空言约」","「晚花空言约」")</f>
        <v>「晚花空言约」</v>
      </c>
      <c r="E310" s="17">
        <f>摆设!D156</f>
        <v>0</v>
      </c>
      <c r="F310" s="17">
        <v>2</v>
      </c>
      <c r="G310" s="17" t="s">
        <v>128</v>
      </c>
      <c r="H310" s="17" t="s">
        <v>132</v>
      </c>
      <c r="I310" s="21" t="s">
        <v>95</v>
      </c>
      <c r="J310" s="17">
        <v>2.2</v>
      </c>
      <c r="K310" s="17" t="s">
        <v>165</v>
      </c>
      <c r="L310" s="20"/>
      <c r="M310" s="24"/>
    </row>
    <row r="311" spans="1:13">
      <c r="A311" s="14"/>
      <c r="B311" s="14"/>
      <c r="C311" s="22"/>
      <c r="D311" s="16" t="str">
        <f>HYPERLINK("#摆设!鱼脂白烛—「傍明」","鱼脂白烛—「傍明」")</f>
        <v>鱼脂白烛—「傍明」</v>
      </c>
      <c r="E311" s="17">
        <f>摆设!D197</f>
        <v>0</v>
      </c>
      <c r="F311" s="17">
        <v>2</v>
      </c>
      <c r="G311" s="17" t="s">
        <v>133</v>
      </c>
      <c r="H311" s="17" t="s">
        <v>107</v>
      </c>
      <c r="I311" s="23" t="s">
        <v>114</v>
      </c>
      <c r="J311" s="17">
        <v>2.2</v>
      </c>
      <c r="K311" s="17" t="s">
        <v>119</v>
      </c>
      <c r="L311" s="20"/>
      <c r="M311" s="24"/>
    </row>
    <row r="312" spans="1:13">
      <c r="A312" s="14"/>
      <c r="B312" s="14"/>
      <c r="C312" s="22"/>
      <c r="D312" s="16" t="str">
        <f>HYPERLINK("#摆设!御伽木郊野路灯","御伽木郊野路灯")</f>
        <v>御伽木郊野路灯</v>
      </c>
      <c r="E312" s="17">
        <f>摆设!D198</f>
        <v>0</v>
      </c>
      <c r="F312" s="17">
        <v>2</v>
      </c>
      <c r="G312" s="17" t="s">
        <v>133</v>
      </c>
      <c r="H312" s="17" t="s">
        <v>107</v>
      </c>
      <c r="I312" s="23" t="s">
        <v>114</v>
      </c>
      <c r="J312" s="17">
        <v>2.2</v>
      </c>
      <c r="K312" s="17" t="s">
        <v>119</v>
      </c>
      <c r="L312" s="20"/>
      <c r="M312" s="24"/>
    </row>
    <row r="313" spans="1:13">
      <c r="A313" s="14"/>
      <c r="B313" s="14"/>
      <c r="C313" s="22"/>
      <c r="E313" s="17"/>
      <c r="F313" s="17"/>
      <c r="G313" s="17"/>
      <c r="H313" s="17"/>
      <c r="I313" s="23"/>
      <c r="J313" s="17"/>
      <c r="K313" s="17"/>
      <c r="L313" s="20"/>
      <c r="M313" s="24"/>
    </row>
    <row r="314" spans="1:13">
      <c r="A314" s="14"/>
      <c r="B314" s="14"/>
      <c r="C314" s="15" t="s">
        <v>174</v>
      </c>
      <c r="D314" s="16" t="str">
        <f>HYPERLINK("#摆设!御伽木市井杂煮屋台","御伽木市井杂煮屋台")</f>
        <v>御伽木市井杂煮屋台</v>
      </c>
      <c r="E314" s="17">
        <f>摆设!D115</f>
        <v>0</v>
      </c>
      <c r="F314" s="17">
        <v>1</v>
      </c>
      <c r="G314" s="17" t="s">
        <v>125</v>
      </c>
      <c r="H314" s="17" t="s">
        <v>146</v>
      </c>
      <c r="I314" s="21" t="s">
        <v>95</v>
      </c>
      <c r="J314" s="17">
        <v>2.2</v>
      </c>
      <c r="K314" s="17" t="s">
        <v>119</v>
      </c>
      <c r="L314" s="20"/>
      <c r="M314" s="24" t="s">
        <v>120</v>
      </c>
    </row>
    <row r="315" spans="1:13">
      <c r="A315" s="14"/>
      <c r="B315" s="14"/>
      <c r="C315" s="22"/>
      <c r="D315" s="16" t="str">
        <f>HYPERLINK("#摆设!祭典「定番」百货屋台","祭典「定番」百货屋台")</f>
        <v>祭典「定番」百货屋台</v>
      </c>
      <c r="E315" s="17">
        <f>摆设!D118</f>
        <v>0</v>
      </c>
      <c r="F315" s="17">
        <v>1</v>
      </c>
      <c r="G315" s="17" t="s">
        <v>125</v>
      </c>
      <c r="H315" s="17" t="s">
        <v>146</v>
      </c>
      <c r="I315" s="19" t="s">
        <v>91</v>
      </c>
      <c r="J315" s="17">
        <v>2.2</v>
      </c>
      <c r="K315" s="17" t="s">
        <v>119</v>
      </c>
      <c r="L315" s="20"/>
      <c r="M315" s="24"/>
    </row>
    <row r="316" spans="1:13">
      <c r="A316" s="14"/>
      <c r="B316" s="14"/>
      <c r="C316" s="22"/>
      <c r="D316" s="16" t="str">
        <f>HYPERLINK("#摆设!祭典「奇番」百货屋台","祭典「奇番」百货屋台")</f>
        <v>祭典「奇番」百货屋台</v>
      </c>
      <c r="E316" s="17">
        <f>摆设!D119</f>
        <v>0</v>
      </c>
      <c r="F316" s="17">
        <v>1</v>
      </c>
      <c r="G316" s="17" t="s">
        <v>125</v>
      </c>
      <c r="H316" s="17" t="s">
        <v>146</v>
      </c>
      <c r="I316" s="19" t="s">
        <v>91</v>
      </c>
      <c r="J316" s="17">
        <v>2.2</v>
      </c>
      <c r="K316" s="17" t="s">
        <v>119</v>
      </c>
      <c r="L316" s="20"/>
      <c r="M316" s="24"/>
    </row>
    <row r="317" spans="1:13">
      <c r="A317" s="14"/>
      <c r="B317" s="14"/>
      <c r="C317" s="22"/>
      <c r="D317" s="16" t="str">
        <f>HYPERLINK("#摆设!稻妻民居—「知变易通」","稻妻民居—「知变易通」")</f>
        <v>稻妻民居—「知变易通」</v>
      </c>
      <c r="E317" s="17">
        <f>摆设!D125</f>
        <v>0</v>
      </c>
      <c r="F317" s="17">
        <v>1</v>
      </c>
      <c r="G317" s="17" t="s">
        <v>125</v>
      </c>
      <c r="H317" s="17" t="s">
        <v>164</v>
      </c>
      <c r="I317" s="21" t="s">
        <v>95</v>
      </c>
      <c r="J317" s="17">
        <v>2.2</v>
      </c>
      <c r="K317" s="17" t="s">
        <v>119</v>
      </c>
      <c r="L317" s="20"/>
      <c r="M317" s="24"/>
    </row>
    <row r="318" spans="1:13">
      <c r="A318" s="14"/>
      <c r="B318" s="14"/>
      <c r="C318" s="22"/>
      <c r="D318" s="16" t="str">
        <f>HYPERLINK("#摆设!「花咲初退红」","「花咲初退红」")</f>
        <v>「花咲初退红」</v>
      </c>
      <c r="E318" s="17">
        <f>摆设!D143</f>
        <v>0</v>
      </c>
      <c r="F318" s="17">
        <v>1</v>
      </c>
      <c r="G318" s="17" t="s">
        <v>128</v>
      </c>
      <c r="H318" s="17" t="s">
        <v>131</v>
      </c>
      <c r="I318" s="21" t="s">
        <v>95</v>
      </c>
      <c r="J318" s="17">
        <v>2.2</v>
      </c>
      <c r="K318" s="17" t="s">
        <v>165</v>
      </c>
      <c r="L318" s="20"/>
      <c r="M318" s="24"/>
    </row>
    <row r="319" spans="1:13">
      <c r="A319" s="14"/>
      <c r="B319" s="14"/>
      <c r="C319" s="22"/>
      <c r="D319" s="16" t="str">
        <f>HYPERLINK("#摆设!「春惜一斤染」","「春惜一斤染」")</f>
        <v>「春惜一斤染」</v>
      </c>
      <c r="E319" s="17">
        <f>摆设!D144</f>
        <v>0</v>
      </c>
      <c r="F319" s="17">
        <v>1</v>
      </c>
      <c r="G319" s="17" t="s">
        <v>128</v>
      </c>
      <c r="H319" s="17" t="s">
        <v>131</v>
      </c>
      <c r="I319" s="21" t="s">
        <v>95</v>
      </c>
      <c r="J319" s="17">
        <v>2.2</v>
      </c>
      <c r="K319" s="17" t="s">
        <v>165</v>
      </c>
      <c r="L319" s="20"/>
      <c r="M319" s="24"/>
    </row>
    <row r="320" spans="1:13">
      <c r="A320" s="14"/>
      <c r="B320" s="14"/>
      <c r="C320" s="22"/>
      <c r="D320" s="16" t="str">
        <f>HYPERLINK("#摆设!古法新造御伽木货箱","古法新造御伽木货箱")</f>
        <v>古法新造御伽木货箱</v>
      </c>
      <c r="E320" s="17">
        <f>摆设!D163</f>
        <v>0</v>
      </c>
      <c r="F320" s="17">
        <v>1</v>
      </c>
      <c r="G320" s="17" t="s">
        <v>133</v>
      </c>
      <c r="H320" s="17" t="s">
        <v>139</v>
      </c>
      <c r="I320" s="23" t="s">
        <v>114</v>
      </c>
      <c r="J320" s="17">
        <v>2.2</v>
      </c>
      <c r="K320" s="17" t="s">
        <v>119</v>
      </c>
      <c r="L320" s="20"/>
      <c r="M320" s="24"/>
    </row>
    <row r="321" spans="1:13">
      <c r="A321" s="14"/>
      <c r="B321" s="14"/>
      <c r="C321" s="22"/>
      <c r="D321" s="16" t="str">
        <f>HYPERLINK("#摆设!乡野水井—「下索密藏」","乡野水井—「下索密藏」")</f>
        <v>乡野水井—「下索密藏」</v>
      </c>
      <c r="E321" s="17">
        <f>摆设!D186</f>
        <v>0</v>
      </c>
      <c r="F321" s="17">
        <v>1</v>
      </c>
      <c r="G321" s="17" t="s">
        <v>133</v>
      </c>
      <c r="H321" s="17" t="s">
        <v>106</v>
      </c>
      <c r="I321" s="21" t="s">
        <v>95</v>
      </c>
      <c r="J321" s="17">
        <v>2.2</v>
      </c>
      <c r="K321" s="17" t="s">
        <v>116</v>
      </c>
      <c r="L321" s="20"/>
      <c r="M321" s="24"/>
    </row>
    <row r="322" spans="1:13">
      <c r="A322" s="14"/>
      <c r="B322" s="14"/>
      <c r="C322" s="22"/>
      <c r="D322" s="16" t="str">
        <f>HYPERLINK("#摆设!五重灯笼祭典门关","五重灯笼祭典门关")</f>
        <v>五重灯笼祭典门关</v>
      </c>
      <c r="E322" s="17">
        <f>摆设!D195</f>
        <v>0</v>
      </c>
      <c r="F322" s="17">
        <v>1</v>
      </c>
      <c r="G322" s="17" t="s">
        <v>133</v>
      </c>
      <c r="H322" s="17" t="s">
        <v>107</v>
      </c>
      <c r="I322" s="23" t="s">
        <v>114</v>
      </c>
      <c r="J322" s="17">
        <v>2.2</v>
      </c>
      <c r="K322" s="17" t="s">
        <v>119</v>
      </c>
      <c r="L322" s="20"/>
      <c r="M322" s="24"/>
    </row>
    <row r="323" spans="1:13">
      <c r="A323" s="14"/>
      <c r="B323" s="14"/>
      <c r="C323" s="22"/>
      <c r="D323" s="16" t="str">
        <f>HYPERLINK("#摆设!御伽木「乐至」方凳","御伽木「乐至」方凳")</f>
        <v>御伽木「乐至」方凳</v>
      </c>
      <c r="E323" s="17">
        <f>摆设!D211</f>
        <v>0</v>
      </c>
      <c r="F323" s="17">
        <v>4</v>
      </c>
      <c r="G323" s="17" t="s">
        <v>134</v>
      </c>
      <c r="H323" s="17" t="s">
        <v>97</v>
      </c>
      <c r="I323" s="23" t="s">
        <v>114</v>
      </c>
      <c r="J323" s="17">
        <v>2.2</v>
      </c>
      <c r="K323" s="17" t="s">
        <v>119</v>
      </c>
      <c r="L323" s="20"/>
      <c r="M323" s="24"/>
    </row>
    <row r="324" spans="1:13">
      <c r="A324" s="14"/>
      <c r="B324" s="14"/>
      <c r="C324" s="22"/>
      <c r="D324" s="16" t="str">
        <f>HYPERLINK("#摆设!御伽木「乐至」方桌","御伽木「乐至」方桌")</f>
        <v>御伽木「乐至」方桌</v>
      </c>
      <c r="E324" s="17">
        <f>摆设!D214</f>
        <v>0</v>
      </c>
      <c r="F324" s="17">
        <v>2</v>
      </c>
      <c r="G324" s="17" t="s">
        <v>134</v>
      </c>
      <c r="H324" s="17" t="s">
        <v>94</v>
      </c>
      <c r="I324" s="23" t="s">
        <v>114</v>
      </c>
      <c r="J324" s="17">
        <v>2.2</v>
      </c>
      <c r="K324" s="17" t="s">
        <v>119</v>
      </c>
      <c r="L324" s="20"/>
      <c r="M324" s="24"/>
    </row>
    <row r="325" spans="1:13">
      <c r="A325" s="14"/>
      <c r="B325" s="14"/>
      <c r="C325" s="22"/>
      <c r="D325" s="16" t="str">
        <f>HYPERLINK("#摆设!铸石地基—「修身砥行」","铸石地基—「修身砥行」")</f>
        <v>铸石地基—「修身砥行」</v>
      </c>
      <c r="E325" s="17">
        <f>摆设!D223</f>
        <v>0</v>
      </c>
      <c r="F325" s="17">
        <v>4</v>
      </c>
      <c r="G325" s="17" t="s">
        <v>134</v>
      </c>
      <c r="H325" s="17" t="s">
        <v>171</v>
      </c>
      <c r="I325" s="21" t="s">
        <v>95</v>
      </c>
      <c r="J325" s="17">
        <v>2.2</v>
      </c>
      <c r="K325" s="17" t="s">
        <v>116</v>
      </c>
      <c r="L325" s="20"/>
      <c r="M325" s="24"/>
    </row>
    <row r="326" spans="1:13">
      <c r="A326" s="14"/>
      <c r="B326" s="14"/>
      <c r="C326" s="22"/>
      <c r="D326" s="16"/>
      <c r="E326" s="17"/>
      <c r="F326" s="17"/>
      <c r="G326" s="17"/>
      <c r="H326" s="17"/>
      <c r="I326" s="21"/>
      <c r="J326" s="17"/>
      <c r="K326" s="17"/>
      <c r="L326" s="20"/>
      <c r="M326" s="24"/>
    </row>
    <row r="327" spans="1:13">
      <c r="A327" s="14"/>
      <c r="B327" s="14"/>
      <c r="C327" s="15" t="s">
        <v>175</v>
      </c>
      <c r="D327" s="16" t="str">
        <f>HYPERLINK("#摆设!御伽木拉面屋台","御伽木拉面屋台")</f>
        <v>御伽木拉面屋台</v>
      </c>
      <c r="E327" s="17">
        <f>摆设!D105</f>
        <v>0</v>
      </c>
      <c r="F327" s="17">
        <v>1</v>
      </c>
      <c r="G327" s="17" t="s">
        <v>125</v>
      </c>
      <c r="H327" s="17" t="s">
        <v>126</v>
      </c>
      <c r="I327" s="21" t="s">
        <v>95</v>
      </c>
      <c r="J327" s="17">
        <v>2.1</v>
      </c>
      <c r="K327" s="17" t="s">
        <v>176</v>
      </c>
      <c r="L327" s="20"/>
      <c r="M327" s="24" t="s">
        <v>120</v>
      </c>
    </row>
    <row r="328" spans="1:13">
      <c r="A328" s="14"/>
      <c r="B328" s="14"/>
      <c r="C328" s="22"/>
      <c r="D328" s="16" t="str">
        <f>HYPERLINK("#摆设!花伞铺—「异梦绮彩」","花伞铺—「异梦绮彩」")</f>
        <v>花伞铺—「异梦绮彩」</v>
      </c>
      <c r="E328" s="17">
        <f>摆设!D116</f>
        <v>0</v>
      </c>
      <c r="F328" s="17">
        <v>1</v>
      </c>
      <c r="G328" s="17" t="s">
        <v>125</v>
      </c>
      <c r="H328" s="17" t="s">
        <v>146</v>
      </c>
      <c r="I328" s="21" t="s">
        <v>95</v>
      </c>
      <c r="J328" s="17">
        <v>2.2</v>
      </c>
      <c r="K328" s="17" t="s">
        <v>119</v>
      </c>
      <c r="L328" s="20"/>
      <c r="M328" s="24"/>
    </row>
    <row r="329" ht="18" customHeight="1" spans="1:13">
      <c r="A329" s="14"/>
      <c r="B329" s="14"/>
      <c r="C329" s="22"/>
      <c r="D329" s="16" t="str">
        <f>HYPERLINK("#摆设!果蔬摊—「纯诚之味」","果蔬摊—「纯诚之味」")</f>
        <v>果蔬摊—「纯诚之味」</v>
      </c>
      <c r="E329" s="17">
        <f>摆设!D117</f>
        <v>0</v>
      </c>
      <c r="F329" s="17">
        <v>2</v>
      </c>
      <c r="G329" s="17" t="s">
        <v>125</v>
      </c>
      <c r="H329" s="17" t="s">
        <v>146</v>
      </c>
      <c r="I329" s="21" t="s">
        <v>95</v>
      </c>
      <c r="J329" s="17">
        <v>2.2</v>
      </c>
      <c r="K329" s="17" t="s">
        <v>119</v>
      </c>
      <c r="L329" s="20"/>
      <c r="M329" s="24"/>
    </row>
    <row r="330" spans="1:13">
      <c r="A330" s="7"/>
      <c r="B330" s="7"/>
      <c r="C330" s="22"/>
      <c r="D330" s="16" t="str">
        <f>HYPERLINK("#摆设!孔雀木「幸归」面具架","孔雀木「幸归」面具架")</f>
        <v>孔雀木「幸归」面具架</v>
      </c>
      <c r="E330" s="17">
        <f>摆设!D120</f>
        <v>0</v>
      </c>
      <c r="F330" s="17">
        <v>1</v>
      </c>
      <c r="G330" s="17" t="s">
        <v>125</v>
      </c>
      <c r="H330" s="17" t="s">
        <v>146</v>
      </c>
      <c r="I330" s="21" t="s">
        <v>95</v>
      </c>
      <c r="J330" s="17">
        <v>2.2</v>
      </c>
      <c r="K330" s="17" t="s">
        <v>119</v>
      </c>
      <c r="L330" s="20"/>
      <c r="M330" s="24"/>
    </row>
    <row r="331" spans="1:13">
      <c r="A331" s="7"/>
      <c r="B331" s="7"/>
      <c r="C331" s="22"/>
      <c r="D331" s="16" t="str">
        <f>HYPERLINK("#摆设!稻妻商铺—「千瑜百珉」","稻妻商铺—「千瑜百珉」")</f>
        <v>稻妻商铺—「千瑜百珉」</v>
      </c>
      <c r="E331" s="17">
        <f>摆设!D123</f>
        <v>0</v>
      </c>
      <c r="F331" s="17">
        <v>1</v>
      </c>
      <c r="G331" s="17" t="s">
        <v>125</v>
      </c>
      <c r="H331" s="17" t="s">
        <v>164</v>
      </c>
      <c r="I331" s="21" t="s">
        <v>95</v>
      </c>
      <c r="J331" s="17">
        <v>2.2</v>
      </c>
      <c r="K331" s="17" t="s">
        <v>119</v>
      </c>
      <c r="L331" s="20"/>
      <c r="M331" s="24"/>
    </row>
    <row r="332" spans="1:13">
      <c r="A332" s="7"/>
      <c r="B332" s="7"/>
      <c r="C332" s="22"/>
      <c r="D332" s="16" t="str">
        <f>HYPERLINK("#摆设!稻妻民居—「三世共业」","稻妻民居—「三世共业」")</f>
        <v>稻妻民居—「三世共业」</v>
      </c>
      <c r="E332" s="17">
        <f>摆设!D124</f>
        <v>0</v>
      </c>
      <c r="F332" s="17">
        <v>1</v>
      </c>
      <c r="G332" s="17" t="s">
        <v>125</v>
      </c>
      <c r="H332" s="17" t="s">
        <v>164</v>
      </c>
      <c r="I332" s="21" t="s">
        <v>95</v>
      </c>
      <c r="J332" s="17">
        <v>2.2</v>
      </c>
      <c r="K332" s="17" t="s">
        <v>119</v>
      </c>
      <c r="L332" s="20"/>
      <c r="M332" s="24"/>
    </row>
    <row r="333" spans="1:13">
      <c r="A333" s="7"/>
      <c r="B333" s="7"/>
      <c r="C333" s="22"/>
      <c r="D333" s="16" t="str">
        <f>HYPERLINK("#摆设!「红鸢问寝觉」","「红鸢问寝觉」")</f>
        <v>「红鸢问寝觉」</v>
      </c>
      <c r="E333" s="17">
        <f>摆设!D145</f>
        <v>0</v>
      </c>
      <c r="F333" s="17">
        <v>1</v>
      </c>
      <c r="G333" s="17" t="s">
        <v>128</v>
      </c>
      <c r="H333" s="17" t="s">
        <v>131</v>
      </c>
      <c r="I333" s="21" t="s">
        <v>95</v>
      </c>
      <c r="J333" s="17">
        <v>2.2</v>
      </c>
      <c r="K333" s="17" t="s">
        <v>165</v>
      </c>
      <c r="L333" s="20"/>
      <c r="M333" s="24"/>
    </row>
    <row r="334" spans="1:13">
      <c r="A334" s="7"/>
      <c r="B334" s="7"/>
      <c r="C334" s="22"/>
      <c r="D334" s="16" t="str">
        <f>HYPERLINK("#摆设!「片叶苏芳缀银朱」","「片叶苏芳缀银朱」")</f>
        <v>「片叶苏芳缀银朱」</v>
      </c>
      <c r="E334" s="17">
        <f>摆设!D147</f>
        <v>0</v>
      </c>
      <c r="F334" s="17">
        <v>1</v>
      </c>
      <c r="G334" s="17" t="s">
        <v>128</v>
      </c>
      <c r="H334" s="17" t="s">
        <v>131</v>
      </c>
      <c r="I334" s="21" t="s">
        <v>95</v>
      </c>
      <c r="J334" s="17">
        <v>2.2</v>
      </c>
      <c r="K334" s="17" t="s">
        <v>165</v>
      </c>
      <c r="L334" s="20"/>
      <c r="M334" s="24"/>
    </row>
    <row r="335" spans="1:13">
      <c r="A335" s="7"/>
      <c r="B335" s="7"/>
      <c r="C335" s="22"/>
      <c r="D335" s="16" t="str">
        <f>HYPERLINK("#摆设!古法新造御伽木货箱","古法新造御伽木货箱")</f>
        <v>古法新造御伽木货箱</v>
      </c>
      <c r="E335" s="17">
        <f>摆设!D163</f>
        <v>0</v>
      </c>
      <c r="F335" s="17">
        <v>1</v>
      </c>
      <c r="G335" s="17" t="s">
        <v>133</v>
      </c>
      <c r="H335" s="17" t="s">
        <v>139</v>
      </c>
      <c r="I335" s="23" t="s">
        <v>114</v>
      </c>
      <c r="J335" s="17">
        <v>2.2</v>
      </c>
      <c r="K335" s="17" t="s">
        <v>119</v>
      </c>
      <c r="L335" s="20"/>
      <c r="M335" s="24"/>
    </row>
    <row r="336" spans="1:13">
      <c r="A336" s="7"/>
      <c r="B336" s="7"/>
      <c r="C336" s="22"/>
      <c r="D336" s="16" t="str">
        <f>HYPERLINK("#摆设!乡野水井—「下索密藏」","乡野水井—「下索密藏」")</f>
        <v>乡野水井—「下索密藏」</v>
      </c>
      <c r="E336" s="17">
        <f>摆设!D186</f>
        <v>0</v>
      </c>
      <c r="F336" s="17">
        <v>1</v>
      </c>
      <c r="G336" s="17" t="s">
        <v>133</v>
      </c>
      <c r="H336" s="17" t="s">
        <v>106</v>
      </c>
      <c r="I336" s="21" t="s">
        <v>95</v>
      </c>
      <c r="J336" s="17">
        <v>2.2</v>
      </c>
      <c r="K336" s="17" t="s">
        <v>116</v>
      </c>
      <c r="L336" s="20"/>
      <c r="M336" s="24"/>
    </row>
    <row r="337" spans="1:13">
      <c r="A337" s="7"/>
      <c r="B337" s="7"/>
      <c r="C337" s="22"/>
      <c r="D337" s="16" t="str">
        <f>HYPERLINK("#摆设!五重灯笼祭典门关","五重灯笼祭典门关")</f>
        <v>五重灯笼祭典门关</v>
      </c>
      <c r="E337" s="17">
        <f>摆设!D195</f>
        <v>0</v>
      </c>
      <c r="F337" s="17">
        <v>1</v>
      </c>
      <c r="G337" s="17" t="s">
        <v>133</v>
      </c>
      <c r="H337" s="17" t="s">
        <v>107</v>
      </c>
      <c r="I337" s="23" t="s">
        <v>114</v>
      </c>
      <c r="J337" s="17">
        <v>2.2</v>
      </c>
      <c r="K337" s="17" t="s">
        <v>119</v>
      </c>
      <c r="L337" s="20"/>
      <c r="M337" s="24"/>
    </row>
    <row r="338" spans="1:13">
      <c r="A338" s="7"/>
      <c r="B338" s="7"/>
      <c r="C338" s="22"/>
      <c r="D338" s="16" t="str">
        <f>HYPERLINK("#摆设!御伽木简本路灯","御伽木简本路灯")</f>
        <v>御伽木简本路灯</v>
      </c>
      <c r="E338" s="17">
        <f>摆设!D199</f>
        <v>0</v>
      </c>
      <c r="F338" s="17">
        <v>2</v>
      </c>
      <c r="G338" s="17" t="s">
        <v>133</v>
      </c>
      <c r="H338" s="17" t="s">
        <v>107</v>
      </c>
      <c r="I338" s="23" t="s">
        <v>114</v>
      </c>
      <c r="J338" s="17">
        <v>2.2</v>
      </c>
      <c r="K338" s="17" t="s">
        <v>119</v>
      </c>
      <c r="L338" s="20"/>
      <c r="M338" s="24"/>
    </row>
    <row r="339" spans="1:13">
      <c r="A339" s="7"/>
      <c r="B339" s="7"/>
      <c r="C339" s="22"/>
      <c r="D339" s="16" t="str">
        <f>HYPERLINK("#摆设!铸石地基—「修身砥行」","铸石地基—「修身砥行」")</f>
        <v>铸石地基—「修身砥行」</v>
      </c>
      <c r="E339" s="17">
        <f>摆设!D223</f>
        <v>0</v>
      </c>
      <c r="F339" s="17">
        <v>5</v>
      </c>
      <c r="G339" s="17" t="s">
        <v>134</v>
      </c>
      <c r="H339" s="17" t="s">
        <v>171</v>
      </c>
      <c r="I339" s="21" t="s">
        <v>95</v>
      </c>
      <c r="J339" s="17">
        <v>2.2</v>
      </c>
      <c r="K339" s="17" t="s">
        <v>116</v>
      </c>
      <c r="L339" s="20"/>
      <c r="M339" s="24"/>
    </row>
    <row r="340" ht="7.5" customHeight="1" spans="1:12">
      <c r="A340" s="7"/>
      <c r="B340" s="7"/>
      <c r="C340" s="26"/>
      <c r="D340" s="26"/>
      <c r="E340" s="26"/>
      <c r="F340" s="26"/>
      <c r="G340" s="26"/>
      <c r="H340" s="26"/>
      <c r="I340" s="26"/>
      <c r="J340" s="26"/>
      <c r="K340" s="26"/>
      <c r="L340" s="27"/>
    </row>
  </sheetData>
  <sheetProtection sheet="1" objects="1"/>
  <mergeCells count="34">
    <mergeCell ref="C2:C13"/>
    <mergeCell ref="C15:C28"/>
    <mergeCell ref="C30:C41"/>
    <mergeCell ref="C43:C54"/>
    <mergeCell ref="C56:C68"/>
    <mergeCell ref="C70:C76"/>
    <mergeCell ref="C78:C86"/>
    <mergeCell ref="C88:C94"/>
    <mergeCell ref="C96:C105"/>
    <mergeCell ref="C107:C116"/>
    <mergeCell ref="C118:C127"/>
    <mergeCell ref="C129:C141"/>
    <mergeCell ref="C143:C151"/>
    <mergeCell ref="C153:C167"/>
    <mergeCell ref="C169:C182"/>
    <mergeCell ref="C184:C199"/>
    <mergeCell ref="C201:C218"/>
    <mergeCell ref="C220:C229"/>
    <mergeCell ref="C231:C240"/>
    <mergeCell ref="C242:C250"/>
    <mergeCell ref="C252:C262"/>
    <mergeCell ref="C264:C272"/>
    <mergeCell ref="C274:C287"/>
    <mergeCell ref="C289:C301"/>
    <mergeCell ref="C303:C312"/>
    <mergeCell ref="C314:C325"/>
    <mergeCell ref="C327:C339"/>
    <mergeCell ref="M96:M105"/>
    <mergeCell ref="M242:M250"/>
    <mergeCell ref="M262:M272"/>
    <mergeCell ref="M274:M287"/>
    <mergeCell ref="M303:M312"/>
    <mergeCell ref="M314:M325"/>
    <mergeCell ref="M327:M339"/>
  </mergeCells>
  <conditionalFormatting sqref="E289:E301 E303:E312 E314:E325 E327:E339 E274:E287 E264:E272 E252:E262 E242:E250 E231:E240 E220:E229 E201:E218 E184:E199 E169:E182 E153:E167 E143:E151 E129:E141 E118:E127 E107:E116 E96:E105 E88:E94 E78:E86 E70:E76 E56:E68 E43:E54 E30:E41 E15:E28 E2:E13">
    <cfRule type="expression" dxfId="1" priority="1">
      <formula>E2=MAX($E2:$F2)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5"/>
  <sheetViews>
    <sheetView tabSelected="1" workbookViewId="0">
      <pane ySplit="1" topLeftCell="A191" activePane="bottomLeft" state="frozen"/>
      <selection/>
      <selection pane="bottomLeft" activeCell="D210" sqref="D210"/>
    </sheetView>
  </sheetViews>
  <sheetFormatPr defaultColWidth="9" defaultRowHeight="14.25"/>
  <cols>
    <col min="1" max="2" width="9" customWidth="1"/>
    <col min="3" max="3" width="24" customWidth="1"/>
    <col min="4" max="4" width="9" style="5" customWidth="1"/>
    <col min="5" max="5" width="9.625" customWidth="1"/>
    <col min="6" max="6" width="7" customWidth="1"/>
    <col min="7" max="7" width="46.125" customWidth="1"/>
    <col min="8" max="20" width="14" customWidth="1"/>
  </cols>
  <sheetData>
    <row r="1" spans="1:20">
      <c r="A1" s="2" t="s">
        <v>83</v>
      </c>
      <c r="B1" s="2" t="s">
        <v>84</v>
      </c>
      <c r="C1" s="2" t="s">
        <v>80</v>
      </c>
      <c r="D1" s="4" t="s">
        <v>81</v>
      </c>
      <c r="E1" s="2" t="s">
        <v>82</v>
      </c>
      <c r="F1" s="2" t="s">
        <v>85</v>
      </c>
      <c r="G1" s="4" t="s">
        <v>87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>
      <c r="A2" s="8" t="s">
        <v>89</v>
      </c>
      <c r="B2" s="8" t="s">
        <v>104</v>
      </c>
      <c r="C2" s="8" t="s">
        <v>177</v>
      </c>
      <c r="D2" s="9"/>
      <c r="E2" s="8">
        <v>1</v>
      </c>
      <c r="F2" s="10" t="s">
        <v>95</v>
      </c>
      <c r="G2" s="8" t="s">
        <v>178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>
      <c r="A3" s="8" t="s">
        <v>89</v>
      </c>
      <c r="B3" s="8" t="s">
        <v>104</v>
      </c>
      <c r="C3" s="8" t="s">
        <v>179</v>
      </c>
      <c r="D3" s="9"/>
      <c r="E3" s="8">
        <v>1</v>
      </c>
      <c r="F3" s="10" t="s">
        <v>95</v>
      </c>
      <c r="G3" s="8" t="s">
        <v>113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>
      <c r="A4" s="8" t="s">
        <v>89</v>
      </c>
      <c r="B4" s="8" t="s">
        <v>104</v>
      </c>
      <c r="C4" s="8" t="s">
        <v>180</v>
      </c>
      <c r="D4" s="9"/>
      <c r="E4" s="8">
        <v>1</v>
      </c>
      <c r="F4" s="11" t="s">
        <v>95</v>
      </c>
      <c r="G4" s="8" t="s">
        <v>113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>
      <c r="A5" s="8" t="s">
        <v>89</v>
      </c>
      <c r="B5" s="8" t="s">
        <v>104</v>
      </c>
      <c r="C5" s="8" t="s">
        <v>181</v>
      </c>
      <c r="D5" s="9"/>
      <c r="E5" s="8">
        <v>1</v>
      </c>
      <c r="F5" s="11" t="s">
        <v>95</v>
      </c>
      <c r="G5" s="8" t="s">
        <v>182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>
      <c r="A6" s="8" t="s">
        <v>89</v>
      </c>
      <c r="B6" s="8" t="s">
        <v>104</v>
      </c>
      <c r="C6" s="8" t="s">
        <v>183</v>
      </c>
      <c r="D6" s="9"/>
      <c r="E6" s="8">
        <v>1</v>
      </c>
      <c r="F6" s="11" t="s">
        <v>95</v>
      </c>
      <c r="G6" s="8" t="s">
        <v>182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8" t="s">
        <v>89</v>
      </c>
      <c r="B7" s="8" t="s">
        <v>104</v>
      </c>
      <c r="C7" s="8" t="s">
        <v>184</v>
      </c>
      <c r="D7" s="9"/>
      <c r="E7" s="8">
        <v>1</v>
      </c>
      <c r="F7" s="11" t="s">
        <v>95</v>
      </c>
      <c r="G7" s="8" t="s">
        <v>116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>
      <c r="A8" s="8" t="s">
        <v>89</v>
      </c>
      <c r="B8" s="8" t="s">
        <v>104</v>
      </c>
      <c r="C8" s="8" t="s">
        <v>185</v>
      </c>
      <c r="D8" s="9"/>
      <c r="E8" s="8">
        <v>1</v>
      </c>
      <c r="F8" s="11" t="s">
        <v>95</v>
      </c>
      <c r="G8" s="8" t="s">
        <v>116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>
      <c r="A9" s="8" t="s">
        <v>89</v>
      </c>
      <c r="B9" s="8" t="s">
        <v>104</v>
      </c>
      <c r="C9" s="8" t="s">
        <v>186</v>
      </c>
      <c r="D9" s="9"/>
      <c r="E9" s="8">
        <v>1</v>
      </c>
      <c r="F9" s="11" t="s">
        <v>95</v>
      </c>
      <c r="G9" s="8" t="s">
        <v>116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>
      <c r="A10" s="8" t="s">
        <v>89</v>
      </c>
      <c r="B10" s="8" t="s">
        <v>90</v>
      </c>
      <c r="C10" s="8" t="s">
        <v>187</v>
      </c>
      <c r="D10" s="9"/>
      <c r="E10" s="8">
        <v>1</v>
      </c>
      <c r="F10" s="12" t="s">
        <v>91</v>
      </c>
      <c r="G10" s="8" t="s">
        <v>92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>
      <c r="A11" s="8" t="s">
        <v>89</v>
      </c>
      <c r="B11" s="8" t="s">
        <v>90</v>
      </c>
      <c r="C11" s="8" t="s">
        <v>188</v>
      </c>
      <c r="D11" s="9"/>
      <c r="E11" s="8">
        <v>2</v>
      </c>
      <c r="F11" s="12" t="s">
        <v>91</v>
      </c>
      <c r="G11" s="8" t="s">
        <v>92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>
      <c r="A12" s="8" t="s">
        <v>89</v>
      </c>
      <c r="B12" s="8" t="s">
        <v>90</v>
      </c>
      <c r="C12" s="8" t="s">
        <v>189</v>
      </c>
      <c r="D12" s="9"/>
      <c r="E12" s="8">
        <v>1</v>
      </c>
      <c r="F12" s="12" t="s">
        <v>91</v>
      </c>
      <c r="G12" s="8" t="s">
        <v>182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>
      <c r="A13" s="8" t="s">
        <v>89</v>
      </c>
      <c r="B13" s="8" t="s">
        <v>90</v>
      </c>
      <c r="C13" s="8" t="s">
        <v>190</v>
      </c>
      <c r="D13" s="9"/>
      <c r="E13" s="8">
        <v>1</v>
      </c>
      <c r="F13" s="12" t="s">
        <v>91</v>
      </c>
      <c r="G13" s="8" t="s">
        <v>182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>
      <c r="A14" s="8" t="s">
        <v>89</v>
      </c>
      <c r="B14" s="8" t="s">
        <v>90</v>
      </c>
      <c r="C14" s="8" t="s">
        <v>191</v>
      </c>
      <c r="D14" s="9"/>
      <c r="E14" s="8">
        <v>1</v>
      </c>
      <c r="F14" s="11" t="s">
        <v>95</v>
      </c>
      <c r="G14" s="8" t="s">
        <v>108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>
      <c r="A15" s="8" t="s">
        <v>89</v>
      </c>
      <c r="B15" s="8" t="s">
        <v>90</v>
      </c>
      <c r="C15" s="8" t="s">
        <v>192</v>
      </c>
      <c r="D15" s="9"/>
      <c r="E15" s="8">
        <v>1</v>
      </c>
      <c r="F15" s="11" t="s">
        <v>95</v>
      </c>
      <c r="G15" s="8" t="s">
        <v>108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>
      <c r="A16" s="8" t="s">
        <v>89</v>
      </c>
      <c r="B16" s="8" t="s">
        <v>90</v>
      </c>
      <c r="C16" s="8" t="s">
        <v>193</v>
      </c>
      <c r="D16" s="9"/>
      <c r="E16" s="8">
        <v>1</v>
      </c>
      <c r="F16" s="11" t="s">
        <v>95</v>
      </c>
      <c r="G16" s="8" t="s">
        <v>108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>
      <c r="A17" s="8" t="s">
        <v>89</v>
      </c>
      <c r="B17" s="8" t="s">
        <v>90</v>
      </c>
      <c r="C17" s="8" t="s">
        <v>194</v>
      </c>
      <c r="D17" s="9"/>
      <c r="E17" s="8">
        <v>2</v>
      </c>
      <c r="F17" s="12" t="s">
        <v>91</v>
      </c>
      <c r="G17" s="8" t="s">
        <v>119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>
      <c r="A18" s="8" t="s">
        <v>89</v>
      </c>
      <c r="B18" s="8" t="s">
        <v>90</v>
      </c>
      <c r="C18" s="8" t="s">
        <v>195</v>
      </c>
      <c r="D18" s="9"/>
      <c r="E18" s="8">
        <v>1</v>
      </c>
      <c r="F18" s="12" t="s">
        <v>91</v>
      </c>
      <c r="G18" s="8" t="s">
        <v>119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>
      <c r="A19" s="8" t="s">
        <v>89</v>
      </c>
      <c r="B19" s="8" t="s">
        <v>94</v>
      </c>
      <c r="C19" s="8" t="s">
        <v>196</v>
      </c>
      <c r="D19" s="9"/>
      <c r="E19" s="8">
        <v>1</v>
      </c>
      <c r="F19" s="11" t="s">
        <v>95</v>
      </c>
      <c r="G19" s="8" t="s">
        <v>92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>
      <c r="A20" s="8" t="s">
        <v>89</v>
      </c>
      <c r="B20" s="8" t="s">
        <v>94</v>
      </c>
      <c r="C20" s="8" t="s">
        <v>197</v>
      </c>
      <c r="D20" s="9"/>
      <c r="E20" s="8">
        <v>1</v>
      </c>
      <c r="F20" s="11" t="s">
        <v>95</v>
      </c>
      <c r="G20" s="8" t="s">
        <v>182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>
      <c r="A21" s="8" t="s">
        <v>89</v>
      </c>
      <c r="B21" s="8" t="s">
        <v>94</v>
      </c>
      <c r="C21" s="8" t="s">
        <v>198</v>
      </c>
      <c r="D21" s="9"/>
      <c r="E21" s="8">
        <v>1</v>
      </c>
      <c r="F21" s="11" t="s">
        <v>95</v>
      </c>
      <c r="G21" s="8" t="s">
        <v>113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>
      <c r="A22" s="8" t="s">
        <v>89</v>
      </c>
      <c r="B22" s="8" t="s">
        <v>94</v>
      </c>
      <c r="C22" s="8" t="s">
        <v>199</v>
      </c>
      <c r="D22" s="9"/>
      <c r="E22" s="8">
        <v>1</v>
      </c>
      <c r="F22" s="11" t="s">
        <v>95</v>
      </c>
      <c r="G22" s="8" t="s">
        <v>200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>
      <c r="A23" s="8" t="s">
        <v>89</v>
      </c>
      <c r="B23" s="8" t="s">
        <v>94</v>
      </c>
      <c r="C23" s="8" t="s">
        <v>201</v>
      </c>
      <c r="D23" s="9"/>
      <c r="E23" s="8">
        <v>1</v>
      </c>
      <c r="F23" s="11" t="s">
        <v>95</v>
      </c>
      <c r="G23" s="8" t="s">
        <v>108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8" t="s">
        <v>89</v>
      </c>
      <c r="B24" s="8" t="s">
        <v>94</v>
      </c>
      <c r="C24" s="8" t="s">
        <v>202</v>
      </c>
      <c r="D24" s="9"/>
      <c r="E24" s="8">
        <v>1</v>
      </c>
      <c r="F24" s="11" t="s">
        <v>95</v>
      </c>
      <c r="G24" s="8" t="s">
        <v>108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>
      <c r="A25" s="8" t="s">
        <v>89</v>
      </c>
      <c r="B25" s="8" t="s">
        <v>94</v>
      </c>
      <c r="C25" s="8" t="s">
        <v>203</v>
      </c>
      <c r="D25" s="9"/>
      <c r="E25" s="8">
        <v>2</v>
      </c>
      <c r="F25" s="11" t="s">
        <v>95</v>
      </c>
      <c r="G25" s="8" t="s">
        <v>182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>
      <c r="A26" s="8" t="s">
        <v>89</v>
      </c>
      <c r="B26" s="8" t="s">
        <v>94</v>
      </c>
      <c r="C26" s="8" t="s">
        <v>204</v>
      </c>
      <c r="D26" s="9"/>
      <c r="E26" s="8">
        <v>1</v>
      </c>
      <c r="F26" s="12" t="s">
        <v>91</v>
      </c>
      <c r="G26" s="8" t="s">
        <v>116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>
      <c r="A27" s="8" t="s">
        <v>89</v>
      </c>
      <c r="B27" s="8" t="s">
        <v>94</v>
      </c>
      <c r="C27" s="8" t="s">
        <v>205</v>
      </c>
      <c r="D27" s="9"/>
      <c r="E27" s="8">
        <v>1</v>
      </c>
      <c r="F27" s="11" t="s">
        <v>95</v>
      </c>
      <c r="G27" s="8" t="s">
        <v>116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>
      <c r="A28" s="8" t="s">
        <v>89</v>
      </c>
      <c r="B28" s="8" t="s">
        <v>94</v>
      </c>
      <c r="C28" s="8" t="s">
        <v>206</v>
      </c>
      <c r="D28" s="9"/>
      <c r="E28" s="8">
        <v>1</v>
      </c>
      <c r="F28" s="11" t="s">
        <v>95</v>
      </c>
      <c r="G28" s="8" t="s">
        <v>119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>
      <c r="A29" s="8" t="s">
        <v>89</v>
      </c>
      <c r="B29" s="8" t="s">
        <v>122</v>
      </c>
      <c r="C29" s="8" t="s">
        <v>207</v>
      </c>
      <c r="D29" s="9"/>
      <c r="E29" s="8">
        <v>1</v>
      </c>
      <c r="F29" s="11" t="s">
        <v>95</v>
      </c>
      <c r="G29" s="8" t="s">
        <v>116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>
      <c r="A30" s="8" t="s">
        <v>89</v>
      </c>
      <c r="B30" s="8" t="s">
        <v>105</v>
      </c>
      <c r="C30" s="8" t="s">
        <v>208</v>
      </c>
      <c r="D30" s="9"/>
      <c r="E30" s="8">
        <v>1</v>
      </c>
      <c r="F30" s="11" t="s">
        <v>95</v>
      </c>
      <c r="G30" s="8" t="s">
        <v>182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>
      <c r="A31" s="8" t="s">
        <v>89</v>
      </c>
      <c r="B31" s="8" t="s">
        <v>105</v>
      </c>
      <c r="C31" s="8" t="s">
        <v>209</v>
      </c>
      <c r="D31" s="9"/>
      <c r="E31" s="8">
        <v>1</v>
      </c>
      <c r="F31" s="11" t="s">
        <v>95</v>
      </c>
      <c r="G31" s="8" t="s">
        <v>182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>
      <c r="A32" s="8" t="s">
        <v>89</v>
      </c>
      <c r="B32" s="8" t="s">
        <v>105</v>
      </c>
      <c r="C32" s="8" t="s">
        <v>210</v>
      </c>
      <c r="D32" s="9"/>
      <c r="E32" s="8">
        <v>1</v>
      </c>
      <c r="F32" s="11" t="s">
        <v>95</v>
      </c>
      <c r="G32" s="8" t="s">
        <v>116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>
      <c r="A33" s="8" t="s">
        <v>96</v>
      </c>
      <c r="B33" s="8" t="s">
        <v>97</v>
      </c>
      <c r="C33" s="8" t="s">
        <v>211</v>
      </c>
      <c r="D33" s="9"/>
      <c r="E33" s="8">
        <v>3</v>
      </c>
      <c r="F33" s="13" t="s">
        <v>114</v>
      </c>
      <c r="G33" s="8" t="s">
        <v>116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>
      <c r="A34" s="8" t="s">
        <v>96</v>
      </c>
      <c r="B34" s="8" t="s">
        <v>97</v>
      </c>
      <c r="C34" s="8" t="s">
        <v>212</v>
      </c>
      <c r="D34" s="9"/>
      <c r="E34" s="8">
        <v>1</v>
      </c>
      <c r="F34" s="12" t="s">
        <v>91</v>
      </c>
      <c r="G34" s="8" t="s">
        <v>182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>
      <c r="A35" s="8" t="s">
        <v>96</v>
      </c>
      <c r="B35" s="8" t="s">
        <v>97</v>
      </c>
      <c r="C35" s="8" t="s">
        <v>213</v>
      </c>
      <c r="D35" s="9"/>
      <c r="E35" s="8">
        <v>2</v>
      </c>
      <c r="F35" s="11" t="s">
        <v>95</v>
      </c>
      <c r="G35" s="8" t="s">
        <v>182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>
      <c r="A36" s="8" t="s">
        <v>96</v>
      </c>
      <c r="B36" s="8" t="s">
        <v>97</v>
      </c>
      <c r="C36" s="8" t="s">
        <v>214</v>
      </c>
      <c r="D36" s="9"/>
      <c r="E36" s="8">
        <v>1</v>
      </c>
      <c r="F36" s="11" t="s">
        <v>95</v>
      </c>
      <c r="G36" s="8" t="s">
        <v>182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>
      <c r="A37" s="8" t="s">
        <v>96</v>
      </c>
      <c r="B37" s="8" t="s">
        <v>97</v>
      </c>
      <c r="C37" s="8" t="s">
        <v>215</v>
      </c>
      <c r="D37" s="9"/>
      <c r="E37" s="8">
        <v>3</v>
      </c>
      <c r="F37" s="13" t="s">
        <v>114</v>
      </c>
      <c r="G37" s="8" t="s">
        <v>200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>
      <c r="A38" s="8" t="s">
        <v>96</v>
      </c>
      <c r="B38" s="8" t="s">
        <v>97</v>
      </c>
      <c r="C38" s="8" t="s">
        <v>216</v>
      </c>
      <c r="D38" s="9"/>
      <c r="E38" s="8">
        <v>2</v>
      </c>
      <c r="F38" s="11" t="s">
        <v>95</v>
      </c>
      <c r="G38" s="8" t="s">
        <v>108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>
      <c r="A39" s="8" t="s">
        <v>96</v>
      </c>
      <c r="B39" s="8" t="s">
        <v>97</v>
      </c>
      <c r="C39" s="8" t="s">
        <v>217</v>
      </c>
      <c r="D39" s="9"/>
      <c r="E39" s="8">
        <v>1</v>
      </c>
      <c r="F39" s="11" t="s">
        <v>95</v>
      </c>
      <c r="G39" s="8" t="s">
        <v>182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>
      <c r="A40" s="8" t="s">
        <v>96</v>
      </c>
      <c r="B40" s="8" t="s">
        <v>106</v>
      </c>
      <c r="C40" s="8" t="s">
        <v>218</v>
      </c>
      <c r="D40" s="9"/>
      <c r="E40" s="8">
        <v>1</v>
      </c>
      <c r="F40" s="12" t="s">
        <v>91</v>
      </c>
      <c r="G40" s="8" t="s">
        <v>108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>
      <c r="A41" s="8" t="s">
        <v>96</v>
      </c>
      <c r="B41" s="8" t="s">
        <v>106</v>
      </c>
      <c r="C41" s="8" t="s">
        <v>219</v>
      </c>
      <c r="D41" s="9"/>
      <c r="E41" s="8">
        <v>1</v>
      </c>
      <c r="F41" s="11" t="s">
        <v>95</v>
      </c>
      <c r="G41" s="8" t="s">
        <v>182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>
      <c r="A42" s="8" t="s">
        <v>96</v>
      </c>
      <c r="B42" s="8" t="s">
        <v>106</v>
      </c>
      <c r="C42" s="8" t="s">
        <v>220</v>
      </c>
      <c r="D42" s="9"/>
      <c r="E42" s="8">
        <v>1</v>
      </c>
      <c r="F42" s="11" t="s">
        <v>95</v>
      </c>
      <c r="G42" s="8" t="s">
        <v>182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>
      <c r="A43" s="8" t="s">
        <v>96</v>
      </c>
      <c r="B43" s="8" t="s">
        <v>106</v>
      </c>
      <c r="C43" s="8" t="s">
        <v>221</v>
      </c>
      <c r="D43" s="9"/>
      <c r="E43" s="8">
        <v>1</v>
      </c>
      <c r="F43" s="11" t="s">
        <v>95</v>
      </c>
      <c r="G43" s="8" t="s">
        <v>116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>
      <c r="A44" s="8" t="s">
        <v>96</v>
      </c>
      <c r="B44" s="8" t="s">
        <v>106</v>
      </c>
      <c r="C44" s="8" t="s">
        <v>222</v>
      </c>
      <c r="D44" s="9"/>
      <c r="E44" s="8">
        <v>4</v>
      </c>
      <c r="F44" s="13" t="s">
        <v>114</v>
      </c>
      <c r="G44" s="8" t="s">
        <v>116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>
      <c r="A45" s="8" t="s">
        <v>96</v>
      </c>
      <c r="B45" s="8" t="s">
        <v>106</v>
      </c>
      <c r="C45" s="8" t="s">
        <v>223</v>
      </c>
      <c r="D45" s="9"/>
      <c r="E45" s="8">
        <v>1</v>
      </c>
      <c r="F45" s="11" t="s">
        <v>95</v>
      </c>
      <c r="G45" s="8" t="s">
        <v>116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>
      <c r="A46" s="8" t="s">
        <v>96</v>
      </c>
      <c r="B46" s="8" t="s">
        <v>106</v>
      </c>
      <c r="C46" s="8" t="s">
        <v>224</v>
      </c>
      <c r="D46" s="9"/>
      <c r="E46" s="8">
        <v>4</v>
      </c>
      <c r="F46" s="12" t="s">
        <v>91</v>
      </c>
      <c r="G46" s="8" t="s">
        <v>116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>
      <c r="A47" s="8" t="s">
        <v>96</v>
      </c>
      <c r="B47" s="8" t="s">
        <v>106</v>
      </c>
      <c r="C47" s="8" t="s">
        <v>225</v>
      </c>
      <c r="D47" s="9"/>
      <c r="E47" s="8">
        <v>2</v>
      </c>
      <c r="F47" s="12" t="s">
        <v>91</v>
      </c>
      <c r="G47" s="8" t="s">
        <v>116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>
      <c r="A48" s="8" t="s">
        <v>96</v>
      </c>
      <c r="B48" s="8" t="s">
        <v>106</v>
      </c>
      <c r="C48" s="8" t="s">
        <v>226</v>
      </c>
      <c r="D48" s="9"/>
      <c r="E48" s="8">
        <v>1</v>
      </c>
      <c r="F48" s="12" t="s">
        <v>91</v>
      </c>
      <c r="G48" s="8" t="s">
        <v>116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>
      <c r="A49" s="8" t="s">
        <v>96</v>
      </c>
      <c r="B49" s="8" t="s">
        <v>106</v>
      </c>
      <c r="C49" s="8" t="s">
        <v>227</v>
      </c>
      <c r="D49" s="9"/>
      <c r="E49" s="8">
        <v>1</v>
      </c>
      <c r="F49" s="12" t="s">
        <v>91</v>
      </c>
      <c r="G49" s="8" t="s">
        <v>116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>
      <c r="A50" s="8" t="s">
        <v>96</v>
      </c>
      <c r="B50" s="8" t="s">
        <v>98</v>
      </c>
      <c r="C50" s="8" t="s">
        <v>228</v>
      </c>
      <c r="D50" s="9"/>
      <c r="E50" s="8">
        <v>1</v>
      </c>
      <c r="F50" s="11" t="s">
        <v>95</v>
      </c>
      <c r="G50" s="8" t="s">
        <v>182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>
      <c r="A51" s="8" t="s">
        <v>96</v>
      </c>
      <c r="B51" s="8" t="s">
        <v>98</v>
      </c>
      <c r="C51" s="8" t="s">
        <v>229</v>
      </c>
      <c r="D51" s="9"/>
      <c r="E51" s="8">
        <v>1</v>
      </c>
      <c r="F51" s="11" t="s">
        <v>95</v>
      </c>
      <c r="G51" s="8" t="s">
        <v>108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>
      <c r="A52" s="8" t="s">
        <v>99</v>
      </c>
      <c r="B52" s="8" t="s">
        <v>107</v>
      </c>
      <c r="C52" s="8" t="s">
        <v>230</v>
      </c>
      <c r="D52" s="9"/>
      <c r="E52" s="8">
        <v>2</v>
      </c>
      <c r="F52" s="11" t="s">
        <v>95</v>
      </c>
      <c r="G52" s="8" t="s">
        <v>182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>
      <c r="A53" s="8" t="s">
        <v>99</v>
      </c>
      <c r="B53" s="8" t="s">
        <v>107</v>
      </c>
      <c r="C53" s="8" t="s">
        <v>231</v>
      </c>
      <c r="D53" s="9"/>
      <c r="E53" s="8">
        <v>1</v>
      </c>
      <c r="F53" s="11" t="s">
        <v>95</v>
      </c>
      <c r="G53" s="8" t="s">
        <v>108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>
      <c r="A54" s="8" t="s">
        <v>99</v>
      </c>
      <c r="B54" s="8" t="s">
        <v>107</v>
      </c>
      <c r="C54" s="8" t="s">
        <v>232</v>
      </c>
      <c r="D54" s="9"/>
      <c r="E54" s="8">
        <v>1</v>
      </c>
      <c r="F54" s="11" t="s">
        <v>95</v>
      </c>
      <c r="G54" s="8" t="s">
        <v>182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>
      <c r="A55" s="8" t="s">
        <v>99</v>
      </c>
      <c r="B55" s="8" t="s">
        <v>107</v>
      </c>
      <c r="C55" s="8" t="s">
        <v>233</v>
      </c>
      <c r="D55" s="9"/>
      <c r="E55" s="8">
        <v>1</v>
      </c>
      <c r="F55" s="11" t="s">
        <v>95</v>
      </c>
      <c r="G55" s="8" t="s">
        <v>116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>
      <c r="A56" s="8" t="s">
        <v>99</v>
      </c>
      <c r="B56" s="8" t="s">
        <v>100</v>
      </c>
      <c r="C56" s="8" t="s">
        <v>234</v>
      </c>
      <c r="D56" s="9"/>
      <c r="E56" s="8">
        <v>2</v>
      </c>
      <c r="F56" s="11" t="s">
        <v>95</v>
      </c>
      <c r="G56" s="8" t="s">
        <v>182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>
      <c r="A57" s="8" t="s">
        <v>99</v>
      </c>
      <c r="B57" s="8" t="s">
        <v>100</v>
      </c>
      <c r="C57" s="8" t="s">
        <v>235</v>
      </c>
      <c r="D57" s="9"/>
      <c r="E57" s="8">
        <v>1</v>
      </c>
      <c r="F57" s="11" t="s">
        <v>95</v>
      </c>
      <c r="G57" s="8" t="s">
        <v>108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>
      <c r="A58" s="8" t="s">
        <v>99</v>
      </c>
      <c r="B58" s="8" t="s">
        <v>100</v>
      </c>
      <c r="C58" s="8" t="s">
        <v>236</v>
      </c>
      <c r="D58" s="9"/>
      <c r="E58" s="8">
        <v>1</v>
      </c>
      <c r="F58" s="11" t="s">
        <v>95</v>
      </c>
      <c r="G58" s="8" t="s">
        <v>182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>
      <c r="A59" s="8" t="s">
        <v>99</v>
      </c>
      <c r="B59" s="8" t="s">
        <v>100</v>
      </c>
      <c r="C59" s="8" t="s">
        <v>237</v>
      </c>
      <c r="D59" s="9"/>
      <c r="E59" s="8">
        <v>1</v>
      </c>
      <c r="F59" s="11" t="s">
        <v>95</v>
      </c>
      <c r="G59" s="8" t="s">
        <v>116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>
      <c r="A60" s="8" t="s">
        <v>99</v>
      </c>
      <c r="B60" s="8" t="s">
        <v>100</v>
      </c>
      <c r="C60" s="8" t="s">
        <v>238</v>
      </c>
      <c r="D60" s="9"/>
      <c r="E60" s="8">
        <v>1</v>
      </c>
      <c r="F60" s="11" t="s">
        <v>95</v>
      </c>
      <c r="G60" s="8" t="s">
        <v>116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>
      <c r="A61" s="8" t="s">
        <v>99</v>
      </c>
      <c r="B61" s="8" t="s">
        <v>101</v>
      </c>
      <c r="C61" s="8" t="s">
        <v>239</v>
      </c>
      <c r="D61" s="9"/>
      <c r="E61" s="8">
        <v>1</v>
      </c>
      <c r="F61" s="11" t="s">
        <v>95</v>
      </c>
      <c r="G61" s="8" t="s">
        <v>182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>
      <c r="A62" s="8" t="s">
        <v>99</v>
      </c>
      <c r="B62" s="8" t="s">
        <v>101</v>
      </c>
      <c r="C62" s="8" t="s">
        <v>240</v>
      </c>
      <c r="D62" s="9"/>
      <c r="E62" s="8">
        <v>1</v>
      </c>
      <c r="F62" s="11" t="s">
        <v>95</v>
      </c>
      <c r="G62" s="8" t="s">
        <v>182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>
      <c r="A63" s="8" t="s">
        <v>99</v>
      </c>
      <c r="B63" s="8" t="s">
        <v>101</v>
      </c>
      <c r="C63" s="8" t="s">
        <v>241</v>
      </c>
      <c r="D63" s="9"/>
      <c r="E63" s="8">
        <v>1</v>
      </c>
      <c r="F63" s="11" t="s">
        <v>95</v>
      </c>
      <c r="G63" s="8" t="s">
        <v>182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>
      <c r="A64" s="8" t="s">
        <v>99</v>
      </c>
      <c r="B64" s="8" t="s">
        <v>101</v>
      </c>
      <c r="C64" s="8" t="s">
        <v>242</v>
      </c>
      <c r="D64" s="9"/>
      <c r="E64" s="8">
        <v>1</v>
      </c>
      <c r="F64" s="11" t="s">
        <v>95</v>
      </c>
      <c r="G64" s="8" t="s">
        <v>182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>
      <c r="A65" s="8" t="s">
        <v>99</v>
      </c>
      <c r="B65" s="8" t="s">
        <v>101</v>
      </c>
      <c r="C65" s="8" t="s">
        <v>243</v>
      </c>
      <c r="D65" s="9"/>
      <c r="E65" s="8">
        <v>1</v>
      </c>
      <c r="F65" s="11" t="s">
        <v>95</v>
      </c>
      <c r="G65" s="8" t="s">
        <v>182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>
      <c r="A66" s="8" t="s">
        <v>99</v>
      </c>
      <c r="B66" s="8" t="s">
        <v>101</v>
      </c>
      <c r="C66" s="8" t="s">
        <v>244</v>
      </c>
      <c r="D66" s="9"/>
      <c r="E66" s="8">
        <v>1</v>
      </c>
      <c r="F66" s="11" t="s">
        <v>95</v>
      </c>
      <c r="G66" s="8" t="s">
        <v>182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>
      <c r="A67" s="8" t="s">
        <v>99</v>
      </c>
      <c r="B67" s="8" t="s">
        <v>101</v>
      </c>
      <c r="C67" s="8" t="s">
        <v>245</v>
      </c>
      <c r="D67" s="9"/>
      <c r="E67" s="8">
        <v>1</v>
      </c>
      <c r="F67" s="11" t="s">
        <v>95</v>
      </c>
      <c r="G67" s="8" t="s">
        <v>108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>
      <c r="A68" s="8" t="s">
        <v>99</v>
      </c>
      <c r="B68" s="8" t="s">
        <v>101</v>
      </c>
      <c r="C68" s="8" t="s">
        <v>246</v>
      </c>
      <c r="D68" s="9"/>
      <c r="E68" s="8">
        <v>1</v>
      </c>
      <c r="F68" s="11" t="s">
        <v>95</v>
      </c>
      <c r="G68" s="8" t="s">
        <v>200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>
      <c r="A69" s="8" t="s">
        <v>99</v>
      </c>
      <c r="B69" s="8" t="s">
        <v>101</v>
      </c>
      <c r="C69" s="8" t="s">
        <v>247</v>
      </c>
      <c r="D69" s="9"/>
      <c r="E69" s="8">
        <v>1</v>
      </c>
      <c r="F69" s="11" t="s">
        <v>95</v>
      </c>
      <c r="G69" s="8" t="s">
        <v>248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>
      <c r="A70" s="8" t="s">
        <v>99</v>
      </c>
      <c r="B70" s="8" t="s">
        <v>101</v>
      </c>
      <c r="C70" s="8" t="s">
        <v>249</v>
      </c>
      <c r="D70" s="9"/>
      <c r="E70" s="8">
        <v>1</v>
      </c>
      <c r="F70" s="11" t="s">
        <v>95</v>
      </c>
      <c r="G70" s="8" t="s">
        <v>119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>
      <c r="A71" s="8" t="s">
        <v>99</v>
      </c>
      <c r="B71" s="8" t="s">
        <v>101</v>
      </c>
      <c r="C71" s="8" t="s">
        <v>250</v>
      </c>
      <c r="D71" s="9"/>
      <c r="E71" s="8">
        <v>1</v>
      </c>
      <c r="F71" s="11" t="s">
        <v>95</v>
      </c>
      <c r="G71" s="8" t="s">
        <v>123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>
      <c r="A72" s="8" t="s">
        <v>99</v>
      </c>
      <c r="B72" s="8" t="s">
        <v>101</v>
      </c>
      <c r="C72" s="8" t="s">
        <v>251</v>
      </c>
      <c r="D72" s="9"/>
      <c r="E72" s="8">
        <v>1</v>
      </c>
      <c r="F72" s="11" t="s">
        <v>95</v>
      </c>
      <c r="G72" s="8" t="s">
        <v>116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>
      <c r="A73" s="8" t="s">
        <v>99</v>
      </c>
      <c r="B73" s="8" t="s">
        <v>101</v>
      </c>
      <c r="C73" s="8" t="s">
        <v>252</v>
      </c>
      <c r="D73" s="9"/>
      <c r="E73" s="8">
        <v>1</v>
      </c>
      <c r="F73" s="11" t="s">
        <v>95</v>
      </c>
      <c r="G73" s="8" t="s">
        <v>119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>
      <c r="A74" s="8" t="s">
        <v>99</v>
      </c>
      <c r="B74" s="8" t="s">
        <v>101</v>
      </c>
      <c r="C74" s="8" t="s">
        <v>253</v>
      </c>
      <c r="D74" s="9"/>
      <c r="E74" s="8">
        <v>1</v>
      </c>
      <c r="F74" s="11" t="s">
        <v>95</v>
      </c>
      <c r="G74" s="8" t="s">
        <v>116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>
      <c r="A75" s="8" t="s">
        <v>99</v>
      </c>
      <c r="B75" s="8" t="s">
        <v>101</v>
      </c>
      <c r="C75" s="8" t="s">
        <v>254</v>
      </c>
      <c r="D75" s="9"/>
      <c r="E75" s="8">
        <v>1</v>
      </c>
      <c r="F75" s="11" t="s">
        <v>95</v>
      </c>
      <c r="G75" s="8" t="s">
        <v>116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>
      <c r="A76" s="8" t="s">
        <v>99</v>
      </c>
      <c r="B76" s="8" t="s">
        <v>101</v>
      </c>
      <c r="C76" s="8" t="s">
        <v>255</v>
      </c>
      <c r="D76" s="9"/>
      <c r="E76" s="8">
        <v>1</v>
      </c>
      <c r="F76" s="11" t="s">
        <v>95</v>
      </c>
      <c r="G76" s="8" t="s">
        <v>116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>
      <c r="A77" s="8" t="s">
        <v>99</v>
      </c>
      <c r="B77" s="8" t="s">
        <v>101</v>
      </c>
      <c r="C77" s="8" t="s">
        <v>256</v>
      </c>
      <c r="D77" s="9"/>
      <c r="E77" s="8">
        <v>1</v>
      </c>
      <c r="F77" s="11" t="s">
        <v>95</v>
      </c>
      <c r="G77" s="8" t="s">
        <v>116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>
      <c r="A78" s="8" t="s">
        <v>141</v>
      </c>
      <c r="B78" s="8" t="s">
        <v>148</v>
      </c>
      <c r="C78" s="8" t="s">
        <v>257</v>
      </c>
      <c r="D78" s="9"/>
      <c r="E78" s="8">
        <v>1</v>
      </c>
      <c r="F78" s="12" t="s">
        <v>91</v>
      </c>
      <c r="G78" s="8" t="s">
        <v>137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>
      <c r="A79" s="8" t="s">
        <v>141</v>
      </c>
      <c r="B79" s="8" t="s">
        <v>148</v>
      </c>
      <c r="C79" s="8" t="s">
        <v>258</v>
      </c>
      <c r="D79" s="9"/>
      <c r="E79" s="8">
        <v>1</v>
      </c>
      <c r="F79" s="11" t="s">
        <v>95</v>
      </c>
      <c r="G79" s="8" t="s">
        <v>119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>
      <c r="A80" s="8" t="s">
        <v>141</v>
      </c>
      <c r="B80" s="8" t="s">
        <v>148</v>
      </c>
      <c r="C80" s="8" t="s">
        <v>259</v>
      </c>
      <c r="D80" s="9"/>
      <c r="E80" s="8">
        <v>4</v>
      </c>
      <c r="F80" s="11" t="s">
        <v>95</v>
      </c>
      <c r="G80" s="8" t="s">
        <v>119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>
      <c r="A81" s="8" t="s">
        <v>141</v>
      </c>
      <c r="B81" s="8" t="s">
        <v>148</v>
      </c>
      <c r="C81" s="8" t="s">
        <v>260</v>
      </c>
      <c r="D81" s="9"/>
      <c r="E81" s="8">
        <v>3</v>
      </c>
      <c r="F81" s="11" t="s">
        <v>95</v>
      </c>
      <c r="G81" s="8" t="s">
        <v>119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>
      <c r="A82" s="8" t="s">
        <v>141</v>
      </c>
      <c r="B82" s="8" t="s">
        <v>148</v>
      </c>
      <c r="C82" s="8" t="s">
        <v>261</v>
      </c>
      <c r="D82" s="9"/>
      <c r="E82" s="8">
        <v>1</v>
      </c>
      <c r="F82" s="13" t="s">
        <v>114</v>
      </c>
      <c r="G82" s="8" t="s">
        <v>119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>
      <c r="A83" s="8" t="s">
        <v>141</v>
      </c>
      <c r="B83" s="8" t="s">
        <v>148</v>
      </c>
      <c r="C83" s="8" t="s">
        <v>262</v>
      </c>
      <c r="D83" s="9"/>
      <c r="E83" s="8">
        <v>10</v>
      </c>
      <c r="F83" s="13" t="s">
        <v>114</v>
      </c>
      <c r="G83" s="8" t="s">
        <v>119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>
      <c r="A84" s="8" t="s">
        <v>141</v>
      </c>
      <c r="B84" s="8" t="s">
        <v>148</v>
      </c>
      <c r="C84" s="8" t="s">
        <v>263</v>
      </c>
      <c r="D84" s="9"/>
      <c r="E84" s="8">
        <v>1</v>
      </c>
      <c r="F84" s="11" t="s">
        <v>95</v>
      </c>
      <c r="G84" s="8" t="s">
        <v>116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>
      <c r="A85" s="8" t="s">
        <v>141</v>
      </c>
      <c r="B85" s="8" t="s">
        <v>148</v>
      </c>
      <c r="C85" s="8" t="s">
        <v>264</v>
      </c>
      <c r="D85" s="9"/>
      <c r="E85" s="8">
        <v>5</v>
      </c>
      <c r="F85" s="11" t="s">
        <v>95</v>
      </c>
      <c r="G85" s="8" t="s">
        <v>116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>
      <c r="A86" s="8" t="s">
        <v>141</v>
      </c>
      <c r="B86" s="8" t="s">
        <v>148</v>
      </c>
      <c r="C86" s="8" t="s">
        <v>265</v>
      </c>
      <c r="D86" s="9"/>
      <c r="E86" s="8">
        <v>2</v>
      </c>
      <c r="F86" s="11" t="s">
        <v>95</v>
      </c>
      <c r="G86" s="8" t="s">
        <v>116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>
      <c r="A87" s="8" t="s">
        <v>141</v>
      </c>
      <c r="B87" s="8" t="s">
        <v>148</v>
      </c>
      <c r="C87" s="8" t="s">
        <v>266</v>
      </c>
      <c r="D87" s="9"/>
      <c r="E87" s="8">
        <v>5</v>
      </c>
      <c r="F87" s="11" t="s">
        <v>95</v>
      </c>
      <c r="G87" s="8" t="s">
        <v>116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>
      <c r="A88" s="8" t="s">
        <v>141</v>
      </c>
      <c r="B88" s="8" t="s">
        <v>148</v>
      </c>
      <c r="C88" s="8" t="s">
        <v>267</v>
      </c>
      <c r="D88" s="9"/>
      <c r="E88" s="8">
        <v>2</v>
      </c>
      <c r="F88" s="11" t="s">
        <v>95</v>
      </c>
      <c r="G88" s="8" t="s">
        <v>116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>
      <c r="A89" s="8" t="s">
        <v>141</v>
      </c>
      <c r="B89" s="8" t="s">
        <v>148</v>
      </c>
      <c r="C89" s="8" t="s">
        <v>268</v>
      </c>
      <c r="D89" s="9"/>
      <c r="E89" s="8">
        <v>6</v>
      </c>
      <c r="F89" s="11" t="s">
        <v>95</v>
      </c>
      <c r="G89" s="8" t="s">
        <v>116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>
      <c r="A90" s="8" t="s">
        <v>141</v>
      </c>
      <c r="B90" s="8" t="s">
        <v>148</v>
      </c>
      <c r="C90" s="8" t="s">
        <v>269</v>
      </c>
      <c r="D90" s="9"/>
      <c r="E90" s="8">
        <v>1</v>
      </c>
      <c r="F90" s="11" t="s">
        <v>95</v>
      </c>
      <c r="G90" s="8" t="s">
        <v>116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>
      <c r="A91" s="8" t="s">
        <v>141</v>
      </c>
      <c r="B91" s="8" t="s">
        <v>148</v>
      </c>
      <c r="C91" s="8" t="s">
        <v>270</v>
      </c>
      <c r="D91" s="9"/>
      <c r="E91" s="8">
        <v>1</v>
      </c>
      <c r="F91" s="11" t="s">
        <v>95</v>
      </c>
      <c r="G91" s="8" t="s">
        <v>116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>
      <c r="A92" s="8" t="s">
        <v>141</v>
      </c>
      <c r="B92" s="8" t="s">
        <v>142</v>
      </c>
      <c r="C92" s="8" t="s">
        <v>271</v>
      </c>
      <c r="D92" s="9"/>
      <c r="E92" s="8">
        <v>1</v>
      </c>
      <c r="F92" s="12" t="s">
        <v>91</v>
      </c>
      <c r="G92" s="8" t="s">
        <v>143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>
      <c r="A93" s="8" t="s">
        <v>141</v>
      </c>
      <c r="B93" s="8" t="s">
        <v>142</v>
      </c>
      <c r="C93" s="8" t="s">
        <v>272</v>
      </c>
      <c r="D93" s="9"/>
      <c r="E93" s="8">
        <v>1</v>
      </c>
      <c r="F93" s="11" t="s">
        <v>95</v>
      </c>
      <c r="G93" s="8" t="s">
        <v>153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>
      <c r="A94" s="8" t="s">
        <v>141</v>
      </c>
      <c r="B94" s="8" t="s">
        <v>142</v>
      </c>
      <c r="C94" s="8" t="s">
        <v>273</v>
      </c>
      <c r="D94" s="9"/>
      <c r="E94" s="8">
        <v>1</v>
      </c>
      <c r="F94" s="13" t="s">
        <v>114</v>
      </c>
      <c r="G94" s="8" t="s">
        <v>154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>
      <c r="A95" s="8" t="s">
        <v>141</v>
      </c>
      <c r="B95" s="8" t="s">
        <v>142</v>
      </c>
      <c r="C95" s="8" t="s">
        <v>274</v>
      </c>
      <c r="D95" s="9"/>
      <c r="E95" s="8">
        <v>1</v>
      </c>
      <c r="F95" s="13" t="s">
        <v>114</v>
      </c>
      <c r="G95" s="8" t="s">
        <v>248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>
      <c r="A96" s="8" t="s">
        <v>141</v>
      </c>
      <c r="B96" s="8" t="s">
        <v>142</v>
      </c>
      <c r="C96" s="8" t="s">
        <v>275</v>
      </c>
      <c r="D96" s="9"/>
      <c r="E96" s="8">
        <v>1</v>
      </c>
      <c r="F96" s="11" t="s">
        <v>95</v>
      </c>
      <c r="G96" s="8" t="s">
        <v>116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>
      <c r="A97" s="8" t="s">
        <v>125</v>
      </c>
      <c r="B97" s="8" t="s">
        <v>149</v>
      </c>
      <c r="C97" s="8" t="s">
        <v>276</v>
      </c>
      <c r="D97" s="9"/>
      <c r="E97" s="8">
        <v>1</v>
      </c>
      <c r="F97" s="11" t="s">
        <v>95</v>
      </c>
      <c r="G97" s="8" t="s">
        <v>113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>
      <c r="A98" s="8" t="s">
        <v>125</v>
      </c>
      <c r="B98" s="8" t="s">
        <v>149</v>
      </c>
      <c r="C98" s="8" t="s">
        <v>277</v>
      </c>
      <c r="D98" s="9"/>
      <c r="E98" s="8">
        <v>1</v>
      </c>
      <c r="F98" s="11" t="s">
        <v>95</v>
      </c>
      <c r="G98" s="8" t="s">
        <v>150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>
      <c r="A99" s="8" t="s">
        <v>125</v>
      </c>
      <c r="B99" s="8" t="s">
        <v>136</v>
      </c>
      <c r="C99" s="8" t="s">
        <v>278</v>
      </c>
      <c r="D99" s="9"/>
      <c r="E99" s="8">
        <v>1</v>
      </c>
      <c r="F99" s="11" t="s">
        <v>95</v>
      </c>
      <c r="G99" s="8" t="s">
        <v>182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>
      <c r="A100" s="8" t="s">
        <v>125</v>
      </c>
      <c r="B100" s="8" t="s">
        <v>136</v>
      </c>
      <c r="C100" s="8" t="s">
        <v>279</v>
      </c>
      <c r="D100" s="9"/>
      <c r="E100" s="8">
        <v>1</v>
      </c>
      <c r="F100" s="11" t="s">
        <v>95</v>
      </c>
      <c r="G100" s="8" t="s">
        <v>137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>
      <c r="A101" s="8" t="s">
        <v>125</v>
      </c>
      <c r="B101" s="8" t="s">
        <v>136</v>
      </c>
      <c r="C101" s="8" t="s">
        <v>280</v>
      </c>
      <c r="D101" s="9"/>
      <c r="E101" s="8">
        <v>1</v>
      </c>
      <c r="F101" s="11" t="s">
        <v>95</v>
      </c>
      <c r="G101" s="8" t="s">
        <v>137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>
      <c r="A102" s="8" t="s">
        <v>125</v>
      </c>
      <c r="B102" s="8" t="s">
        <v>155</v>
      </c>
      <c r="C102" s="8" t="s">
        <v>281</v>
      </c>
      <c r="D102" s="9"/>
      <c r="E102" s="8">
        <v>1</v>
      </c>
      <c r="F102" s="11" t="s">
        <v>95</v>
      </c>
      <c r="G102" s="8" t="s">
        <v>156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>
      <c r="A103" s="8" t="s">
        <v>125</v>
      </c>
      <c r="B103" s="8" t="s">
        <v>155</v>
      </c>
      <c r="C103" s="8" t="s">
        <v>282</v>
      </c>
      <c r="D103" s="9"/>
      <c r="E103" s="8">
        <v>1</v>
      </c>
      <c r="F103" s="12" t="s">
        <v>91</v>
      </c>
      <c r="G103" s="8" t="s">
        <v>143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>
      <c r="A104" s="8" t="s">
        <v>125</v>
      </c>
      <c r="B104" s="8" t="s">
        <v>155</v>
      </c>
      <c r="C104" s="8" t="s">
        <v>283</v>
      </c>
      <c r="D104" s="9"/>
      <c r="E104" s="8">
        <v>1</v>
      </c>
      <c r="F104" s="11" t="s">
        <v>95</v>
      </c>
      <c r="G104" s="8" t="s">
        <v>157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>
      <c r="A105" s="8" t="s">
        <v>125</v>
      </c>
      <c r="B105" s="8" t="s">
        <v>126</v>
      </c>
      <c r="C105" s="8" t="s">
        <v>284</v>
      </c>
      <c r="D105" s="9"/>
      <c r="E105" s="8">
        <v>1</v>
      </c>
      <c r="F105" s="11" t="s">
        <v>95</v>
      </c>
      <c r="G105" s="8" t="s">
        <v>116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>
      <c r="A106" s="8" t="s">
        <v>125</v>
      </c>
      <c r="B106" s="8" t="s">
        <v>126</v>
      </c>
      <c r="C106" s="8" t="s">
        <v>285</v>
      </c>
      <c r="D106" s="9"/>
      <c r="E106" s="8">
        <v>1</v>
      </c>
      <c r="F106" s="12" t="s">
        <v>91</v>
      </c>
      <c r="G106" s="8" t="s">
        <v>286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>
      <c r="A107" s="8" t="s">
        <v>125</v>
      </c>
      <c r="B107" s="8" t="s">
        <v>126</v>
      </c>
      <c r="C107" s="8" t="s">
        <v>287</v>
      </c>
      <c r="D107" s="9"/>
      <c r="E107" s="8">
        <v>1</v>
      </c>
      <c r="F107" s="11" t="s">
        <v>95</v>
      </c>
      <c r="G107" s="8" t="s">
        <v>182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>
      <c r="A108" s="8" t="s">
        <v>125</v>
      </c>
      <c r="B108" s="8" t="s">
        <v>126</v>
      </c>
      <c r="C108" s="8" t="s">
        <v>288</v>
      </c>
      <c r="D108" s="9"/>
      <c r="E108" s="8">
        <v>1</v>
      </c>
      <c r="F108" s="11" t="s">
        <v>95</v>
      </c>
      <c r="G108" s="8" t="s">
        <v>182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>
      <c r="A109" s="8" t="s">
        <v>125</v>
      </c>
      <c r="B109" s="8" t="s">
        <v>126</v>
      </c>
      <c r="C109" s="8" t="s">
        <v>289</v>
      </c>
      <c r="D109" s="9"/>
      <c r="E109" s="8">
        <v>1</v>
      </c>
      <c r="F109" s="11" t="s">
        <v>95</v>
      </c>
      <c r="G109" s="8" t="s">
        <v>92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>
      <c r="A110" s="8" t="s">
        <v>125</v>
      </c>
      <c r="B110" s="8" t="s">
        <v>126</v>
      </c>
      <c r="C110" s="8" t="s">
        <v>290</v>
      </c>
      <c r="D110" s="9"/>
      <c r="E110" s="8">
        <v>1</v>
      </c>
      <c r="F110" s="11" t="s">
        <v>95</v>
      </c>
      <c r="G110" s="8" t="s">
        <v>182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>
      <c r="A111" s="8" t="s">
        <v>125</v>
      </c>
      <c r="B111" s="8" t="s">
        <v>146</v>
      </c>
      <c r="C111" s="8" t="s">
        <v>291</v>
      </c>
      <c r="D111" s="9"/>
      <c r="E111" s="8">
        <v>1</v>
      </c>
      <c r="F111" s="11" t="s">
        <v>95</v>
      </c>
      <c r="G111" s="8" t="s">
        <v>113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>
      <c r="A112" s="8" t="s">
        <v>125</v>
      </c>
      <c r="B112" s="8" t="s">
        <v>146</v>
      </c>
      <c r="C112" s="8" t="s">
        <v>292</v>
      </c>
      <c r="D112" s="9"/>
      <c r="E112" s="8">
        <v>1</v>
      </c>
      <c r="F112" s="13" t="s">
        <v>114</v>
      </c>
      <c r="G112" s="8" t="s">
        <v>182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1:20">
      <c r="A113" s="8" t="s">
        <v>125</v>
      </c>
      <c r="B113" s="8" t="s">
        <v>146</v>
      </c>
      <c r="C113" s="8" t="s">
        <v>293</v>
      </c>
      <c r="D113" s="9"/>
      <c r="E113" s="8">
        <v>1</v>
      </c>
      <c r="F113" s="11" t="s">
        <v>95</v>
      </c>
      <c r="G113" s="8" t="s">
        <v>294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>
      <c r="A114" s="8" t="s">
        <v>125</v>
      </c>
      <c r="B114" s="8" t="s">
        <v>146</v>
      </c>
      <c r="C114" s="8" t="s">
        <v>295</v>
      </c>
      <c r="D114" s="9"/>
      <c r="E114" s="8">
        <v>1</v>
      </c>
      <c r="F114" s="11" t="s">
        <v>95</v>
      </c>
      <c r="G114" s="8" t="s">
        <v>294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1:20">
      <c r="A115" s="8" t="s">
        <v>125</v>
      </c>
      <c r="B115" s="8" t="s">
        <v>146</v>
      </c>
      <c r="C115" s="8" t="s">
        <v>296</v>
      </c>
      <c r="D115" s="9"/>
      <c r="E115" s="8">
        <v>1</v>
      </c>
      <c r="F115" s="11" t="s">
        <v>95</v>
      </c>
      <c r="G115" s="8" t="s">
        <v>119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>
      <c r="A116" s="8" t="s">
        <v>125</v>
      </c>
      <c r="B116" s="8" t="s">
        <v>146</v>
      </c>
      <c r="C116" s="8" t="s">
        <v>297</v>
      </c>
      <c r="D116" s="9"/>
      <c r="E116" s="8">
        <v>1</v>
      </c>
      <c r="F116" s="11" t="s">
        <v>95</v>
      </c>
      <c r="G116" s="8" t="s">
        <v>119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>
      <c r="A117" s="8" t="s">
        <v>125</v>
      </c>
      <c r="B117" s="8" t="s">
        <v>146</v>
      </c>
      <c r="C117" s="8" t="s">
        <v>298</v>
      </c>
      <c r="D117" s="9"/>
      <c r="E117" s="8">
        <v>2</v>
      </c>
      <c r="F117" s="11" t="s">
        <v>95</v>
      </c>
      <c r="G117" s="8" t="s">
        <v>119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>
      <c r="A118" s="8" t="s">
        <v>125</v>
      </c>
      <c r="B118" s="8" t="s">
        <v>146</v>
      </c>
      <c r="C118" s="8" t="s">
        <v>299</v>
      </c>
      <c r="D118" s="9"/>
      <c r="E118" s="8">
        <v>1</v>
      </c>
      <c r="F118" s="12" t="s">
        <v>91</v>
      </c>
      <c r="G118" s="8" t="s">
        <v>119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>
      <c r="A119" s="8" t="s">
        <v>125</v>
      </c>
      <c r="B119" s="8" t="s">
        <v>146</v>
      </c>
      <c r="C119" s="8" t="s">
        <v>300</v>
      </c>
      <c r="D119" s="9"/>
      <c r="E119" s="8">
        <v>1</v>
      </c>
      <c r="F119" s="12" t="s">
        <v>91</v>
      </c>
      <c r="G119" s="8" t="s">
        <v>119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1:20">
      <c r="A120" s="8" t="s">
        <v>125</v>
      </c>
      <c r="B120" s="8" t="s">
        <v>146</v>
      </c>
      <c r="C120" s="8" t="s">
        <v>301</v>
      </c>
      <c r="D120" s="9"/>
      <c r="E120" s="8">
        <v>1</v>
      </c>
      <c r="F120" s="11" t="s">
        <v>95</v>
      </c>
      <c r="G120" s="8" t="s">
        <v>119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1:20">
      <c r="A121" s="8" t="s">
        <v>125</v>
      </c>
      <c r="B121" s="8" t="s">
        <v>164</v>
      </c>
      <c r="C121" s="8" t="s">
        <v>302</v>
      </c>
      <c r="D121" s="9"/>
      <c r="E121" s="8">
        <v>1</v>
      </c>
      <c r="F121" s="11" t="s">
        <v>95</v>
      </c>
      <c r="G121" s="8" t="s">
        <v>167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1:20">
      <c r="A122" s="8" t="s">
        <v>125</v>
      </c>
      <c r="B122" s="8" t="s">
        <v>164</v>
      </c>
      <c r="C122" s="8" t="s">
        <v>303</v>
      </c>
      <c r="D122" s="9"/>
      <c r="E122" s="8">
        <v>1</v>
      </c>
      <c r="F122" s="12" t="s">
        <v>91</v>
      </c>
      <c r="G122" s="8" t="s">
        <v>166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1:20">
      <c r="A123" s="8" t="s">
        <v>125</v>
      </c>
      <c r="B123" s="8" t="s">
        <v>164</v>
      </c>
      <c r="C123" s="8" t="s">
        <v>304</v>
      </c>
      <c r="D123" s="9"/>
      <c r="E123" s="8">
        <v>1</v>
      </c>
      <c r="F123" s="11" t="s">
        <v>95</v>
      </c>
      <c r="G123" s="8" t="s">
        <v>119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>
      <c r="A124" s="8" t="s">
        <v>125</v>
      </c>
      <c r="B124" s="8" t="s">
        <v>164</v>
      </c>
      <c r="C124" s="8" t="s">
        <v>305</v>
      </c>
      <c r="D124" s="9"/>
      <c r="E124" s="8">
        <v>1</v>
      </c>
      <c r="F124" s="11" t="s">
        <v>95</v>
      </c>
      <c r="G124" s="8" t="s">
        <v>119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>
      <c r="A125" s="8" t="s">
        <v>125</v>
      </c>
      <c r="B125" s="8" t="s">
        <v>164</v>
      </c>
      <c r="C125" s="8" t="s">
        <v>306</v>
      </c>
      <c r="D125" s="9"/>
      <c r="E125" s="8">
        <v>1</v>
      </c>
      <c r="F125" s="11" t="s">
        <v>95</v>
      </c>
      <c r="G125" s="8" t="s">
        <v>119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>
      <c r="A126" s="8" t="s">
        <v>125</v>
      </c>
      <c r="B126" s="8" t="s">
        <v>164</v>
      </c>
      <c r="C126" s="8" t="s">
        <v>307</v>
      </c>
      <c r="D126" s="9"/>
      <c r="E126" s="8">
        <v>1</v>
      </c>
      <c r="F126" s="11" t="s">
        <v>95</v>
      </c>
      <c r="G126" s="8" t="s">
        <v>119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1:20">
      <c r="A127" s="8" t="s">
        <v>125</v>
      </c>
      <c r="B127" s="8" t="s">
        <v>164</v>
      </c>
      <c r="C127" s="8" t="s">
        <v>308</v>
      </c>
      <c r="D127" s="9"/>
      <c r="E127" s="8">
        <v>1</v>
      </c>
      <c r="F127" s="11" t="s">
        <v>95</v>
      </c>
      <c r="G127" s="8" t="s">
        <v>119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>
      <c r="A128" s="8" t="s">
        <v>125</v>
      </c>
      <c r="B128" s="8" t="s">
        <v>164</v>
      </c>
      <c r="C128" s="8" t="s">
        <v>309</v>
      </c>
      <c r="D128" s="9"/>
      <c r="E128" s="8">
        <v>1</v>
      </c>
      <c r="F128" s="12" t="s">
        <v>91</v>
      </c>
      <c r="G128" s="8" t="s">
        <v>119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1:20">
      <c r="A129" s="8" t="s">
        <v>125</v>
      </c>
      <c r="B129" s="8" t="s">
        <v>164</v>
      </c>
      <c r="C129" s="8" t="s">
        <v>310</v>
      </c>
      <c r="D129" s="9"/>
      <c r="E129" s="8">
        <v>2</v>
      </c>
      <c r="F129" s="12" t="s">
        <v>91</v>
      </c>
      <c r="G129" s="8" t="s">
        <v>119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1:20">
      <c r="A130" s="8" t="s">
        <v>125</v>
      </c>
      <c r="B130" s="8" t="s">
        <v>164</v>
      </c>
      <c r="C130" s="8" t="s">
        <v>311</v>
      </c>
      <c r="D130" s="9"/>
      <c r="E130" s="8">
        <v>1</v>
      </c>
      <c r="F130" s="11" t="s">
        <v>95</v>
      </c>
      <c r="G130" s="8" t="s">
        <v>116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1:20">
      <c r="A131" s="8" t="s">
        <v>125</v>
      </c>
      <c r="B131" s="8" t="s">
        <v>164</v>
      </c>
      <c r="C131" s="8" t="s">
        <v>312</v>
      </c>
      <c r="D131" s="9"/>
      <c r="E131" s="8">
        <v>1</v>
      </c>
      <c r="F131" s="12" t="s">
        <v>91</v>
      </c>
      <c r="G131" s="8" t="s">
        <v>116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0">
      <c r="A132" s="8" t="s">
        <v>125</v>
      </c>
      <c r="B132" s="8" t="s">
        <v>164</v>
      </c>
      <c r="C132" s="8" t="s">
        <v>313</v>
      </c>
      <c r="D132" s="9"/>
      <c r="E132" s="8">
        <v>1</v>
      </c>
      <c r="F132" s="11" t="s">
        <v>95</v>
      </c>
      <c r="G132" s="8" t="s">
        <v>116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1:20">
      <c r="A133" s="8" t="s">
        <v>125</v>
      </c>
      <c r="B133" s="8" t="s">
        <v>164</v>
      </c>
      <c r="C133" s="8" t="s">
        <v>314</v>
      </c>
      <c r="D133" s="9"/>
      <c r="E133" s="8">
        <v>1</v>
      </c>
      <c r="F133" s="12" t="s">
        <v>91</v>
      </c>
      <c r="G133" s="8" t="s">
        <v>119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>
      <c r="A134" s="8" t="s">
        <v>128</v>
      </c>
      <c r="B134" s="8" t="s">
        <v>129</v>
      </c>
      <c r="C134" s="8" t="s">
        <v>315</v>
      </c>
      <c r="D134" s="9"/>
      <c r="E134" s="8">
        <v>1</v>
      </c>
      <c r="F134" s="11" t="s">
        <v>95</v>
      </c>
      <c r="G134" s="8" t="s">
        <v>316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1:20">
      <c r="A135" s="8" t="s">
        <v>128</v>
      </c>
      <c r="B135" s="8" t="s">
        <v>129</v>
      </c>
      <c r="C135" s="8" t="s">
        <v>317</v>
      </c>
      <c r="D135" s="9"/>
      <c r="E135" s="8">
        <v>2</v>
      </c>
      <c r="F135" s="11" t="s">
        <v>95</v>
      </c>
      <c r="G135" s="8" t="s">
        <v>178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0">
      <c r="A136" s="8" t="s">
        <v>128</v>
      </c>
      <c r="B136" s="8" t="s">
        <v>129</v>
      </c>
      <c r="C136" s="8" t="s">
        <v>318</v>
      </c>
      <c r="D136" s="9"/>
      <c r="E136" s="8">
        <v>1</v>
      </c>
      <c r="F136" s="11" t="s">
        <v>95</v>
      </c>
      <c r="G136" s="8" t="s">
        <v>165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1:20">
      <c r="A137" s="8" t="s">
        <v>128</v>
      </c>
      <c r="B137" s="8" t="s">
        <v>129</v>
      </c>
      <c r="C137" s="8" t="s">
        <v>319</v>
      </c>
      <c r="D137" s="9"/>
      <c r="E137" s="8">
        <v>2</v>
      </c>
      <c r="F137" s="13" t="s">
        <v>114</v>
      </c>
      <c r="G137" s="8" t="s">
        <v>165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0">
      <c r="A138" s="8" t="s">
        <v>128</v>
      </c>
      <c r="B138" s="8" t="s">
        <v>129</v>
      </c>
      <c r="C138" s="8" t="s">
        <v>320</v>
      </c>
      <c r="D138" s="9"/>
      <c r="E138" s="8">
        <v>1</v>
      </c>
      <c r="F138" s="13" t="s">
        <v>114</v>
      </c>
      <c r="G138" s="8" t="s">
        <v>165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1:20">
      <c r="A139" s="8" t="s">
        <v>128</v>
      </c>
      <c r="B139" s="8" t="s">
        <v>129</v>
      </c>
      <c r="C139" s="8" t="s">
        <v>321</v>
      </c>
      <c r="D139" s="9"/>
      <c r="E139" s="8">
        <v>1</v>
      </c>
      <c r="F139" s="11" t="s">
        <v>95</v>
      </c>
      <c r="G139" s="8" t="s">
        <v>165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1:20">
      <c r="A140" s="8" t="s">
        <v>128</v>
      </c>
      <c r="B140" s="8" t="s">
        <v>131</v>
      </c>
      <c r="C140" s="8" t="s">
        <v>322</v>
      </c>
      <c r="D140" s="9"/>
      <c r="E140" s="8">
        <v>1</v>
      </c>
      <c r="F140" s="11" t="s">
        <v>95</v>
      </c>
      <c r="G140" s="8" t="s">
        <v>316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>
      <c r="A141" s="8" t="s">
        <v>128</v>
      </c>
      <c r="B141" s="8" t="s">
        <v>131</v>
      </c>
      <c r="C141" s="8" t="s">
        <v>323</v>
      </c>
      <c r="D141" s="9"/>
      <c r="E141" s="8">
        <v>1</v>
      </c>
      <c r="F141" s="11" t="s">
        <v>95</v>
      </c>
      <c r="G141" s="8" t="s">
        <v>178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0">
      <c r="A142" s="8" t="s">
        <v>128</v>
      </c>
      <c r="B142" s="8" t="s">
        <v>131</v>
      </c>
      <c r="C142" s="8" t="s">
        <v>324</v>
      </c>
      <c r="D142" s="9"/>
      <c r="E142" s="8">
        <v>1</v>
      </c>
      <c r="F142" s="11" t="s">
        <v>95</v>
      </c>
      <c r="G142" s="8" t="s">
        <v>178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1:20">
      <c r="A143" s="8" t="s">
        <v>128</v>
      </c>
      <c r="B143" s="8" t="s">
        <v>131</v>
      </c>
      <c r="C143" s="8" t="s">
        <v>325</v>
      </c>
      <c r="D143" s="9"/>
      <c r="E143" s="8">
        <v>1</v>
      </c>
      <c r="F143" s="11" t="s">
        <v>95</v>
      </c>
      <c r="G143" s="8" t="s">
        <v>165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0">
      <c r="A144" s="8" t="s">
        <v>128</v>
      </c>
      <c r="B144" s="8" t="s">
        <v>131</v>
      </c>
      <c r="C144" s="8" t="s">
        <v>326</v>
      </c>
      <c r="D144" s="9"/>
      <c r="E144" s="8">
        <v>1</v>
      </c>
      <c r="F144" s="11" t="s">
        <v>95</v>
      </c>
      <c r="G144" s="8" t="s">
        <v>165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1:20">
      <c r="A145" s="8" t="s">
        <v>128</v>
      </c>
      <c r="B145" s="8" t="s">
        <v>131</v>
      </c>
      <c r="C145" s="8" t="s">
        <v>327</v>
      </c>
      <c r="D145" s="9"/>
      <c r="E145" s="8">
        <v>2</v>
      </c>
      <c r="F145" s="11" t="s">
        <v>95</v>
      </c>
      <c r="G145" s="8" t="s">
        <v>165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>
      <c r="A146" s="8" t="s">
        <v>128</v>
      </c>
      <c r="B146" s="8" t="s">
        <v>131</v>
      </c>
      <c r="C146" s="8" t="s">
        <v>328</v>
      </c>
      <c r="D146" s="9"/>
      <c r="E146" s="8">
        <v>1</v>
      </c>
      <c r="F146" s="11" t="s">
        <v>95</v>
      </c>
      <c r="G146" s="8" t="s">
        <v>165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1:20">
      <c r="A147" s="8" t="s">
        <v>128</v>
      </c>
      <c r="B147" s="8" t="s">
        <v>131</v>
      </c>
      <c r="C147" s="8" t="s">
        <v>329</v>
      </c>
      <c r="D147" s="9"/>
      <c r="E147" s="8">
        <v>2</v>
      </c>
      <c r="F147" s="11" t="s">
        <v>95</v>
      </c>
      <c r="G147" s="8" t="s">
        <v>165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1:20">
      <c r="A148" s="8" t="s">
        <v>128</v>
      </c>
      <c r="B148" s="8" t="s">
        <v>132</v>
      </c>
      <c r="C148" s="8" t="s">
        <v>330</v>
      </c>
      <c r="D148" s="9"/>
      <c r="E148" s="8">
        <v>4</v>
      </c>
      <c r="F148" s="11" t="s">
        <v>95</v>
      </c>
      <c r="G148" s="8" t="s">
        <v>178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1:20">
      <c r="A149" s="8" t="s">
        <v>128</v>
      </c>
      <c r="B149" s="8" t="s">
        <v>132</v>
      </c>
      <c r="C149" s="8" t="s">
        <v>331</v>
      </c>
      <c r="D149" s="9"/>
      <c r="E149" s="8">
        <v>1</v>
      </c>
      <c r="F149" s="11" t="s">
        <v>95</v>
      </c>
      <c r="G149" s="8" t="s">
        <v>316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1:20">
      <c r="A150" s="8" t="s">
        <v>128</v>
      </c>
      <c r="B150" s="8" t="s">
        <v>132</v>
      </c>
      <c r="C150" s="8" t="s">
        <v>332</v>
      </c>
      <c r="D150" s="9"/>
      <c r="E150" s="8">
        <v>2</v>
      </c>
      <c r="F150" s="13" t="s">
        <v>114</v>
      </c>
      <c r="G150" s="8" t="s">
        <v>178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1:20">
      <c r="A151" s="8" t="s">
        <v>128</v>
      </c>
      <c r="B151" s="8" t="s">
        <v>132</v>
      </c>
      <c r="C151" s="8" t="s">
        <v>333</v>
      </c>
      <c r="D151" s="9"/>
      <c r="E151" s="8">
        <v>2</v>
      </c>
      <c r="F151" s="13" t="s">
        <v>114</v>
      </c>
      <c r="G151" s="8" t="s">
        <v>178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1:20">
      <c r="A152" s="8" t="s">
        <v>128</v>
      </c>
      <c r="B152" s="8" t="s">
        <v>132</v>
      </c>
      <c r="C152" s="8" t="s">
        <v>334</v>
      </c>
      <c r="D152" s="9"/>
      <c r="E152" s="8">
        <v>1</v>
      </c>
      <c r="F152" s="13" t="s">
        <v>114</v>
      </c>
      <c r="G152" s="8" t="s">
        <v>178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1:20">
      <c r="A153" s="8" t="s">
        <v>128</v>
      </c>
      <c r="B153" s="8" t="s">
        <v>132</v>
      </c>
      <c r="C153" s="8" t="s">
        <v>335</v>
      </c>
      <c r="D153" s="9"/>
      <c r="E153" s="8">
        <v>1</v>
      </c>
      <c r="F153" s="11" t="s">
        <v>95</v>
      </c>
      <c r="G153" s="8" t="s">
        <v>178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1:20">
      <c r="A154" s="8" t="s">
        <v>128</v>
      </c>
      <c r="B154" s="8" t="s">
        <v>132</v>
      </c>
      <c r="C154" s="8" t="s">
        <v>336</v>
      </c>
      <c r="D154" s="9"/>
      <c r="E154" s="8">
        <v>1</v>
      </c>
      <c r="F154" s="11" t="s">
        <v>95</v>
      </c>
      <c r="G154" s="8" t="s">
        <v>165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>
      <c r="A155" s="8" t="s">
        <v>128</v>
      </c>
      <c r="B155" s="8" t="s">
        <v>132</v>
      </c>
      <c r="C155" s="8" t="s">
        <v>337</v>
      </c>
      <c r="D155" s="9"/>
      <c r="E155" s="8">
        <v>7</v>
      </c>
      <c r="F155" s="11" t="s">
        <v>95</v>
      </c>
      <c r="G155" s="8" t="s">
        <v>165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>
      <c r="A156" s="8" t="s">
        <v>128</v>
      </c>
      <c r="B156" s="8" t="s">
        <v>132</v>
      </c>
      <c r="C156" s="8" t="s">
        <v>338</v>
      </c>
      <c r="D156" s="9"/>
      <c r="E156" s="8">
        <v>2</v>
      </c>
      <c r="F156" s="11" t="s">
        <v>95</v>
      </c>
      <c r="G156" s="8" t="s">
        <v>165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>
      <c r="A157" s="8" t="s">
        <v>128</v>
      </c>
      <c r="B157" s="8" t="s">
        <v>132</v>
      </c>
      <c r="C157" s="8" t="s">
        <v>339</v>
      </c>
      <c r="D157" s="9"/>
      <c r="E157" s="8">
        <v>2</v>
      </c>
      <c r="F157" s="11" t="s">
        <v>95</v>
      </c>
      <c r="G157" s="8" t="s">
        <v>165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>
      <c r="A158" s="8" t="s">
        <v>133</v>
      </c>
      <c r="B158" s="8" t="s">
        <v>139</v>
      </c>
      <c r="C158" s="8" t="s">
        <v>340</v>
      </c>
      <c r="D158" s="9"/>
      <c r="E158" s="8">
        <v>1</v>
      </c>
      <c r="F158" s="11" t="s">
        <v>95</v>
      </c>
      <c r="G158" s="8" t="s">
        <v>166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>
      <c r="A159" s="8" t="s">
        <v>133</v>
      </c>
      <c r="B159" s="8" t="s">
        <v>139</v>
      </c>
      <c r="C159" s="8" t="s">
        <v>341</v>
      </c>
      <c r="D159" s="9"/>
      <c r="E159" s="8">
        <v>2</v>
      </c>
      <c r="F159" s="12" t="s">
        <v>91</v>
      </c>
      <c r="G159" s="8" t="s">
        <v>167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>
      <c r="A160" s="8" t="s">
        <v>133</v>
      </c>
      <c r="B160" s="8" t="s">
        <v>139</v>
      </c>
      <c r="C160" s="8" t="s">
        <v>342</v>
      </c>
      <c r="D160" s="9"/>
      <c r="E160" s="8">
        <v>1</v>
      </c>
      <c r="F160" s="13" t="s">
        <v>114</v>
      </c>
      <c r="G160" s="8" t="s">
        <v>119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>
      <c r="A161" s="8" t="s">
        <v>133</v>
      </c>
      <c r="B161" s="8" t="s">
        <v>139</v>
      </c>
      <c r="C161" s="8" t="s">
        <v>343</v>
      </c>
      <c r="D161" s="9"/>
      <c r="E161" s="8">
        <v>1</v>
      </c>
      <c r="F161" s="13" t="s">
        <v>114</v>
      </c>
      <c r="G161" s="8" t="s">
        <v>119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>
      <c r="A162" s="8" t="s">
        <v>133</v>
      </c>
      <c r="B162" s="8" t="s">
        <v>139</v>
      </c>
      <c r="C162" s="8" t="s">
        <v>344</v>
      </c>
      <c r="D162" s="9"/>
      <c r="E162" s="8">
        <v>1</v>
      </c>
      <c r="F162" s="13" t="s">
        <v>114</v>
      </c>
      <c r="G162" s="8" t="s">
        <v>116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>
      <c r="A163" s="8" t="s">
        <v>133</v>
      </c>
      <c r="B163" s="8" t="s">
        <v>139</v>
      </c>
      <c r="C163" s="8" t="s">
        <v>345</v>
      </c>
      <c r="D163" s="9"/>
      <c r="E163" s="8">
        <v>1</v>
      </c>
      <c r="F163" s="13" t="s">
        <v>114</v>
      </c>
      <c r="G163" s="8" t="s">
        <v>119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>
      <c r="A164" s="8" t="s">
        <v>133</v>
      </c>
      <c r="B164" s="8" t="s">
        <v>139</v>
      </c>
      <c r="C164" s="8" t="s">
        <v>346</v>
      </c>
      <c r="D164" s="9"/>
      <c r="E164" s="8">
        <v>1</v>
      </c>
      <c r="F164" s="13" t="s">
        <v>114</v>
      </c>
      <c r="G164" s="8" t="s">
        <v>182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1:20">
      <c r="A165" s="8" t="s">
        <v>133</v>
      </c>
      <c r="B165" s="8" t="s">
        <v>139</v>
      </c>
      <c r="C165" s="8" t="s">
        <v>347</v>
      </c>
      <c r="D165" s="9"/>
      <c r="E165" s="8">
        <v>1</v>
      </c>
      <c r="F165" s="13" t="s">
        <v>114</v>
      </c>
      <c r="G165" s="8" t="s">
        <v>182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1:20">
      <c r="A166" s="8" t="s">
        <v>133</v>
      </c>
      <c r="B166" s="8" t="s">
        <v>139</v>
      </c>
      <c r="C166" s="8" t="s">
        <v>348</v>
      </c>
      <c r="D166" s="9"/>
      <c r="E166" s="8">
        <v>1</v>
      </c>
      <c r="F166" s="13" t="s">
        <v>114</v>
      </c>
      <c r="G166" s="8" t="s">
        <v>182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1:20">
      <c r="A167" s="8" t="s">
        <v>133</v>
      </c>
      <c r="B167" s="8" t="s">
        <v>139</v>
      </c>
      <c r="C167" s="8" t="s">
        <v>349</v>
      </c>
      <c r="D167" s="9"/>
      <c r="E167" s="8">
        <v>2</v>
      </c>
      <c r="F167" s="11" t="s">
        <v>95</v>
      </c>
      <c r="G167" s="8" t="s">
        <v>182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1:20">
      <c r="A168" s="8" t="s">
        <v>133</v>
      </c>
      <c r="B168" s="8" t="s">
        <v>139</v>
      </c>
      <c r="C168" s="8" t="s">
        <v>350</v>
      </c>
      <c r="D168" s="9"/>
      <c r="E168" s="8">
        <v>1</v>
      </c>
      <c r="F168" s="11" t="s">
        <v>95</v>
      </c>
      <c r="G168" s="8" t="s">
        <v>108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1:20">
      <c r="A169" s="8" t="s">
        <v>133</v>
      </c>
      <c r="B169" s="8" t="s">
        <v>139</v>
      </c>
      <c r="C169" s="8" t="s">
        <v>351</v>
      </c>
      <c r="D169" s="9"/>
      <c r="E169" s="8">
        <v>1</v>
      </c>
      <c r="F169" s="11" t="s">
        <v>95</v>
      </c>
      <c r="G169" s="8" t="s">
        <v>108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1:20">
      <c r="A170" s="8" t="s">
        <v>133</v>
      </c>
      <c r="B170" s="8" t="s">
        <v>139</v>
      </c>
      <c r="C170" s="8" t="s">
        <v>352</v>
      </c>
      <c r="D170" s="9"/>
      <c r="E170" s="8">
        <v>2</v>
      </c>
      <c r="F170" s="13" t="s">
        <v>114</v>
      </c>
      <c r="G170" s="8" t="s">
        <v>182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20">
      <c r="A171" s="8" t="s">
        <v>133</v>
      </c>
      <c r="B171" s="8" t="s">
        <v>139</v>
      </c>
      <c r="C171" s="8" t="s">
        <v>353</v>
      </c>
      <c r="D171" s="9"/>
      <c r="E171" s="8">
        <v>1</v>
      </c>
      <c r="F171" s="11" t="s">
        <v>95</v>
      </c>
      <c r="G171" s="8" t="s">
        <v>182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>
      <c r="A172" s="8" t="s">
        <v>133</v>
      </c>
      <c r="B172" s="8" t="s">
        <v>139</v>
      </c>
      <c r="C172" s="8" t="s">
        <v>354</v>
      </c>
      <c r="D172" s="9"/>
      <c r="E172" s="8">
        <v>1</v>
      </c>
      <c r="F172" s="11" t="s">
        <v>95</v>
      </c>
      <c r="G172" s="8" t="s">
        <v>182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20">
      <c r="A173" s="8" t="s">
        <v>133</v>
      </c>
      <c r="B173" s="8" t="s">
        <v>139</v>
      </c>
      <c r="C173" s="8" t="s">
        <v>355</v>
      </c>
      <c r="D173" s="9"/>
      <c r="E173" s="8">
        <v>1</v>
      </c>
      <c r="F173" s="11" t="s">
        <v>95</v>
      </c>
      <c r="G173" s="8" t="s">
        <v>182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>
      <c r="A174" s="8" t="s">
        <v>133</v>
      </c>
      <c r="B174" s="8" t="s">
        <v>139</v>
      </c>
      <c r="C174" s="8" t="s">
        <v>356</v>
      </c>
      <c r="D174" s="9"/>
      <c r="E174" s="8">
        <v>1</v>
      </c>
      <c r="F174" s="13" t="s">
        <v>114</v>
      </c>
      <c r="G174" s="8" t="s">
        <v>294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1:20">
      <c r="A175" s="8" t="s">
        <v>133</v>
      </c>
      <c r="B175" s="8" t="s">
        <v>139</v>
      </c>
      <c r="C175" s="8" t="s">
        <v>357</v>
      </c>
      <c r="D175" s="9"/>
      <c r="E175" s="8">
        <v>1</v>
      </c>
      <c r="F175" s="11" t="s">
        <v>95</v>
      </c>
      <c r="G175" s="8" t="s">
        <v>358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20">
      <c r="A176" s="8" t="s">
        <v>133</v>
      </c>
      <c r="B176" s="8" t="s">
        <v>139</v>
      </c>
      <c r="C176" s="8" t="s">
        <v>359</v>
      </c>
      <c r="D176" s="9"/>
      <c r="E176" s="8">
        <v>1</v>
      </c>
      <c r="F176" s="13" t="s">
        <v>114</v>
      </c>
      <c r="G176" s="8" t="s">
        <v>248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>
      <c r="A177" s="8" t="s">
        <v>133</v>
      </c>
      <c r="B177" s="8" t="s">
        <v>139</v>
      </c>
      <c r="C177" s="8" t="s">
        <v>360</v>
      </c>
      <c r="D177" s="9"/>
      <c r="E177" s="8">
        <v>2</v>
      </c>
      <c r="F177" s="13" t="s">
        <v>114</v>
      </c>
      <c r="G177" s="8" t="s">
        <v>248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>
      <c r="A178" s="8" t="s">
        <v>133</v>
      </c>
      <c r="B178" s="8" t="s">
        <v>139</v>
      </c>
      <c r="C178" s="8" t="s">
        <v>361</v>
      </c>
      <c r="D178" s="9"/>
      <c r="E178" s="8">
        <v>1</v>
      </c>
      <c r="F178" s="11" t="s">
        <v>95</v>
      </c>
      <c r="G178" s="8" t="s">
        <v>248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>
      <c r="A179" s="8" t="s">
        <v>133</v>
      </c>
      <c r="B179" s="8" t="s">
        <v>162</v>
      </c>
      <c r="C179" s="8" t="s">
        <v>362</v>
      </c>
      <c r="D179" s="9"/>
      <c r="E179" s="8">
        <v>1</v>
      </c>
      <c r="F179" s="13" t="s">
        <v>114</v>
      </c>
      <c r="G179" s="8" t="s">
        <v>248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1:20">
      <c r="A180" s="8" t="s">
        <v>133</v>
      </c>
      <c r="B180" s="8" t="s">
        <v>106</v>
      </c>
      <c r="C180" s="8" t="s">
        <v>363</v>
      </c>
      <c r="D180" s="9"/>
      <c r="E180" s="8">
        <v>1</v>
      </c>
      <c r="F180" s="11" t="s">
        <v>95</v>
      </c>
      <c r="G180" s="8" t="s">
        <v>119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1:20">
      <c r="A181" s="8" t="s">
        <v>133</v>
      </c>
      <c r="B181" s="8" t="s">
        <v>106</v>
      </c>
      <c r="C181" s="8" t="s">
        <v>364</v>
      </c>
      <c r="D181" s="9"/>
      <c r="E181" s="8">
        <v>2</v>
      </c>
      <c r="F181" s="11" t="s">
        <v>95</v>
      </c>
      <c r="G181" s="8" t="s">
        <v>116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1:20">
      <c r="A182" s="8" t="s">
        <v>133</v>
      </c>
      <c r="B182" s="8" t="s">
        <v>106</v>
      </c>
      <c r="C182" s="8" t="s">
        <v>365</v>
      </c>
      <c r="D182" s="9"/>
      <c r="E182" s="8">
        <v>2</v>
      </c>
      <c r="F182" s="11" t="s">
        <v>95</v>
      </c>
      <c r="G182" s="8" t="s">
        <v>116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1:20">
      <c r="A183" s="8" t="s">
        <v>133</v>
      </c>
      <c r="B183" s="8" t="s">
        <v>106</v>
      </c>
      <c r="C183" s="8" t="s">
        <v>366</v>
      </c>
      <c r="D183" s="9"/>
      <c r="E183" s="8">
        <v>2</v>
      </c>
      <c r="F183" s="11" t="s">
        <v>95</v>
      </c>
      <c r="G183" s="8" t="s">
        <v>119</v>
      </c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1:20">
      <c r="A184" s="8" t="s">
        <v>133</v>
      </c>
      <c r="B184" s="8" t="s">
        <v>106</v>
      </c>
      <c r="C184" s="8" t="s">
        <v>367</v>
      </c>
      <c r="D184" s="9"/>
      <c r="E184" s="8">
        <v>1</v>
      </c>
      <c r="F184" s="11" t="s">
        <v>95</v>
      </c>
      <c r="G184" s="8" t="s">
        <v>119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1:20">
      <c r="A185" s="8" t="s">
        <v>133</v>
      </c>
      <c r="B185" s="8" t="s">
        <v>106</v>
      </c>
      <c r="C185" s="8" t="s">
        <v>368</v>
      </c>
      <c r="D185" s="9"/>
      <c r="E185" s="8">
        <v>1</v>
      </c>
      <c r="F185" s="11" t="s">
        <v>95</v>
      </c>
      <c r="G185" s="8" t="s">
        <v>119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1:20">
      <c r="A186" s="8" t="s">
        <v>133</v>
      </c>
      <c r="B186" s="8" t="s">
        <v>106</v>
      </c>
      <c r="C186" s="8" t="s">
        <v>369</v>
      </c>
      <c r="D186" s="9"/>
      <c r="E186" s="8">
        <v>1</v>
      </c>
      <c r="F186" s="11" t="s">
        <v>95</v>
      </c>
      <c r="G186" s="8" t="s">
        <v>116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1:20">
      <c r="A187" s="8" t="s">
        <v>133</v>
      </c>
      <c r="B187" s="8" t="s">
        <v>106</v>
      </c>
      <c r="C187" s="8" t="s">
        <v>370</v>
      </c>
      <c r="D187" s="9"/>
      <c r="E187" s="8">
        <v>1</v>
      </c>
      <c r="F187" s="13" t="s">
        <v>114</v>
      </c>
      <c r="G187" s="8" t="s">
        <v>182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1:20">
      <c r="A188" s="8" t="s">
        <v>133</v>
      </c>
      <c r="B188" s="8" t="s">
        <v>106</v>
      </c>
      <c r="C188" s="8" t="s">
        <v>371</v>
      </c>
      <c r="D188" s="9"/>
      <c r="E188" s="8">
        <v>3</v>
      </c>
      <c r="F188" s="13" t="s">
        <v>114</v>
      </c>
      <c r="G188" s="8" t="s">
        <v>182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1:20">
      <c r="A189" s="8" t="s">
        <v>133</v>
      </c>
      <c r="B189" s="8" t="s">
        <v>106</v>
      </c>
      <c r="C189" s="8" t="s">
        <v>372</v>
      </c>
      <c r="D189" s="9"/>
      <c r="E189" s="8">
        <v>2</v>
      </c>
      <c r="F189" s="11" t="s">
        <v>95</v>
      </c>
      <c r="G189" s="8" t="s">
        <v>182</v>
      </c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1:20">
      <c r="A190" s="8" t="s">
        <v>133</v>
      </c>
      <c r="B190" s="8" t="s">
        <v>106</v>
      </c>
      <c r="C190" s="8" t="s">
        <v>373</v>
      </c>
      <c r="D190" s="9"/>
      <c r="E190" s="8">
        <v>1</v>
      </c>
      <c r="F190" s="13" t="s">
        <v>114</v>
      </c>
      <c r="G190" s="8" t="s">
        <v>182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1:20">
      <c r="A191" s="8" t="s">
        <v>133</v>
      </c>
      <c r="B191" s="8" t="s">
        <v>106</v>
      </c>
      <c r="C191" s="8" t="s">
        <v>374</v>
      </c>
      <c r="D191" s="9"/>
      <c r="E191" s="8">
        <v>1</v>
      </c>
      <c r="F191" s="11" t="s">
        <v>95</v>
      </c>
      <c r="G191" s="8" t="s">
        <v>182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1:20">
      <c r="A192" s="8" t="s">
        <v>133</v>
      </c>
      <c r="B192" s="8" t="s">
        <v>106</v>
      </c>
      <c r="C192" s="8" t="s">
        <v>375</v>
      </c>
      <c r="D192" s="9"/>
      <c r="E192" s="8">
        <v>1</v>
      </c>
      <c r="F192" s="13" t="s">
        <v>114</v>
      </c>
      <c r="G192" s="8" t="s">
        <v>182</v>
      </c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1:20">
      <c r="A193" s="8" t="s">
        <v>133</v>
      </c>
      <c r="B193" s="8" t="s">
        <v>106</v>
      </c>
      <c r="C193" s="8" t="s">
        <v>376</v>
      </c>
      <c r="D193" s="9"/>
      <c r="E193" s="8">
        <v>1</v>
      </c>
      <c r="F193" s="11" t="s">
        <v>95</v>
      </c>
      <c r="G193" s="8" t="s">
        <v>113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1:20">
      <c r="A194" s="8" t="s">
        <v>133</v>
      </c>
      <c r="B194" s="8" t="s">
        <v>106</v>
      </c>
      <c r="C194" s="8" t="s">
        <v>377</v>
      </c>
      <c r="D194" s="9"/>
      <c r="E194" s="8">
        <v>1</v>
      </c>
      <c r="F194" s="11" t="s">
        <v>95</v>
      </c>
      <c r="G194" s="8" t="s">
        <v>248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1:20">
      <c r="A195" s="8" t="s">
        <v>133</v>
      </c>
      <c r="B195" s="8" t="s">
        <v>107</v>
      </c>
      <c r="C195" s="8" t="s">
        <v>378</v>
      </c>
      <c r="D195" s="9"/>
      <c r="E195" s="8">
        <v>1</v>
      </c>
      <c r="F195" s="13" t="s">
        <v>114</v>
      </c>
      <c r="G195" s="8" t="s">
        <v>119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0">
      <c r="A196" s="8" t="s">
        <v>133</v>
      </c>
      <c r="B196" s="8" t="s">
        <v>107</v>
      </c>
      <c r="C196" s="8" t="s">
        <v>379</v>
      </c>
      <c r="D196" s="9"/>
      <c r="E196" s="8">
        <v>2</v>
      </c>
      <c r="F196" s="11" t="s">
        <v>95</v>
      </c>
      <c r="G196" s="8" t="s">
        <v>119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0">
      <c r="A197" s="8" t="s">
        <v>133</v>
      </c>
      <c r="B197" s="8" t="s">
        <v>107</v>
      </c>
      <c r="C197" s="8" t="s">
        <v>380</v>
      </c>
      <c r="D197" s="9"/>
      <c r="E197" s="8">
        <v>3</v>
      </c>
      <c r="F197" s="13" t="s">
        <v>114</v>
      </c>
      <c r="G197" s="8" t="s">
        <v>119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>
      <c r="A198" s="8" t="s">
        <v>133</v>
      </c>
      <c r="B198" s="8" t="s">
        <v>107</v>
      </c>
      <c r="C198" s="8" t="s">
        <v>381</v>
      </c>
      <c r="D198" s="9"/>
      <c r="E198" s="8">
        <v>2</v>
      </c>
      <c r="F198" s="13" t="s">
        <v>114</v>
      </c>
      <c r="G198" s="8" t="s">
        <v>119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0">
      <c r="A199" s="8" t="s">
        <v>133</v>
      </c>
      <c r="B199" s="8" t="s">
        <v>107</v>
      </c>
      <c r="C199" s="8" t="s">
        <v>382</v>
      </c>
      <c r="D199" s="9"/>
      <c r="E199" s="8">
        <v>2</v>
      </c>
      <c r="F199" s="13" t="s">
        <v>114</v>
      </c>
      <c r="G199" s="8" t="s">
        <v>119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>
      <c r="A200" s="8" t="s">
        <v>133</v>
      </c>
      <c r="B200" s="8" t="s">
        <v>107</v>
      </c>
      <c r="C200" s="8" t="s">
        <v>383</v>
      </c>
      <c r="D200" s="9"/>
      <c r="E200" s="8">
        <v>1</v>
      </c>
      <c r="F200" s="11" t="s">
        <v>95</v>
      </c>
      <c r="G200" s="8" t="s">
        <v>182</v>
      </c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0">
      <c r="A201" s="8" t="s">
        <v>133</v>
      </c>
      <c r="B201" s="8" t="s">
        <v>107</v>
      </c>
      <c r="C201" s="8" t="s">
        <v>384</v>
      </c>
      <c r="D201" s="9"/>
      <c r="E201" s="8">
        <v>2</v>
      </c>
      <c r="F201" s="13" t="s">
        <v>114</v>
      </c>
      <c r="G201" s="8" t="s">
        <v>137</v>
      </c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>
      <c r="A202" s="8" t="s">
        <v>133</v>
      </c>
      <c r="B202" s="8" t="s">
        <v>107</v>
      </c>
      <c r="C202" s="8" t="s">
        <v>385</v>
      </c>
      <c r="D202" s="9"/>
      <c r="E202" s="8">
        <v>1</v>
      </c>
      <c r="F202" s="11" t="s">
        <v>95</v>
      </c>
      <c r="G202" s="8" t="s">
        <v>182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0">
      <c r="A203" s="8" t="s">
        <v>133</v>
      </c>
      <c r="B203" s="8" t="s">
        <v>107</v>
      </c>
      <c r="C203" s="8" t="s">
        <v>386</v>
      </c>
      <c r="D203" s="9"/>
      <c r="E203" s="8">
        <v>1</v>
      </c>
      <c r="F203" s="11" t="s">
        <v>95</v>
      </c>
      <c r="G203" s="8" t="s">
        <v>182</v>
      </c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0">
      <c r="A204" s="8" t="s">
        <v>134</v>
      </c>
      <c r="B204" s="8" t="s">
        <v>151</v>
      </c>
      <c r="C204" s="8" t="s">
        <v>387</v>
      </c>
      <c r="D204" s="9"/>
      <c r="E204" s="8">
        <v>6</v>
      </c>
      <c r="F204" s="11" t="s">
        <v>95</v>
      </c>
      <c r="G204" s="8" t="s">
        <v>119</v>
      </c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20">
      <c r="A205" s="8" t="s">
        <v>134</v>
      </c>
      <c r="B205" s="8" t="s">
        <v>151</v>
      </c>
      <c r="C205" s="8" t="s">
        <v>388</v>
      </c>
      <c r="D205" s="9"/>
      <c r="E205" s="8">
        <v>4</v>
      </c>
      <c r="F205" s="13" t="s">
        <v>114</v>
      </c>
      <c r="G205" s="8" t="s">
        <v>137</v>
      </c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20">
      <c r="A206" s="8" t="s">
        <v>134</v>
      </c>
      <c r="B206" s="8" t="s">
        <v>151</v>
      </c>
      <c r="C206" s="8" t="s">
        <v>389</v>
      </c>
      <c r="D206" s="9"/>
      <c r="E206" s="8">
        <v>2</v>
      </c>
      <c r="F206" s="13" t="s">
        <v>114</v>
      </c>
      <c r="G206" s="8" t="s">
        <v>182</v>
      </c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1:20">
      <c r="A207" s="8" t="s">
        <v>134</v>
      </c>
      <c r="B207" s="8" t="s">
        <v>151</v>
      </c>
      <c r="C207" s="8" t="s">
        <v>390</v>
      </c>
      <c r="D207" s="9"/>
      <c r="E207" s="8">
        <v>2</v>
      </c>
      <c r="F207" s="13" t="s">
        <v>114</v>
      </c>
      <c r="G207" s="8" t="s">
        <v>182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20">
      <c r="A208" s="8" t="s">
        <v>134</v>
      </c>
      <c r="B208" s="8" t="s">
        <v>151</v>
      </c>
      <c r="C208" s="8" t="s">
        <v>391</v>
      </c>
      <c r="D208" s="9"/>
      <c r="E208" s="8">
        <v>8</v>
      </c>
      <c r="F208" s="11" t="s">
        <v>95</v>
      </c>
      <c r="G208" s="8" t="s">
        <v>182</v>
      </c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1:20">
      <c r="A209" s="8" t="s">
        <v>134</v>
      </c>
      <c r="B209" s="8" t="s">
        <v>151</v>
      </c>
      <c r="C209" s="8" t="s">
        <v>392</v>
      </c>
      <c r="D209" s="9"/>
      <c r="E209" s="8">
        <v>2</v>
      </c>
      <c r="F209" s="13" t="s">
        <v>114</v>
      </c>
      <c r="G209" s="8" t="s">
        <v>248</v>
      </c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>
      <c r="A210" s="8" t="s">
        <v>134</v>
      </c>
      <c r="B210" s="8" t="s">
        <v>151</v>
      </c>
      <c r="C210" s="8" t="s">
        <v>393</v>
      </c>
      <c r="D210" s="9"/>
      <c r="E210" s="8">
        <v>2</v>
      </c>
      <c r="F210" s="13" t="s">
        <v>114</v>
      </c>
      <c r="G210" s="8" t="s">
        <v>248</v>
      </c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1:20">
      <c r="A211" s="8" t="s">
        <v>134</v>
      </c>
      <c r="B211" s="8" t="s">
        <v>97</v>
      </c>
      <c r="C211" s="8" t="s">
        <v>394</v>
      </c>
      <c r="D211" s="9"/>
      <c r="E211" s="8">
        <v>4</v>
      </c>
      <c r="F211" s="13" t="s">
        <v>114</v>
      </c>
      <c r="G211" s="8" t="s">
        <v>119</v>
      </c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1:20">
      <c r="A212" s="8" t="s">
        <v>134</v>
      </c>
      <c r="B212" s="8" t="s">
        <v>97</v>
      </c>
      <c r="C212" s="8" t="s">
        <v>395</v>
      </c>
      <c r="D212" s="9"/>
      <c r="E212" s="8">
        <v>3</v>
      </c>
      <c r="F212" s="13" t="s">
        <v>114</v>
      </c>
      <c r="G212" s="8" t="s">
        <v>182</v>
      </c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1:20">
      <c r="A213" s="8" t="s">
        <v>134</v>
      </c>
      <c r="B213" s="8" t="s">
        <v>97</v>
      </c>
      <c r="C213" s="8" t="s">
        <v>396</v>
      </c>
      <c r="D213" s="9"/>
      <c r="E213" s="8">
        <v>2</v>
      </c>
      <c r="F213" s="13" t="s">
        <v>114</v>
      </c>
      <c r="G213" s="8" t="s">
        <v>182</v>
      </c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1:20">
      <c r="A214" s="8" t="s">
        <v>134</v>
      </c>
      <c r="B214" s="8" t="s">
        <v>94</v>
      </c>
      <c r="C214" s="8" t="s">
        <v>397</v>
      </c>
      <c r="D214" s="9"/>
      <c r="E214" s="8">
        <v>2</v>
      </c>
      <c r="F214" s="13" t="s">
        <v>114</v>
      </c>
      <c r="G214" s="8" t="s">
        <v>119</v>
      </c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1:20">
      <c r="A215" s="8" t="s">
        <v>134</v>
      </c>
      <c r="B215" s="8" t="s">
        <v>94</v>
      </c>
      <c r="C215" s="8" t="s">
        <v>398</v>
      </c>
      <c r="D215" s="9"/>
      <c r="E215" s="8">
        <v>1</v>
      </c>
      <c r="F215" s="11" t="s">
        <v>95</v>
      </c>
      <c r="G215" s="8" t="s">
        <v>182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1:20">
      <c r="A216" s="8" t="s">
        <v>134</v>
      </c>
      <c r="B216" s="8" t="s">
        <v>94</v>
      </c>
      <c r="C216" s="8" t="s">
        <v>399</v>
      </c>
      <c r="D216" s="9"/>
      <c r="E216" s="8">
        <v>1</v>
      </c>
      <c r="F216" s="13" t="s">
        <v>114</v>
      </c>
      <c r="G216" s="8" t="s">
        <v>182</v>
      </c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1:20">
      <c r="A217" s="8" t="s">
        <v>134</v>
      </c>
      <c r="B217" s="8" t="s">
        <v>94</v>
      </c>
      <c r="C217" s="8" t="s">
        <v>400</v>
      </c>
      <c r="D217" s="9"/>
      <c r="E217" s="8">
        <v>1</v>
      </c>
      <c r="F217" s="11" t="s">
        <v>95</v>
      </c>
      <c r="G217" s="8" t="s">
        <v>182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1:20">
      <c r="A218" s="8" t="s">
        <v>134</v>
      </c>
      <c r="B218" s="8" t="s">
        <v>94</v>
      </c>
      <c r="C218" s="8" t="s">
        <v>401</v>
      </c>
      <c r="D218" s="9"/>
      <c r="E218" s="8">
        <v>1</v>
      </c>
      <c r="F218" s="11" t="s">
        <v>95</v>
      </c>
      <c r="G218" s="8" t="s">
        <v>108</v>
      </c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1:20">
      <c r="A219" s="8" t="s">
        <v>134</v>
      </c>
      <c r="B219" s="8" t="s">
        <v>94</v>
      </c>
      <c r="C219" s="8" t="s">
        <v>402</v>
      </c>
      <c r="D219" s="9"/>
      <c r="E219" s="8">
        <v>2</v>
      </c>
      <c r="F219" s="11" t="s">
        <v>95</v>
      </c>
      <c r="G219" s="8" t="s">
        <v>182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1:20">
      <c r="A220" s="8" t="s">
        <v>134</v>
      </c>
      <c r="B220" s="8" t="s">
        <v>94</v>
      </c>
      <c r="C220" s="8" t="s">
        <v>403</v>
      </c>
      <c r="D220" s="9"/>
      <c r="E220" s="8">
        <v>3</v>
      </c>
      <c r="F220" s="11" t="s">
        <v>95</v>
      </c>
      <c r="G220" s="8" t="s">
        <v>113</v>
      </c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1:20">
      <c r="A221" s="8" t="s">
        <v>134</v>
      </c>
      <c r="B221" s="8" t="s">
        <v>104</v>
      </c>
      <c r="C221" s="8" t="s">
        <v>404</v>
      </c>
      <c r="D221" s="9"/>
      <c r="E221" s="8">
        <v>1</v>
      </c>
      <c r="F221" s="11" t="s">
        <v>95</v>
      </c>
      <c r="G221" s="8" t="s">
        <v>182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1:20">
      <c r="A222" s="8" t="s">
        <v>134</v>
      </c>
      <c r="B222" s="8" t="s">
        <v>104</v>
      </c>
      <c r="C222" s="8" t="s">
        <v>405</v>
      </c>
      <c r="D222" s="9"/>
      <c r="E222" s="8">
        <v>1</v>
      </c>
      <c r="F222" s="11" t="s">
        <v>95</v>
      </c>
      <c r="G222" s="8" t="s">
        <v>182</v>
      </c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1:20">
      <c r="A223" s="8" t="s">
        <v>134</v>
      </c>
      <c r="B223" s="8" t="s">
        <v>171</v>
      </c>
      <c r="C223" s="8" t="s">
        <v>406</v>
      </c>
      <c r="D223" s="9"/>
      <c r="E223" s="8">
        <v>5</v>
      </c>
      <c r="F223" s="11" t="s">
        <v>95</v>
      </c>
      <c r="G223" s="8" t="s">
        <v>116</v>
      </c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1:20">
      <c r="A224" s="8" t="s">
        <v>134</v>
      </c>
      <c r="B224" s="8" t="s">
        <v>171</v>
      </c>
      <c r="C224" s="8" t="s">
        <v>407</v>
      </c>
      <c r="D224" s="9"/>
      <c r="E224" s="8">
        <v>2</v>
      </c>
      <c r="F224" s="11" t="s">
        <v>95</v>
      </c>
      <c r="G224" s="8" t="s">
        <v>116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>
      <c r="A225" s="8" t="s">
        <v>134</v>
      </c>
      <c r="B225" s="8" t="s">
        <v>171</v>
      </c>
      <c r="C225" s="8" t="s">
        <v>408</v>
      </c>
      <c r="D225" s="9"/>
      <c r="E225" s="8">
        <v>2</v>
      </c>
      <c r="F225" s="11" t="s">
        <v>95</v>
      </c>
      <c r="G225" s="8" t="s">
        <v>116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</sheetData>
  <conditionalFormatting sqref="D2:D225">
    <cfRule type="expression" dxfId="1" priority="1">
      <formula>D2=MAX($D2:$E2)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workbookViewId="0">
      <pane ySplit="1" topLeftCell="A2" activePane="bottomLeft" state="frozen"/>
      <selection/>
      <selection pane="bottomLeft" activeCell="F18" sqref="F18"/>
    </sheetView>
  </sheetViews>
  <sheetFormatPr defaultColWidth="9" defaultRowHeight="14.25"/>
  <cols>
    <col min="2" max="8" width="9" style="1"/>
  </cols>
  <sheetData>
    <row r="1" spans="1:21">
      <c r="A1" s="2" t="s">
        <v>86</v>
      </c>
      <c r="B1" s="3" t="s">
        <v>409</v>
      </c>
      <c r="C1" s="3"/>
      <c r="D1" s="3"/>
      <c r="E1" s="3"/>
      <c r="F1" s="3"/>
      <c r="G1" s="3"/>
      <c r="H1" s="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8">
      <c r="A2" s="5">
        <v>1.21</v>
      </c>
      <c r="B2" s="5" t="s">
        <v>410</v>
      </c>
      <c r="C2" s="5"/>
      <c r="D2" s="5"/>
      <c r="E2" s="5"/>
      <c r="F2" s="5"/>
      <c r="G2" s="5"/>
      <c r="H2" s="5"/>
    </row>
    <row r="3" spans="1:8">
      <c r="A3" s="5">
        <v>1.3</v>
      </c>
      <c r="B3" s="5" t="s">
        <v>411</v>
      </c>
      <c r="C3" s="5"/>
      <c r="D3" s="5"/>
      <c r="E3" s="5"/>
      <c r="F3" s="5"/>
      <c r="G3" s="5"/>
      <c r="H3" s="5"/>
    </row>
    <row r="4" spans="1:8">
      <c r="A4" s="5">
        <v>1.4</v>
      </c>
      <c r="B4" s="5" t="s">
        <v>412</v>
      </c>
      <c r="C4" s="5"/>
      <c r="D4" s="5"/>
      <c r="E4" s="5"/>
      <c r="F4" s="5"/>
      <c r="G4" s="5"/>
      <c r="H4" s="5"/>
    </row>
    <row r="5" spans="1:8">
      <c r="A5" s="5">
        <v>1.41</v>
      </c>
      <c r="B5" s="5" t="s">
        <v>413</v>
      </c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 t="s">
        <v>414</v>
      </c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 t="s">
        <v>415</v>
      </c>
      <c r="C9" s="5"/>
      <c r="D9" s="5"/>
      <c r="E9" s="5"/>
      <c r="F9" s="5"/>
      <c r="G9" s="5"/>
      <c r="H9" s="5"/>
    </row>
    <row r="10" spans="1:8">
      <c r="A10" s="5"/>
      <c r="B10" s="5" t="s">
        <v>416</v>
      </c>
      <c r="C10" s="5"/>
      <c r="D10" s="5"/>
      <c r="E10" s="5"/>
      <c r="F10" s="5"/>
      <c r="G10" s="5"/>
      <c r="H10" s="5"/>
    </row>
    <row r="11" spans="1:8">
      <c r="A11" s="6">
        <v>1.42</v>
      </c>
      <c r="B11" s="5" t="s">
        <v>417</v>
      </c>
      <c r="C11" s="5"/>
      <c r="D11" s="5"/>
      <c r="E11" s="5"/>
      <c r="F11" s="5"/>
      <c r="G11" s="5"/>
      <c r="H11" s="5"/>
    </row>
  </sheetData>
  <mergeCells count="10">
    <mergeCell ref="B1:H1"/>
    <mergeCell ref="B2:H2"/>
    <mergeCell ref="B3:H3"/>
    <mergeCell ref="B4:H4"/>
    <mergeCell ref="B9:H9"/>
    <mergeCell ref="B10:H10"/>
    <mergeCell ref="B11:H11"/>
    <mergeCell ref="A5:A10"/>
    <mergeCell ref="B5:H6"/>
    <mergeCell ref="B7:H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</vt:lpstr>
      <vt:lpstr>套装</vt:lpstr>
      <vt:lpstr>摆设</vt:lpstr>
      <vt:lpstr>更新日志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...</cp:lastModifiedBy>
  <dcterms:created xsi:type="dcterms:W3CDTF">2022-02-13T12:17:00Z</dcterms:created>
  <dcterms:modified xsi:type="dcterms:W3CDTF">2022-05-31T23:38:18Z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E895417D91D24FBE9174B56E9E54EFBA</vt:lpwstr>
  </property>
</Properties>
</file>