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60"/>
  </bookViews>
  <sheets>
    <sheet name="角色" sheetId="12" r:id="rId1"/>
    <sheet name="套装" sheetId="5" r:id="rId2"/>
    <sheet name="摆设" sheetId="6" r:id="rId3"/>
    <sheet name="更新日志" sheetId="13" r:id="rId4"/>
  </sheets>
  <definedNames>
    <definedName name="诗歌沉思间">套装!$C$2:$C$13</definedName>
    <definedName name="柔风低语间">套装!$C$15:$C$28</definedName>
    <definedName name="绯云文斋">套装!$C$30:$C$41</definedName>
    <definedName name="烟霞入梦阁">套装!$C$43:$C$54</definedName>
    <definedName name="秘术研究所">套装!$C$56:$C$68</definedName>
    <definedName name="柴烟庖屋">套装!$C$70:$C$76</definedName>
    <definedName name="遐久瞬梦间">套装!$C$78:$C$85</definedName>
    <definedName name="千振致业">套装!$C$87:$C$93</definedName>
    <definedName name="沉墨书舍">套装!$C$95:$C$104</definedName>
    <definedName name="枫香茶雾一室中">套装!$C$106:$C$115</definedName>
    <definedName name="兵刃锻造站">套装!$C$168:$C$177</definedName>
    <definedName name="牧歌之镇">套装!$C$179:$C$191</definedName>
    <definedName name="花鸟公园">套装!$C$193:$C$201</definedName>
    <definedName name="千家饔飧坊">套装!$C$203:$C$217</definedName>
    <definedName name="百里琳琅街">套装!$C$219:$C$232</definedName>
    <definedName name="轻策闲云居">套装!$C$234:$C$249</definedName>
    <definedName name="狩猎与歌舞之营">套装!$C$251:$C$268</definedName>
    <definedName name="星辰与深渊之旅">套装!$C$270:$C$279</definedName>
    <definedName name="晨曦果园">套装!$C$281:$C$290</definedName>
    <definedName name="正格之庭">套装!$C$292:$C$300</definedName>
    <definedName name="醒意汤泉">套装!$C$302:$C$312</definedName>
    <definedName name="村中匿影">套装!$C$314:$C$322</definedName>
    <definedName name="枝社旧绪">套装!$C$324:$C$337</definedName>
    <definedName name="千军致戎演兵场">套装!$C$339:$C$351</definedName>
    <definedName name="琼片遍郁野">套装!$C$353:$C$362</definedName>
    <definedName name="夏夜的追想">套装!$C$364:$C$375</definedName>
    <definedName name="樱染的街巷">套装!$C$377:$C$389</definedName>
    <definedName name="垂香木厨房货架">摆设!$C$12</definedName>
    <definedName name="开顶杉木货架">摆设!$C$2</definedName>
    <definedName name="组合式杉木货柜">摆设!$C$3</definedName>
    <definedName name="高大的桦木衣柜">摆设!$C$4</definedName>
    <definedName name="却砂木金纹衣柜">摆设!$C$5</definedName>
    <definedName name="孔雀木「万角」货柜">摆设!$C$9</definedName>
    <definedName name="孔雀木「不染」橱柜">摆设!$C$10</definedName>
    <definedName name="梦见木「露隐」衣柜">摆设!$C$11</definedName>
    <definedName name="图书馆双层书架">摆设!$C$13</definedName>
    <definedName name="萃华木臻品书架">摆设!$C$14</definedName>
    <definedName name="萃华木经济书架">摆设!$C$15</definedName>
    <definedName name="「司书的宝库」">摆设!$C$16</definedName>
    <definedName name="朱漆垂香木卷轴书架">摆设!$C$21</definedName>
    <definedName name="朱漆垂香木百宝阁">摆设!$C$22</definedName>
    <definedName name="垂香木商铺立柜">摆设!$C$23</definedName>
    <definedName name="厚重的图书馆长桌">摆设!$C$26</definedName>
    <definedName name="骑士团的办公桌">摆设!$C$27</definedName>
    <definedName name="便携炉灶">摆设!$C$28</definedName>
    <definedName name="菱形桌布的长桌">摆设!$C$29</definedName>
    <definedName name="木纹雅致的书法桌案">摆设!$C$30</definedName>
    <definedName name="松木方形茶桌">摆设!$C$31</definedName>
    <definedName name="稳固的桦木梳妆台">摆设!$C$32</definedName>
    <definedName name="梦见木「冷暖一桌」被炉">摆设!$C$25</definedName>
    <definedName name="孔雀木「石定」茶桌">摆设!$C$33</definedName>
    <definedName name="柔风加护的床榻">摆设!$C$39</definedName>
    <definedName name="烟霞云梦榻">摆设!$C$40</definedName>
    <definedName name="梦见木「樱眠」床榻">摆设!$C$41</definedName>
    <definedName name="柔软的会客厅沙发">摆设!$C$43</definedName>
    <definedName name="「晴空蓝的午后」">摆设!$C$44</definedName>
    <definedName name="「坚定意志」">摆设!$C$45</definedName>
    <definedName name="松木餐椅">摆设!$C$51</definedName>
    <definedName name="松木靠背茶椅">摆设!$C$46</definedName>
    <definedName name="松木朱漆圆凳">摆设!$C$47</definedName>
    <definedName name="桦木双屉床头柜">摆设!$C$62</definedName>
    <definedName name="却砂木金纹床头柜">摆设!$C$63</definedName>
    <definedName name="梦见木「礼待」着物架">摆设!#REF!</definedName>
    <definedName name="恒亮不熄的提灯">摆设!$C$78</definedName>
    <definedName name="琉璃亭却砂木立灯">摆设!$C$79</definedName>
    <definedName name="贝壳灯罩硬质台灯">摆设!$C$80</definedName>
    <definedName name="「铸瓷正则」">摆设!$C$85</definedName>
    <definedName name="「素守之瓶」">摆设!$C$86</definedName>
    <definedName name="整齐叠放的书本">摆设!$C$91</definedName>
    <definedName name="「学者的倦怠」">摆设!$C$92</definedName>
    <definedName name="「书信的礼节」">摆设!$C$93</definedName>
    <definedName name="精巧的沙漏摆件">摆设!$C$94</definedName>
    <definedName name="金色三重烛台">摆设!$C$98</definedName>
    <definedName name="「茶烟笼白榻」">摆设!$C$100</definedName>
    <definedName name="破邪之弦镝">摆设!$C$103</definedName>
    <definedName name="驱鬼之羽屏">摆设!$C$104</definedName>
    <definedName name="孔雀木「并提」层叠木匣">摆设!$C$90</definedName>
    <definedName name="「赤铁珊瑚」">摆设!$C$88</definedName>
    <definedName name="三眼守仙牌">摆设!$C$111</definedName>
    <definedName name="御伽木「近竹」院门">摆设!$C$122</definedName>
    <definedName name="御伽木「近竹」围栏">摆设!$C$123</definedName>
    <definedName name="花鸟喷泉">摆设!$C$125</definedName>
    <definedName name="丘丘螺旋瞭望塔">摆设!$C$126</definedName>
    <definedName name="丘丘简易草棚">摆设!$C$128</definedName>
    <definedName name="工程暂驻点">摆设!$C$129</definedName>
    <definedName name="白石温泉——「暖漫」">摆设!$C$127</definedName>
    <definedName name="白石温泉—「暖漫」">摆设!$C$127</definedName>
    <definedName name="枫木书柜—「墨染书心」">摆设!$C$17</definedName>
    <definedName name="枫木书柜—「千卷柜藏」">摆设!$C$18</definedName>
    <definedName name="茶室长桌—「座无隙」">摆设!$C$34</definedName>
    <definedName name="茶室柜台—「十四丸」">摆设!$C$37</definedName>
    <definedName name="茶室圆凳—「折痛辞」">摆设!$C$52</definedName>
    <definedName name="松木折屏—「云来帆影」">摆设!$C$53</definedName>
    <definedName name="茶室坐垫—「晚禾织」">摆设!$C$70</definedName>
    <definedName name="枫木仪鼓—「宴奏」">摆设!$C$64</definedName>
    <definedName name="茶室屏风—「垢身金心」">摆设!$C$54</definedName>
    <definedName name="宗传刀架—「四常法」">摆设!$C$55</definedName>
    <definedName name="旗本重铠—「影阵玄甲」">摆设!$C$56</definedName>
    <definedName name="梦见木「入画」折屏">摆设!$C$57</definedName>
    <definedName name="蒙德地毯—「明红的热忱」">摆设!$C$71</definedName>
    <definedName name="迎宾地毯—「惠然之顾」">摆设!$C$72</definedName>
    <definedName name="枫木地灯—「照澄」">摆设!$C$77</definedName>
    <definedName name="绿植盆栽—「澄澈的清风」">摆设!$C$82</definedName>
    <definedName name="花卉瓶栽—「盛放的曙红」">摆设!$C$83</definedName>
    <definedName name="绿植盆栽—「松青尺树上」">摆设!$C$84</definedName>
    <definedName name="炼金装置—「水火之间」">摆设!$C$95</definedName>
    <definedName name="炼金器件—「尘埃的重量」">摆设!$C$96</definedName>
    <definedName name="纸墨笔砚—「临池学书」">摆设!$C$97</definedName>
    <definedName name="白瓷茶具—「怀质抱真」">摆设!$C$99</definedName>
    <definedName name="茶室烛台—「无味火」">摆设!$C$89</definedName>
    <definedName name="茶室器物—「锁香笼」">摆设!$C$101</definedName>
    <definedName name="纸墨笔砚—「正定笔锋」">摆设!$C$102</definedName>
    <definedName name="要地牙门—「云底之能」">摆设!$C$112</definedName>
    <definedName name="要地栏楯—「约己之壁」">摆设!$C$113</definedName>
    <definedName name="栏楯转角—「瞩视无遗」">摆设!$C$114</definedName>
    <definedName name="阵屋正门—「忠肃」">摆设!$C$124</definedName>
    <definedName name="阵屋围栏—「错牙」">摆设!$C$115</definedName>
    <definedName name="阵屋围栏—「截断」">摆设!$C$116</definedName>
    <definedName name="阵屋桩木—「苦刺」">摆设!$C$117</definedName>
    <definedName name="温泉屏风—「适分」">摆设!$C$118</definedName>
    <definedName name="温泉外墙—「无越」">摆设!$C$119</definedName>
    <definedName name="温泉墙板—「稳足」">摆设!$C$120</definedName>
    <definedName name="温泉门厅—「避凉」">摆设!$C$121</definedName>
    <definedName name="璃月商铺—「客聚如潮」">摆设!$C$134</definedName>
    <definedName name="璃月民居—「岁不我与」">摆设!$C$135</definedName>
    <definedName name="高大阁楼的乡间住宅">摆设!$C$136</definedName>
    <definedName name="古典乡间住宅">摆设!$C$137</definedName>
    <definedName name="袖珍松木小屋">摆设!$C$138</definedName>
    <definedName name="丘丘前哨小屋">摆设!$C$139</definedName>
    <definedName name="丘丘领袖大殿">摆设!$C$140</definedName>
    <definedName name="丘丘双层警戒台">摆设!$C$141</definedName>
    <definedName name="御伽木拉面屋台">摆设!$C$147</definedName>
    <definedName name="开放式烘炉工坊">摆设!$C$142</definedName>
    <definedName name="「行商石门北」">摆设!$C$143</definedName>
    <definedName name="卷棚果蔬舆">摆设!$C$144</definedName>
    <definedName name="「百味四宫釜」">摆设!$C$145</definedName>
    <definedName name="果蔬摊—「案上田园」">摆设!$C$146</definedName>
    <definedName name="「云游碧水东」">摆设!$C$157</definedName>
    <definedName name="干草货棚">摆设!$C$164</definedName>
    <definedName name="硬顶避雷帐篷">摆设!$C$158</definedName>
    <definedName name="简易单人帐篷">摆设!$C$159</definedName>
    <definedName name="御伽木市井杂煮屋台">摆设!$C$160</definedName>
    <definedName name="花伞铺—「异梦绮彩」">摆设!$C$161</definedName>
    <definedName name="果蔬摊—「纯诚之味」">摆设!$C$162</definedName>
    <definedName name="祭典「定番」百货屋台">摆设!$C$155</definedName>
    <definedName name="祭典「奇番」百货屋台">摆设!$C$156</definedName>
    <definedName name="孔雀木「幸归」面具架">摆设!$C$163</definedName>
    <definedName name="「恒诰之龛」">摆设!$C$170</definedName>
    <definedName name="「净绪之龛」">摆设!$C$165</definedName>
    <definedName name="稻妻商铺—「千瑜百珉」">摆设!$C$171</definedName>
    <definedName name="稻妻民居—「三世共业」">摆设!$C$172</definedName>
    <definedName name="稻妻民居—「知变易通」">摆设!$C$173</definedName>
    <definedName name="稻妻筱屋—「静度岁晏」">摆设!$C$174</definedName>
    <definedName name="稻妻筱屋—「野逸入心」">摆设!$C$175</definedName>
    <definedName name="稻妻官邸—「严谕正办」">摆设!$C$166</definedName>
    <definedName name="官邸回廊—「势至权达」">摆设!$C$167</definedName>
    <definedName name="阵屋哨塔—「洞鉴」">摆设!$C$176</definedName>
    <definedName name="阵屋行帐—「时策」">摆设!$C$168</definedName>
    <definedName name="阵屋营房—「周固」">摆设!$C$177</definedName>
    <definedName name="御神签务所—「兆解」">摆设!$C$169</definedName>
    <definedName name="伏青石">摆设!$C$190</definedName>
    <definedName name="纤拳石">摆设!$C$191</definedName>
    <definedName name="「代宫司之印」">摆设!$C$192</definedName>
    <definedName name="寂修石">摆设!$C$194</definedName>
    <definedName name="涉浪石">摆设!$C$195</definedName>
    <definedName name="温泉白石—「秘火」">摆设!$C$193</definedName>
    <definedName name="「归风的苍色」">摆设!$C$196</definedName>
    <definedName name="天衡赤枫—「红叶如灼」">摆设!$C$197</definedName>
    <definedName name="茁壮的萃华树">摆设!$C$198</definedName>
    <definedName name="「花咲初退红」">摆设!$C$199</definedName>
    <definedName name="「春惜一斤染」">摆设!$C$200</definedName>
    <definedName name="「红鸢问寝觉」">摆设!$C$201</definedName>
    <definedName name="「纁漫雁来中」">摆设!$C$202</definedName>
    <definedName name="「片叶苏芳缀银朱」">摆设!$C$203</definedName>
    <definedName name="正逢花期的灌木丛">摆设!$C$207</definedName>
    <definedName name="「明冠羽叶」">摆设!$C$208</definedName>
    <definedName name="青衫景铄">摆设!$C$218</definedName>
    <definedName name="青衫问寒">摆设!$C$219</definedName>
    <definedName name="丛生蝶绿">摆设!$C$220</definedName>
    <definedName name="「猎人的暗哨」">摆设!$C$209</definedName>
    <definedName name="「紫苑叹幽弘」">摆设!$C$210</definedName>
    <definedName name="「影徙露草自伤悼」">摆设!$C$211</definedName>
    <definedName name="「晚花空言约」">摆设!$C$212</definedName>
    <definedName name="「薄红榴璃散千瓣」">摆设!$C$213</definedName>
    <definedName name="阵屋半钟—「轰雷之音」">摆设!$C$232</definedName>
    <definedName name="军势钲鼓—「破阵余响」">摆设!$C$221</definedName>
    <definedName name="御伽木「但饮」木桶">摆设!$C$243</definedName>
    <definedName name="厚壁「石胆」陶制水缸">摆设!$C$244</definedName>
    <definedName name="古法新造御伽木酒桶">摆设!$C$245</definedName>
    <definedName name="古法新造御伽木货箱">摆设!$C$246</definedName>
    <definedName name="交错放置的杉木货箱">摆设!$C$236</definedName>
    <definedName name="有序叠放的杉木酒桶">摆设!$C$237</definedName>
    <definedName name="沉甸甸的干草卷">摆设!$C$238</definedName>
    <definedName name="竹框酒坛—「琼浆待月往」">摆设!$C$224</definedName>
    <definedName name="玩具摊—「琳琅生趣」">摆设!$C$225</definedName>
    <definedName name="花伞铺—「簦下千彩」">摆设!$C$226</definedName>
    <definedName name="储物袋—「隐雷退散」">摆设!$C$239</definedName>
    <definedName name="果蔬商贩的谨慎">摆设!$C$227</definedName>
    <definedName name="丘丘弓箭标靶">摆设!$C$228</definedName>
    <definedName name="丘丘带角陶锅">摆设!$C$229</definedName>
    <definedName name="枯木方向标">摆设!$C$240</definedName>
    <definedName name="「冒险家难逃之重」">摆设!$C$230</definedName>
    <definedName name="结实的木桶">摆设!$C$241</definedName>
    <definedName name="高耸的木杆">摆设!$C$242</definedName>
    <definedName name="石制盏形水池">摆设!$C$231</definedName>
    <definedName name="转移壅土的木桶">摆设!$C$250</definedName>
    <definedName name="梦见木「灾祛」御签挂">摆设!$C$256</definedName>
    <definedName name="御建鸣神主尊旗">摆设!$C$257</definedName>
    <definedName name="阵屋枪架—「尖破」">摆设!$C$258</definedName>
    <definedName name="天狐雕像—「白辰嗣响」">摆设!$C$259</definedName>
    <definedName name="晴空缯彩游鱼旗">摆设!$C$260</definedName>
    <definedName name="梦见木「诚见」赛钱箱">摆设!$C$261</definedName>
    <definedName name="乡野水井—「下索密藏」">摆设!$C$251</definedName>
    <definedName name="杉木置物架">摆设!$C$268</definedName>
    <definedName name="杉木武器架">摆设!$C$269</definedName>
    <definedName name="硬木兵戈架">摆设!$C$252</definedName>
    <definedName name="简易货运拖车">摆设!$C$270</definedName>
    <definedName name="硬石加固的水井">摆设!$C$253</definedName>
    <definedName name="旧式水井">摆设!$C$271</definedName>
    <definedName name="硬顶水井—「但求虚澈」">摆设!$C$254</definedName>
    <definedName name="「冒险家的随身秘宝」">摆设!$C$255</definedName>
    <definedName name="五重灯笼祭典门关">摆设!$C$281</definedName>
    <definedName name="梦见木「空怀」路灯">摆设!$C$279</definedName>
    <definedName name="鱼脂白烛—「傍明」">摆设!$C$282</definedName>
    <definedName name="御伽木郊野路灯">摆设!$C$283</definedName>
    <definedName name="御伽木简本路灯">摆设!$C$284</definedName>
    <definedName name="铁艺雕花路灯">摆设!$C$276</definedName>
    <definedName name="野外松木路灯">摆设!$C$280</definedName>
    <definedName name="退邪灯—「明照左右」">摆设!$C$277</definedName>
    <definedName name="清影灯—「笔锋墨影」">摆设!$C$278</definedName>
    <definedName name="「果农的勤俭」">摆设!$C$286</definedName>
    <definedName name="卸力的松木围栏">摆设!$C$288</definedName>
    <definedName name="丘丘木制围栏">摆设!$C$289</definedName>
    <definedName name="丘丘图腾围栏">摆设!$C$290</definedName>
    <definedName name="葱郁的葡萄藤">摆设!$C$285</definedName>
    <definedName name="简易木制围栏">摆设!$C$291</definedName>
    <definedName name="施工过半的围栏">摆设!$C$292</definedName>
    <definedName name="御伽木「乐至」方凳">摆设!$C$295</definedName>
    <definedName name="平整的木制长凳">摆设!$C$293</definedName>
    <definedName name="平整的石制长凳">摆设!$C$294</definedName>
    <definedName name="御伽木「乐至」方桌">摆设!$C$302</definedName>
    <definedName name="重型杉木锻造桌">摆设!$C$296</definedName>
    <definedName name="宽大的松木长桌">摆设!$C$301</definedName>
    <definedName name="大型石制滚磨">摆设!$C$297</definedName>
    <definedName name="双重商摊—「运势层层高」">摆设!$C$298</definedName>
    <definedName name="竹制露天茶桌">摆设!$C$299</definedName>
    <definedName name="木制露天茶桌">摆设!$C$300</definedName>
    <definedName name="酒肆货柜—「会须百杯饮」">摆设!$C$303</definedName>
    <definedName name="抗浪结构双层货盘">摆设!$C$304</definedName>
    <definedName name="铸石地基—「修身砥行」">摆设!$C$305</definedName>
    <definedName name="铸石地基—「随车致雨」">摆设!$C$306</definedName>
    <definedName name="铸石地基—「倍道兼行」">摆设!$C$307</definedName>
    <definedName name="啊啊啊啊啊">套装!$D$6</definedName>
    <definedName name="巡林常途的百千趣事">套装!$C$117</definedName>
    <definedName name="凝停的绮璨明彩">套装!$C$123</definedName>
    <definedName name="至烈至强的醇香">套装!$C$133</definedName>
    <definedName name="识见沉降之地">套装!$C$144</definedName>
    <definedName name="暂别喧扰与烦忧">套装!$C$150</definedName>
    <definedName name="存身于尘沙之境">套装!$C$160</definedName>
    <definedName name="繁闹畅旺的市集">套装!$C$391</definedName>
    <definedName name="栖凭于清森深处">套装!$C$403</definedName>
    <definedName name="翛然旋舞的姿影">套装!$C$412</definedName>
    <definedName name="水畔的宁静时光">套装!$C$418</definedName>
    <definedName name="婉拒风蚀的聚落">套装!$C$429</definedName>
    <definedName name="旅团的兵阵雄姿">套装!$C$442</definedName>
    <definedName name="幽芳与恬谧之中">套装!$C$451</definedName>
    <definedName name="林野与沙漠的合奏">套装!$C$460</definedName>
    <definedName name="沙域柜桌—「欢待」">摆设!$C$6</definedName>
    <definedName name="证悟木「纷纶」置物架">摆设!$C$7</definedName>
    <definedName name="辉木「疗愈」床头柜">摆设!$C$8</definedName>
    <definedName name="「卓识之地的瑰宝」">摆设!$C$19</definedName>
    <definedName name="「卓识之地的卷藏」">摆设!$C$20</definedName>
    <definedName name="沙域竖柜—「什物」">摆设!$C$24</definedName>
    <definedName name="「包罗百味的选择」">摆设!$C$35</definedName>
    <definedName name="「大快朵颐的豪情」">摆设!$C$36</definedName>
    <definedName name="「酒馆诸事的证人」">摆设!$C$38</definedName>
    <definedName name="证悟木「安恬」床榻">摆设!$C$42</definedName>
    <definedName name="业果木「静语」长椅">摆设!$C$48</definedName>
    <definedName name="业果木「反擒拿」餐椅">摆设!$C$49</definedName>
    <definedName name="「闲时豪饮的畅快」">摆设!$C$50</definedName>
    <definedName name="「巡林官的严谨」">摆设!$C$58</definedName>
    <definedName name="「文火慢烤的鲜香」">摆设!$C$60</definedName>
    <definedName name="「猛火炙烤的浓香」">摆设!$C$59</definedName>
    <definedName name="沙域书案—「慎取」">摆设!$C$61</definedName>
    <definedName name="妙彩宝瓶—「菘蓝」">摆设!$C$65</definedName>
    <definedName name="妙彩宝瓶—「藤绿」">摆设!$C$66</definedName>
    <definedName name="妙彩宝瓶—「熟麦」">摆设!$C$67</definedName>
    <definedName name="「振奋的渐变」">摆设!$C$68</definedName>
    <definedName name="「巡林员的战备」">摆设!$C$69</definedName>
    <definedName name="「谏果般森丽之纹」">摆设!$C$76</definedName>
    <definedName name="「椰褐般深沉之纹」">摆设!$C$75</definedName>
    <definedName name="「阳橙般夺目之纹」">摆设!$C$74</definedName>
    <definedName name="「青琅般辉煌之纹」">摆设!$C$73</definedName>
    <definedName name="「欢适之光」">摆设!$C$81</definedName>
    <definedName name="「丛茂的片段」">摆设!$C$87</definedName>
    <definedName name="「于醇厚的壶浆中」">摆设!$C$105</definedName>
    <definedName name="「于脆爽的酣甜中」">摆设!$C$106</definedName>
    <definedName name="「于缭绕的淡霭中」">摆设!$C$107</definedName>
    <definedName name="「商铺的珍玩」">摆设!$C$108</definedName>
    <definedName name="「商铺的罗纹」">摆设!$C$109</definedName>
    <definedName name="「不可久置的烈浆」">摆设!$C$110</definedName>
    <definedName name="沙域棚屋—「细务」">摆设!$C$132</definedName>
    <definedName name="沙域棚屋—「问事」">摆设!$C$133</definedName>
    <definedName name="「卓识之地的朗澈」">摆设!$C$131</definedName>
    <definedName name="「剧场的沁凉水雾」">摆设!$C$130</definedName>
    <definedName name="「醇甜于流转之间」">摆设!$C$148</definedName>
    <definedName name="「醇甜于荫蔽之下」">摆设!$C$149</definedName>
    <definedName name="「醇甜于窖藏之中」">摆设!$C$150</definedName>
    <definedName name="「渔采的市易之地」">摆设!$C$151</definedName>
    <definedName name="「渔采的修旧利废」">摆设!$C$152</definedName>
    <definedName name="辉木布顶百用店">摆设!$C$153</definedName>
    <definedName name="辉木移动烧烤铺">摆设!$C$154</definedName>
    <definedName name="「澄寂宫园的晶晖」">摆设!$C$178</definedName>
    <definedName name="「剧场的盛意摹刻」">摆设!$C$179</definedName>
    <definedName name="「林居之人的酌定」">摆设!$C$180</definedName>
    <definedName name="「林居之人的恰切」">摆设!$C$181</definedName>
    <definedName name="「林居之人的孤念」">摆设!$C$182</definedName>
    <definedName name="沙域平屋—「端居」">摆设!$C$183</definedName>
    <definedName name="沙域平屋—「众香」">摆设!$C$184</definedName>
    <definedName name="沙域平屋—「号声」">摆设!$C$185</definedName>
    <definedName name="沙域平屋—「短寐」">摆设!$C$186</definedName>
    <definedName name="「智慧之城的泛常」">摆设!$C$189</definedName>
    <definedName name="「智慧之城的美馔」">摆设!$C$187</definedName>
    <definedName name="「智慧之城的丝缕」">摆设!$C$188</definedName>
    <definedName name="「洁净的杯盏」">摆设!$C$204</definedName>
    <definedName name="攲斜弥亘树">摆设!$C$205</definedName>
    <definedName name="修茂弥亘树">摆设!$C$206</definedName>
    <definedName name="「深藏咸涩的裂果」">摆设!$C$214</definedName>
    <definedName name="「如烨烁的远星」">摆设!$C$215</definedName>
    <definedName name="「灼热的诱因」">摆设!$C$216</definedName>
    <definedName name="「悠长的介质」">摆设!$C$217</definedName>
    <definedName name="「纺缉的纵深」">摆设!$C$222</definedName>
    <definedName name="「纺缉的硕果琳琅」">摆设!$C$223</definedName>
    <definedName name="「渔采的丰获之声」">摆设!$C$233</definedName>
    <definedName name="「渔采的家常茶饭」">摆设!$C$234</definedName>
    <definedName name="「渔采的择取机网」">摆设!$C$235</definedName>
    <definedName name="「渔采的涓滴成河」">摆设!$C$247</definedName>
    <definedName name="「剧场的琼片丛簇」">摆设!$C$248</definedName>
    <definedName name="「澄寂宫园的黛痕」">摆设!$C$249</definedName>
    <definedName name="「必不可少之物」">摆设!$C$262</definedName>
    <definedName name="「旅团的威焰」">摆设!$C$263</definedName>
    <definedName name="「攻伐的具象」">摆设!$C$264</definedName>
    <definedName name="「禁足铁菱角」">摆设!$C$265</definedName>
    <definedName name="「旅团的征轮」">摆设!$C$266</definedName>
    <definedName name="「旅团的盛名」">摆设!$C$267</definedName>
    <definedName name="「潜心之光」">摆设!$C$272</definedName>
    <definedName name="「盛放之光」">摆设!$C$273</definedName>
    <definedName name="「滴翠之光」">摆设!$C$274</definedName>
    <definedName name="「依常之光」">摆设!$C$275</definedName>
    <definedName name="「渔采的绝对界线」">摆设!$C$287</definedName>
  </definedNames>
  <calcPr calcId="144525"/>
</workbook>
</file>

<file path=xl/sharedStrings.xml><?xml version="1.0" encoding="utf-8"?>
<sst xmlns="http://schemas.openxmlformats.org/spreadsheetml/2006/main" count="3587" uniqueCount="539">
  <si>
    <t>套装名称</t>
  </si>
  <si>
    <t>对应角色</t>
  </si>
  <si>
    <t>已拥有角色数量</t>
  </si>
  <si>
    <t>已完成</t>
  </si>
  <si>
    <t>未领取奖励的角色</t>
  </si>
  <si>
    <t>角色图鉴-倒序</t>
  </si>
  <si>
    <t>琴 丽莎 菲谢尔 莫娜 优菈</t>
  </si>
  <si>
    <t>安柏</t>
  </si>
  <si>
    <t>芭芭拉 优菈 诺艾尔</t>
  </si>
  <si>
    <t>凯亚</t>
  </si>
  <si>
    <t>行秋 钟离 凝光 云堇</t>
  </si>
  <si>
    <t>丽莎</t>
  </si>
  <si>
    <t>胡桃 烟绯 甘雨 刻晴 重云</t>
  </si>
  <si>
    <t>芭芭拉</t>
  </si>
  <si>
    <t>可莉 砂糖 丽莎 阿贝多</t>
  </si>
  <si>
    <t>雷泽</t>
  </si>
  <si>
    <t>达达利亚 莫娜 魈 香菱 雷泽</t>
  </si>
  <si>
    <t>香菱</t>
  </si>
  <si>
    <t>早柚 珊瑚宫心海 鹿野院平藏</t>
  </si>
  <si>
    <t>北斗</t>
  </si>
  <si>
    <t>雷电将军 神里绫华</t>
  </si>
  <si>
    <t>行秋</t>
  </si>
  <si>
    <t>珊瑚宫心海 久岐忍</t>
  </si>
  <si>
    <t>凝光</t>
  </si>
  <si>
    <t>枫原万叶 托马</t>
  </si>
  <si>
    <t>菲谢尔</t>
  </si>
  <si>
    <t>提纳里 柯莱</t>
  </si>
  <si>
    <t>班尼特</t>
  </si>
  <si>
    <t>多莉 妮露</t>
  </si>
  <si>
    <t>诺艾尔</t>
  </si>
  <si>
    <t>重云</t>
  </si>
  <si>
    <t>赛诺 珐露珊</t>
  </si>
  <si>
    <t>砂糖</t>
  </si>
  <si>
    <t>纳西妲 莱依拉</t>
  </si>
  <si>
    <t>琴</t>
  </si>
  <si>
    <t>坎蒂丝</t>
  </si>
  <si>
    <t>迪卢克</t>
  </si>
  <si>
    <t>E至K列新增下拉菜单选择角色功能，更新时请选择【选择性粘贴——值和数字格式】</t>
  </si>
  <si>
    <t>七七</t>
  </si>
  <si>
    <t>诺艾尔 迪卢克 班尼特 迪奥娜</t>
  </si>
  <si>
    <t>莫娜</t>
  </si>
  <si>
    <t>迪奥娜 安柏 雷泽</t>
  </si>
  <si>
    <t>刻晴</t>
  </si>
  <si>
    <t>温迪 罗莎莉亚 芭芭拉 琴 凯亚</t>
  </si>
  <si>
    <t>温迪</t>
  </si>
  <si>
    <t>北斗 香菱 甘雨 辛焱 达达利亚 夜兰</t>
  </si>
  <si>
    <t>可莉</t>
  </si>
  <si>
    <t>凝光 刻晴 烟绯 行秋  钟离 申鹤 云堇</t>
  </si>
  <si>
    <t>迪奥娜</t>
  </si>
  <si>
    <t>辛焱 魈 胡桃 七七 申鹤 夜兰</t>
  </si>
  <si>
    <t>达达利亚</t>
  </si>
  <si>
    <t>安柏 砂糖 可莉 北斗 埃洛伊</t>
  </si>
  <si>
    <t>辛焱</t>
  </si>
  <si>
    <t>班尼特 七七 重云 菲谢尔 阿贝多 埃洛伊</t>
  </si>
  <si>
    <t>钟离</t>
  </si>
  <si>
    <t>迪卢克 凯亚 温迪 罗莎莉亚</t>
  </si>
  <si>
    <t>阿贝多</t>
  </si>
  <si>
    <t>九条裟罗 神里绫人</t>
  </si>
  <si>
    <t>甘雨</t>
  </si>
  <si>
    <t>宵宫 五郎 八重神子 鹿野院平藏</t>
  </si>
  <si>
    <t>魈</t>
  </si>
  <si>
    <t>早柚 五郎</t>
  </si>
  <si>
    <t>胡桃</t>
  </si>
  <si>
    <t>雷电将军 八重神子</t>
  </si>
  <si>
    <t>罗莎莉亚</t>
  </si>
  <si>
    <t>九条裟罗</t>
  </si>
  <si>
    <t>烟绯</t>
  </si>
  <si>
    <t>枫原万叶 荒泷一斗</t>
  </si>
  <si>
    <t>优菈</t>
  </si>
  <si>
    <t>神里绫华 荒泷一斗 神里绫人</t>
  </si>
  <si>
    <t>枫原万叶</t>
  </si>
  <si>
    <t>宵宫 托马 久岐忍</t>
  </si>
  <si>
    <t>神里绫华</t>
  </si>
  <si>
    <t>多莉 珐露珊</t>
  </si>
  <si>
    <t>早柚</t>
  </si>
  <si>
    <t>柯莱 赛诺</t>
  </si>
  <si>
    <t>宵宫</t>
  </si>
  <si>
    <t>妮露</t>
  </si>
  <si>
    <t>埃洛伊</t>
  </si>
  <si>
    <t>流浪者</t>
  </si>
  <si>
    <t>坎蒂丝 莱依拉</t>
  </si>
  <si>
    <t>雷电将军</t>
  </si>
  <si>
    <t>珊瑚宫心海</t>
  </si>
  <si>
    <t>纳西妲</t>
  </si>
  <si>
    <t>托马</t>
  </si>
  <si>
    <t>提纳里 流浪者</t>
  </si>
  <si>
    <t>五郎</t>
  </si>
  <si>
    <t>荒泷一斗</t>
  </si>
  <si>
    <t>云堇</t>
  </si>
  <si>
    <t>申鹤</t>
  </si>
  <si>
    <t>八重神子</t>
  </si>
  <si>
    <t>神里绫人</t>
  </si>
  <si>
    <t>夜兰</t>
  </si>
  <si>
    <t>久岐忍</t>
  </si>
  <si>
    <t>鹿野院平藏</t>
  </si>
  <si>
    <t>柯莱</t>
  </si>
  <si>
    <t>提纳里</t>
  </si>
  <si>
    <t>多莉</t>
  </si>
  <si>
    <t>赛诺</t>
  </si>
  <si>
    <t>莱伊拉</t>
  </si>
  <si>
    <t>珐露珊</t>
  </si>
  <si>
    <t>套装</t>
  </si>
  <si>
    <t>摆设名称</t>
  </si>
  <si>
    <t>拥有数量</t>
  </si>
  <si>
    <t>所需数量</t>
  </si>
  <si>
    <t>一级分类</t>
  </si>
  <si>
    <t>二级分类</t>
  </si>
  <si>
    <t>星级</t>
  </si>
  <si>
    <t>获取方式</t>
  </si>
  <si>
    <t>诗歌沉思间</t>
  </si>
  <si>
    <t>大型摆设</t>
  </si>
  <si>
    <t>书柜</t>
  </si>
  <si>
    <t>4星</t>
  </si>
  <si>
    <t>洞天宝鉴奖励图纸(第四回)</t>
  </si>
  <si>
    <t>商店购买图纸(洞天百宝)</t>
  </si>
  <si>
    <t>桌子</t>
  </si>
  <si>
    <t>3星</t>
  </si>
  <si>
    <t>小型摆设</t>
  </si>
  <si>
    <t>椅子</t>
  </si>
  <si>
    <t>地毯</t>
  </si>
  <si>
    <t>摆件</t>
  </si>
  <si>
    <t>盆景</t>
  </si>
  <si>
    <t>器物</t>
  </si>
  <si>
    <t>商店购买图纸(洞天百宝), 洞天宝鉴奖励实物(第一回)</t>
  </si>
  <si>
    <t>柔风低语间</t>
  </si>
  <si>
    <t>柜子</t>
  </si>
  <si>
    <t>床</t>
  </si>
  <si>
    <t>饰品</t>
  </si>
  <si>
    <t>灯具</t>
  </si>
  <si>
    <t>洞天宝鉴奖励图纸(第一回)</t>
  </si>
  <si>
    <t>绯云文斋</t>
  </si>
  <si>
    <t>烟霞入梦阁</t>
  </si>
  <si>
    <t>秘术研究所</t>
  </si>
  <si>
    <t>柴烟庖屋</t>
  </si>
  <si>
    <t>洞天宝鉴奖励图纸(第二回)</t>
  </si>
  <si>
    <t>2星</t>
  </si>
  <si>
    <t>遐久瞬梦间</t>
  </si>
  <si>
    <t>千振致业</t>
  </si>
  <si>
    <t>沉墨书舍</t>
  </si>
  <si>
    <t>奇馈宝箱图纸(鹤观)</t>
  </si>
  <si>
    <t>套装图纸鹤观宝箱获取</t>
  </si>
  <si>
    <t>枫香茶雾一室中</t>
  </si>
  <si>
    <t>柜台</t>
  </si>
  <si>
    <t>声望赠送图纸(稻妻6级)</t>
  </si>
  <si>
    <t>巡林常途的百千趣事</t>
  </si>
  <si>
    <t>商店购买实物(洞天百宝)</t>
  </si>
  <si>
    <t>凝停的绮璨明彩</t>
  </si>
  <si>
    <t>奇馈宝箱图纸(须弥雨林)</t>
  </si>
  <si>
    <t>至烈至强的醇香</t>
  </si>
  <si>
    <t>奇馈宝箱图纸(须弥沙漠)</t>
  </si>
  <si>
    <t>识见沉降之地</t>
  </si>
  <si>
    <t>暂别喧扰与烦忧</t>
  </si>
  <si>
    <t>存身于尘沙之境</t>
  </si>
  <si>
    <t>兵刃锻造站</t>
  </si>
  <si>
    <t>建筑</t>
  </si>
  <si>
    <t>商户风格</t>
  </si>
  <si>
    <t>商店购买图纸(洞天百宝), 任务奖励实物(翠石砌玉壶·其一)</t>
  </si>
  <si>
    <t>地貌</t>
  </si>
  <si>
    <t>岩石</t>
  </si>
  <si>
    <t>乔木</t>
  </si>
  <si>
    <t>灌木</t>
  </si>
  <si>
    <t>景观</t>
  </si>
  <si>
    <t>室外摆设</t>
  </si>
  <si>
    <t>牧歌之镇</t>
  </si>
  <si>
    <t>蒙德风格</t>
  </si>
  <si>
    <t>洞天宝鉴奖励图纸(第三回)</t>
  </si>
  <si>
    <t>商店购买实物(洞天百宝), 洞天宝鉴奖励实物(第二回)</t>
  </si>
  <si>
    <t>物件</t>
  </si>
  <si>
    <t>花鸟公园</t>
  </si>
  <si>
    <t>庭院</t>
  </si>
  <si>
    <t>大型饰品</t>
  </si>
  <si>
    <t>信任等阶奖励图纸(9级)</t>
  </si>
  <si>
    <t>千家饔飧坊</t>
  </si>
  <si>
    <t>百里琳琅街</t>
  </si>
  <si>
    <t>自由摊位</t>
  </si>
  <si>
    <t>轻策闲云居</t>
  </si>
  <si>
    <t>院墙</t>
  </si>
  <si>
    <t>璃月风格</t>
  </si>
  <si>
    <t>信任等阶奖励图纸(10级)</t>
  </si>
  <si>
    <t>围栏</t>
  </si>
  <si>
    <t>狩猎与歌舞之营</t>
  </si>
  <si>
    <t>信任等阶奖励图纸(7级)</t>
  </si>
  <si>
    <t>信任等阶奖励图纸(5级)</t>
  </si>
  <si>
    <t>丘丘风格</t>
  </si>
  <si>
    <t>信任等阶奖励图纸(6级)</t>
  </si>
  <si>
    <t>信任等阶奖励图纸(8级)</t>
  </si>
  <si>
    <t>星辰与深渊之旅</t>
  </si>
  <si>
    <t>商店购买图纸(歌德)</t>
  </si>
  <si>
    <t>商店购买图纸(路爷)</t>
  </si>
  <si>
    <t>晨曦果园</t>
  </si>
  <si>
    <t>花坛</t>
  </si>
  <si>
    <t>正格之庭</t>
  </si>
  <si>
    <t>稻妻风格</t>
  </si>
  <si>
    <t>任务奖励图纸(清籁逐雷记·其四)</t>
  </si>
  <si>
    <t>任务奖励图纸(月浴之渊最终场景击碎岩石后宝箱)</t>
  </si>
  <si>
    <t>醒意汤泉</t>
  </si>
  <si>
    <t>村中匿影</t>
  </si>
  <si>
    <t>枝社旧绪</t>
  </si>
  <si>
    <t>地面</t>
  </si>
  <si>
    <t>千军致戎演兵场</t>
  </si>
  <si>
    <t>琼片遍郁野</t>
  </si>
  <si>
    <t>夏夜的追想</t>
  </si>
  <si>
    <t>樱染的街巷</t>
  </si>
  <si>
    <t>商店购买图纸(2.1洞天百宝)</t>
  </si>
  <si>
    <t>繁闹畅旺的市集</t>
  </si>
  <si>
    <t>声望赠送图纸(须弥6级)</t>
  </si>
  <si>
    <t>须弥风格</t>
  </si>
  <si>
    <t>栖凭于清森深处</t>
  </si>
  <si>
    <t>翛然旋舞的姿影</t>
  </si>
  <si>
    <t>商店购买实物(洞天百宝—洞天珍物)</t>
  </si>
  <si>
    <t>水畔的宁静时光</t>
  </si>
  <si>
    <t>婉拒风蚀的聚落</t>
  </si>
  <si>
    <t>旅团的兵阵雄姿</t>
  </si>
  <si>
    <t>幽芳与恬谧之中</t>
  </si>
  <si>
    <t>林野与沙漠的合奏</t>
  </si>
  <si>
    <t>开顶杉木货架</t>
  </si>
  <si>
    <t>组合式杉木货柜</t>
  </si>
  <si>
    <t>高大的桦木衣柜</t>
  </si>
  <si>
    <t>却砂木金纹衣柜</t>
  </si>
  <si>
    <t>沙域柜桌—「欢待」</t>
  </si>
  <si>
    <t>证悟木「纷纶」置物架</t>
  </si>
  <si>
    <t>辉木「疗愈」床头柜</t>
  </si>
  <si>
    <t>孔雀木「万角」货柜</t>
  </si>
  <si>
    <t>孔雀木「不染」橱柜</t>
  </si>
  <si>
    <t>梦见木「露隐」衣柜</t>
  </si>
  <si>
    <t>垂香木厨房货架</t>
  </si>
  <si>
    <t>图书馆双层书架</t>
  </si>
  <si>
    <t>萃华木臻品书架</t>
  </si>
  <si>
    <t>萃华木经济书架</t>
  </si>
  <si>
    <t>「司书的宝库」</t>
  </si>
  <si>
    <t>枫木书柜—「墨染书心」</t>
  </si>
  <si>
    <t>枫木书柜—「千卷柜藏」</t>
  </si>
  <si>
    <t>「卓识之地的瑰宝」</t>
  </si>
  <si>
    <t>「卓识之地的卷藏」</t>
  </si>
  <si>
    <t>朱漆垂香木卷轴书架</t>
  </si>
  <si>
    <t>朱漆垂香木百宝阁</t>
  </si>
  <si>
    <t>垂香木商铺立柜</t>
  </si>
  <si>
    <t>沙域竖柜—「什物」</t>
  </si>
  <si>
    <t>梦见木「冷暖一桌」被炉</t>
  </si>
  <si>
    <t>厚重的图书馆长桌</t>
  </si>
  <si>
    <t>骑士团的办公桌</t>
  </si>
  <si>
    <t>便携炉灶</t>
  </si>
  <si>
    <t>菱形桌布的长桌</t>
  </si>
  <si>
    <t>木纹雅致的书法桌案</t>
  </si>
  <si>
    <t>松木方形茶桌</t>
  </si>
  <si>
    <t>稳固的桦木梳妆台</t>
  </si>
  <si>
    <t>孔雀木「石定」茶桌</t>
  </si>
  <si>
    <t>茶室长桌—「座无隙」</t>
  </si>
  <si>
    <t>「包罗百味的选择」</t>
  </si>
  <si>
    <t>「大快朵颐的豪情」</t>
  </si>
  <si>
    <t>茶室柜台—「十四丸」</t>
  </si>
  <si>
    <t>「酒馆诸事的证人」</t>
  </si>
  <si>
    <t>柔风加护的床榻</t>
  </si>
  <si>
    <t>烟霞云梦榻</t>
  </si>
  <si>
    <t>梦见木「樱眠」床榻</t>
  </si>
  <si>
    <t>证悟木「安恬」床榻</t>
  </si>
  <si>
    <t>柔软的会客厅沙发</t>
  </si>
  <si>
    <t>「晴空蓝的午后」</t>
  </si>
  <si>
    <t>「坚定意志」</t>
  </si>
  <si>
    <t>松木靠背茶椅</t>
  </si>
  <si>
    <t>松木朱漆圆凳</t>
  </si>
  <si>
    <t>业果木「静语」长椅</t>
  </si>
  <si>
    <t>业果木「反擒拿」餐椅</t>
  </si>
  <si>
    <t>「闲时豪饮的畅快」</t>
  </si>
  <si>
    <t>松木餐椅</t>
  </si>
  <si>
    <t>茶室圆凳—「折痛辞」</t>
  </si>
  <si>
    <t>松木折屏—「云来帆影」</t>
  </si>
  <si>
    <t>茶室屏风—「垢身金心」</t>
  </si>
  <si>
    <t>宗传刀架—「四常法」</t>
  </si>
  <si>
    <t>旗本重铠—「影阵玄甲」</t>
  </si>
  <si>
    <t>梦见木「入画」折屏</t>
  </si>
  <si>
    <t>「巡林官的严谨」</t>
  </si>
  <si>
    <t>「猛火炙烤的浓香」</t>
  </si>
  <si>
    <t>「文火慢烤的鲜香」</t>
  </si>
  <si>
    <t>沙域书案—「慎取」</t>
  </si>
  <si>
    <t>桦木双屉床头柜</t>
  </si>
  <si>
    <t>却砂木金纹床头柜</t>
  </si>
  <si>
    <t>枫木仪鼓—「宴奏」</t>
  </si>
  <si>
    <t>妙彩宝瓶—「菘蓝」</t>
  </si>
  <si>
    <t>妙彩宝瓶—「藤绿」</t>
  </si>
  <si>
    <t>妙彩宝瓶—「熟麦」</t>
  </si>
  <si>
    <t>「振奋的渐变」</t>
  </si>
  <si>
    <t>「巡林员的战备」</t>
  </si>
  <si>
    <t>茶室坐垫—「晚禾织」</t>
  </si>
  <si>
    <t>蒙德地毯—「明红的热忱」</t>
  </si>
  <si>
    <t>迎宾地毯—「惠然之顾」</t>
  </si>
  <si>
    <t>「青琅般辉煌之纹」</t>
  </si>
  <si>
    <t>「阳橙般夺目之纹」</t>
  </si>
  <si>
    <t>「椰褐般深沉之纹」</t>
  </si>
  <si>
    <t>「谏果般森丽之纹」</t>
  </si>
  <si>
    <t>枫木地灯—「照澄」</t>
  </si>
  <si>
    <t>恒亮不熄的提灯</t>
  </si>
  <si>
    <t>琉璃亭却砂木立灯</t>
  </si>
  <si>
    <t>贝壳灯罩硬质台灯</t>
  </si>
  <si>
    <t>「欢适之光」</t>
  </si>
  <si>
    <t>绿植盆栽—「澄澈的清风」</t>
  </si>
  <si>
    <t>花卉瓶栽—「盛放的曙红」</t>
  </si>
  <si>
    <t>绿植盆栽—「松青尺树上」</t>
  </si>
  <si>
    <t>「铸瓷正则」</t>
  </si>
  <si>
    <t>「素守之瓶」</t>
  </si>
  <si>
    <t>「丛茂的片段」</t>
  </si>
  <si>
    <t>「赤铁珊瑚」</t>
  </si>
  <si>
    <t>茶室烛台—「无味火」</t>
  </si>
  <si>
    <t>孔雀木「并提」层叠木匣</t>
  </si>
  <si>
    <t>整齐叠放的书本</t>
  </si>
  <si>
    <t>「学者的倦怠」</t>
  </si>
  <si>
    <t>「书信的礼节」</t>
  </si>
  <si>
    <t>精巧的沙漏摆件</t>
  </si>
  <si>
    <t>炼金装置—「水火之间」</t>
  </si>
  <si>
    <t>炼金器件—「尘埃的重量」</t>
  </si>
  <si>
    <t>纸墨笔砚—「临池学书」</t>
  </si>
  <si>
    <t>金色三重烛台</t>
  </si>
  <si>
    <t>白瓷茶具—「怀质抱真」</t>
  </si>
  <si>
    <t>「茶烟笼白榻」</t>
  </si>
  <si>
    <t>茶室器物—「锁香笼」</t>
  </si>
  <si>
    <t>纸墨笔砚—「正定笔锋」</t>
  </si>
  <si>
    <t>破邪之弦镝</t>
  </si>
  <si>
    <t>驱鬼之羽屏</t>
  </si>
  <si>
    <t>「于醇厚的壶浆中」</t>
  </si>
  <si>
    <t>「于脆爽的酣甜中」</t>
  </si>
  <si>
    <t>「于缭绕的淡霭中」</t>
  </si>
  <si>
    <t>「商铺的珍玩」</t>
  </si>
  <si>
    <t>「商铺的罗纹」</t>
  </si>
  <si>
    <t>「不可久置的烈浆」</t>
  </si>
  <si>
    <t>三眼守仙牌</t>
  </si>
  <si>
    <t>要地牙门—「云底之能」</t>
  </si>
  <si>
    <t>要地栏楯—「约己之壁」</t>
  </si>
  <si>
    <t>栏楯转角—「瞩视无遗」</t>
  </si>
  <si>
    <t>阵屋围栏—「错牙」</t>
  </si>
  <si>
    <t>阵屋围栏—「截断」</t>
  </si>
  <si>
    <t>阵屋桩木—「苦刺」</t>
  </si>
  <si>
    <t>温泉屏风—「适分」</t>
  </si>
  <si>
    <t>温泉外墙—「无越」</t>
  </si>
  <si>
    <t>温泉墙板—「稳足」</t>
  </si>
  <si>
    <t>温泉门厅—「避凉」</t>
  </si>
  <si>
    <t>御伽木「近竹」院门</t>
  </si>
  <si>
    <t>御伽木「近竹」围栏</t>
  </si>
  <si>
    <t>阵屋正门—「忠肃」</t>
  </si>
  <si>
    <t>花鸟喷泉</t>
  </si>
  <si>
    <t>丘丘螺旋瞭望塔</t>
  </si>
  <si>
    <t>白石温泉—「暖漫」</t>
  </si>
  <si>
    <t>丘丘简易草棚</t>
  </si>
  <si>
    <t>工程暂驻点</t>
  </si>
  <si>
    <t>「剧场的沁凉水雾」</t>
  </si>
  <si>
    <t>「卓识之地的朗澈」</t>
  </si>
  <si>
    <t>沙域棚屋—「细务」</t>
  </si>
  <si>
    <t>沙域棚屋—「问事」</t>
  </si>
  <si>
    <t>璃月商铺—「客聚如潮」</t>
  </si>
  <si>
    <t>璃月民居—「岁不我与」</t>
  </si>
  <si>
    <t>高大阁楼的乡间住宅</t>
  </si>
  <si>
    <t>古典乡间住宅</t>
  </si>
  <si>
    <t>袖珍松木小屋</t>
  </si>
  <si>
    <t>丘丘前哨小屋</t>
  </si>
  <si>
    <t>丘丘领袖大殿</t>
  </si>
  <si>
    <t>丘丘双层警戒台</t>
  </si>
  <si>
    <t>开放式烘炉工坊</t>
  </si>
  <si>
    <t>「行商石门北」</t>
  </si>
  <si>
    <t>卷棚果蔬舆</t>
  </si>
  <si>
    <t>「百味四宫釜」</t>
  </si>
  <si>
    <t>果蔬摊—「案上田园」</t>
  </si>
  <si>
    <t>御伽木拉面屋台</t>
  </si>
  <si>
    <t>「醇甜于流转之间」</t>
  </si>
  <si>
    <t>「醇甜于荫蔽之下」</t>
  </si>
  <si>
    <t>「醇甜于窖藏之中」</t>
  </si>
  <si>
    <t>「渔采的市易之地」</t>
  </si>
  <si>
    <t>「渔采的修旧利废」</t>
  </si>
  <si>
    <t>辉木布顶百用店</t>
  </si>
  <si>
    <t>辉木移动烧烤铺</t>
  </si>
  <si>
    <t>祭典「定番」百货屋台</t>
  </si>
  <si>
    <t>祭典「奇番」百货屋台</t>
  </si>
  <si>
    <t>「云游碧水东」</t>
  </si>
  <si>
    <t>硬顶避雷帐篷</t>
  </si>
  <si>
    <t>商店购买图纸(1.5歌德)</t>
  </si>
  <si>
    <t>简易单人帐篷</t>
  </si>
  <si>
    <t>御伽木市井杂煮屋台</t>
  </si>
  <si>
    <t>花伞铺—「异梦绮彩」</t>
  </si>
  <si>
    <t>果蔬摊—「纯诚之味」</t>
  </si>
  <si>
    <t>孔雀木「幸归」面具架</t>
  </si>
  <si>
    <t>干草货棚</t>
  </si>
  <si>
    <t>「净绪之龛」</t>
  </si>
  <si>
    <t>稻妻官邸—「严谕正办」</t>
  </si>
  <si>
    <t>官邸回廊—「势至权达」</t>
  </si>
  <si>
    <t>阵屋行帐—「时策」</t>
  </si>
  <si>
    <t>御神签务所—「兆解」</t>
  </si>
  <si>
    <t>「恒诰之龛」</t>
  </si>
  <si>
    <t>稻妻商铺—「千瑜百珉」</t>
  </si>
  <si>
    <t>稻妻民居—「三世共业」</t>
  </si>
  <si>
    <t>稻妻民居—「知变易通」</t>
  </si>
  <si>
    <t>稻妻筱屋—「静度岁晏」</t>
  </si>
  <si>
    <t>稻妻筱屋—「野逸入心」</t>
  </si>
  <si>
    <t>阵屋哨塔—「洞鉴」</t>
  </si>
  <si>
    <t>阵屋营房—「周固」</t>
  </si>
  <si>
    <t>「澄寂宫园的晶晖」</t>
  </si>
  <si>
    <t>「剧场的盛意摹刻」</t>
  </si>
  <si>
    <t>「林居之人的酌定」</t>
  </si>
  <si>
    <t>「林居之人的恰切」</t>
  </si>
  <si>
    <t>「林居之人的孤念」</t>
  </si>
  <si>
    <t>沙域平屋—「端居」</t>
  </si>
  <si>
    <t>沙域平屋—「众香」</t>
  </si>
  <si>
    <t>沙域平屋—「号声」</t>
  </si>
  <si>
    <t>沙域平屋—「短寐」</t>
  </si>
  <si>
    <t>「智慧之城的美馔」</t>
  </si>
  <si>
    <t>「智慧之城的丝缕」</t>
  </si>
  <si>
    <t>「智慧之城的泛常」</t>
  </si>
  <si>
    <t>伏青石</t>
  </si>
  <si>
    <t>纤拳石</t>
  </si>
  <si>
    <t>「代宫司之印」</t>
  </si>
  <si>
    <t>温泉白石—「秘火」</t>
  </si>
  <si>
    <t>寂修石</t>
  </si>
  <si>
    <t>涉浪石</t>
  </si>
  <si>
    <t>「归风的苍色」</t>
  </si>
  <si>
    <t>天衡赤枫—「红叶如灼」</t>
  </si>
  <si>
    <t>茁壮的萃华树</t>
  </si>
  <si>
    <t>「花咲初退红」</t>
  </si>
  <si>
    <t>「春惜一斤染」</t>
  </si>
  <si>
    <t>「红鸢问寝觉」</t>
  </si>
  <si>
    <t>「纁漫雁来中」</t>
  </si>
  <si>
    <t>「片叶苏芳缀银朱」</t>
  </si>
  <si>
    <t>「洁净的杯盏」</t>
  </si>
  <si>
    <t>攲斜弥亘树</t>
  </si>
  <si>
    <t>修茂弥亘树</t>
  </si>
  <si>
    <t>正逢花期的灌木丛</t>
  </si>
  <si>
    <t>「明冠羽叶」</t>
  </si>
  <si>
    <t>「猎人的暗哨」</t>
  </si>
  <si>
    <t>「紫苑叹幽弘」</t>
  </si>
  <si>
    <t>「影徙露草自伤悼」</t>
  </si>
  <si>
    <t>「晚花空言约」</t>
  </si>
  <si>
    <t>「薄红榴璃散千瓣」</t>
  </si>
  <si>
    <t>「深藏咸涩的裂果」</t>
  </si>
  <si>
    <t>「如烨烁的远星」</t>
  </si>
  <si>
    <t>「灼热的诱因」</t>
  </si>
  <si>
    <t>「悠长的介质」</t>
  </si>
  <si>
    <t>青衫景铄</t>
  </si>
  <si>
    <t>青衫问寒</t>
  </si>
  <si>
    <t>丛生蝶绿</t>
  </si>
  <si>
    <t>军势钲鼓—「破阵余响」</t>
  </si>
  <si>
    <t>「纺缉的纵深」</t>
  </si>
  <si>
    <t>「纺缉的硕果琳琅」</t>
  </si>
  <si>
    <t>竹框酒坛—「琼浆待月往」</t>
  </si>
  <si>
    <t>玩具摊—「琳琅生趣」</t>
  </si>
  <si>
    <t>花伞铺—「簦下千彩」</t>
  </si>
  <si>
    <t>果蔬商贩的谨慎</t>
  </si>
  <si>
    <t>丘丘弓箭标靶</t>
  </si>
  <si>
    <t>丘丘带角陶锅</t>
  </si>
  <si>
    <t>「冒险家难逃之重」</t>
  </si>
  <si>
    <t>商店购买图纸(1.5路爷)</t>
  </si>
  <si>
    <t>石制盏形水池</t>
  </si>
  <si>
    <t>阵屋半钟—「轰雷之音」</t>
  </si>
  <si>
    <t>「渔采的丰获之声」</t>
  </si>
  <si>
    <t>「渔采的家常茶饭」</t>
  </si>
  <si>
    <t>「渔采的择取机网」</t>
  </si>
  <si>
    <t>交错放置的杉木货箱</t>
  </si>
  <si>
    <t>有序叠放的杉木酒桶</t>
  </si>
  <si>
    <t>沉甸甸的干草卷</t>
  </si>
  <si>
    <t>储物袋—「隐雷退散」</t>
  </si>
  <si>
    <t>枯木方向标</t>
  </si>
  <si>
    <t>结实的木桶</t>
  </si>
  <si>
    <t>高耸的木杆</t>
  </si>
  <si>
    <t>御伽木「但饮」木桶</t>
  </si>
  <si>
    <t>厚壁「石胆」陶制水缸</t>
  </si>
  <si>
    <t>古法新造御伽木酒桶</t>
  </si>
  <si>
    <t>古法新造御伽木货箱</t>
  </si>
  <si>
    <t>「渔采的涓滴成河」</t>
  </si>
  <si>
    <t>「剧场的琼片丛簇」</t>
  </si>
  <si>
    <t>「澄寂宫园的黛痕」</t>
  </si>
  <si>
    <t>转移壅土的木桶</t>
  </si>
  <si>
    <t>乡野水井—「下索密藏」</t>
  </si>
  <si>
    <t>硬木兵戈架</t>
  </si>
  <si>
    <t>硬石加固的水井</t>
  </si>
  <si>
    <t>硬顶水井—「但求虚澈」</t>
  </si>
  <si>
    <t>「冒险家的随身秘宝」</t>
  </si>
  <si>
    <t>梦见木「灾祛」御签挂</t>
  </si>
  <si>
    <t>御建鸣神主尊旗</t>
  </si>
  <si>
    <t>阵屋枪架—「尖破」</t>
  </si>
  <si>
    <t>天狐雕像—「白辰嗣响」</t>
  </si>
  <si>
    <t>晴空缯彩游鱼旗</t>
  </si>
  <si>
    <t>梦见木「诚见」赛钱箱</t>
  </si>
  <si>
    <t>「必不可少之物」</t>
  </si>
  <si>
    <t>「旅团的威焰」</t>
  </si>
  <si>
    <t>「攻伐的具象」</t>
  </si>
  <si>
    <t>「禁足铁菱角」</t>
  </si>
  <si>
    <t>「旅团的征轮」</t>
  </si>
  <si>
    <t>「旅团的盛名」</t>
  </si>
  <si>
    <t>杉木置物架</t>
  </si>
  <si>
    <t>杉木武器架</t>
  </si>
  <si>
    <t>简易货运拖车</t>
  </si>
  <si>
    <t>旧式水井</t>
  </si>
  <si>
    <t>「潜心之光」</t>
  </si>
  <si>
    <t>「盛放之光」</t>
  </si>
  <si>
    <t>「滴翠之光」</t>
  </si>
  <si>
    <t>「依常之光」</t>
  </si>
  <si>
    <t>铁艺雕花路灯</t>
  </si>
  <si>
    <t>退邪灯—「明照左右」</t>
  </si>
  <si>
    <t>清影灯—「笔锋墨影」</t>
  </si>
  <si>
    <t>梦见木「空怀」路灯</t>
  </si>
  <si>
    <t>野外松木路灯</t>
  </si>
  <si>
    <t>五重灯笼祭典门关</t>
  </si>
  <si>
    <t>鱼脂白烛—「傍明」</t>
  </si>
  <si>
    <t>御伽木郊野路灯</t>
  </si>
  <si>
    <t>御伽木简本路灯</t>
  </si>
  <si>
    <t>葱郁的葡萄藤</t>
  </si>
  <si>
    <t>「果农的勤俭」</t>
  </si>
  <si>
    <t>「渔采的绝对界线」</t>
  </si>
  <si>
    <t>卸力的松木围栏</t>
  </si>
  <si>
    <t>丘丘木制围栏</t>
  </si>
  <si>
    <t>丘丘图腾围栏</t>
  </si>
  <si>
    <t>简易木制围栏</t>
  </si>
  <si>
    <t>施工过半的围栏</t>
  </si>
  <si>
    <t>平整的木制长凳</t>
  </si>
  <si>
    <t>平整的石制长凳</t>
  </si>
  <si>
    <t>御伽木「乐至」方凳</t>
  </si>
  <si>
    <t>重型杉木锻造桌</t>
  </si>
  <si>
    <t>大型石制滚磨</t>
  </si>
  <si>
    <t>双重商摊—「运势层层高」</t>
  </si>
  <si>
    <t>竹制露天茶桌</t>
  </si>
  <si>
    <t>木制露天茶桌</t>
  </si>
  <si>
    <t>宽大的松木长桌</t>
  </si>
  <si>
    <t>御伽木「乐至」方桌</t>
  </si>
  <si>
    <t>酒肆货柜—「会须百杯饮」</t>
  </si>
  <si>
    <t>抗浪结构双层货盘</t>
  </si>
  <si>
    <t>铸石地基—「修身砥行」</t>
  </si>
  <si>
    <t>铸石地基—「随车致雨」</t>
  </si>
  <si>
    <t>铸石地基—「倍道兼行」</t>
  </si>
  <si>
    <t>版本</t>
  </si>
  <si>
    <t>更新内容</t>
  </si>
  <si>
    <t>更改星级描述错误，添加首行锁定</t>
  </si>
  <si>
    <t>更新神里绫人对应套装</t>
  </si>
  <si>
    <t>更新夜兰 久岐忍对应套装</t>
  </si>
  <si>
    <t>将角色拥有情况改为游戏内默认排序，以避免粘贴后新角色消失的情况</t>
  </si>
  <si>
    <t>麻烦老用户重新填一遍BOX，非常抱歉</t>
  </si>
  <si>
    <t>删除无用的“序号”列</t>
  </si>
  <si>
    <t>修正垂香木厨房货架的星级</t>
  </si>
  <si>
    <t>修正一些数据错误</t>
  </si>
  <si>
    <t>更新鹿野院平藏对应套装</t>
  </si>
  <si>
    <t>更新3.2版本新增赠礼套装和摆设</t>
  </si>
  <si>
    <t>更新柯莱 提纳里 多莉 坎蒂丝 赛诺  妮露 莱依拉 纳西妲对应套装</t>
  </si>
  <si>
    <t>视觉优化，修正一些数据错误</t>
  </si>
  <si>
    <t>更新珐露珊 流浪者对应套装  修复一些数据错误</t>
  </si>
  <si>
    <t>套装对应角色顺序与游戏中同步 未领取奖励角色处增加下拉菜单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</si>
</sst>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indexed="8"/>
      <name val="等线"/>
      <charset val="134"/>
      <scheme val="minor"/>
    </font>
    <font>
      <sz val="12"/>
      <color indexed="8"/>
      <name val="楷体"/>
      <charset val="134"/>
    </font>
    <font>
      <b/>
      <sz val="12"/>
      <color rgb="FFFFFFFF"/>
      <name val="楷体"/>
      <charset val="134"/>
    </font>
    <font>
      <sz val="11"/>
      <name val="等线"/>
      <charset val="134"/>
      <scheme val="minor"/>
    </font>
    <font>
      <sz val="11"/>
      <name val="等线"/>
      <charset val="0"/>
      <scheme val="minor"/>
    </font>
    <font>
      <sz val="10"/>
      <name val="等线"/>
      <charset val="134"/>
      <scheme val="minor"/>
    </font>
    <font>
      <sz val="10"/>
      <name val="等线"/>
      <charset val="0"/>
      <scheme val="minor"/>
    </font>
    <font>
      <sz val="10"/>
      <color indexed="8"/>
      <name val="等线"/>
      <charset val="134"/>
      <scheme val="minor"/>
    </font>
    <font>
      <sz val="12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name val="等线"/>
      <charset val="134"/>
      <scheme val="minor"/>
    </font>
    <font>
      <b/>
      <sz val="12"/>
      <color theme="0"/>
      <name val="楷体"/>
      <charset val="134"/>
    </font>
    <font>
      <u/>
      <sz val="11"/>
      <color theme="1"/>
      <name val="等线"/>
      <charset val="0"/>
    </font>
    <font>
      <sz val="11"/>
      <name val="等线"/>
      <charset val="134"/>
    </font>
    <font>
      <sz val="10"/>
      <name val="楷体"/>
      <charset val="134"/>
    </font>
    <font>
      <sz val="9"/>
      <name val="楷体"/>
      <charset val="134"/>
    </font>
    <font>
      <sz val="11"/>
      <color theme="1"/>
      <name val="等线"/>
      <charset val="134"/>
    </font>
    <font>
      <u/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DDBFF"/>
        <bgColor indexed="64"/>
      </patternFill>
    </fill>
    <fill>
      <patternFill patternType="solid">
        <fgColor rgb="FFCAA8E5"/>
        <bgColor indexed="64"/>
      </patternFill>
    </fill>
    <fill>
      <patternFill patternType="solid">
        <fgColor rgb="FFC9E8A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/>
      <right/>
      <top/>
      <bottom style="thin">
        <color rgb="FFE7E6E6"/>
      </bottom>
      <diagonal/>
    </border>
    <border>
      <left/>
      <right style="medium">
        <color rgb="FFE7E6E6"/>
      </right>
      <top/>
      <bottom style="thin">
        <color rgb="FFE7E6E6"/>
      </bottom>
      <diagonal/>
    </border>
    <border>
      <left/>
      <right style="thin">
        <color rgb="FFE7E6E6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9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3" borderId="10" applyNumberFormat="0" applyFon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0" fillId="17" borderId="13" applyNumberFormat="0" applyAlignment="0" applyProtection="0">
      <alignment vertical="center"/>
    </xf>
    <xf numFmtId="0" fontId="31" fillId="17" borderId="9" applyNumberFormat="0" applyAlignment="0" applyProtection="0">
      <alignment vertical="center"/>
    </xf>
    <xf numFmtId="0" fontId="32" fillId="18" borderId="14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84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vertical="center"/>
    </xf>
    <xf numFmtId="0" fontId="2" fillId="2" borderId="1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NumberFormat="1" applyFont="1" applyAlignment="1"/>
    <xf numFmtId="0" fontId="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/>
    <xf numFmtId="0" fontId="3" fillId="0" borderId="5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4" borderId="5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/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5" borderId="5" xfId="0" applyNumberFormat="1" applyFont="1" applyFill="1" applyBorder="1" applyAlignment="1">
      <alignment horizontal="center"/>
    </xf>
    <xf numFmtId="0" fontId="3" fillId="6" borderId="5" xfId="0" applyNumberFormat="1" applyFont="1" applyFill="1" applyBorder="1" applyAlignment="1">
      <alignment horizont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>
      <alignment vertical="center"/>
    </xf>
    <xf numFmtId="0" fontId="2" fillId="2" borderId="5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/>
    <xf numFmtId="0" fontId="3" fillId="7" borderId="5" xfId="0" applyNumberFormat="1" applyFont="1" applyFill="1" applyBorder="1" applyAlignment="1">
      <alignment horizontal="center" vertical="center" wrapText="1"/>
    </xf>
    <xf numFmtId="0" fontId="4" fillId="3" borderId="5" xfId="10" applyNumberFormat="1" applyFont="1" applyFill="1" applyBorder="1" applyAlignment="1">
      <alignment horizontal="center"/>
    </xf>
    <xf numFmtId="0" fontId="3" fillId="7" borderId="5" xfId="0" applyNumberFormat="1" applyFont="1" applyFill="1" applyBorder="1" applyAlignment="1">
      <alignment horizontal="center"/>
    </xf>
    <xf numFmtId="0" fontId="3" fillId="7" borderId="5" xfId="0" applyNumberFormat="1" applyFont="1" applyFill="1" applyBorder="1" applyAlignment="1"/>
    <xf numFmtId="0" fontId="3" fillId="3" borderId="5" xfId="0" applyFont="1" applyFill="1" applyBorder="1">
      <alignment vertical="center"/>
    </xf>
    <xf numFmtId="0" fontId="1" fillId="0" borderId="6" xfId="0" applyNumberFormat="1" applyFont="1" applyBorder="1" applyAlignment="1"/>
    <xf numFmtId="0" fontId="5" fillId="0" borderId="6" xfId="0" applyNumberFormat="1" applyFont="1" applyFill="1" applyBorder="1">
      <alignment vertical="center"/>
    </xf>
    <xf numFmtId="0" fontId="5" fillId="7" borderId="5" xfId="0" applyNumberFormat="1" applyFont="1" applyFill="1" applyBorder="1">
      <alignment vertical="center"/>
    </xf>
    <xf numFmtId="0" fontId="3" fillId="3" borderId="0" xfId="0" applyFont="1" applyFill="1">
      <alignment vertical="center"/>
    </xf>
    <xf numFmtId="0" fontId="6" fillId="0" borderId="5" xfId="10" applyFont="1" applyFill="1" applyBorder="1" applyAlignment="1">
      <alignment horizontal="center" vertical="center" wrapText="1"/>
    </xf>
    <xf numFmtId="0" fontId="4" fillId="0" borderId="5" xfId="10" applyFont="1" applyFill="1" applyBorder="1" applyAlignment="1">
      <alignment vertical="center" wrapText="1"/>
    </xf>
    <xf numFmtId="0" fontId="4" fillId="0" borderId="5" xfId="1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>
      <alignment vertical="center"/>
    </xf>
    <xf numFmtId="0" fontId="4" fillId="0" borderId="5" xfId="1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NumberFormat="1" applyFont="1" applyAlignment="1"/>
    <xf numFmtId="0" fontId="0" fillId="0" borderId="5" xfId="0" applyFont="1" applyBorder="1" applyAlignment="1">
      <alignment horizontal="center" vertical="center" wrapText="1"/>
    </xf>
    <xf numFmtId="0" fontId="4" fillId="3" borderId="5" xfId="10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Border="1">
      <alignment vertical="center"/>
    </xf>
    <xf numFmtId="0" fontId="0" fillId="0" borderId="0" xfId="0" applyFont="1" applyAlignment="1">
      <alignment vertical="center" wrapText="1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2" fillId="3" borderId="0" xfId="1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4" fillId="0" borderId="0" xfId="1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8" fillId="0" borderId="0" xfId="0" applyFont="1" applyFill="1" applyBorder="1">
      <alignment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8" xfId="0" applyFont="1" applyBorder="1">
      <alignment vertical="center"/>
    </xf>
    <xf numFmtId="0" fontId="15" fillId="0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CAA8E5"/>
      <color rgb="006DDBFF"/>
      <color rgb="00C9E8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6"/>
  <sheetViews>
    <sheetView tabSelected="1" workbookViewId="0">
      <pane ySplit="1" topLeftCell="A2" activePane="bottomLeft" state="frozen"/>
      <selection/>
      <selection pane="bottomLeft" activeCell="E18" sqref="E18:K18"/>
    </sheetView>
  </sheetViews>
  <sheetFormatPr defaultColWidth="9" defaultRowHeight="14.25"/>
  <cols>
    <col min="1" max="1" width="19.125" style="60" customWidth="1"/>
    <col min="2" max="2" width="35.25" style="59" customWidth="1"/>
    <col min="3" max="3" width="18" style="59" customWidth="1"/>
    <col min="4" max="4" width="9" style="59"/>
    <col min="5" max="5" width="9" style="61"/>
    <col min="6" max="10" width="9" style="62"/>
    <col min="11" max="11" width="9" style="63"/>
    <col min="12" max="16384" width="9" style="59"/>
  </cols>
  <sheetData>
    <row r="1" s="57" customFormat="1" ht="15.75" spans="1:20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/>
      <c r="G1" s="64"/>
      <c r="H1" s="64"/>
      <c r="I1" s="64"/>
      <c r="J1" s="64"/>
      <c r="K1" s="64"/>
      <c r="L1" s="76" t="s">
        <v>5</v>
      </c>
      <c r="M1" s="76"/>
      <c r="N1" s="77"/>
      <c r="O1" s="78"/>
      <c r="P1" s="78"/>
      <c r="Q1" s="78"/>
      <c r="R1" s="78"/>
      <c r="S1" s="78"/>
      <c r="T1" s="78"/>
    </row>
    <row r="2" s="58" customFormat="1" spans="1:20">
      <c r="A2" s="65" t="str">
        <f>HYPERLINK("#套装!诗歌沉思间","诗歌沉思间")</f>
        <v>诗歌沉思间</v>
      </c>
      <c r="B2" s="66" t="s">
        <v>6</v>
      </c>
      <c r="C2" s="66">
        <f>SUM(L33,L16,L4,L11,L19)</f>
        <v>1</v>
      </c>
      <c r="E2" s="67"/>
      <c r="F2" s="68"/>
      <c r="G2" s="68"/>
      <c r="H2" s="68"/>
      <c r="I2" s="68"/>
      <c r="J2" s="68"/>
      <c r="K2" s="79"/>
      <c r="L2" s="58">
        <v>1</v>
      </c>
      <c r="M2" s="58" t="s">
        <v>7</v>
      </c>
      <c r="N2" s="59"/>
      <c r="O2"/>
      <c r="P2"/>
      <c r="Q2"/>
      <c r="R2"/>
      <c r="S2"/>
      <c r="T2"/>
    </row>
    <row r="3" s="58" customFormat="1" spans="1:20">
      <c r="A3" s="65" t="str">
        <f>HYPERLINK("#套装!柔风低语间","柔风低语间")</f>
        <v>柔风低语间</v>
      </c>
      <c r="B3" s="66" t="s">
        <v>8</v>
      </c>
      <c r="C3" s="66">
        <f>SUM(L33,L5,L13)</f>
        <v>1</v>
      </c>
      <c r="E3" s="67"/>
      <c r="F3" s="68"/>
      <c r="G3" s="68"/>
      <c r="H3" s="68"/>
      <c r="I3" s="68"/>
      <c r="J3" s="68"/>
      <c r="K3" s="79"/>
      <c r="L3" s="58">
        <v>1</v>
      </c>
      <c r="M3" s="58" t="s">
        <v>9</v>
      </c>
      <c r="N3" s="59"/>
      <c r="O3"/>
      <c r="P3"/>
      <c r="Q3"/>
      <c r="R3"/>
      <c r="S3"/>
      <c r="T3"/>
    </row>
    <row r="4" s="58" customFormat="1" spans="1:20">
      <c r="A4" s="65" t="str">
        <f>HYPERLINK("#套装!绯云文斋","绯云文斋")</f>
        <v>绯云文斋</v>
      </c>
      <c r="B4" s="66" t="s">
        <v>10</v>
      </c>
      <c r="C4" s="66">
        <f>SUM(L9,L10,L26,L45)</f>
        <v>0</v>
      </c>
      <c r="E4" s="67"/>
      <c r="F4" s="68"/>
      <c r="G4" s="68"/>
      <c r="H4" s="68"/>
      <c r="I4" s="80"/>
      <c r="J4" s="80"/>
      <c r="K4" s="81"/>
      <c r="L4" s="58">
        <v>1</v>
      </c>
      <c r="M4" s="58" t="s">
        <v>11</v>
      </c>
      <c r="N4" s="59"/>
      <c r="O4"/>
      <c r="P4"/>
      <c r="Q4"/>
      <c r="R4"/>
      <c r="S4"/>
      <c r="T4"/>
    </row>
    <row r="5" s="58" customFormat="1" spans="1:20">
      <c r="A5" s="65" t="str">
        <f>HYPERLINK("#套装!烟霞入梦阁","烟霞入梦阁")</f>
        <v>烟霞入梦阁</v>
      </c>
      <c r="B5" s="66" t="s">
        <v>12</v>
      </c>
      <c r="C5" s="66">
        <f>SUM(L32,L14,L28,L20,L30)</f>
        <v>0</v>
      </c>
      <c r="E5" s="67"/>
      <c r="F5" s="68"/>
      <c r="G5" s="68"/>
      <c r="H5" s="68"/>
      <c r="I5" s="80"/>
      <c r="J5" s="80"/>
      <c r="K5" s="81"/>
      <c r="L5" s="58">
        <v>1</v>
      </c>
      <c r="M5" s="58" t="s">
        <v>13</v>
      </c>
      <c r="N5" s="59"/>
      <c r="O5"/>
      <c r="P5"/>
      <c r="Q5"/>
      <c r="R5"/>
      <c r="S5"/>
      <c r="T5"/>
    </row>
    <row r="6" s="58" customFormat="1" spans="1:20">
      <c r="A6" s="65" t="str">
        <f>HYPERLINK("#套装!秘术研究所","秘术研究所")</f>
        <v>秘术研究所</v>
      </c>
      <c r="B6" s="66" t="s">
        <v>14</v>
      </c>
      <c r="C6" s="66">
        <f>SUM(L4,L22,L27,L15)</f>
        <v>1</v>
      </c>
      <c r="E6" s="67"/>
      <c r="F6" s="68"/>
      <c r="G6" s="68"/>
      <c r="H6" s="68"/>
      <c r="I6" s="80"/>
      <c r="J6" s="80"/>
      <c r="K6" s="81"/>
      <c r="M6" s="58" t="s">
        <v>15</v>
      </c>
      <c r="N6" s="59"/>
      <c r="O6"/>
      <c r="P6"/>
      <c r="Q6"/>
      <c r="R6"/>
      <c r="S6"/>
      <c r="T6"/>
    </row>
    <row r="7" s="58" customFormat="1" spans="1:20">
      <c r="A7" s="65" t="str">
        <f>HYPERLINK("#套装!柴烟庖屋","柴烟庖屋")</f>
        <v>柴烟庖屋</v>
      </c>
      <c r="B7" s="66" t="s">
        <v>16</v>
      </c>
      <c r="C7" s="66">
        <f>SUM(L7,L6,L29,L24,L19)</f>
        <v>1</v>
      </c>
      <c r="E7" s="67"/>
      <c r="F7" s="68"/>
      <c r="G7" s="68"/>
      <c r="H7" s="68"/>
      <c r="I7" s="80"/>
      <c r="J7" s="80"/>
      <c r="K7" s="81"/>
      <c r="L7" s="58">
        <v>1</v>
      </c>
      <c r="M7" s="58" t="s">
        <v>17</v>
      </c>
      <c r="N7" s="59"/>
      <c r="O7"/>
      <c r="P7"/>
      <c r="Q7"/>
      <c r="R7"/>
      <c r="S7"/>
      <c r="T7"/>
    </row>
    <row r="8" s="58" customFormat="1" spans="1:20">
      <c r="A8" s="65" t="str">
        <f>HYPERLINK("#套装!遐久瞬梦间","遐久瞬梦间")</f>
        <v>遐久瞬梦间</v>
      </c>
      <c r="B8" s="66" t="s">
        <v>18</v>
      </c>
      <c r="C8" s="66">
        <f>SUM(L36,L41,L51)</f>
        <v>0</v>
      </c>
      <c r="E8" s="67"/>
      <c r="F8" s="68"/>
      <c r="G8" s="68"/>
      <c r="H8" s="68"/>
      <c r="I8" s="80"/>
      <c r="J8" s="80"/>
      <c r="K8" s="81"/>
      <c r="M8" s="58" t="s">
        <v>19</v>
      </c>
      <c r="N8" s="59"/>
      <c r="O8"/>
      <c r="P8"/>
      <c r="Q8"/>
      <c r="R8"/>
      <c r="S8"/>
      <c r="T8"/>
    </row>
    <row r="9" s="58" customFormat="1" spans="1:20">
      <c r="A9" s="65" t="str">
        <f>HYPERLINK("#套装!千振致业","千振致业")</f>
        <v>千振致业</v>
      </c>
      <c r="B9" s="66" t="s">
        <v>20</v>
      </c>
      <c r="C9" s="66">
        <f>SUM(L35,L40)</f>
        <v>0</v>
      </c>
      <c r="E9" s="67"/>
      <c r="F9" s="68"/>
      <c r="G9" s="68"/>
      <c r="H9" s="68"/>
      <c r="I9" s="80"/>
      <c r="J9" s="80"/>
      <c r="K9" s="81"/>
      <c r="M9" s="58" t="s">
        <v>21</v>
      </c>
      <c r="N9" s="59"/>
      <c r="O9"/>
      <c r="P9"/>
      <c r="Q9"/>
      <c r="R9"/>
      <c r="S9"/>
      <c r="T9"/>
    </row>
    <row r="10" s="58" customFormat="1" spans="1:20">
      <c r="A10" s="65" t="str">
        <f>HYPERLINK("#套装!沉墨书舍","沉墨书舍")</f>
        <v>沉墨书舍</v>
      </c>
      <c r="B10" s="66" t="s">
        <v>22</v>
      </c>
      <c r="C10" s="66">
        <f>SUM(L41,L50)</f>
        <v>0</v>
      </c>
      <c r="E10" s="67"/>
      <c r="F10" s="68"/>
      <c r="G10" s="68"/>
      <c r="H10" s="68"/>
      <c r="I10" s="80"/>
      <c r="J10" s="80"/>
      <c r="K10" s="81"/>
      <c r="M10" s="58" t="s">
        <v>23</v>
      </c>
      <c r="N10" s="59"/>
      <c r="O10"/>
      <c r="P10"/>
      <c r="Q10"/>
      <c r="R10"/>
      <c r="S10"/>
      <c r="T10"/>
    </row>
    <row r="11" s="58" customFormat="1" spans="1:20">
      <c r="A11" s="65" t="str">
        <f>HYPERLINK("#套装!枫香茶雾一室中","枫香茶雾一室中")</f>
        <v>枫香茶雾一室中</v>
      </c>
      <c r="B11" s="66" t="s">
        <v>24</v>
      </c>
      <c r="C11" s="66">
        <f>SUM(L34,L42)</f>
        <v>0</v>
      </c>
      <c r="E11" s="67"/>
      <c r="F11" s="68"/>
      <c r="G11" s="68"/>
      <c r="H11" s="68"/>
      <c r="I11" s="80"/>
      <c r="J11" s="80"/>
      <c r="K11" s="81"/>
      <c r="M11" s="58" t="s">
        <v>25</v>
      </c>
      <c r="N11" s="59"/>
      <c r="O11"/>
      <c r="P11"/>
      <c r="Q11"/>
      <c r="R11"/>
      <c r="S11"/>
      <c r="T11"/>
    </row>
    <row r="12" s="58" customFormat="1" spans="1:14">
      <c r="A12" s="65" t="str">
        <f>HYPERLINK("#套装!巡林常途的百千趣事","巡林常途的百千趣事")</f>
        <v>巡林常途的百千趣事</v>
      </c>
      <c r="B12" s="66" t="s">
        <v>26</v>
      </c>
      <c r="C12" s="66">
        <f>SUM(L53,L52)</f>
        <v>1</v>
      </c>
      <c r="E12" s="67"/>
      <c r="F12" s="68"/>
      <c r="G12" s="68"/>
      <c r="H12" s="68"/>
      <c r="I12" s="68"/>
      <c r="J12" s="68"/>
      <c r="K12" s="79"/>
      <c r="M12" s="58" t="s">
        <v>27</v>
      </c>
      <c r="N12" s="59"/>
    </row>
    <row r="13" s="58" customFormat="1" spans="1:14">
      <c r="A13" s="65" t="str">
        <f>HYPERLINK("#套装!凝停的绮璨明彩","凝停的绮璨明彩")</f>
        <v>凝停的绮璨明彩</v>
      </c>
      <c r="B13" s="66" t="s">
        <v>28</v>
      </c>
      <c r="C13" s="66">
        <f>SUM(L54,L57)</f>
        <v>0</v>
      </c>
      <c r="E13" s="67"/>
      <c r="F13" s="68"/>
      <c r="G13" s="68"/>
      <c r="H13" s="68"/>
      <c r="I13" s="68"/>
      <c r="J13" s="68"/>
      <c r="K13" s="79"/>
      <c r="M13" s="58" t="s">
        <v>29</v>
      </c>
      <c r="N13" s="59"/>
    </row>
    <row r="14" s="58" customFormat="1" spans="1:14">
      <c r="A14" s="65" t="str">
        <f>HYPERLINK("#套装!至烈至强的醇香","至烈至强的醇香")</f>
        <v>至烈至强的醇香</v>
      </c>
      <c r="B14" s="66"/>
      <c r="C14" s="66"/>
      <c r="E14" s="67"/>
      <c r="F14" s="68"/>
      <c r="G14" s="68"/>
      <c r="H14" s="68"/>
      <c r="I14" s="68"/>
      <c r="J14" s="68"/>
      <c r="K14" s="79"/>
      <c r="M14" s="58" t="s">
        <v>30</v>
      </c>
      <c r="N14" s="59"/>
    </row>
    <row r="15" s="58" customFormat="1" spans="1:14">
      <c r="A15" s="65" t="str">
        <f>HYPERLINK("#套装!识见沉降之地","识见沉降之地")</f>
        <v>识见沉降之地</v>
      </c>
      <c r="B15" s="66" t="s">
        <v>31</v>
      </c>
      <c r="C15" s="66">
        <f>SUM(L56,L60)</f>
        <v>0</v>
      </c>
      <c r="E15" s="67"/>
      <c r="F15" s="68"/>
      <c r="G15" s="68"/>
      <c r="H15" s="68"/>
      <c r="I15" s="68"/>
      <c r="J15" s="68"/>
      <c r="K15" s="79"/>
      <c r="M15" s="58" t="s">
        <v>32</v>
      </c>
      <c r="N15" s="59"/>
    </row>
    <row r="16" s="58" customFormat="1" spans="1:14">
      <c r="A16" s="65" t="str">
        <f>HYPERLINK("#套装!暂别喧扰与烦忧","暂别喧扰与烦忧")</f>
        <v>暂别喧扰与烦忧</v>
      </c>
      <c r="B16" s="66" t="s">
        <v>33</v>
      </c>
      <c r="C16" s="66">
        <f>SUM(L58,L59)</f>
        <v>0</v>
      </c>
      <c r="E16" s="67"/>
      <c r="F16" s="68"/>
      <c r="G16" s="68"/>
      <c r="H16" s="68"/>
      <c r="I16" s="68"/>
      <c r="J16" s="68"/>
      <c r="K16" s="79"/>
      <c r="L16" s="59"/>
      <c r="M16" s="58" t="s">
        <v>34</v>
      </c>
      <c r="N16" s="59"/>
    </row>
    <row r="17" s="58" customFormat="1" spans="1:14">
      <c r="A17" s="65" t="str">
        <f>HYPERLINK("#套装!存身于尘沙之境","存身于尘沙之境")</f>
        <v>存身于尘沙之境</v>
      </c>
      <c r="B17" s="66" t="s">
        <v>35</v>
      </c>
      <c r="C17" s="66">
        <f>SUM(L55)</f>
        <v>0</v>
      </c>
      <c r="E17" s="67"/>
      <c r="F17" s="68"/>
      <c r="G17" s="68"/>
      <c r="H17" s="68"/>
      <c r="I17" s="68"/>
      <c r="J17" s="68"/>
      <c r="K17" s="79"/>
      <c r="M17" s="58" t="s">
        <v>36</v>
      </c>
      <c r="N17" s="59"/>
    </row>
    <row r="18" s="58" customFormat="1" spans="1:14">
      <c r="A18" s="69"/>
      <c r="B18" s="69"/>
      <c r="C18" s="69"/>
      <c r="E18" s="70" t="s">
        <v>37</v>
      </c>
      <c r="F18" s="71"/>
      <c r="G18" s="71"/>
      <c r="H18" s="71"/>
      <c r="I18" s="71"/>
      <c r="J18" s="71"/>
      <c r="K18" s="82"/>
      <c r="M18" s="58" t="s">
        <v>38</v>
      </c>
      <c r="N18" s="59"/>
    </row>
    <row r="19" s="58" customFormat="1" spans="1:14">
      <c r="A19" s="65" t="str">
        <f>HYPERLINK("#套装!兵刃锻造站","兵刃锻造站")</f>
        <v>兵刃锻造站</v>
      </c>
      <c r="B19" s="66" t="s">
        <v>39</v>
      </c>
      <c r="C19" s="66">
        <f>SUM(L17,L12,L13,L23)</f>
        <v>0</v>
      </c>
      <c r="E19" s="67"/>
      <c r="F19" s="68"/>
      <c r="G19" s="68"/>
      <c r="H19" s="68"/>
      <c r="I19" s="68"/>
      <c r="J19" s="68"/>
      <c r="K19" s="79"/>
      <c r="M19" s="58" t="s">
        <v>40</v>
      </c>
      <c r="N19" s="59"/>
    </row>
    <row r="20" s="58" customFormat="1" spans="1:14">
      <c r="A20" s="65" t="str">
        <f>HYPERLINK("#套装!牧歌之镇","牧歌之镇")</f>
        <v>牧歌之镇</v>
      </c>
      <c r="B20" s="66" t="s">
        <v>41</v>
      </c>
      <c r="C20" s="66">
        <f>SUM(L6,L2,L23)</f>
        <v>1</v>
      </c>
      <c r="E20" s="67"/>
      <c r="F20" s="72"/>
      <c r="G20" s="68"/>
      <c r="H20" s="68"/>
      <c r="I20" s="68"/>
      <c r="J20" s="68"/>
      <c r="K20" s="79"/>
      <c r="M20" s="58" t="s">
        <v>42</v>
      </c>
      <c r="N20" s="59"/>
    </row>
    <row r="21" s="58" customFormat="1" spans="1:14">
      <c r="A21" s="65" t="str">
        <f>HYPERLINK("#套装!花鸟公园","花鸟公园")</f>
        <v>花鸟公园</v>
      </c>
      <c r="B21" s="66" t="s">
        <v>43</v>
      </c>
      <c r="C21" s="66">
        <f>SUM(L16,L5,L3,L21,L31)</f>
        <v>2</v>
      </c>
      <c r="E21" s="67"/>
      <c r="F21" s="72"/>
      <c r="G21" s="68"/>
      <c r="H21" s="68"/>
      <c r="I21" s="68"/>
      <c r="J21" s="68"/>
      <c r="K21" s="79"/>
      <c r="L21" s="59"/>
      <c r="M21" s="58" t="s">
        <v>44</v>
      </c>
      <c r="N21" s="59"/>
    </row>
    <row r="22" s="58" customFormat="1" spans="1:14">
      <c r="A22" s="65" t="str">
        <f>HYPERLINK("#套装!千家饔飧坊","千家饔飧坊")</f>
        <v>千家饔飧坊</v>
      </c>
      <c r="B22" s="66" t="s">
        <v>45</v>
      </c>
      <c r="C22" s="66">
        <f>SUM(L7,L8,L24,L28,L25,L49)</f>
        <v>1</v>
      </c>
      <c r="E22" s="67"/>
      <c r="F22" s="72"/>
      <c r="G22" s="68"/>
      <c r="H22" s="68"/>
      <c r="I22" s="68"/>
      <c r="J22" s="68"/>
      <c r="K22" s="79"/>
      <c r="M22" s="58" t="s">
        <v>46</v>
      </c>
      <c r="N22" s="59"/>
    </row>
    <row r="23" s="58" customFormat="1" spans="1:14">
      <c r="A23" s="65" t="str">
        <f>HYPERLINK("#套装!百里琳琅街","百里琳琅街")</f>
        <v>百里琳琅街</v>
      </c>
      <c r="B23" s="66" t="s">
        <v>47</v>
      </c>
      <c r="C23" s="66">
        <f>SUM(L32,L9,L10,L26,L20,L46,L45)</f>
        <v>0</v>
      </c>
      <c r="E23" s="67"/>
      <c r="F23" s="72"/>
      <c r="G23" s="68"/>
      <c r="H23" s="68"/>
      <c r="I23" s="68"/>
      <c r="J23" s="68"/>
      <c r="K23" s="79"/>
      <c r="M23" s="58" t="s">
        <v>48</v>
      </c>
      <c r="N23" s="59"/>
    </row>
    <row r="24" s="58" customFormat="1" spans="1:14">
      <c r="A24" s="65" t="str">
        <f>HYPERLINK("#套装!轻策闲云居","轻策闲云居")</f>
        <v>轻策闲云居</v>
      </c>
      <c r="B24" s="66" t="s">
        <v>49</v>
      </c>
      <c r="C24" s="66">
        <f>SUM(L29,L18,L25,L30,L46,L49)</f>
        <v>0</v>
      </c>
      <c r="E24" s="67"/>
      <c r="F24" s="72"/>
      <c r="G24" s="68"/>
      <c r="H24" s="68"/>
      <c r="I24" s="68"/>
      <c r="J24" s="68"/>
      <c r="K24" s="79"/>
      <c r="M24" s="58" t="s">
        <v>50</v>
      </c>
      <c r="N24" s="59"/>
    </row>
    <row r="25" s="58" customFormat="1" spans="1:14">
      <c r="A25" s="65" t="str">
        <f>HYPERLINK("#套装!狩猎与歌舞之营","狩猎与歌舞之营")</f>
        <v>狩猎与歌舞之营</v>
      </c>
      <c r="B25" s="66" t="s">
        <v>51</v>
      </c>
      <c r="C25" s="66">
        <f>SUM(L2,L8,L22,L15,L38)</f>
        <v>1</v>
      </c>
      <c r="E25" s="67"/>
      <c r="F25" s="72"/>
      <c r="G25" s="68"/>
      <c r="H25" s="68"/>
      <c r="I25" s="68"/>
      <c r="J25" s="68"/>
      <c r="K25" s="79"/>
      <c r="M25" s="58" t="s">
        <v>52</v>
      </c>
      <c r="N25" s="59"/>
    </row>
    <row r="26" s="58" customFormat="1" spans="1:14">
      <c r="A26" s="65" t="str">
        <f>HYPERLINK("#套装!星辰与深渊之旅","星辰与深渊之旅")</f>
        <v>星辰与深渊之旅</v>
      </c>
      <c r="B26" s="66" t="s">
        <v>53</v>
      </c>
      <c r="C26" s="66">
        <f>SUM(L11,L12,L18,L14,L27,L38)</f>
        <v>0</v>
      </c>
      <c r="E26" s="67"/>
      <c r="F26" s="68"/>
      <c r="G26" s="68"/>
      <c r="H26" s="68"/>
      <c r="I26" s="68"/>
      <c r="J26" s="68"/>
      <c r="K26" s="79"/>
      <c r="M26" s="58" t="s">
        <v>54</v>
      </c>
      <c r="N26" s="59"/>
    </row>
    <row r="27" s="58" customFormat="1" spans="1:14">
      <c r="A27" s="65" t="str">
        <f>HYPERLINK("#套装!晨曦果园","晨曦果园")</f>
        <v>晨曦果园</v>
      </c>
      <c r="B27" s="66" t="s">
        <v>55</v>
      </c>
      <c r="C27" s="66">
        <f>SUM(L17,L3,L21,L31)</f>
        <v>1</v>
      </c>
      <c r="E27" s="67"/>
      <c r="F27" s="62"/>
      <c r="G27" s="68"/>
      <c r="H27" s="68"/>
      <c r="I27" s="68"/>
      <c r="J27" s="68"/>
      <c r="K27" s="79"/>
      <c r="M27" s="58" t="s">
        <v>56</v>
      </c>
      <c r="N27" s="59"/>
    </row>
    <row r="28" s="59" customFormat="1" spans="1:13">
      <c r="A28" s="65" t="str">
        <f>HYPERLINK("#套装!正格之庭","正格之庭")</f>
        <v>正格之庭</v>
      </c>
      <c r="B28" s="66" t="s">
        <v>57</v>
      </c>
      <c r="C28" s="66">
        <f>SUM(L39,L48)</f>
        <v>0</v>
      </c>
      <c r="E28" s="73"/>
      <c r="F28" s="62"/>
      <c r="G28" s="62"/>
      <c r="H28" s="62"/>
      <c r="I28" s="62"/>
      <c r="J28" s="62"/>
      <c r="K28" s="83"/>
      <c r="L28" s="58"/>
      <c r="M28" s="58" t="s">
        <v>58</v>
      </c>
    </row>
    <row r="29" s="59" customFormat="1" spans="1:13">
      <c r="A29" s="65" t="str">
        <f>HYPERLINK("#套装!醒意汤泉","醒意汤泉")</f>
        <v>醒意汤泉</v>
      </c>
      <c r="B29" s="66" t="s">
        <v>59</v>
      </c>
      <c r="C29" s="66">
        <f>SUM(L37,L43,L47,L51)</f>
        <v>0</v>
      </c>
      <c r="E29" s="73"/>
      <c r="F29" s="62"/>
      <c r="G29" s="62"/>
      <c r="H29" s="62"/>
      <c r="I29" s="62"/>
      <c r="J29" s="62"/>
      <c r="K29" s="83"/>
      <c r="M29" s="58" t="s">
        <v>60</v>
      </c>
    </row>
    <row r="30" spans="1:13">
      <c r="A30" s="65" t="str">
        <f>HYPERLINK("#套装!村中匿影","村中匿影")</f>
        <v>村中匿影</v>
      </c>
      <c r="B30" s="66" t="s">
        <v>61</v>
      </c>
      <c r="C30" s="66">
        <f>SUM(L36,L43)</f>
        <v>0</v>
      </c>
      <c r="E30" s="73"/>
      <c r="K30" s="83"/>
      <c r="L30" s="58"/>
      <c r="M30" s="58" t="s">
        <v>62</v>
      </c>
    </row>
    <row r="31" spans="1:13">
      <c r="A31" s="65" t="str">
        <f>HYPERLINK("#套装!枝社旧绪","枝社旧绪")</f>
        <v>枝社旧绪</v>
      </c>
      <c r="B31" s="66" t="s">
        <v>63</v>
      </c>
      <c r="C31" s="66">
        <f>SUM(L40,L47)</f>
        <v>0</v>
      </c>
      <c r="E31" s="73"/>
      <c r="K31" s="83"/>
      <c r="L31" s="58"/>
      <c r="M31" s="58" t="s">
        <v>64</v>
      </c>
    </row>
    <row r="32" spans="1:13">
      <c r="A32" s="65" t="str">
        <f>HYPERLINK("#套装!千军致戎演兵场","千军致戎演兵场")</f>
        <v>千军致戎演兵场</v>
      </c>
      <c r="B32" s="66" t="s">
        <v>65</v>
      </c>
      <c r="C32" s="66">
        <f>SUM(L39)</f>
        <v>0</v>
      </c>
      <c r="E32" s="73"/>
      <c r="K32" s="83"/>
      <c r="L32" s="58"/>
      <c r="M32" s="58" t="s">
        <v>66</v>
      </c>
    </row>
    <row r="33" spans="1:13">
      <c r="A33" s="65" t="str">
        <f>HYPERLINK("#套装!琼片遍郁野","琼片遍郁野")</f>
        <v>琼片遍郁野</v>
      </c>
      <c r="B33" s="66" t="s">
        <v>67</v>
      </c>
      <c r="C33" s="66">
        <f>SUM(L34,L44)</f>
        <v>0</v>
      </c>
      <c r="E33" s="73"/>
      <c r="K33" s="83"/>
      <c r="L33" s="58"/>
      <c r="M33" s="58" t="s">
        <v>68</v>
      </c>
    </row>
    <row r="34" spans="1:13">
      <c r="A34" s="65" t="str">
        <f>HYPERLINK("#套装!夏夜的追想","夏夜的追想")</f>
        <v>夏夜的追想</v>
      </c>
      <c r="B34" s="74" t="s">
        <v>69</v>
      </c>
      <c r="C34" s="74">
        <f>SUM(L35,L44,L48)</f>
        <v>0</v>
      </c>
      <c r="E34" s="73"/>
      <c r="K34" s="83"/>
      <c r="M34" s="58" t="s">
        <v>70</v>
      </c>
    </row>
    <row r="35" spans="1:13">
      <c r="A35" s="65" t="str">
        <f>HYPERLINK("#套装!樱染的街巷","樱染的街巷")</f>
        <v>樱染的街巷</v>
      </c>
      <c r="B35" s="74" t="s">
        <v>71</v>
      </c>
      <c r="C35" s="74">
        <f>SUM(L37,L42,L50)</f>
        <v>0</v>
      </c>
      <c r="E35" s="73"/>
      <c r="K35" s="83"/>
      <c r="L35" s="58"/>
      <c r="M35" s="58" t="s">
        <v>72</v>
      </c>
    </row>
    <row r="36" spans="1:13">
      <c r="A36" s="75" t="str">
        <f>HYPERLINK("#套装!繁闹畅旺的市集","繁闹畅旺的市集")</f>
        <v>繁闹畅旺的市集</v>
      </c>
      <c r="B36" s="74" t="s">
        <v>73</v>
      </c>
      <c r="C36" s="74">
        <f>SUM(L54,L60)</f>
        <v>0</v>
      </c>
      <c r="E36" s="73"/>
      <c r="K36" s="83"/>
      <c r="M36" s="58" t="s">
        <v>74</v>
      </c>
    </row>
    <row r="37" spans="1:13">
      <c r="A37" s="75" t="str">
        <f>HYPERLINK("#套装!栖凭于清森深处","栖凭于清森深处")</f>
        <v>栖凭于清森深处</v>
      </c>
      <c r="B37" s="74" t="s">
        <v>75</v>
      </c>
      <c r="C37" s="74">
        <f>SUM(L52,L56)</f>
        <v>1</v>
      </c>
      <c r="E37" s="73"/>
      <c r="K37" s="83"/>
      <c r="L37" s="58"/>
      <c r="M37" s="58" t="s">
        <v>76</v>
      </c>
    </row>
    <row r="38" spans="1:13">
      <c r="A38" s="75" t="str">
        <f>HYPERLINK("#套装!翛然旋舞的姿影","翛然旋舞的姿影")</f>
        <v>翛然旋舞的姿影</v>
      </c>
      <c r="B38" s="74" t="s">
        <v>77</v>
      </c>
      <c r="C38" s="74">
        <f>SUM(L57)</f>
        <v>0</v>
      </c>
      <c r="E38" s="73"/>
      <c r="K38" s="83"/>
      <c r="L38" s="58"/>
      <c r="M38" s="58" t="s">
        <v>78</v>
      </c>
    </row>
    <row r="39" spans="1:13">
      <c r="A39" s="75" t="str">
        <f>HYPERLINK("#套装!水畔的宁静时光","水畔的宁静时光")</f>
        <v>水畔的宁静时光</v>
      </c>
      <c r="B39" s="74" t="s">
        <v>79</v>
      </c>
      <c r="C39" s="74">
        <f>SUM(L61)</f>
        <v>0</v>
      </c>
      <c r="E39" s="73"/>
      <c r="K39" s="83"/>
      <c r="L39" s="58"/>
      <c r="M39" s="58" t="s">
        <v>65</v>
      </c>
    </row>
    <row r="40" spans="1:13">
      <c r="A40" s="75" t="str">
        <f>HYPERLINK("#套装!婉拒风蚀的聚落","婉拒风蚀的聚落")</f>
        <v>婉拒风蚀的聚落</v>
      </c>
      <c r="B40" s="74" t="s">
        <v>80</v>
      </c>
      <c r="C40" s="74">
        <f>SUM(L55,L59)</f>
        <v>0</v>
      </c>
      <c r="E40" s="73"/>
      <c r="K40" s="83"/>
      <c r="L40" s="58"/>
      <c r="M40" s="58" t="s">
        <v>81</v>
      </c>
    </row>
    <row r="41" spans="1:13">
      <c r="A41" s="75" t="str">
        <f>HYPERLINK("#套装!旅团的兵阵雄姿","旅团的兵阵雄姿")</f>
        <v>旅团的兵阵雄姿</v>
      </c>
      <c r="B41" s="74"/>
      <c r="C41" s="74"/>
      <c r="E41" s="73"/>
      <c r="K41" s="83"/>
      <c r="L41" s="58"/>
      <c r="M41" s="58" t="s">
        <v>82</v>
      </c>
    </row>
    <row r="42" spans="1:13">
      <c r="A42" s="75" t="str">
        <f>HYPERLINK("#套装!幽芳与恬谧之中","幽芳与恬谧之中")</f>
        <v>幽芳与恬谧之中</v>
      </c>
      <c r="B42" s="74" t="s">
        <v>83</v>
      </c>
      <c r="C42" s="74">
        <f>SUM(L58)</f>
        <v>0</v>
      </c>
      <c r="E42" s="73"/>
      <c r="K42" s="83"/>
      <c r="L42" s="58"/>
      <c r="M42" s="58" t="s">
        <v>84</v>
      </c>
    </row>
    <row r="43" spans="1:13">
      <c r="A43" s="75" t="str">
        <f>HYPERLINK("#套装!林野与沙漠的合奏","林野与沙漠的合奏")</f>
        <v>林野与沙漠的合奏</v>
      </c>
      <c r="B43" s="74" t="s">
        <v>85</v>
      </c>
      <c r="C43" s="74">
        <f>SUM(L53,L61)</f>
        <v>0</v>
      </c>
      <c r="E43" s="73"/>
      <c r="K43" s="83"/>
      <c r="L43" s="58"/>
      <c r="M43" s="58" t="s">
        <v>86</v>
      </c>
    </row>
    <row r="44" spans="12:13">
      <c r="L44" s="58"/>
      <c r="M44" s="58" t="s">
        <v>87</v>
      </c>
    </row>
    <row r="45" spans="12:13">
      <c r="L45" s="58"/>
      <c r="M45" s="58" t="s">
        <v>88</v>
      </c>
    </row>
    <row r="46" spans="12:13">
      <c r="L46" s="58"/>
      <c r="M46" s="58" t="s">
        <v>89</v>
      </c>
    </row>
    <row r="47" spans="12:13">
      <c r="L47" s="58"/>
      <c r="M47" s="58" t="s">
        <v>90</v>
      </c>
    </row>
    <row r="48" spans="12:13">
      <c r="L48" s="58"/>
      <c r="M48" s="58" t="s">
        <v>91</v>
      </c>
    </row>
    <row r="49" spans="12:13">
      <c r="L49" s="58"/>
      <c r="M49" s="58" t="s">
        <v>92</v>
      </c>
    </row>
    <row r="50" spans="12:13">
      <c r="L50" s="58"/>
      <c r="M50" s="58" t="s">
        <v>93</v>
      </c>
    </row>
    <row r="51" spans="13:13">
      <c r="M51" s="59" t="s">
        <v>94</v>
      </c>
    </row>
    <row r="52" spans="12:13">
      <c r="L52" s="59">
        <v>1</v>
      </c>
      <c r="M52" s="59" t="s">
        <v>95</v>
      </c>
    </row>
    <row r="53" spans="13:13">
      <c r="M53" s="59" t="s">
        <v>96</v>
      </c>
    </row>
    <row r="54" spans="13:13">
      <c r="M54" s="59" t="s">
        <v>97</v>
      </c>
    </row>
    <row r="55" spans="13:13">
      <c r="M55" s="59" t="s">
        <v>35</v>
      </c>
    </row>
    <row r="56" spans="13:13">
      <c r="M56" s="59" t="s">
        <v>98</v>
      </c>
    </row>
    <row r="57" spans="13:13">
      <c r="M57" s="59" t="s">
        <v>77</v>
      </c>
    </row>
    <row r="58" spans="13:13">
      <c r="M58" s="59" t="s">
        <v>83</v>
      </c>
    </row>
    <row r="59" spans="13:13">
      <c r="M59" s="59" t="s">
        <v>99</v>
      </c>
    </row>
    <row r="60" spans="13:13">
      <c r="M60" s="59" t="s">
        <v>100</v>
      </c>
    </row>
    <row r="61" spans="13:13">
      <c r="M61" s="59" t="s">
        <v>79</v>
      </c>
    </row>
    <row r="86" spans="2:2">
      <c r="B86" s="58"/>
    </row>
  </sheetData>
  <mergeCells count="4">
    <mergeCell ref="E1:K1"/>
    <mergeCell ref="L1:M1"/>
    <mergeCell ref="A18:C18"/>
    <mergeCell ref="E18:K18"/>
  </mergeCells>
  <conditionalFormatting sqref="D$1:D$1048576">
    <cfRule type="containsText" dxfId="0" priority="1" operator="between" text="√">
      <formula>NOT(ISERROR(SEARCH("√",D1)))</formula>
    </cfRule>
  </conditionalFormatting>
  <dataValidations count="42">
    <dataValidation type="list" allowBlank="1" showInputMessage="1" showErrorMessage="1" sqref="E8:K8">
      <formula1>"早柚,珊瑚宫心海,鹿野苑平藏"</formula1>
    </dataValidation>
    <dataValidation type="list" allowBlank="1" showInputMessage="1" showErrorMessage="1" sqref="E2:H2 I2 J2 K2">
      <formula1>"琴,菲谢尔,莫娜,优菈"</formula1>
    </dataValidation>
    <dataValidation type="list" allowBlank="1" showInputMessage="1" showErrorMessage="1" sqref="E36:K36">
      <formula1>"多莉,珐露珊"</formula1>
    </dataValidation>
    <dataValidation allowBlank="1" showInputMessage="1" showErrorMessage="1" sqref="L1 N1"/>
    <dataValidation type="list" allowBlank="1" showInputMessage="1" showErrorMessage="1" sqref="E3 F3:K3">
      <formula1>"优菈,诺艾尔"</formula1>
    </dataValidation>
    <dataValidation type="list" allowBlank="1" showInputMessage="1" showErrorMessage="1" sqref="E10:K10">
      <formula1>"珊瑚宫心海,久岐忍"</formula1>
    </dataValidation>
    <dataValidation type="list" allowBlank="1" showInputMessage="1" showErrorMessage="1" sqref="E4:K4">
      <formula1>"行秋,钟离,凝光,云堇"</formula1>
    </dataValidation>
    <dataValidation type="list" allowBlank="1" showInputMessage="1" showErrorMessage="1" sqref="E5:K5">
      <formula1>"胡桃,烟绯,甘雨,刻晴,重云"</formula1>
    </dataValidation>
    <dataValidation type="list" allowBlank="1" showInputMessage="1" showErrorMessage="1" sqref="E11:K11">
      <formula1>"枫原万叶,托马"</formula1>
    </dataValidation>
    <dataValidation type="list" allowBlank="1" showInputMessage="1" showErrorMessage="1" sqref="E6:K6">
      <formula1>"可莉,砂糖,阿贝多"</formula1>
    </dataValidation>
    <dataValidation type="list" allowBlank="1" showInputMessage="1" showErrorMessage="1" sqref="E7:K7">
      <formula1>"达达利亚,莫娜,魈,雷泽"</formula1>
    </dataValidation>
    <dataValidation type="list" allowBlank="1" showInputMessage="1" showErrorMessage="1" sqref="E9:K9">
      <formula1>"雷电将军,神里绫华"</formula1>
    </dataValidation>
    <dataValidation type="list" allowBlank="1" showInputMessage="1" showErrorMessage="1" sqref="E33:K33">
      <formula1>"枫原万叶,荒泷一斗"</formula1>
    </dataValidation>
    <dataValidation type="list" allowBlank="1" showInputMessage="1" showErrorMessage="1" sqref="E12:K12">
      <formula1>"提纳里"</formula1>
    </dataValidation>
    <dataValidation type="list" allowBlank="1" showInputMessage="1" showErrorMessage="1" sqref="E13:K13">
      <formula1>"多莉,妮露"</formula1>
    </dataValidation>
    <dataValidation type="list" allowBlank="1" showInputMessage="1" showErrorMessage="1" sqref="E30:K30">
      <formula1>"早柚,五郎"</formula1>
    </dataValidation>
    <dataValidation type="list" allowBlank="1" showInputMessage="1" showErrorMessage="1" sqref="E20:K20">
      <formula1>"迪奥娜,雷泽"</formula1>
    </dataValidation>
    <dataValidation type="list" allowBlank="1" showInputMessage="1" showErrorMessage="1" sqref="E15:K15">
      <formula1>"赛诺,珐露珊"</formula1>
    </dataValidation>
    <dataValidation type="list" allowBlank="1" showInputMessage="1" showErrorMessage="1" sqref="E16:K16">
      <formula1>"纳西妲,莱依拉"</formula1>
    </dataValidation>
    <dataValidation type="list" allowBlank="1" showInputMessage="1" showErrorMessage="1" sqref="E19:K19">
      <formula1>"诺艾尔,迪卢克,班尼特,迪奥娜"</formula1>
    </dataValidation>
    <dataValidation type="list" allowBlank="1" showInputMessage="1" showErrorMessage="1" sqref="E17:K17">
      <formula1>"坎蒂丝"</formula1>
    </dataValidation>
    <dataValidation type="list" allowBlank="1" showInputMessage="1" showErrorMessage="1" sqref="E23:K23">
      <formula1>"凝光,刻晴,烟绯,行秋,钟离,申鹤,云堇"</formula1>
    </dataValidation>
    <dataValidation type="list" allowBlank="1" showInputMessage="1" showErrorMessage="1" sqref="E21:K21">
      <formula1>"温迪,罗莎莉亚,琴"</formula1>
    </dataValidation>
    <dataValidation type="list" allowBlank="1" showInputMessage="1" showErrorMessage="1" sqref="E22:K22">
      <formula1>"北斗,甘雨,辛焱,达达利亚,夜兰"</formula1>
    </dataValidation>
    <dataValidation type="list" allowBlank="1" showInputMessage="1" showErrorMessage="1" sqref="E24:K24">
      <formula1>"辛焱,魈,胡桃,七七,申鹤,夜兰"</formula1>
    </dataValidation>
    <dataValidation type="list" allowBlank="1" showInputMessage="1" showErrorMessage="1" sqref="D58 D59 D2:D57 D60:D1048576">
      <formula1>"√"</formula1>
    </dataValidation>
    <dataValidation type="list" allowBlank="1" showInputMessage="1" showErrorMessage="1" sqref="E25:K25">
      <formula1>"砂糖,可莉,北斗,埃洛伊"</formula1>
    </dataValidation>
    <dataValidation type="list" allowBlank="1" showInputMessage="1" showErrorMessage="1" sqref="E26:K26">
      <formula1>"班尼特,七七,重云,菲谢尔,阿贝多,埃洛伊"</formula1>
    </dataValidation>
    <dataValidation type="list" allowBlank="1" showInputMessage="1" showErrorMessage="1" sqref="E38:K38">
      <formula1>"妮露"</formula1>
    </dataValidation>
    <dataValidation type="list" allowBlank="1" showInputMessage="1" showErrorMessage="1" sqref="E27:K27">
      <formula1>"迪卢克,温迪,罗莎莉亚"</formula1>
    </dataValidation>
    <dataValidation type="list" allowBlank="1" showInputMessage="1" showErrorMessage="1" sqref="E28:K28">
      <formula1>"九条裟罗,神里绫人"</formula1>
    </dataValidation>
    <dataValidation type="list" allowBlank="1" showInputMessage="1" showErrorMessage="1" sqref="E29:K29">
      <formula1>"宵宫,五郎,八重神子,鹿野苑平藏"</formula1>
    </dataValidation>
    <dataValidation type="list" allowBlank="1" showInputMessage="1" showErrorMessage="1" sqref="E31:K31">
      <formula1>"雷电将军,八重神子"</formula1>
    </dataValidation>
    <dataValidation type="list" allowBlank="1" showInputMessage="1" showErrorMessage="1" sqref="E32:K32">
      <formula1>"九条裟罗"</formula1>
    </dataValidation>
    <dataValidation type="list" allowBlank="1" showInputMessage="1" showErrorMessage="1" sqref="E34:K34">
      <formula1>"神里绫华,荒泷一斗,神里绫人"</formula1>
    </dataValidation>
    <dataValidation type="list" allowBlank="1" showInputMessage="1" showErrorMessage="1" sqref="E35:K35">
      <formula1>"宵宫,托马,久岐忍"</formula1>
    </dataValidation>
    <dataValidation type="list" allowBlank="1" showInputMessage="1" showErrorMessage="1" sqref="E37:K37">
      <formula1>"赛诺"</formula1>
    </dataValidation>
    <dataValidation type="list" allowBlank="1" showInputMessage="1" showErrorMessage="1" sqref="E39:K39">
      <formula1>"流浪者"</formula1>
    </dataValidation>
    <dataValidation type="list" allowBlank="1" showInputMessage="1" showErrorMessage="1" sqref="E40:K40">
      <formula1>"坎蒂丝,莱依拉"</formula1>
    </dataValidation>
    <dataValidation type="list" allowBlank="1" showInputMessage="1" showErrorMessage="1" sqref="E42:K42">
      <formula1>"纳西妲"</formula1>
    </dataValidation>
    <dataValidation type="list" allowBlank="1" showInputMessage="1" showErrorMessage="1" sqref="E43:K43">
      <formula1>"提纳里,流浪者"</formula1>
    </dataValidation>
    <dataValidation type="list" allowBlank="1" showInputMessage="1" showErrorMessage="1" sqref="L58 L59 B86 L2:L57 L60:L1048576 U1:U11">
      <formula1>"1"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80"/>
  <sheetViews>
    <sheetView workbookViewId="0">
      <pane ySplit="1" topLeftCell="A2" activePane="bottomLeft" state="frozen"/>
      <selection/>
      <selection pane="bottomLeft" activeCell="F162" sqref="F162"/>
    </sheetView>
  </sheetViews>
  <sheetFormatPr defaultColWidth="9" defaultRowHeight="14.25"/>
  <cols>
    <col min="1" max="1" width="3" hidden="1" customWidth="1"/>
    <col min="2" max="2" width="15" hidden="1" customWidth="1"/>
    <col min="3" max="3" width="4.25" customWidth="1"/>
    <col min="4" max="4" width="24" style="29" customWidth="1"/>
    <col min="5" max="5" width="8.75" style="6" customWidth="1"/>
    <col min="6" max="6" width="8.625" style="6" customWidth="1"/>
    <col min="7" max="8" width="9" customWidth="1"/>
    <col min="9" max="9" width="7" customWidth="1"/>
    <col min="10" max="10" width="52.625" style="10" customWidth="1"/>
    <col min="11" max="11" width="0.433333333333333" hidden="1" customWidth="1"/>
    <col min="12" max="12" width="3.875" style="10" customWidth="1"/>
  </cols>
  <sheetData>
    <row r="1" s="1" customFormat="1" spans="1:18">
      <c r="A1" s="3"/>
      <c r="B1" s="4"/>
      <c r="C1" s="30" t="s">
        <v>101</v>
      </c>
      <c r="D1" s="30" t="s">
        <v>102</v>
      </c>
      <c r="E1" s="31" t="s">
        <v>103</v>
      </c>
      <c r="F1" s="31" t="s">
        <v>104</v>
      </c>
      <c r="G1" s="30" t="s">
        <v>105</v>
      </c>
      <c r="H1" s="30" t="s">
        <v>106</v>
      </c>
      <c r="I1" s="30" t="s">
        <v>107</v>
      </c>
      <c r="J1" s="30" t="s">
        <v>108</v>
      </c>
      <c r="K1" s="38"/>
      <c r="L1" s="15"/>
      <c r="M1" s="8"/>
      <c r="N1" s="8"/>
      <c r="O1" s="8"/>
      <c r="P1" s="8"/>
      <c r="Q1" s="8"/>
      <c r="R1" s="8"/>
    </row>
    <row r="2" spans="1:11">
      <c r="A2" s="32">
        <v>1</v>
      </c>
      <c r="B2" s="32" t="s">
        <v>109</v>
      </c>
      <c r="C2" s="33" t="s">
        <v>109</v>
      </c>
      <c r="D2" s="34" t="str">
        <f>HYPERLINK("#摆设!图书馆双层书架","图书馆双层书架")</f>
        <v>图书馆双层书架</v>
      </c>
      <c r="E2" s="26">
        <f>摆设!D13</f>
        <v>0</v>
      </c>
      <c r="F2" s="26">
        <v>1</v>
      </c>
      <c r="G2" s="35" t="s">
        <v>110</v>
      </c>
      <c r="H2" s="35" t="s">
        <v>111</v>
      </c>
      <c r="I2" s="24" t="s">
        <v>112</v>
      </c>
      <c r="J2" s="35" t="s">
        <v>113</v>
      </c>
      <c r="K2" s="39"/>
    </row>
    <row r="3" spans="1:11">
      <c r="A3" s="32">
        <v>2</v>
      </c>
      <c r="B3" s="32" t="s">
        <v>109</v>
      </c>
      <c r="C3" s="36"/>
      <c r="D3" s="34" t="str">
        <f>HYPERLINK("#摆设!萃华木臻品书架","萃华木臻品书架")</f>
        <v>萃华木臻品书架</v>
      </c>
      <c r="E3" s="26">
        <f>摆设!D14</f>
        <v>0</v>
      </c>
      <c r="F3" s="26">
        <v>2</v>
      </c>
      <c r="G3" s="35" t="s">
        <v>110</v>
      </c>
      <c r="H3" s="35" t="s">
        <v>111</v>
      </c>
      <c r="I3" s="24" t="s">
        <v>112</v>
      </c>
      <c r="J3" s="35" t="s">
        <v>113</v>
      </c>
      <c r="K3" s="39"/>
    </row>
    <row r="4" spans="1:11">
      <c r="A4" s="32">
        <v>3</v>
      </c>
      <c r="B4" s="32" t="s">
        <v>109</v>
      </c>
      <c r="C4" s="36"/>
      <c r="D4" s="34" t="str">
        <f>HYPERLINK("#摆设!萃华木经济书架","萃华木经济书架")</f>
        <v>萃华木经济书架</v>
      </c>
      <c r="E4" s="26">
        <f>摆设!D15</f>
        <v>0</v>
      </c>
      <c r="F4" s="26">
        <v>1</v>
      </c>
      <c r="G4" s="35" t="s">
        <v>110</v>
      </c>
      <c r="H4" s="35" t="s">
        <v>111</v>
      </c>
      <c r="I4" s="24" t="s">
        <v>112</v>
      </c>
      <c r="J4" s="35" t="s">
        <v>114</v>
      </c>
      <c r="K4" s="39"/>
    </row>
    <row r="5" spans="1:11">
      <c r="A5" s="32">
        <v>4</v>
      </c>
      <c r="B5" s="32" t="s">
        <v>109</v>
      </c>
      <c r="C5" s="36"/>
      <c r="D5" s="34" t="str">
        <f>HYPERLINK("#摆设!「司书的宝库」","「司书的宝库」")</f>
        <v>「司书的宝库」</v>
      </c>
      <c r="E5" s="26">
        <f>摆设!D16</f>
        <v>0</v>
      </c>
      <c r="F5" s="26">
        <v>1</v>
      </c>
      <c r="G5" s="35" t="s">
        <v>110</v>
      </c>
      <c r="H5" s="35" t="s">
        <v>111</v>
      </c>
      <c r="I5" s="24" t="s">
        <v>112</v>
      </c>
      <c r="J5" s="35" t="s">
        <v>114</v>
      </c>
      <c r="K5" s="39"/>
    </row>
    <row r="6" spans="1:11">
      <c r="A6" s="32">
        <v>5</v>
      </c>
      <c r="B6" s="32" t="s">
        <v>109</v>
      </c>
      <c r="C6" s="36"/>
      <c r="D6" s="34" t="str">
        <f>HYPERLINK("#摆设!骑士团的办公桌","骑士团的办公桌")</f>
        <v>骑士团的办公桌</v>
      </c>
      <c r="E6" s="26">
        <f>摆设!D27</f>
        <v>0</v>
      </c>
      <c r="F6" s="26">
        <v>1</v>
      </c>
      <c r="G6" s="35" t="s">
        <v>110</v>
      </c>
      <c r="H6" s="35" t="s">
        <v>115</v>
      </c>
      <c r="I6" s="20" t="s">
        <v>116</v>
      </c>
      <c r="J6" s="35" t="s">
        <v>114</v>
      </c>
      <c r="K6" s="39"/>
    </row>
    <row r="7" spans="1:11">
      <c r="A7" s="32">
        <v>6</v>
      </c>
      <c r="B7" s="32" t="s">
        <v>109</v>
      </c>
      <c r="C7" s="36"/>
      <c r="D7" s="34" t="str">
        <f>HYPERLINK("#摆设!柔软的会客厅沙发","柔软的会客厅沙发")</f>
        <v>柔软的会客厅沙发</v>
      </c>
      <c r="E7" s="26">
        <f>摆设!D43</f>
        <v>0</v>
      </c>
      <c r="F7" s="26">
        <v>1</v>
      </c>
      <c r="G7" s="35" t="s">
        <v>117</v>
      </c>
      <c r="H7" s="35" t="s">
        <v>118</v>
      </c>
      <c r="I7" s="24" t="s">
        <v>112</v>
      </c>
      <c r="J7" s="35" t="s">
        <v>114</v>
      </c>
      <c r="K7" s="39"/>
    </row>
    <row r="8" spans="1:11">
      <c r="A8" s="32">
        <v>7</v>
      </c>
      <c r="B8" s="32" t="s">
        <v>109</v>
      </c>
      <c r="C8" s="36"/>
      <c r="D8" s="34" t="str">
        <f>HYPERLINK("#摆设!「晴空蓝的午后」","「晴空蓝的午后」")</f>
        <v>「晴空蓝的午后」</v>
      </c>
      <c r="E8" s="26">
        <f>摆设!D44</f>
        <v>0</v>
      </c>
      <c r="F8" s="26">
        <v>1</v>
      </c>
      <c r="G8" s="35" t="s">
        <v>117</v>
      </c>
      <c r="H8" s="35" t="s">
        <v>118</v>
      </c>
      <c r="I8" s="20" t="s">
        <v>116</v>
      </c>
      <c r="J8" s="35" t="s">
        <v>114</v>
      </c>
      <c r="K8" s="39"/>
    </row>
    <row r="9" spans="1:11">
      <c r="A9" s="32">
        <v>8</v>
      </c>
      <c r="B9" s="32" t="s">
        <v>109</v>
      </c>
      <c r="C9" s="36"/>
      <c r="D9" s="34" t="str">
        <f>HYPERLINK("#摆设!松木朱漆圆凳","松木朱漆圆凳")</f>
        <v>松木朱漆圆凳</v>
      </c>
      <c r="E9" s="26">
        <f>摆设!D47</f>
        <v>0</v>
      </c>
      <c r="F9" s="26">
        <v>1</v>
      </c>
      <c r="G9" s="35" t="s">
        <v>117</v>
      </c>
      <c r="H9" s="35" t="s">
        <v>118</v>
      </c>
      <c r="I9" s="20" t="s">
        <v>116</v>
      </c>
      <c r="J9" s="35" t="s">
        <v>114</v>
      </c>
      <c r="K9" s="39"/>
    </row>
    <row r="10" spans="1:11">
      <c r="A10" s="32">
        <v>9</v>
      </c>
      <c r="B10" s="32" t="s">
        <v>109</v>
      </c>
      <c r="C10" s="36"/>
      <c r="D10" s="34" t="str">
        <f>HYPERLINK("#摆设!蒙德地毯—「明红的热忱」","蒙德地毯—「明红的热忱」")</f>
        <v>蒙德地毯—「明红的热忱」</v>
      </c>
      <c r="E10" s="26">
        <f>摆设!D71</f>
        <v>0</v>
      </c>
      <c r="F10" s="26">
        <v>1</v>
      </c>
      <c r="G10" s="35" t="s">
        <v>117</v>
      </c>
      <c r="H10" s="35" t="s">
        <v>119</v>
      </c>
      <c r="I10" s="20" t="s">
        <v>116</v>
      </c>
      <c r="J10" s="35" t="s">
        <v>114</v>
      </c>
      <c r="K10" s="39"/>
    </row>
    <row r="11" spans="1:11">
      <c r="A11" s="32">
        <v>10</v>
      </c>
      <c r="B11" s="32" t="s">
        <v>109</v>
      </c>
      <c r="C11" s="36"/>
      <c r="D11" s="34" t="str">
        <f>HYPERLINK("#摆设!绿植盆栽—「澄澈的清风」","绿植盆栽—「澄澈的清风」")</f>
        <v>绿植盆栽—「澄澈的清风」</v>
      </c>
      <c r="E11" s="26">
        <f>摆设!D82</f>
        <v>0</v>
      </c>
      <c r="F11" s="26">
        <v>1</v>
      </c>
      <c r="G11" s="35" t="s">
        <v>120</v>
      </c>
      <c r="H11" s="35" t="s">
        <v>121</v>
      </c>
      <c r="I11" s="20" t="s">
        <v>116</v>
      </c>
      <c r="J11" s="35" t="s">
        <v>114</v>
      </c>
      <c r="K11" s="39"/>
    </row>
    <row r="12" spans="1:11">
      <c r="A12" s="32">
        <v>11</v>
      </c>
      <c r="B12" s="32" t="s">
        <v>109</v>
      </c>
      <c r="C12" s="36"/>
      <c r="D12" s="34" t="str">
        <f>HYPERLINK("#摆设!「书信的礼节」","「书信的礼节」")</f>
        <v>「书信的礼节」</v>
      </c>
      <c r="E12" s="26">
        <f>摆设!D93</f>
        <v>0</v>
      </c>
      <c r="F12" s="26">
        <v>1</v>
      </c>
      <c r="G12" s="35" t="s">
        <v>120</v>
      </c>
      <c r="H12" s="35" t="s">
        <v>122</v>
      </c>
      <c r="I12" s="20" t="s">
        <v>116</v>
      </c>
      <c r="J12" s="35" t="s">
        <v>114</v>
      </c>
      <c r="K12" s="39"/>
    </row>
    <row r="13" spans="1:11">
      <c r="A13" s="32">
        <v>12</v>
      </c>
      <c r="B13" s="32" t="s">
        <v>109</v>
      </c>
      <c r="C13" s="36"/>
      <c r="D13" s="34" t="str">
        <f>HYPERLINK("#摆设!金色三重烛台","金色三重烛台")</f>
        <v>金色三重烛台</v>
      </c>
      <c r="E13" s="26">
        <f>摆设!D98</f>
        <v>0</v>
      </c>
      <c r="F13" s="26">
        <v>1</v>
      </c>
      <c r="G13" s="35" t="s">
        <v>120</v>
      </c>
      <c r="H13" s="35" t="s">
        <v>122</v>
      </c>
      <c r="I13" s="20" t="s">
        <v>116</v>
      </c>
      <c r="J13" s="35" t="s">
        <v>123</v>
      </c>
      <c r="K13" s="39"/>
    </row>
    <row r="14" spans="1:11">
      <c r="A14" s="32"/>
      <c r="B14" s="32"/>
      <c r="C14" s="36"/>
      <c r="D14" s="37"/>
      <c r="E14" s="26"/>
      <c r="F14" s="26"/>
      <c r="G14" s="35"/>
      <c r="H14" s="35"/>
      <c r="I14" s="35"/>
      <c r="J14" s="35"/>
      <c r="K14" s="39"/>
    </row>
    <row r="15" spans="1:11">
      <c r="A15" s="32">
        <v>13</v>
      </c>
      <c r="B15" s="32" t="s">
        <v>124</v>
      </c>
      <c r="C15" s="33" t="s">
        <v>124</v>
      </c>
      <c r="D15" s="34" t="str">
        <f>HYPERLINK("#摆设!高大的桦木衣柜","高大的桦木衣柜")</f>
        <v>高大的桦木衣柜</v>
      </c>
      <c r="E15" s="26">
        <f>摆设!D4</f>
        <v>0</v>
      </c>
      <c r="F15" s="26">
        <v>1</v>
      </c>
      <c r="G15" s="35" t="s">
        <v>110</v>
      </c>
      <c r="H15" s="35" t="s">
        <v>125</v>
      </c>
      <c r="I15" s="20" t="s">
        <v>116</v>
      </c>
      <c r="J15" s="35" t="s">
        <v>114</v>
      </c>
      <c r="K15" s="39"/>
    </row>
    <row r="16" spans="1:11">
      <c r="A16" s="32">
        <v>14</v>
      </c>
      <c r="B16" s="32" t="s">
        <v>124</v>
      </c>
      <c r="C16" s="36"/>
      <c r="D16" s="34" t="str">
        <f>HYPERLINK("#摆设!厚重的图书馆长桌","厚重的图书馆长桌")</f>
        <v>厚重的图书馆长桌</v>
      </c>
      <c r="E16" s="26">
        <f>摆设!D26</f>
        <v>0</v>
      </c>
      <c r="F16" s="26">
        <v>1</v>
      </c>
      <c r="G16" s="35" t="s">
        <v>110</v>
      </c>
      <c r="H16" s="35" t="s">
        <v>115</v>
      </c>
      <c r="I16" s="20" t="s">
        <v>116</v>
      </c>
      <c r="J16" s="35" t="s">
        <v>113</v>
      </c>
      <c r="K16" s="39"/>
    </row>
    <row r="17" spans="1:11">
      <c r="A17" s="32">
        <v>15</v>
      </c>
      <c r="B17" s="32" t="s">
        <v>124</v>
      </c>
      <c r="C17" s="36"/>
      <c r="D17" s="34" t="str">
        <f>HYPERLINK("#摆设!骑士团的办公桌","骑士团的办公桌")</f>
        <v>骑士团的办公桌</v>
      </c>
      <c r="E17" s="26">
        <f>摆设!D27</f>
        <v>0</v>
      </c>
      <c r="F17" s="26">
        <v>1</v>
      </c>
      <c r="G17" s="35" t="s">
        <v>110</v>
      </c>
      <c r="H17" s="35" t="s">
        <v>115</v>
      </c>
      <c r="I17" s="20" t="s">
        <v>116</v>
      </c>
      <c r="J17" s="35" t="s">
        <v>114</v>
      </c>
      <c r="K17" s="39"/>
    </row>
    <row r="18" spans="1:11">
      <c r="A18" s="32">
        <v>16</v>
      </c>
      <c r="B18" s="32" t="s">
        <v>124</v>
      </c>
      <c r="C18" s="36"/>
      <c r="D18" s="34" t="str">
        <f>HYPERLINK("#摆设!稳固的桦木梳妆台","稳固的桦木梳妆台")</f>
        <v>稳固的桦木梳妆台</v>
      </c>
      <c r="E18" s="26">
        <f>摆设!D32</f>
        <v>0</v>
      </c>
      <c r="F18" s="26">
        <v>1</v>
      </c>
      <c r="G18" s="35" t="s">
        <v>110</v>
      </c>
      <c r="H18" s="35" t="s">
        <v>115</v>
      </c>
      <c r="I18" s="20" t="s">
        <v>116</v>
      </c>
      <c r="J18" s="35" t="s">
        <v>114</v>
      </c>
      <c r="K18" s="39"/>
    </row>
    <row r="19" spans="1:11">
      <c r="A19" s="32">
        <v>17</v>
      </c>
      <c r="B19" s="32" t="s">
        <v>124</v>
      </c>
      <c r="C19" s="36"/>
      <c r="D19" s="34" t="str">
        <f>HYPERLINK("#摆设!柔风加护的床榻","柔风加护的床榻")</f>
        <v>柔风加护的床榻</v>
      </c>
      <c r="E19" s="26">
        <f>摆设!D39</f>
        <v>0</v>
      </c>
      <c r="F19" s="26">
        <v>1</v>
      </c>
      <c r="G19" s="35" t="s">
        <v>110</v>
      </c>
      <c r="H19" s="35" t="s">
        <v>126</v>
      </c>
      <c r="I19" s="20" t="s">
        <v>116</v>
      </c>
      <c r="J19" s="35" t="s">
        <v>114</v>
      </c>
      <c r="K19" s="39"/>
    </row>
    <row r="20" spans="1:11">
      <c r="A20" s="32">
        <v>18</v>
      </c>
      <c r="B20" s="32" t="s">
        <v>124</v>
      </c>
      <c r="C20" s="36"/>
      <c r="D20" s="34" t="str">
        <f>HYPERLINK("#摆设!「晴空蓝的午后」","「晴空蓝的午后」")</f>
        <v>「晴空蓝的午后」</v>
      </c>
      <c r="E20" s="26">
        <f>摆设!D44</f>
        <v>0</v>
      </c>
      <c r="F20" s="26">
        <v>1</v>
      </c>
      <c r="G20" s="35" t="s">
        <v>117</v>
      </c>
      <c r="H20" s="35" t="s">
        <v>118</v>
      </c>
      <c r="I20" s="20" t="s">
        <v>116</v>
      </c>
      <c r="J20" s="35" t="s">
        <v>114</v>
      </c>
      <c r="K20" s="39"/>
    </row>
    <row r="21" spans="1:11">
      <c r="A21" s="32">
        <v>19</v>
      </c>
      <c r="B21" s="32" t="s">
        <v>124</v>
      </c>
      <c r="C21" s="36"/>
      <c r="D21" s="34" t="str">
        <f>HYPERLINK("#摆设!松木朱漆圆凳","松木朱漆圆凳")</f>
        <v>松木朱漆圆凳</v>
      </c>
      <c r="E21" s="26">
        <f>摆设!D47</f>
        <v>0</v>
      </c>
      <c r="F21" s="26">
        <v>1</v>
      </c>
      <c r="G21" s="35" t="s">
        <v>117</v>
      </c>
      <c r="H21" s="35" t="s">
        <v>118</v>
      </c>
      <c r="I21" s="20" t="s">
        <v>116</v>
      </c>
      <c r="J21" s="35" t="s">
        <v>114</v>
      </c>
      <c r="K21" s="39"/>
    </row>
    <row r="22" spans="1:11">
      <c r="A22" s="32">
        <v>20</v>
      </c>
      <c r="B22" s="32" t="s">
        <v>124</v>
      </c>
      <c r="C22" s="36"/>
      <c r="D22" s="34" t="str">
        <f>HYPERLINK("#摆设!桦木双屉床头柜","桦木双屉床头柜")</f>
        <v>桦木双屉床头柜</v>
      </c>
      <c r="E22" s="26">
        <f>摆设!D62</f>
        <v>0</v>
      </c>
      <c r="F22" s="26">
        <v>1</v>
      </c>
      <c r="G22" s="35" t="s">
        <v>117</v>
      </c>
      <c r="H22" s="35" t="s">
        <v>127</v>
      </c>
      <c r="I22" s="20" t="s">
        <v>116</v>
      </c>
      <c r="J22" s="35" t="s">
        <v>114</v>
      </c>
      <c r="K22" s="39"/>
    </row>
    <row r="23" spans="1:11">
      <c r="A23" s="32">
        <v>21</v>
      </c>
      <c r="B23" s="32" t="s">
        <v>124</v>
      </c>
      <c r="C23" s="36"/>
      <c r="D23" s="34" t="str">
        <f>HYPERLINK("#摆设!蒙德地毯—「明红的热忱」","蒙德地毯—「明红的热忱」")</f>
        <v>蒙德地毯—「明红的热忱」</v>
      </c>
      <c r="E23" s="26">
        <f>摆设!D71</f>
        <v>0</v>
      </c>
      <c r="F23" s="26">
        <v>1</v>
      </c>
      <c r="G23" s="35" t="s">
        <v>117</v>
      </c>
      <c r="H23" s="35" t="s">
        <v>119</v>
      </c>
      <c r="I23" s="20" t="s">
        <v>116</v>
      </c>
      <c r="J23" s="35" t="s">
        <v>114</v>
      </c>
      <c r="K23" s="39"/>
    </row>
    <row r="24" spans="1:11">
      <c r="A24" s="32">
        <v>22</v>
      </c>
      <c r="B24" s="32" t="s">
        <v>124</v>
      </c>
      <c r="C24" s="36"/>
      <c r="D24" s="34" t="str">
        <f>HYPERLINK("#摆设!贝壳灯罩硬质台灯","贝壳灯罩硬质台灯")</f>
        <v>贝壳灯罩硬质台灯</v>
      </c>
      <c r="E24" s="26">
        <f>摆设!D80</f>
        <v>0</v>
      </c>
      <c r="F24" s="26">
        <v>1</v>
      </c>
      <c r="G24" s="35" t="s">
        <v>120</v>
      </c>
      <c r="H24" s="35" t="s">
        <v>128</v>
      </c>
      <c r="I24" s="20" t="s">
        <v>116</v>
      </c>
      <c r="J24" s="35" t="s">
        <v>114</v>
      </c>
      <c r="K24" s="39"/>
    </row>
    <row r="25" spans="1:11">
      <c r="A25" s="32">
        <v>23</v>
      </c>
      <c r="B25" s="32" t="s">
        <v>124</v>
      </c>
      <c r="C25" s="36"/>
      <c r="D25" s="34" t="str">
        <f>HYPERLINK("#摆设!绿植盆栽—「澄澈的清风」","绿植盆栽—「澄澈的清风」")</f>
        <v>绿植盆栽—「澄澈的清风」</v>
      </c>
      <c r="E25" s="26">
        <f>摆设!D82</f>
        <v>0</v>
      </c>
      <c r="F25" s="26">
        <v>2</v>
      </c>
      <c r="G25" s="35" t="s">
        <v>120</v>
      </c>
      <c r="H25" s="35" t="s">
        <v>121</v>
      </c>
      <c r="I25" s="20" t="s">
        <v>116</v>
      </c>
      <c r="J25" s="35" t="s">
        <v>114</v>
      </c>
      <c r="K25" s="39"/>
    </row>
    <row r="26" spans="1:11">
      <c r="A26" s="32">
        <v>24</v>
      </c>
      <c r="B26" s="32" t="s">
        <v>124</v>
      </c>
      <c r="C26" s="36"/>
      <c r="D26" s="34" t="str">
        <f>HYPERLINK("#摆设!花卉瓶栽—「盛放的曙红」","花卉瓶栽—「盛放的曙红」")</f>
        <v>花卉瓶栽—「盛放的曙红」</v>
      </c>
      <c r="E26" s="26">
        <f>摆设!D83</f>
        <v>0</v>
      </c>
      <c r="F26" s="26">
        <v>1</v>
      </c>
      <c r="G26" s="35" t="s">
        <v>120</v>
      </c>
      <c r="H26" s="35" t="s">
        <v>121</v>
      </c>
      <c r="I26" s="20" t="s">
        <v>116</v>
      </c>
      <c r="J26" s="35" t="s">
        <v>129</v>
      </c>
      <c r="K26" s="39"/>
    </row>
    <row r="27" spans="1:11">
      <c r="A27" s="32">
        <v>25</v>
      </c>
      <c r="B27" s="32" t="s">
        <v>124</v>
      </c>
      <c r="C27" s="36"/>
      <c r="D27" s="34" t="str">
        <f>HYPERLINK("#摆设!精巧的沙漏摆件","精巧的沙漏摆件")</f>
        <v>精巧的沙漏摆件</v>
      </c>
      <c r="E27" s="26">
        <f>摆设!D94</f>
        <v>0</v>
      </c>
      <c r="F27" s="26">
        <v>1</v>
      </c>
      <c r="G27" s="35" t="s">
        <v>120</v>
      </c>
      <c r="H27" s="35" t="s">
        <v>122</v>
      </c>
      <c r="I27" s="20" t="s">
        <v>116</v>
      </c>
      <c r="J27" s="35" t="s">
        <v>114</v>
      </c>
      <c r="K27" s="39"/>
    </row>
    <row r="28" spans="1:11">
      <c r="A28" s="32">
        <v>26</v>
      </c>
      <c r="B28" s="32" t="s">
        <v>124</v>
      </c>
      <c r="C28" s="36"/>
      <c r="D28" s="34" t="str">
        <f>HYPERLINK("#摆设!金色三重烛台","金色三重烛台")</f>
        <v>金色三重烛台</v>
      </c>
      <c r="E28" s="26">
        <f>摆设!D98</f>
        <v>0</v>
      </c>
      <c r="F28" s="26">
        <v>1</v>
      </c>
      <c r="G28" s="35" t="s">
        <v>120</v>
      </c>
      <c r="H28" s="35" t="s">
        <v>122</v>
      </c>
      <c r="I28" s="20" t="s">
        <v>116</v>
      </c>
      <c r="J28" s="35" t="s">
        <v>123</v>
      </c>
      <c r="K28" s="39"/>
    </row>
    <row r="29" spans="1:11">
      <c r="A29" s="32"/>
      <c r="B29" s="32"/>
      <c r="C29" s="36"/>
      <c r="D29" s="37"/>
      <c r="E29" s="26"/>
      <c r="F29" s="26"/>
      <c r="G29" s="35"/>
      <c r="H29" s="35"/>
      <c r="I29" s="35"/>
      <c r="J29" s="35"/>
      <c r="K29" s="39"/>
    </row>
    <row r="30" spans="1:11">
      <c r="A30" s="32">
        <v>27</v>
      </c>
      <c r="B30" s="32" t="s">
        <v>130</v>
      </c>
      <c r="C30" s="33" t="s">
        <v>130</v>
      </c>
      <c r="D30" s="34" t="str">
        <f>HYPERLINK("#摆设!朱漆垂香木卷轴书架","朱漆垂香木卷轴书架")</f>
        <v>朱漆垂香木卷轴书架</v>
      </c>
      <c r="E30" s="26">
        <f>摆设!D21</f>
        <v>0</v>
      </c>
      <c r="F30" s="26">
        <v>1</v>
      </c>
      <c r="G30" s="35" t="s">
        <v>110</v>
      </c>
      <c r="H30" s="35" t="s">
        <v>111</v>
      </c>
      <c r="I30" s="20" t="s">
        <v>116</v>
      </c>
      <c r="J30" s="35" t="s">
        <v>129</v>
      </c>
      <c r="K30" s="39"/>
    </row>
    <row r="31" spans="1:11">
      <c r="A31" s="32">
        <v>28</v>
      </c>
      <c r="B31" s="32" t="s">
        <v>130</v>
      </c>
      <c r="C31" s="36"/>
      <c r="D31" s="34" t="str">
        <f>HYPERLINK("#摆设!朱漆垂香木百宝阁","朱漆垂香木百宝阁")</f>
        <v>朱漆垂香木百宝阁</v>
      </c>
      <c r="E31" s="26">
        <f>摆设!D22</f>
        <v>0</v>
      </c>
      <c r="F31" s="26">
        <v>1</v>
      </c>
      <c r="G31" s="35" t="s">
        <v>110</v>
      </c>
      <c r="H31" s="35" t="s">
        <v>111</v>
      </c>
      <c r="I31" s="20" t="s">
        <v>116</v>
      </c>
      <c r="J31" s="35" t="s">
        <v>129</v>
      </c>
      <c r="K31" s="39"/>
    </row>
    <row r="32" spans="1:11">
      <c r="A32" s="32">
        <v>29</v>
      </c>
      <c r="B32" s="32" t="s">
        <v>130</v>
      </c>
      <c r="C32" s="36"/>
      <c r="D32" s="34" t="str">
        <f>HYPERLINK("#摆设!垂香木商铺立柜","垂香木商铺立柜")</f>
        <v>垂香木商铺立柜</v>
      </c>
      <c r="E32" s="26">
        <f>摆设!D23</f>
        <v>0</v>
      </c>
      <c r="F32" s="26">
        <v>1</v>
      </c>
      <c r="G32" s="35" t="s">
        <v>110</v>
      </c>
      <c r="H32" s="35" t="s">
        <v>111</v>
      </c>
      <c r="I32" s="20" t="s">
        <v>116</v>
      </c>
      <c r="J32" s="35" t="s">
        <v>129</v>
      </c>
      <c r="K32" s="39"/>
    </row>
    <row r="33" spans="1:11">
      <c r="A33" s="32">
        <v>30</v>
      </c>
      <c r="B33" s="32" t="s">
        <v>130</v>
      </c>
      <c r="C33" s="36"/>
      <c r="D33" s="34" t="str">
        <f>HYPERLINK("#摆设!木纹雅致的书法桌案","木纹雅致的书法桌案")</f>
        <v>木纹雅致的书法桌案</v>
      </c>
      <c r="E33" s="26">
        <f>摆设!D30</f>
        <v>0</v>
      </c>
      <c r="F33" s="26">
        <v>1</v>
      </c>
      <c r="G33" s="35" t="s">
        <v>110</v>
      </c>
      <c r="H33" s="35" t="s">
        <v>115</v>
      </c>
      <c r="I33" s="20" t="s">
        <v>116</v>
      </c>
      <c r="J33" s="35" t="s">
        <v>129</v>
      </c>
      <c r="K33" s="39"/>
    </row>
    <row r="34" spans="1:11">
      <c r="A34" s="32">
        <v>31</v>
      </c>
      <c r="B34" s="32" t="s">
        <v>130</v>
      </c>
      <c r="C34" s="36"/>
      <c r="D34" s="34" t="str">
        <f>HYPERLINK("#摆设!松木靠背茶椅","松木靠背茶椅")</f>
        <v>松木靠背茶椅</v>
      </c>
      <c r="E34" s="26">
        <f>摆设!D46</f>
        <v>0</v>
      </c>
      <c r="F34" s="26">
        <v>2</v>
      </c>
      <c r="G34" s="35" t="s">
        <v>117</v>
      </c>
      <c r="H34" s="35" t="s">
        <v>118</v>
      </c>
      <c r="I34" s="20" t="s">
        <v>116</v>
      </c>
      <c r="J34" s="35" t="s">
        <v>129</v>
      </c>
      <c r="K34" s="39"/>
    </row>
    <row r="35" spans="1:11">
      <c r="A35" s="32">
        <v>32</v>
      </c>
      <c r="B35" s="32" t="s">
        <v>130</v>
      </c>
      <c r="C35" s="36"/>
      <c r="D35" s="34" t="str">
        <f>HYPERLINK("#摆设!松木朱漆圆凳","松木朱漆圆凳")</f>
        <v>松木朱漆圆凳</v>
      </c>
      <c r="E35" s="26">
        <f>摆设!D47</f>
        <v>0</v>
      </c>
      <c r="F35" s="26">
        <v>1</v>
      </c>
      <c r="G35" s="35" t="s">
        <v>117</v>
      </c>
      <c r="H35" s="35" t="s">
        <v>118</v>
      </c>
      <c r="I35" s="20" t="s">
        <v>116</v>
      </c>
      <c r="J35" s="35" t="s">
        <v>114</v>
      </c>
      <c r="K35" s="39"/>
    </row>
    <row r="36" spans="1:11">
      <c r="A36" s="32">
        <v>33</v>
      </c>
      <c r="B36" s="32" t="s">
        <v>130</v>
      </c>
      <c r="C36" s="36"/>
      <c r="D36" s="34" t="str">
        <f>HYPERLINK("#摆设!松木折屏—「云来帆影」","松木折屏—「云来帆影」")</f>
        <v>松木折屏—「云来帆影」</v>
      </c>
      <c r="E36" s="26">
        <f>摆设!D53</f>
        <v>0</v>
      </c>
      <c r="F36" s="26">
        <v>1</v>
      </c>
      <c r="G36" s="35" t="s">
        <v>117</v>
      </c>
      <c r="H36" s="35" t="s">
        <v>127</v>
      </c>
      <c r="I36" s="24" t="s">
        <v>112</v>
      </c>
      <c r="J36" s="35" t="s">
        <v>129</v>
      </c>
      <c r="K36" s="39"/>
    </row>
    <row r="37" spans="1:11">
      <c r="A37" s="32">
        <v>34</v>
      </c>
      <c r="B37" s="32" t="s">
        <v>130</v>
      </c>
      <c r="C37" s="36"/>
      <c r="D37" s="34" t="str">
        <f>HYPERLINK("#摆设!迎宾地毯—「惠然之顾」","迎宾地毯—「惠然之顾」")</f>
        <v>迎宾地毯—「惠然之顾」</v>
      </c>
      <c r="E37" s="26">
        <f>摆设!D72</f>
        <v>0</v>
      </c>
      <c r="F37" s="26">
        <v>1</v>
      </c>
      <c r="G37" s="35" t="s">
        <v>117</v>
      </c>
      <c r="H37" s="35" t="s">
        <v>119</v>
      </c>
      <c r="I37" s="20" t="s">
        <v>116</v>
      </c>
      <c r="J37" s="35" t="s">
        <v>129</v>
      </c>
      <c r="K37" s="39"/>
    </row>
    <row r="38" spans="1:11">
      <c r="A38" s="32">
        <v>35</v>
      </c>
      <c r="B38" s="32" t="s">
        <v>130</v>
      </c>
      <c r="C38" s="36"/>
      <c r="D38" s="34" t="str">
        <f>HYPERLINK("#摆设!琉璃亭却砂木立灯","琉璃亭却砂木立灯")</f>
        <v>琉璃亭却砂木立灯</v>
      </c>
      <c r="E38" s="26">
        <f>摆设!D79</f>
        <v>0</v>
      </c>
      <c r="F38" s="26">
        <v>1</v>
      </c>
      <c r="G38" s="35" t="s">
        <v>120</v>
      </c>
      <c r="H38" s="35" t="s">
        <v>128</v>
      </c>
      <c r="I38" s="20" t="s">
        <v>116</v>
      </c>
      <c r="J38" s="35" t="s">
        <v>129</v>
      </c>
      <c r="K38" s="39"/>
    </row>
    <row r="39" spans="1:11">
      <c r="A39" s="32">
        <v>36</v>
      </c>
      <c r="B39" s="32" t="s">
        <v>130</v>
      </c>
      <c r="C39" s="36"/>
      <c r="D39" s="34" t="str">
        <f>HYPERLINK("#摆设!绿植盆栽—「澄澈的清风」","绿植盆栽—「澄澈的清风」")</f>
        <v>绿植盆栽—「澄澈的清风」</v>
      </c>
      <c r="E39" s="26">
        <f>摆设!D82</f>
        <v>0</v>
      </c>
      <c r="F39" s="26">
        <v>2</v>
      </c>
      <c r="G39" s="35" t="s">
        <v>120</v>
      </c>
      <c r="H39" s="35" t="s">
        <v>121</v>
      </c>
      <c r="I39" s="20" t="s">
        <v>116</v>
      </c>
      <c r="J39" s="35" t="s">
        <v>114</v>
      </c>
      <c r="K39" s="39"/>
    </row>
    <row r="40" spans="1:11">
      <c r="A40" s="32">
        <v>37</v>
      </c>
      <c r="B40" s="32" t="s">
        <v>130</v>
      </c>
      <c r="C40" s="36"/>
      <c r="D40" s="34" t="str">
        <f>HYPERLINK("#摆设!绿植盆栽—「松青尺树上」","绿植盆栽—「松青尺树上」")</f>
        <v>绿植盆栽—「松青尺树上」</v>
      </c>
      <c r="E40" s="26">
        <f>摆设!D84</f>
        <v>0</v>
      </c>
      <c r="F40" s="26">
        <v>1</v>
      </c>
      <c r="G40" s="35" t="s">
        <v>120</v>
      </c>
      <c r="H40" s="35" t="s">
        <v>121</v>
      </c>
      <c r="I40" s="20" t="s">
        <v>116</v>
      </c>
      <c r="J40" s="35" t="s">
        <v>114</v>
      </c>
      <c r="K40" s="39"/>
    </row>
    <row r="41" spans="1:11">
      <c r="A41" s="32">
        <v>38</v>
      </c>
      <c r="B41" s="32" t="s">
        <v>130</v>
      </c>
      <c r="C41" s="36"/>
      <c r="D41" s="34" t="str">
        <f>HYPERLINK("#摆设!纸墨笔砚—「临池学书」","纸墨笔砚—「临池学书」")</f>
        <v>纸墨笔砚—「临池学书」</v>
      </c>
      <c r="E41" s="26">
        <f>摆设!D97</f>
        <v>0</v>
      </c>
      <c r="F41" s="26">
        <v>1</v>
      </c>
      <c r="G41" s="35" t="s">
        <v>120</v>
      </c>
      <c r="H41" s="35" t="s">
        <v>122</v>
      </c>
      <c r="I41" s="20" t="s">
        <v>116</v>
      </c>
      <c r="J41" s="35" t="s">
        <v>129</v>
      </c>
      <c r="K41" s="39"/>
    </row>
    <row r="42" spans="1:11">
      <c r="A42" s="32"/>
      <c r="B42" s="32"/>
      <c r="C42" s="36"/>
      <c r="D42" s="37"/>
      <c r="E42" s="26"/>
      <c r="F42" s="26"/>
      <c r="G42" s="35"/>
      <c r="H42" s="35"/>
      <c r="I42" s="35"/>
      <c r="J42" s="35"/>
      <c r="K42" s="39"/>
    </row>
    <row r="43" spans="1:11">
      <c r="A43" s="32">
        <v>39</v>
      </c>
      <c r="B43" s="32" t="s">
        <v>131</v>
      </c>
      <c r="C43" s="33" t="s">
        <v>131</v>
      </c>
      <c r="D43" s="34" t="str">
        <f>HYPERLINK("#摆设!却砂木金纹衣柜","却砂木金纹衣柜")</f>
        <v>却砂木金纹衣柜</v>
      </c>
      <c r="E43" s="26">
        <f>摆设!D5</f>
        <v>0</v>
      </c>
      <c r="F43" s="26">
        <v>1</v>
      </c>
      <c r="G43" s="35" t="s">
        <v>110</v>
      </c>
      <c r="H43" s="35" t="s">
        <v>125</v>
      </c>
      <c r="I43" s="20" t="s">
        <v>116</v>
      </c>
      <c r="J43" s="35" t="s">
        <v>114</v>
      </c>
      <c r="K43" s="39"/>
    </row>
    <row r="44" spans="1:11">
      <c r="A44" s="32">
        <v>40</v>
      </c>
      <c r="B44" s="32" t="s">
        <v>131</v>
      </c>
      <c r="C44" s="36"/>
      <c r="D44" s="34" t="str">
        <f>HYPERLINK("#摆设!朱漆垂香木百宝阁","朱漆垂香木百宝阁")</f>
        <v>朱漆垂香木百宝阁</v>
      </c>
      <c r="E44" s="26">
        <f>摆设!D22</f>
        <v>0</v>
      </c>
      <c r="F44" s="26">
        <v>1</v>
      </c>
      <c r="G44" s="35" t="s">
        <v>110</v>
      </c>
      <c r="H44" s="35" t="s">
        <v>111</v>
      </c>
      <c r="I44" s="20" t="s">
        <v>116</v>
      </c>
      <c r="J44" s="35" t="s">
        <v>129</v>
      </c>
      <c r="K44" s="39"/>
    </row>
    <row r="45" spans="1:11">
      <c r="A45" s="32">
        <v>41</v>
      </c>
      <c r="B45" s="32" t="s">
        <v>131</v>
      </c>
      <c r="C45" s="36"/>
      <c r="D45" s="34" t="str">
        <f>HYPERLINK("#摆设!松木方形茶桌","松木方形茶桌")</f>
        <v>松木方形茶桌</v>
      </c>
      <c r="E45" s="26">
        <f>摆设!D31</f>
        <v>0</v>
      </c>
      <c r="F45" s="26">
        <v>1</v>
      </c>
      <c r="G45" s="35" t="s">
        <v>110</v>
      </c>
      <c r="H45" s="35" t="s">
        <v>115</v>
      </c>
      <c r="I45" s="20" t="s">
        <v>116</v>
      </c>
      <c r="J45" s="35" t="s">
        <v>129</v>
      </c>
      <c r="K45" s="39"/>
    </row>
    <row r="46" spans="1:11">
      <c r="A46" s="32">
        <v>42</v>
      </c>
      <c r="B46" s="32" t="s">
        <v>131</v>
      </c>
      <c r="C46" s="36"/>
      <c r="D46" s="34" t="str">
        <f>HYPERLINK("#摆设!烟霞云梦榻","烟霞云梦榻")</f>
        <v>烟霞云梦榻</v>
      </c>
      <c r="E46" s="26">
        <f>摆设!D40</f>
        <v>0</v>
      </c>
      <c r="F46" s="26">
        <v>1</v>
      </c>
      <c r="G46" s="35" t="s">
        <v>110</v>
      </c>
      <c r="H46" s="35" t="s">
        <v>126</v>
      </c>
      <c r="I46" s="20" t="s">
        <v>116</v>
      </c>
      <c r="J46" s="35" t="s">
        <v>114</v>
      </c>
      <c r="K46" s="39"/>
    </row>
    <row r="47" spans="1:11">
      <c r="A47" s="32">
        <v>43</v>
      </c>
      <c r="B47" s="32" t="s">
        <v>131</v>
      </c>
      <c r="C47" s="36"/>
      <c r="D47" s="34" t="str">
        <f>HYPERLINK("#摆设!松木靠背茶椅","松木靠背茶椅")</f>
        <v>松木靠背茶椅</v>
      </c>
      <c r="E47" s="26">
        <f>摆设!D46</f>
        <v>0</v>
      </c>
      <c r="F47" s="26">
        <v>2</v>
      </c>
      <c r="G47" s="35" t="s">
        <v>117</v>
      </c>
      <c r="H47" s="35" t="s">
        <v>118</v>
      </c>
      <c r="I47" s="20" t="s">
        <v>116</v>
      </c>
      <c r="J47" s="35" t="s">
        <v>129</v>
      </c>
      <c r="K47" s="39"/>
    </row>
    <row r="48" spans="1:11">
      <c r="A48" s="32">
        <v>44</v>
      </c>
      <c r="B48" s="32" t="s">
        <v>131</v>
      </c>
      <c r="C48" s="36"/>
      <c r="D48" s="34" t="str">
        <f>HYPERLINK("#摆设!松木折屏—「云来帆影」","松木折屏—「云来帆影」")</f>
        <v>松木折屏—「云来帆影」</v>
      </c>
      <c r="E48" s="26">
        <f>摆设!D53</f>
        <v>0</v>
      </c>
      <c r="F48" s="26">
        <v>1</v>
      </c>
      <c r="G48" s="35" t="s">
        <v>117</v>
      </c>
      <c r="H48" s="35" t="s">
        <v>127</v>
      </c>
      <c r="I48" s="24" t="s">
        <v>112</v>
      </c>
      <c r="J48" s="35" t="s">
        <v>129</v>
      </c>
      <c r="K48" s="39"/>
    </row>
    <row r="49" spans="1:11">
      <c r="A49" s="32">
        <v>45</v>
      </c>
      <c r="B49" s="32" t="s">
        <v>131</v>
      </c>
      <c r="C49" s="36"/>
      <c r="D49" s="34" t="str">
        <f>HYPERLINK("#摆设!却砂木金纹床头柜","却砂木金纹床头柜")</f>
        <v>却砂木金纹床头柜</v>
      </c>
      <c r="E49" s="26">
        <f>摆设!D63</f>
        <v>0</v>
      </c>
      <c r="F49" s="26">
        <v>1</v>
      </c>
      <c r="G49" s="35" t="s">
        <v>117</v>
      </c>
      <c r="H49" s="35" t="s">
        <v>127</v>
      </c>
      <c r="I49" s="20" t="s">
        <v>116</v>
      </c>
      <c r="J49" s="35" t="s">
        <v>114</v>
      </c>
      <c r="K49" s="39"/>
    </row>
    <row r="50" spans="1:11">
      <c r="A50" s="32">
        <v>46</v>
      </c>
      <c r="B50" s="32" t="s">
        <v>131</v>
      </c>
      <c r="C50" s="36"/>
      <c r="D50" s="34" t="str">
        <f>HYPERLINK("#摆设!迎宾地毯—「惠然之顾」","迎宾地毯—「惠然之顾」")</f>
        <v>迎宾地毯—「惠然之顾」</v>
      </c>
      <c r="E50" s="26">
        <f>摆设!D72</f>
        <v>0</v>
      </c>
      <c r="F50" s="26">
        <v>1</v>
      </c>
      <c r="G50" s="35" t="s">
        <v>117</v>
      </c>
      <c r="H50" s="35" t="s">
        <v>119</v>
      </c>
      <c r="I50" s="20" t="s">
        <v>116</v>
      </c>
      <c r="J50" s="35" t="s">
        <v>129</v>
      </c>
      <c r="K50" s="39"/>
    </row>
    <row r="51" spans="1:11">
      <c r="A51" s="32">
        <v>47</v>
      </c>
      <c r="B51" s="32" t="s">
        <v>131</v>
      </c>
      <c r="C51" s="36"/>
      <c r="D51" s="34" t="str">
        <f>HYPERLINK("#摆设!琉璃亭却砂木立灯","琉璃亭却砂木立灯")</f>
        <v>琉璃亭却砂木立灯</v>
      </c>
      <c r="E51" s="26">
        <f>摆设!D79</f>
        <v>0</v>
      </c>
      <c r="F51" s="26">
        <v>1</v>
      </c>
      <c r="G51" s="35" t="s">
        <v>120</v>
      </c>
      <c r="H51" s="35" t="s">
        <v>128</v>
      </c>
      <c r="I51" s="20" t="s">
        <v>116</v>
      </c>
      <c r="J51" s="35" t="s">
        <v>129</v>
      </c>
      <c r="K51" s="39"/>
    </row>
    <row r="52" spans="1:11">
      <c r="A52" s="32">
        <v>48</v>
      </c>
      <c r="B52" s="32" t="s">
        <v>131</v>
      </c>
      <c r="C52" s="36"/>
      <c r="D52" s="34" t="str">
        <f>HYPERLINK("#摆设!贝壳灯罩硬质台灯","贝壳灯罩硬质台灯")</f>
        <v>贝壳灯罩硬质台灯</v>
      </c>
      <c r="E52" s="26">
        <f>摆设!D80</f>
        <v>0</v>
      </c>
      <c r="F52" s="26">
        <v>1</v>
      </c>
      <c r="G52" s="35" t="s">
        <v>120</v>
      </c>
      <c r="H52" s="35" t="s">
        <v>128</v>
      </c>
      <c r="I52" s="20" t="s">
        <v>116</v>
      </c>
      <c r="J52" s="35" t="s">
        <v>114</v>
      </c>
      <c r="K52" s="39"/>
    </row>
    <row r="53" spans="1:11">
      <c r="A53" s="32">
        <v>49</v>
      </c>
      <c r="B53" s="32" t="s">
        <v>131</v>
      </c>
      <c r="C53" s="36"/>
      <c r="D53" s="34" t="str">
        <f>HYPERLINK("#摆设!绿植盆栽—「澄澈的清风」","绿植盆栽—「澄澈的清风」")</f>
        <v>绿植盆栽—「澄澈的清风」</v>
      </c>
      <c r="E53" s="26">
        <f>摆设!D82</f>
        <v>0</v>
      </c>
      <c r="F53" s="26">
        <v>1</v>
      </c>
      <c r="G53" s="35" t="s">
        <v>120</v>
      </c>
      <c r="H53" s="35" t="s">
        <v>121</v>
      </c>
      <c r="I53" s="20" t="s">
        <v>116</v>
      </c>
      <c r="J53" s="35" t="s">
        <v>114</v>
      </c>
      <c r="K53" s="39"/>
    </row>
    <row r="54" spans="1:11">
      <c r="A54" s="32">
        <v>50</v>
      </c>
      <c r="B54" s="32" t="s">
        <v>131</v>
      </c>
      <c r="C54" s="36"/>
      <c r="D54" s="34" t="str">
        <f>HYPERLINK("#摆设!白瓷茶具—「怀质抱真」","白瓷茶具—「怀质抱真」")</f>
        <v>白瓷茶具—「怀质抱真」</v>
      </c>
      <c r="E54" s="26">
        <f>摆设!D99</f>
        <v>0</v>
      </c>
      <c r="F54" s="26">
        <v>1</v>
      </c>
      <c r="G54" s="35" t="s">
        <v>120</v>
      </c>
      <c r="H54" s="35" t="s">
        <v>122</v>
      </c>
      <c r="I54" s="20" t="s">
        <v>116</v>
      </c>
      <c r="J54" s="35" t="s">
        <v>114</v>
      </c>
      <c r="K54" s="39"/>
    </row>
    <row r="55" spans="1:11">
      <c r="A55" s="32"/>
      <c r="B55" s="32"/>
      <c r="C55" s="36"/>
      <c r="D55" s="37"/>
      <c r="E55" s="26"/>
      <c r="F55" s="26"/>
      <c r="G55" s="35"/>
      <c r="H55" s="35"/>
      <c r="I55" s="35"/>
      <c r="J55" s="35"/>
      <c r="K55" s="39"/>
    </row>
    <row r="56" spans="1:11">
      <c r="A56" s="32">
        <v>51</v>
      </c>
      <c r="B56" s="32" t="s">
        <v>132</v>
      </c>
      <c r="C56" s="33" t="s">
        <v>132</v>
      </c>
      <c r="D56" s="34" t="str">
        <f>HYPERLINK("#摆设!高大的桦木衣柜","高大的桦木衣柜")</f>
        <v>高大的桦木衣柜</v>
      </c>
      <c r="E56" s="26">
        <f>摆设!D4</f>
        <v>0</v>
      </c>
      <c r="F56" s="26">
        <v>1</v>
      </c>
      <c r="G56" s="35" t="s">
        <v>110</v>
      </c>
      <c r="H56" s="35" t="s">
        <v>125</v>
      </c>
      <c r="I56" s="20" t="s">
        <v>116</v>
      </c>
      <c r="J56" s="35" t="s">
        <v>114</v>
      </c>
      <c r="K56" s="39"/>
    </row>
    <row r="57" spans="1:11">
      <c r="A57" s="32">
        <v>52</v>
      </c>
      <c r="B57" s="32" t="s">
        <v>132</v>
      </c>
      <c r="C57" s="36"/>
      <c r="D57" s="34" t="str">
        <f>HYPERLINK("#摆设!「司书的宝库」","「司书的宝库」")</f>
        <v>「司书的宝库」</v>
      </c>
      <c r="E57" s="26">
        <f>摆设!D16</f>
        <v>0</v>
      </c>
      <c r="F57" s="26">
        <v>1</v>
      </c>
      <c r="G57" s="35" t="s">
        <v>110</v>
      </c>
      <c r="H57" s="35" t="s">
        <v>111</v>
      </c>
      <c r="I57" s="24" t="s">
        <v>112</v>
      </c>
      <c r="J57" s="35" t="s">
        <v>114</v>
      </c>
      <c r="K57" s="39"/>
    </row>
    <row r="58" spans="1:11">
      <c r="A58" s="32">
        <v>53</v>
      </c>
      <c r="B58" s="32" t="s">
        <v>132</v>
      </c>
      <c r="C58" s="36"/>
      <c r="D58" s="34" t="str">
        <f>HYPERLINK("#摆设!厚重的图书馆长桌","厚重的图书馆长桌")</f>
        <v>厚重的图书馆长桌</v>
      </c>
      <c r="E58" s="26">
        <f>摆设!D26</f>
        <v>0</v>
      </c>
      <c r="F58" s="26">
        <v>1</v>
      </c>
      <c r="G58" s="35" t="s">
        <v>110</v>
      </c>
      <c r="H58" s="35" t="s">
        <v>115</v>
      </c>
      <c r="I58" s="20" t="s">
        <v>116</v>
      </c>
      <c r="J58" s="35" t="s">
        <v>113</v>
      </c>
      <c r="K58" s="39"/>
    </row>
    <row r="59" spans="1:11">
      <c r="A59" s="32">
        <v>54</v>
      </c>
      <c r="B59" s="32" t="s">
        <v>132</v>
      </c>
      <c r="C59" s="36"/>
      <c r="D59" s="34" t="str">
        <f>HYPERLINK("#摆设!骑士团的办公桌","骑士团的办公桌")</f>
        <v>骑士团的办公桌</v>
      </c>
      <c r="E59" s="26">
        <f>摆设!D27</f>
        <v>0</v>
      </c>
      <c r="F59" s="26">
        <v>1</v>
      </c>
      <c r="G59" s="35" t="s">
        <v>110</v>
      </c>
      <c r="H59" s="35" t="s">
        <v>115</v>
      </c>
      <c r="I59" s="20" t="s">
        <v>116</v>
      </c>
      <c r="J59" s="35" t="s">
        <v>114</v>
      </c>
      <c r="K59" s="39"/>
    </row>
    <row r="60" spans="1:11">
      <c r="A60" s="32">
        <v>55</v>
      </c>
      <c r="B60" s="32" t="s">
        <v>132</v>
      </c>
      <c r="C60" s="36"/>
      <c r="D60" s="34" t="str">
        <f>HYPERLINK("#摆设!「晴空蓝的午后」","「晴空蓝的午后」")</f>
        <v>「晴空蓝的午后」</v>
      </c>
      <c r="E60" s="26">
        <f>摆设!D44</f>
        <v>0</v>
      </c>
      <c r="F60" s="26">
        <v>2</v>
      </c>
      <c r="G60" s="35" t="s">
        <v>117</v>
      </c>
      <c r="H60" s="35" t="s">
        <v>118</v>
      </c>
      <c r="I60" s="20" t="s">
        <v>116</v>
      </c>
      <c r="J60" s="35" t="s">
        <v>114</v>
      </c>
      <c r="K60" s="39"/>
    </row>
    <row r="61" spans="1:11">
      <c r="A61" s="32">
        <v>56</v>
      </c>
      <c r="B61" s="32" t="s">
        <v>132</v>
      </c>
      <c r="C61" s="36"/>
      <c r="D61" s="34" t="str">
        <f>HYPERLINK("#摆设!「坚定意志」","「坚定意志」")</f>
        <v>「坚定意志」</v>
      </c>
      <c r="E61" s="26">
        <f>摆设!D45</f>
        <v>0</v>
      </c>
      <c r="F61" s="26">
        <v>1</v>
      </c>
      <c r="G61" s="35" t="s">
        <v>117</v>
      </c>
      <c r="H61" s="35" t="s">
        <v>118</v>
      </c>
      <c r="I61" s="20" t="s">
        <v>116</v>
      </c>
      <c r="J61" s="35" t="s">
        <v>114</v>
      </c>
      <c r="K61" s="39"/>
    </row>
    <row r="62" spans="1:11">
      <c r="A62" s="32">
        <v>57</v>
      </c>
      <c r="B62" s="32" t="s">
        <v>132</v>
      </c>
      <c r="C62" s="36"/>
      <c r="D62" s="34" t="str">
        <f>HYPERLINK("#摆设!蒙德地毯—「明红的热忱」","蒙德地毯—「明红的热忱」")</f>
        <v>蒙德地毯—「明红的热忱」</v>
      </c>
      <c r="E62" s="26">
        <f>摆设!D71</f>
        <v>0</v>
      </c>
      <c r="F62" s="26">
        <v>1</v>
      </c>
      <c r="G62" s="35" t="s">
        <v>117</v>
      </c>
      <c r="H62" s="35" t="s">
        <v>119</v>
      </c>
      <c r="I62" s="20" t="s">
        <v>116</v>
      </c>
      <c r="J62" s="35" t="s">
        <v>114</v>
      </c>
      <c r="K62" s="39"/>
    </row>
    <row r="63" spans="1:11">
      <c r="A63" s="32">
        <v>58</v>
      </c>
      <c r="B63" s="32" t="s">
        <v>132</v>
      </c>
      <c r="C63" s="36"/>
      <c r="D63" s="34" t="str">
        <f>HYPERLINK("#摆设!绿植盆栽—「澄澈的清风」","绿植盆栽—「澄澈的清风」")</f>
        <v>绿植盆栽—「澄澈的清风」</v>
      </c>
      <c r="E63" s="26">
        <f>摆设!D82</f>
        <v>0</v>
      </c>
      <c r="F63" s="26">
        <v>1</v>
      </c>
      <c r="G63" s="35" t="s">
        <v>120</v>
      </c>
      <c r="H63" s="35" t="s">
        <v>121</v>
      </c>
      <c r="I63" s="20" t="s">
        <v>116</v>
      </c>
      <c r="J63" s="35" t="s">
        <v>114</v>
      </c>
      <c r="K63" s="39"/>
    </row>
    <row r="64" spans="1:11">
      <c r="A64" s="32">
        <v>59</v>
      </c>
      <c r="B64" s="32" t="s">
        <v>132</v>
      </c>
      <c r="C64" s="36"/>
      <c r="D64" s="34" t="str">
        <f>HYPERLINK("#摆设!整齐叠放的书本","整齐叠放的书本")</f>
        <v>整齐叠放的书本</v>
      </c>
      <c r="E64" s="26">
        <f>摆设!D91</f>
        <v>0</v>
      </c>
      <c r="F64" s="26">
        <v>1</v>
      </c>
      <c r="G64" s="35" t="s">
        <v>120</v>
      </c>
      <c r="H64" s="35" t="s">
        <v>122</v>
      </c>
      <c r="I64" s="20" t="s">
        <v>116</v>
      </c>
      <c r="J64" s="35" t="s">
        <v>114</v>
      </c>
      <c r="K64" s="39"/>
    </row>
    <row r="65" spans="1:11">
      <c r="A65" s="32">
        <v>60</v>
      </c>
      <c r="B65" s="32" t="s">
        <v>132</v>
      </c>
      <c r="C65" s="36"/>
      <c r="D65" s="34" t="str">
        <f>HYPERLINK("#摆设!「学者的倦怠」","「学者的倦怠」")</f>
        <v>「学者的倦怠」</v>
      </c>
      <c r="E65" s="26">
        <f>摆设!D92</f>
        <v>0</v>
      </c>
      <c r="F65" s="26">
        <v>1</v>
      </c>
      <c r="G65" s="35" t="s">
        <v>120</v>
      </c>
      <c r="H65" s="35" t="s">
        <v>122</v>
      </c>
      <c r="I65" s="20" t="s">
        <v>116</v>
      </c>
      <c r="J65" s="35" t="s">
        <v>114</v>
      </c>
      <c r="K65" s="39"/>
    </row>
    <row r="66" spans="1:11">
      <c r="A66" s="32">
        <v>61</v>
      </c>
      <c r="B66" s="32" t="s">
        <v>132</v>
      </c>
      <c r="C66" s="36"/>
      <c r="D66" s="34" t="str">
        <f>HYPERLINK("#摆设!精巧的沙漏摆件","精巧的沙漏摆件")</f>
        <v>精巧的沙漏摆件</v>
      </c>
      <c r="E66" s="26">
        <f>摆设!D94</f>
        <v>0</v>
      </c>
      <c r="F66" s="26">
        <v>1</v>
      </c>
      <c r="G66" s="35" t="s">
        <v>120</v>
      </c>
      <c r="H66" s="35" t="s">
        <v>122</v>
      </c>
      <c r="I66" s="20" t="s">
        <v>116</v>
      </c>
      <c r="J66" s="35" t="s">
        <v>114</v>
      </c>
      <c r="K66" s="39"/>
    </row>
    <row r="67" spans="1:11">
      <c r="A67" s="32">
        <v>62</v>
      </c>
      <c r="B67" s="32" t="s">
        <v>132</v>
      </c>
      <c r="C67" s="36"/>
      <c r="D67" s="34" t="str">
        <f>HYPERLINK("#摆设!炼金装置—「水火之间」","炼金装置—「水火之间」")</f>
        <v>炼金装置—「水火之间」</v>
      </c>
      <c r="E67" s="26">
        <f>摆设!D95</f>
        <v>0</v>
      </c>
      <c r="F67" s="26">
        <v>1</v>
      </c>
      <c r="G67" s="35" t="s">
        <v>120</v>
      </c>
      <c r="H67" s="35" t="s">
        <v>122</v>
      </c>
      <c r="I67" s="20" t="s">
        <v>116</v>
      </c>
      <c r="J67" s="35" t="s">
        <v>114</v>
      </c>
      <c r="K67" s="39"/>
    </row>
    <row r="68" spans="1:11">
      <c r="A68" s="32">
        <v>63</v>
      </c>
      <c r="B68" s="32" t="s">
        <v>132</v>
      </c>
      <c r="C68" s="36"/>
      <c r="D68" s="34" t="str">
        <f>HYPERLINK("#摆设!炼金器件—「尘埃的重量」","炼金器件—「尘埃的重量」")</f>
        <v>炼金器件—「尘埃的重量」</v>
      </c>
      <c r="E68" s="26">
        <f>摆设!D96</f>
        <v>0</v>
      </c>
      <c r="F68" s="26">
        <v>1</v>
      </c>
      <c r="G68" s="35" t="s">
        <v>120</v>
      </c>
      <c r="H68" s="35" t="s">
        <v>122</v>
      </c>
      <c r="I68" s="20" t="s">
        <v>116</v>
      </c>
      <c r="J68" s="35" t="s">
        <v>114</v>
      </c>
      <c r="K68" s="39"/>
    </row>
    <row r="69" spans="1:11">
      <c r="A69" s="32"/>
      <c r="B69" s="32"/>
      <c r="C69" s="36"/>
      <c r="D69" s="37"/>
      <c r="E69" s="26"/>
      <c r="F69" s="26"/>
      <c r="G69" s="35"/>
      <c r="H69" s="35"/>
      <c r="I69" s="35"/>
      <c r="J69" s="35"/>
      <c r="K69" s="39"/>
    </row>
    <row r="70" spans="1:11">
      <c r="A70" s="32">
        <v>64</v>
      </c>
      <c r="B70" s="32" t="s">
        <v>133</v>
      </c>
      <c r="C70" s="33" t="s">
        <v>133</v>
      </c>
      <c r="D70" s="34" t="str">
        <f>HYPERLINK("#摆设!开顶杉木货架","开顶杉木货架")</f>
        <v>开顶杉木货架</v>
      </c>
      <c r="E70" s="26">
        <f>摆设!D2</f>
        <v>0</v>
      </c>
      <c r="F70" s="26">
        <v>1</v>
      </c>
      <c r="G70" s="35" t="s">
        <v>110</v>
      </c>
      <c r="H70" s="35" t="s">
        <v>125</v>
      </c>
      <c r="I70" s="20" t="s">
        <v>116</v>
      </c>
      <c r="J70" s="35" t="s">
        <v>134</v>
      </c>
      <c r="K70" s="39"/>
    </row>
    <row r="71" spans="1:11">
      <c r="A71" s="32">
        <v>65</v>
      </c>
      <c r="B71" s="32" t="s">
        <v>133</v>
      </c>
      <c r="C71" s="36"/>
      <c r="D71" s="34" t="str">
        <f>HYPERLINK("#摆设!组合式杉木货柜","组合式杉木货柜")</f>
        <v>组合式杉木货柜</v>
      </c>
      <c r="E71" s="26">
        <f>摆设!D3</f>
        <v>0</v>
      </c>
      <c r="F71" s="26">
        <v>1</v>
      </c>
      <c r="G71" s="35" t="s">
        <v>110</v>
      </c>
      <c r="H71" s="35" t="s">
        <v>125</v>
      </c>
      <c r="I71" s="20" t="s">
        <v>116</v>
      </c>
      <c r="J71" s="35" t="s">
        <v>134</v>
      </c>
      <c r="K71" s="39"/>
    </row>
    <row r="72" spans="1:11">
      <c r="A72" s="32">
        <v>66</v>
      </c>
      <c r="B72" s="32" t="s">
        <v>133</v>
      </c>
      <c r="C72" s="36"/>
      <c r="D72" s="34" t="str">
        <f>HYPERLINK("#摆设!便携炉灶","便携炉灶")</f>
        <v>便携炉灶</v>
      </c>
      <c r="E72" s="26">
        <f>摆设!D28</f>
        <v>0</v>
      </c>
      <c r="F72" s="26">
        <v>1</v>
      </c>
      <c r="G72" s="35" t="s">
        <v>110</v>
      </c>
      <c r="H72" s="35" t="s">
        <v>115</v>
      </c>
      <c r="I72" s="20" t="s">
        <v>116</v>
      </c>
      <c r="J72" s="35" t="s">
        <v>134</v>
      </c>
      <c r="K72" s="39"/>
    </row>
    <row r="73" spans="1:11">
      <c r="A73" s="32">
        <v>67</v>
      </c>
      <c r="B73" s="32" t="s">
        <v>133</v>
      </c>
      <c r="C73" s="36"/>
      <c r="D73" s="34" t="str">
        <f>HYPERLINK("#摆设!稳固的桦木梳妆台","稳固的桦木梳妆台")</f>
        <v>稳固的桦木梳妆台</v>
      </c>
      <c r="E73" s="26">
        <f>摆设!D32</f>
        <v>0</v>
      </c>
      <c r="F73" s="26">
        <v>2</v>
      </c>
      <c r="G73" s="35" t="s">
        <v>110</v>
      </c>
      <c r="H73" s="35" t="s">
        <v>115</v>
      </c>
      <c r="I73" s="20" t="s">
        <v>116</v>
      </c>
      <c r="J73" s="35" t="s">
        <v>114</v>
      </c>
      <c r="K73" s="39"/>
    </row>
    <row r="74" spans="1:11">
      <c r="A74" s="32">
        <v>68</v>
      </c>
      <c r="B74" s="32" t="s">
        <v>133</v>
      </c>
      <c r="C74" s="36"/>
      <c r="D74" s="34" t="str">
        <f>HYPERLINK("#摆设!松木餐椅","松木餐椅")</f>
        <v>松木餐椅</v>
      </c>
      <c r="E74" s="26">
        <f>摆设!D51</f>
        <v>0</v>
      </c>
      <c r="F74" s="26">
        <v>3</v>
      </c>
      <c r="G74" s="35" t="s">
        <v>117</v>
      </c>
      <c r="H74" s="35" t="s">
        <v>118</v>
      </c>
      <c r="I74" s="25" t="s">
        <v>135</v>
      </c>
      <c r="J74" s="35" t="s">
        <v>123</v>
      </c>
      <c r="K74" s="39"/>
    </row>
    <row r="75" spans="1:11">
      <c r="A75" s="32">
        <v>69</v>
      </c>
      <c r="B75" s="32" t="s">
        <v>133</v>
      </c>
      <c r="C75" s="36"/>
      <c r="D75" s="34" t="str">
        <f>HYPERLINK("#摆设!恒亮不熄的提灯","恒亮不熄的提灯")</f>
        <v>恒亮不熄的提灯</v>
      </c>
      <c r="E75" s="26">
        <f>摆设!D78</f>
        <v>0</v>
      </c>
      <c r="F75" s="26">
        <v>2</v>
      </c>
      <c r="G75" s="35" t="s">
        <v>120</v>
      </c>
      <c r="H75" s="35" t="s">
        <v>128</v>
      </c>
      <c r="I75" s="20" t="s">
        <v>116</v>
      </c>
      <c r="J75" s="35" t="s">
        <v>114</v>
      </c>
      <c r="K75" s="39"/>
    </row>
    <row r="76" spans="1:11">
      <c r="A76" s="32">
        <v>70</v>
      </c>
      <c r="B76" s="32" t="s">
        <v>133</v>
      </c>
      <c r="C76" s="36"/>
      <c r="D76" s="34" t="str">
        <f>HYPERLINK("#摆设!菱形桌布的长桌","菱形桌布的长桌")</f>
        <v>菱形桌布的长桌</v>
      </c>
      <c r="E76" s="26">
        <f>摆设!D29</f>
        <v>0</v>
      </c>
      <c r="F76" s="26">
        <v>1</v>
      </c>
      <c r="G76" s="35" t="s">
        <v>110</v>
      </c>
      <c r="H76" s="35" t="s">
        <v>115</v>
      </c>
      <c r="I76" s="20" t="s">
        <v>116</v>
      </c>
      <c r="J76" s="35" t="s">
        <v>123</v>
      </c>
      <c r="K76" s="39"/>
    </row>
    <row r="77" spans="1:11">
      <c r="A77" s="32"/>
      <c r="B77" s="32"/>
      <c r="C77" s="36"/>
      <c r="D77" s="34"/>
      <c r="E77" s="26"/>
      <c r="F77" s="26"/>
      <c r="G77" s="35"/>
      <c r="H77" s="35"/>
      <c r="I77" s="35"/>
      <c r="J77" s="35"/>
      <c r="K77" s="39"/>
    </row>
    <row r="78" spans="1:11">
      <c r="A78" s="32"/>
      <c r="B78" s="32"/>
      <c r="C78" s="33" t="s">
        <v>136</v>
      </c>
      <c r="D78" s="34" t="str">
        <f>HYPERLINK("#摆设!梦见木「露隐」衣柜","梦见木「露隐」衣柜")</f>
        <v>梦见木「露隐」衣柜</v>
      </c>
      <c r="E78" s="26">
        <f>摆设!D11</f>
        <v>0</v>
      </c>
      <c r="F78" s="26">
        <v>1</v>
      </c>
      <c r="G78" s="35" t="s">
        <v>110</v>
      </c>
      <c r="H78" s="35" t="s">
        <v>125</v>
      </c>
      <c r="I78" s="20" t="s">
        <v>116</v>
      </c>
      <c r="J78" s="35" t="s">
        <v>114</v>
      </c>
      <c r="K78" s="39"/>
    </row>
    <row r="79" spans="1:11">
      <c r="A79" s="32"/>
      <c r="B79" s="32"/>
      <c r="C79" s="40"/>
      <c r="D79" s="34" t="str">
        <f>HYPERLINK("#摆设!梦见木「冷暖一桌」被炉","梦见木「冷暖一桌」被炉")</f>
        <v>梦见木「冷暖一桌」被炉</v>
      </c>
      <c r="E79" s="26">
        <f>摆设!D25</f>
        <v>0</v>
      </c>
      <c r="F79" s="26">
        <v>1</v>
      </c>
      <c r="G79" s="35" t="s">
        <v>110</v>
      </c>
      <c r="H79" s="35" t="s">
        <v>115</v>
      </c>
      <c r="I79" s="24" t="s">
        <v>112</v>
      </c>
      <c r="J79" s="35" t="s">
        <v>114</v>
      </c>
      <c r="K79" s="39"/>
    </row>
    <row r="80" spans="1:11">
      <c r="A80" s="32"/>
      <c r="B80" s="32"/>
      <c r="C80" s="40"/>
      <c r="D80" s="34" t="str">
        <f>HYPERLINK("#摆设!梦见木「樱眠」床榻","梦见木「樱眠」床榻")</f>
        <v>梦见木「樱眠」床榻</v>
      </c>
      <c r="E80" s="26">
        <f>摆设!D41</f>
        <v>0</v>
      </c>
      <c r="F80" s="26">
        <v>1</v>
      </c>
      <c r="G80" s="35" t="s">
        <v>110</v>
      </c>
      <c r="H80" s="35" t="s">
        <v>126</v>
      </c>
      <c r="I80" s="20" t="s">
        <v>116</v>
      </c>
      <c r="J80" s="35" t="s">
        <v>114</v>
      </c>
      <c r="K80" s="39"/>
    </row>
    <row r="81" spans="1:11">
      <c r="A81" s="32"/>
      <c r="B81" s="32"/>
      <c r="C81" s="40"/>
      <c r="D81" s="34" t="str">
        <f>HYPERLINK("#摆设!茶室坐垫—「晚禾织」","茶室坐垫—「晚禾织」")</f>
        <v>茶室坐垫—「晚禾织」</v>
      </c>
      <c r="E81" s="26">
        <f>摆设!D70</f>
        <v>0</v>
      </c>
      <c r="F81" s="26">
        <v>4</v>
      </c>
      <c r="G81" s="35" t="s">
        <v>117</v>
      </c>
      <c r="H81" s="35" t="s">
        <v>127</v>
      </c>
      <c r="I81" s="25" t="s">
        <v>135</v>
      </c>
      <c r="J81" s="35" t="s">
        <v>114</v>
      </c>
      <c r="K81" s="39"/>
    </row>
    <row r="82" spans="1:11">
      <c r="A82" s="32"/>
      <c r="B82" s="32"/>
      <c r="C82" s="40"/>
      <c r="D82" s="34" t="str">
        <f>HYPERLINK("#摆设!梦见木「入画」折屏","梦见木「入画」折屏")</f>
        <v>梦见木「入画」折屏</v>
      </c>
      <c r="E82" s="26">
        <f>摆设!D57</f>
        <v>0</v>
      </c>
      <c r="F82" s="26">
        <v>1</v>
      </c>
      <c r="G82" s="35" t="s">
        <v>117</v>
      </c>
      <c r="H82" s="35" t="s">
        <v>127</v>
      </c>
      <c r="I82" s="24" t="s">
        <v>112</v>
      </c>
      <c r="J82" s="35" t="s">
        <v>114</v>
      </c>
      <c r="K82" s="39"/>
    </row>
    <row r="83" spans="1:11">
      <c r="A83" s="32"/>
      <c r="B83" s="32"/>
      <c r="C83" s="40"/>
      <c r="D83" s="34" t="str">
        <f>HYPERLINK("#摆设!「铸瓷正则」","「铸瓷正则」")</f>
        <v>「铸瓷正则」</v>
      </c>
      <c r="E83" s="26">
        <f>摆设!D85</f>
        <v>0</v>
      </c>
      <c r="F83" s="26">
        <v>1</v>
      </c>
      <c r="G83" s="35" t="s">
        <v>120</v>
      </c>
      <c r="H83" s="35" t="s">
        <v>121</v>
      </c>
      <c r="I83" s="20" t="s">
        <v>116</v>
      </c>
      <c r="J83" s="35" t="s">
        <v>114</v>
      </c>
      <c r="K83" s="39"/>
    </row>
    <row r="84" spans="1:11">
      <c r="A84" s="32"/>
      <c r="B84" s="32"/>
      <c r="C84" s="40"/>
      <c r="D84" s="34" t="str">
        <f>HYPERLINK("#摆设!驱鬼之羽屏","驱鬼之羽屏")</f>
        <v>驱鬼之羽屏</v>
      </c>
      <c r="E84" s="26">
        <f>摆设!D104</f>
        <v>0</v>
      </c>
      <c r="F84" s="26">
        <v>1</v>
      </c>
      <c r="G84" s="35" t="s">
        <v>120</v>
      </c>
      <c r="H84" s="35" t="s">
        <v>122</v>
      </c>
      <c r="I84" s="20" t="s">
        <v>116</v>
      </c>
      <c r="J84" s="35" t="s">
        <v>114</v>
      </c>
      <c r="K84" s="39"/>
    </row>
    <row r="85" spans="1:11">
      <c r="A85" s="32"/>
      <c r="B85" s="32"/>
      <c r="C85" s="40"/>
      <c r="D85" s="34" t="str">
        <f>HYPERLINK("#摆设!「赤铁珊瑚」","「赤铁珊瑚」")</f>
        <v>「赤铁珊瑚」</v>
      </c>
      <c r="E85" s="26">
        <f>摆设!D88</f>
        <v>0</v>
      </c>
      <c r="F85" s="26">
        <v>1</v>
      </c>
      <c r="G85" s="35" t="s">
        <v>120</v>
      </c>
      <c r="H85" s="35" t="s">
        <v>122</v>
      </c>
      <c r="I85" s="20" t="s">
        <v>116</v>
      </c>
      <c r="J85" s="35" t="s">
        <v>114</v>
      </c>
      <c r="K85" s="39"/>
    </row>
    <row r="86" spans="1:11">
      <c r="A86" s="32"/>
      <c r="B86" s="32"/>
      <c r="C86" s="40"/>
      <c r="D86" s="34"/>
      <c r="E86" s="26"/>
      <c r="F86" s="26"/>
      <c r="G86" s="35"/>
      <c r="H86" s="35"/>
      <c r="I86" s="35"/>
      <c r="J86" s="35"/>
      <c r="K86" s="39"/>
    </row>
    <row r="87" spans="1:11">
      <c r="A87" s="32"/>
      <c r="B87" s="32"/>
      <c r="C87" s="33" t="s">
        <v>137</v>
      </c>
      <c r="D87" s="34" t="str">
        <f>HYPERLINK("#摆设!茶室坐垫—「晚禾织」","茶室坐垫—「晚禾织」")</f>
        <v>茶室坐垫—「晚禾织」</v>
      </c>
      <c r="E87" s="26">
        <f>摆设!D70</f>
        <v>0</v>
      </c>
      <c r="F87" s="26">
        <v>2</v>
      </c>
      <c r="G87" s="35" t="s">
        <v>117</v>
      </c>
      <c r="H87" s="35" t="s">
        <v>127</v>
      </c>
      <c r="I87" s="25" t="s">
        <v>135</v>
      </c>
      <c r="J87" s="35" t="s">
        <v>114</v>
      </c>
      <c r="K87" s="39"/>
    </row>
    <row r="88" spans="1:11">
      <c r="A88" s="32"/>
      <c r="B88" s="32"/>
      <c r="C88" s="40"/>
      <c r="D88" s="34" t="str">
        <f>HYPERLINK("#摆设!枫木仪鼓—「宴奏」","枫木仪鼓—「宴奏」")</f>
        <v>枫木仪鼓—「宴奏」</v>
      </c>
      <c r="E88" s="26">
        <f>摆设!D64</f>
        <v>0</v>
      </c>
      <c r="F88" s="26">
        <v>1</v>
      </c>
      <c r="G88" s="35" t="s">
        <v>117</v>
      </c>
      <c r="H88" s="35" t="s">
        <v>127</v>
      </c>
      <c r="I88" s="20" t="s">
        <v>116</v>
      </c>
      <c r="J88" s="35" t="s">
        <v>114</v>
      </c>
      <c r="K88" s="39"/>
    </row>
    <row r="89" spans="1:11">
      <c r="A89" s="32"/>
      <c r="B89" s="32"/>
      <c r="C89" s="40"/>
      <c r="D89" s="34" t="str">
        <f>HYPERLINK("#摆设!茶室屏风—「垢身金心」","茶室屏风—「垢身金心」")</f>
        <v>茶室屏风—「垢身金心」</v>
      </c>
      <c r="E89" s="26">
        <f>摆设!D54</f>
        <v>0</v>
      </c>
      <c r="F89" s="26">
        <v>4</v>
      </c>
      <c r="G89" s="35" t="s">
        <v>117</v>
      </c>
      <c r="H89" s="35" t="s">
        <v>127</v>
      </c>
      <c r="I89" s="24" t="s">
        <v>112</v>
      </c>
      <c r="J89" s="35" t="s">
        <v>114</v>
      </c>
      <c r="K89" s="39"/>
    </row>
    <row r="90" spans="1:11">
      <c r="A90" s="32"/>
      <c r="B90" s="32"/>
      <c r="C90" s="40"/>
      <c r="D90" s="34" t="str">
        <f>HYPERLINK("#摆设!宗传刀架—「四常法」","宗传刀架—「四常法」")</f>
        <v>宗传刀架—「四常法」</v>
      </c>
      <c r="E90" s="26">
        <f>摆设!D55</f>
        <v>0</v>
      </c>
      <c r="F90" s="26">
        <v>2</v>
      </c>
      <c r="G90" s="35" t="s">
        <v>117</v>
      </c>
      <c r="H90" s="35" t="s">
        <v>127</v>
      </c>
      <c r="I90" s="24" t="s">
        <v>112</v>
      </c>
      <c r="J90" s="35" t="s">
        <v>114</v>
      </c>
      <c r="K90" s="39"/>
    </row>
    <row r="91" spans="1:11">
      <c r="A91" s="32"/>
      <c r="B91" s="32"/>
      <c r="C91" s="40"/>
      <c r="D91" s="34" t="str">
        <f>HYPERLINK("#摆设!旗本重铠—「影阵玄甲」","旗本重铠—「影阵玄甲」")</f>
        <v>旗本重铠—「影阵玄甲」</v>
      </c>
      <c r="E91" s="26">
        <f>摆设!D56</f>
        <v>0</v>
      </c>
      <c r="F91" s="26">
        <v>1</v>
      </c>
      <c r="G91" s="35" t="s">
        <v>117</v>
      </c>
      <c r="H91" s="35" t="s">
        <v>127</v>
      </c>
      <c r="I91" s="24" t="s">
        <v>112</v>
      </c>
      <c r="J91" s="35" t="s">
        <v>114</v>
      </c>
      <c r="K91" s="39"/>
    </row>
    <row r="92" spans="1:11">
      <c r="A92" s="32"/>
      <c r="B92" s="32"/>
      <c r="C92" s="40"/>
      <c r="D92" s="34" t="str">
        <f>HYPERLINK("#摆设!枫木地灯—「照澄」","枫木地灯—「照澄」")</f>
        <v>枫木地灯—「照澄」</v>
      </c>
      <c r="E92" s="26">
        <f>摆设!D77</f>
        <v>0</v>
      </c>
      <c r="F92" s="26">
        <v>1</v>
      </c>
      <c r="G92" s="35" t="s">
        <v>120</v>
      </c>
      <c r="H92" s="35" t="s">
        <v>128</v>
      </c>
      <c r="I92" s="20" t="s">
        <v>116</v>
      </c>
      <c r="J92" s="35" t="s">
        <v>114</v>
      </c>
      <c r="K92" s="39"/>
    </row>
    <row r="93" spans="1:11">
      <c r="A93" s="32"/>
      <c r="B93" s="32"/>
      <c r="C93" s="40"/>
      <c r="D93" s="34" t="str">
        <f>HYPERLINK("#摆设!破邪之弦镝","破邪之弦镝")</f>
        <v>破邪之弦镝</v>
      </c>
      <c r="E93" s="26">
        <f>摆设!D103</f>
        <v>0</v>
      </c>
      <c r="F93" s="26">
        <v>1</v>
      </c>
      <c r="G93" s="35" t="s">
        <v>120</v>
      </c>
      <c r="H93" s="35" t="s">
        <v>122</v>
      </c>
      <c r="I93" s="20" t="s">
        <v>116</v>
      </c>
      <c r="J93" s="35" t="s">
        <v>114</v>
      </c>
      <c r="K93" s="39"/>
    </row>
    <row r="94" spans="1:11">
      <c r="A94" s="32"/>
      <c r="B94" s="32"/>
      <c r="C94" s="40"/>
      <c r="D94" s="34"/>
      <c r="E94" s="26"/>
      <c r="F94" s="26"/>
      <c r="G94" s="35"/>
      <c r="H94" s="35"/>
      <c r="I94" s="35"/>
      <c r="J94" s="35"/>
      <c r="K94" s="39"/>
    </row>
    <row r="95" spans="1:12">
      <c r="A95" s="32"/>
      <c r="B95" s="32"/>
      <c r="C95" s="33" t="s">
        <v>138</v>
      </c>
      <c r="D95" s="34" t="str">
        <f>HYPERLINK("#摆设!枫木书柜—「墨染书心」","枫木书柜—「墨染书心」")</f>
        <v>枫木书柜—「墨染书心」</v>
      </c>
      <c r="E95" s="26">
        <f>摆设!D17</f>
        <v>0</v>
      </c>
      <c r="F95" s="26">
        <v>2</v>
      </c>
      <c r="G95" s="35" t="s">
        <v>110</v>
      </c>
      <c r="H95" s="35" t="s">
        <v>111</v>
      </c>
      <c r="I95" s="24" t="s">
        <v>112</v>
      </c>
      <c r="J95" s="35" t="s">
        <v>139</v>
      </c>
      <c r="K95" s="39"/>
      <c r="L95" s="45" t="s">
        <v>140</v>
      </c>
    </row>
    <row r="96" spans="1:12">
      <c r="A96" s="32"/>
      <c r="B96" s="32"/>
      <c r="C96" s="40"/>
      <c r="D96" s="34" t="str">
        <f>HYPERLINK("#摆设!枫木书柜—「千卷柜藏」","枫木书柜—「千卷柜藏」")</f>
        <v>枫木书柜—「千卷柜藏」</v>
      </c>
      <c r="E96" s="26">
        <f>摆设!D18</f>
        <v>0</v>
      </c>
      <c r="F96" s="26">
        <v>1</v>
      </c>
      <c r="G96" s="35" t="s">
        <v>110</v>
      </c>
      <c r="H96" s="35" t="s">
        <v>111</v>
      </c>
      <c r="I96" s="24" t="s">
        <v>112</v>
      </c>
      <c r="J96" s="35" t="s">
        <v>139</v>
      </c>
      <c r="K96" s="39"/>
      <c r="L96" s="45"/>
    </row>
    <row r="97" spans="1:12">
      <c r="A97" s="32"/>
      <c r="B97" s="32"/>
      <c r="C97" s="40"/>
      <c r="D97" s="34" t="str">
        <f>HYPERLINK("#摆设!茶室长桌—「座无隙」","茶室长桌—「座无隙」")</f>
        <v>茶室长桌—「座无隙」</v>
      </c>
      <c r="E97" s="26">
        <f>摆设!D34</f>
        <v>0</v>
      </c>
      <c r="F97" s="26">
        <v>1</v>
      </c>
      <c r="G97" s="35" t="s">
        <v>110</v>
      </c>
      <c r="H97" s="35" t="s">
        <v>115</v>
      </c>
      <c r="I97" s="20" t="s">
        <v>116</v>
      </c>
      <c r="J97" s="35" t="s">
        <v>139</v>
      </c>
      <c r="K97" s="39"/>
      <c r="L97" s="45"/>
    </row>
    <row r="98" spans="1:12">
      <c r="A98" s="32"/>
      <c r="B98" s="32"/>
      <c r="C98" s="40"/>
      <c r="D98" s="34" t="str">
        <f>HYPERLINK("#摆设!茶室坐垫—「晚禾织」","茶室坐垫—「晚禾织」")</f>
        <v>茶室坐垫—「晚禾织」</v>
      </c>
      <c r="E98" s="26">
        <f>摆设!D70</f>
        <v>0</v>
      </c>
      <c r="F98" s="26">
        <v>1</v>
      </c>
      <c r="G98" s="35" t="s">
        <v>117</v>
      </c>
      <c r="H98" s="35" t="s">
        <v>127</v>
      </c>
      <c r="I98" s="25" t="s">
        <v>135</v>
      </c>
      <c r="J98" s="35" t="s">
        <v>114</v>
      </c>
      <c r="K98" s="39"/>
      <c r="L98" s="45"/>
    </row>
    <row r="99" spans="1:12">
      <c r="A99" s="32"/>
      <c r="B99" s="32"/>
      <c r="C99" s="40"/>
      <c r="D99" s="34" t="str">
        <f>HYPERLINK("#摆设!茶室屏风—「垢身金心」","茶室屏风—「垢身金心」")</f>
        <v>茶室屏风—「垢身金心」</v>
      </c>
      <c r="E99" s="26">
        <f>摆设!D54</f>
        <v>0</v>
      </c>
      <c r="F99" s="26">
        <v>2</v>
      </c>
      <c r="G99" s="35" t="s">
        <v>117</v>
      </c>
      <c r="H99" s="35" t="s">
        <v>127</v>
      </c>
      <c r="I99" s="24" t="s">
        <v>112</v>
      </c>
      <c r="J99" s="35" t="s">
        <v>114</v>
      </c>
      <c r="K99" s="39"/>
      <c r="L99" s="45"/>
    </row>
    <row r="100" spans="1:12">
      <c r="A100" s="32"/>
      <c r="B100" s="32"/>
      <c r="C100" s="40"/>
      <c r="D100" s="34" t="str">
        <f>HYPERLINK("#摆设!枫木地灯—「照澄」","枫木地灯—「照澄」")</f>
        <v>枫木地灯—「照澄」</v>
      </c>
      <c r="E100" s="26">
        <f>摆设!D77</f>
        <v>0</v>
      </c>
      <c r="F100" s="26">
        <v>1</v>
      </c>
      <c r="G100" s="35" t="s">
        <v>120</v>
      </c>
      <c r="H100" s="35" t="s">
        <v>128</v>
      </c>
      <c r="I100" s="20" t="s">
        <v>116</v>
      </c>
      <c r="J100" s="35" t="s">
        <v>114</v>
      </c>
      <c r="K100" s="39"/>
      <c r="L100" s="45"/>
    </row>
    <row r="101" spans="1:12">
      <c r="A101" s="32"/>
      <c r="B101" s="32"/>
      <c r="C101" s="40"/>
      <c r="D101" s="34" t="str">
        <f>HYPERLINK("#摆设!「铸瓷正则」","「铸瓷正则」")</f>
        <v>「铸瓷正则」</v>
      </c>
      <c r="E101" s="26">
        <f>摆设!D85</f>
        <v>0</v>
      </c>
      <c r="F101" s="26">
        <v>1</v>
      </c>
      <c r="G101" s="35" t="s">
        <v>120</v>
      </c>
      <c r="H101" s="35" t="s">
        <v>121</v>
      </c>
      <c r="I101" s="20" t="s">
        <v>116</v>
      </c>
      <c r="J101" s="35" t="s">
        <v>114</v>
      </c>
      <c r="K101" s="39"/>
      <c r="L101" s="45"/>
    </row>
    <row r="102" spans="1:12">
      <c r="A102" s="32"/>
      <c r="B102" s="32"/>
      <c r="C102" s="40"/>
      <c r="D102" s="34" t="str">
        <f>HYPERLINK("#摆设!茶室烛台—「无味火」","茶室烛台—「无味火」")</f>
        <v>茶室烛台—「无味火」</v>
      </c>
      <c r="E102" s="26">
        <f>摆设!D89</f>
        <v>0</v>
      </c>
      <c r="F102" s="26">
        <v>1</v>
      </c>
      <c r="G102" s="35" t="s">
        <v>120</v>
      </c>
      <c r="H102" s="35" t="s">
        <v>122</v>
      </c>
      <c r="I102" s="20" t="s">
        <v>116</v>
      </c>
      <c r="J102" s="35" t="s">
        <v>139</v>
      </c>
      <c r="K102" s="39"/>
      <c r="L102" s="45"/>
    </row>
    <row r="103" spans="1:12">
      <c r="A103" s="32"/>
      <c r="B103" s="32"/>
      <c r="C103" s="40"/>
      <c r="D103" s="34" t="str">
        <f>HYPERLINK("#摆设!纸墨笔砚—「正定笔锋」","纸墨笔砚—「正定笔锋」")</f>
        <v>纸墨笔砚—「正定笔锋」</v>
      </c>
      <c r="E103" s="26">
        <f>摆设!D102</f>
        <v>0</v>
      </c>
      <c r="F103" s="26">
        <v>1</v>
      </c>
      <c r="G103" s="35" t="s">
        <v>120</v>
      </c>
      <c r="H103" s="35" t="s">
        <v>122</v>
      </c>
      <c r="I103" s="20" t="s">
        <v>116</v>
      </c>
      <c r="J103" s="35" t="s">
        <v>139</v>
      </c>
      <c r="K103" s="39"/>
      <c r="L103" s="45"/>
    </row>
    <row r="104" spans="1:12">
      <c r="A104" s="32"/>
      <c r="B104" s="32"/>
      <c r="C104" s="40"/>
      <c r="D104" s="34" t="str">
        <f>HYPERLINK("#摆设!「赤铁珊瑚」","「赤铁珊瑚」")</f>
        <v>「赤铁珊瑚」</v>
      </c>
      <c r="E104" s="26">
        <f>摆设!D88</f>
        <v>0</v>
      </c>
      <c r="F104" s="26">
        <v>1</v>
      </c>
      <c r="G104" s="35" t="s">
        <v>120</v>
      </c>
      <c r="H104" s="35" t="s">
        <v>122</v>
      </c>
      <c r="I104" s="20" t="s">
        <v>116</v>
      </c>
      <c r="J104" s="35" t="s">
        <v>114</v>
      </c>
      <c r="K104" s="39"/>
      <c r="L104" s="45"/>
    </row>
    <row r="105" spans="1:12">
      <c r="A105" s="32"/>
      <c r="B105" s="32"/>
      <c r="C105" s="40"/>
      <c r="D105" s="34"/>
      <c r="E105" s="26"/>
      <c r="F105" s="26"/>
      <c r="G105" s="35"/>
      <c r="H105" s="35"/>
      <c r="I105" s="35"/>
      <c r="J105" s="35"/>
      <c r="K105" s="39"/>
      <c r="L105" s="45"/>
    </row>
    <row r="106" spans="1:11">
      <c r="A106" s="32"/>
      <c r="B106" s="32"/>
      <c r="C106" s="33" t="s">
        <v>141</v>
      </c>
      <c r="D106" s="34" t="str">
        <f>HYPERLINK("#摆设!孔雀木「万角」货柜","孔雀木「万角」货柜")</f>
        <v>孔雀木「万角」货柜</v>
      </c>
      <c r="E106" s="26">
        <f>摆设!D9</f>
        <v>0</v>
      </c>
      <c r="F106" s="26">
        <v>1</v>
      </c>
      <c r="G106" s="35" t="s">
        <v>110</v>
      </c>
      <c r="H106" s="35" t="s">
        <v>125</v>
      </c>
      <c r="I106" s="20" t="s">
        <v>116</v>
      </c>
      <c r="J106" s="35" t="s">
        <v>114</v>
      </c>
      <c r="K106" s="39"/>
    </row>
    <row r="107" spans="1:11">
      <c r="A107" s="32"/>
      <c r="B107" s="32"/>
      <c r="C107" s="40"/>
      <c r="D107" s="34" t="str">
        <f>HYPERLINK("#摆设!孔雀木「不染」橱柜","孔雀木「不染」橱柜")</f>
        <v>孔雀木「不染」橱柜</v>
      </c>
      <c r="E107" s="26">
        <f>摆设!D10</f>
        <v>0</v>
      </c>
      <c r="F107" s="26">
        <v>1</v>
      </c>
      <c r="G107" s="35" t="s">
        <v>110</v>
      </c>
      <c r="H107" s="35" t="s">
        <v>125</v>
      </c>
      <c r="I107" s="20" t="s">
        <v>116</v>
      </c>
      <c r="J107" s="35" t="s">
        <v>114</v>
      </c>
      <c r="K107" s="39"/>
    </row>
    <row r="108" spans="1:11">
      <c r="A108" s="32"/>
      <c r="B108" s="32"/>
      <c r="C108" s="40"/>
      <c r="D108" s="34" t="str">
        <f>HYPERLINK("#摆设!孔雀木「石定」茶桌","孔雀木「石定」茶桌")</f>
        <v>孔雀木「石定」茶桌</v>
      </c>
      <c r="E108" s="26">
        <f>摆设!D33</f>
        <v>0</v>
      </c>
      <c r="F108" s="26">
        <v>1</v>
      </c>
      <c r="G108" s="35" t="s">
        <v>110</v>
      </c>
      <c r="H108" s="35" t="s">
        <v>115</v>
      </c>
      <c r="I108" s="20" t="s">
        <v>116</v>
      </c>
      <c r="J108" s="35" t="s">
        <v>114</v>
      </c>
      <c r="K108" s="39"/>
    </row>
    <row r="109" spans="1:11">
      <c r="A109" s="32"/>
      <c r="B109" s="32"/>
      <c r="C109" s="40"/>
      <c r="D109" s="34" t="str">
        <f>HYPERLINK("#摆设!茶室柜台—「十四丸」","茶室柜台—「十四丸」")</f>
        <v>茶室柜台—「十四丸」</v>
      </c>
      <c r="E109" s="26">
        <f>摆设!D37</f>
        <v>0</v>
      </c>
      <c r="F109" s="26">
        <v>1</v>
      </c>
      <c r="G109" s="35" t="s">
        <v>110</v>
      </c>
      <c r="H109" s="35" t="s">
        <v>142</v>
      </c>
      <c r="I109" s="20" t="s">
        <v>116</v>
      </c>
      <c r="J109" s="35" t="s">
        <v>114</v>
      </c>
      <c r="K109" s="39"/>
    </row>
    <row r="110" spans="1:11">
      <c r="A110" s="32"/>
      <c r="B110" s="32"/>
      <c r="C110" s="40"/>
      <c r="D110" s="34" t="str">
        <f>HYPERLINK("#摆设!茶室圆凳—「折痛辞」","茶室圆凳—「折痛辞」")</f>
        <v>茶室圆凳—「折痛辞」</v>
      </c>
      <c r="E110" s="26">
        <f>摆设!D52</f>
        <v>0</v>
      </c>
      <c r="F110" s="26">
        <v>3</v>
      </c>
      <c r="G110" s="35" t="s">
        <v>117</v>
      </c>
      <c r="H110" s="35" t="s">
        <v>118</v>
      </c>
      <c r="I110" s="25" t="s">
        <v>135</v>
      </c>
      <c r="J110" s="35" t="s">
        <v>114</v>
      </c>
      <c r="K110" s="39"/>
    </row>
    <row r="111" spans="1:11">
      <c r="A111" s="32"/>
      <c r="B111" s="32"/>
      <c r="C111" s="40"/>
      <c r="D111" s="34" t="str">
        <f>HYPERLINK("#摆设!「素守之瓶」","「素守之瓶」")</f>
        <v>「素守之瓶」</v>
      </c>
      <c r="E111" s="26">
        <f>摆设!D86</f>
        <v>0</v>
      </c>
      <c r="F111" s="26">
        <v>1</v>
      </c>
      <c r="G111" s="35" t="s">
        <v>120</v>
      </c>
      <c r="H111" s="35" t="s">
        <v>121</v>
      </c>
      <c r="I111" s="20" t="s">
        <v>116</v>
      </c>
      <c r="J111" s="35" t="s">
        <v>114</v>
      </c>
      <c r="K111" s="39"/>
    </row>
    <row r="112" spans="1:11">
      <c r="A112" s="32"/>
      <c r="B112" s="32"/>
      <c r="C112" s="40"/>
      <c r="D112" s="34" t="str">
        <f>HYPERLINK("#摆设!「茶烟笼白榻」","「茶烟笼白榻」")</f>
        <v>「茶烟笼白榻」</v>
      </c>
      <c r="E112" s="26">
        <f>摆设!D100</f>
        <v>0</v>
      </c>
      <c r="F112" s="26">
        <v>1</v>
      </c>
      <c r="G112" s="35" t="s">
        <v>120</v>
      </c>
      <c r="H112" s="35" t="s">
        <v>122</v>
      </c>
      <c r="I112" s="20" t="s">
        <v>116</v>
      </c>
      <c r="J112" s="35" t="s">
        <v>143</v>
      </c>
      <c r="K112" s="39"/>
    </row>
    <row r="113" spans="1:11">
      <c r="A113" s="32"/>
      <c r="B113" s="32"/>
      <c r="C113" s="40"/>
      <c r="D113" s="34" t="str">
        <f>HYPERLINK("#摆设!茶室器物—「锁香笼」","茶室器物—「锁香笼」")</f>
        <v>茶室器物—「锁香笼」</v>
      </c>
      <c r="E113" s="26">
        <f>摆设!D101</f>
        <v>0</v>
      </c>
      <c r="F113" s="26">
        <v>1</v>
      </c>
      <c r="G113" s="35" t="s">
        <v>120</v>
      </c>
      <c r="H113" s="35" t="s">
        <v>122</v>
      </c>
      <c r="I113" s="20" t="s">
        <v>116</v>
      </c>
      <c r="J113" s="35" t="s">
        <v>114</v>
      </c>
      <c r="K113" s="39"/>
    </row>
    <row r="114" spans="1:11">
      <c r="A114" s="32"/>
      <c r="B114" s="32"/>
      <c r="C114" s="40"/>
      <c r="D114" s="34" t="str">
        <f>HYPERLINK("#摆设!驱鬼之羽屏","驱鬼之羽屏")</f>
        <v>驱鬼之羽屏</v>
      </c>
      <c r="E114" s="26">
        <f>摆设!D104</f>
        <v>0</v>
      </c>
      <c r="F114" s="26">
        <v>1</v>
      </c>
      <c r="G114" s="35" t="s">
        <v>120</v>
      </c>
      <c r="H114" s="35" t="s">
        <v>122</v>
      </c>
      <c r="I114" s="20" t="s">
        <v>116</v>
      </c>
      <c r="J114" s="35" t="s">
        <v>114</v>
      </c>
      <c r="K114" s="39"/>
    </row>
    <row r="115" spans="1:11">
      <c r="A115" s="32"/>
      <c r="B115" s="32"/>
      <c r="C115" s="40"/>
      <c r="D115" s="34" t="str">
        <f>HYPERLINK("#摆设!孔雀木「并提」层叠木匣","孔雀木「并提」层叠木匣")</f>
        <v>孔雀木「并提」层叠木匣</v>
      </c>
      <c r="E115" s="26">
        <f>摆设!D90</f>
        <v>0</v>
      </c>
      <c r="F115" s="26">
        <v>1</v>
      </c>
      <c r="G115" s="35" t="s">
        <v>120</v>
      </c>
      <c r="H115" s="35" t="s">
        <v>122</v>
      </c>
      <c r="I115" s="20" t="s">
        <v>116</v>
      </c>
      <c r="J115" s="35" t="s">
        <v>114</v>
      </c>
      <c r="K115" s="39"/>
    </row>
    <row r="116" spans="1:11">
      <c r="A116" s="32"/>
      <c r="B116" s="32"/>
      <c r="C116" s="40"/>
      <c r="D116" s="41"/>
      <c r="E116" s="26"/>
      <c r="F116" s="26"/>
      <c r="G116" s="35"/>
      <c r="H116" s="35"/>
      <c r="I116" s="35"/>
      <c r="J116" s="35"/>
      <c r="K116" s="39"/>
    </row>
    <row r="117" customHeight="1" spans="1:11">
      <c r="A117" s="32"/>
      <c r="B117" s="32"/>
      <c r="C117" s="42" t="s">
        <v>144</v>
      </c>
      <c r="D117" s="27" t="str">
        <f>HYPERLINK("#摆设!「大快朵颐的豪情」","「大快朵颐的豪情」")</f>
        <v>「大快朵颐的豪情」</v>
      </c>
      <c r="E117" s="26">
        <f>摆设!D36</f>
        <v>0</v>
      </c>
      <c r="F117" s="26">
        <v>1</v>
      </c>
      <c r="G117" s="16" t="s">
        <v>110</v>
      </c>
      <c r="H117" s="16" t="s">
        <v>115</v>
      </c>
      <c r="I117" s="20" t="s">
        <v>116</v>
      </c>
      <c r="J117" s="35" t="s">
        <v>114</v>
      </c>
      <c r="K117" s="39"/>
    </row>
    <row r="118" customHeight="1" spans="1:11">
      <c r="A118" s="32"/>
      <c r="B118" s="32"/>
      <c r="C118" s="42"/>
      <c r="D118" s="27" t="str">
        <f>HYPERLINK("#摆设!业果木「反擒拿」餐椅","业果木「反擒拿」餐椅")</f>
        <v>业果木「反擒拿」餐椅</v>
      </c>
      <c r="E118" s="26">
        <f>摆设!D49</f>
        <v>0</v>
      </c>
      <c r="F118" s="26">
        <v>5</v>
      </c>
      <c r="G118" s="16" t="s">
        <v>117</v>
      </c>
      <c r="H118" s="16" t="s">
        <v>118</v>
      </c>
      <c r="I118" s="20" t="s">
        <v>116</v>
      </c>
      <c r="J118" s="35" t="s">
        <v>114</v>
      </c>
      <c r="K118" s="39"/>
    </row>
    <row r="119" customHeight="1" spans="1:11">
      <c r="A119" s="32"/>
      <c r="B119" s="32"/>
      <c r="C119" s="42"/>
      <c r="D119" s="27" t="str">
        <f>HYPERLINK("#摆设!「振奋的渐变」","「振奋的渐变」")</f>
        <v>「振奋的渐变」</v>
      </c>
      <c r="E119" s="26">
        <f>摆设!D68</f>
        <v>0</v>
      </c>
      <c r="F119" s="26">
        <v>1</v>
      </c>
      <c r="G119" s="16" t="s">
        <v>117</v>
      </c>
      <c r="H119" s="16" t="s">
        <v>127</v>
      </c>
      <c r="I119" s="20" t="s">
        <v>116</v>
      </c>
      <c r="J119" s="35" t="s">
        <v>145</v>
      </c>
      <c r="K119" s="39"/>
    </row>
    <row r="120" customHeight="1" spans="1:11">
      <c r="A120" s="32"/>
      <c r="B120" s="32"/>
      <c r="C120" s="42"/>
      <c r="D120" s="27" t="str">
        <f>HYPERLINK("#摆设!「巡林官的严谨」","「巡林官的严谨」")</f>
        <v>「巡林官的严谨」</v>
      </c>
      <c r="E120" s="26">
        <f>摆设!D58</f>
        <v>0</v>
      </c>
      <c r="F120" s="26">
        <v>1</v>
      </c>
      <c r="G120" s="16" t="s">
        <v>117</v>
      </c>
      <c r="H120" s="16" t="s">
        <v>127</v>
      </c>
      <c r="I120" s="24" t="s">
        <v>112</v>
      </c>
      <c r="J120" s="35" t="s">
        <v>114</v>
      </c>
      <c r="K120" s="39"/>
    </row>
    <row r="121" customHeight="1" spans="1:11">
      <c r="A121" s="32"/>
      <c r="B121" s="32"/>
      <c r="C121" s="42"/>
      <c r="D121" s="27" t="str">
        <f>HYPERLINK("#摆设!「巡林员的战备」","「巡林员的战备」")</f>
        <v>「巡林员的战备」</v>
      </c>
      <c r="E121" s="26">
        <f>摆设!D69</f>
        <v>0</v>
      </c>
      <c r="F121" s="26">
        <v>1</v>
      </c>
      <c r="G121" s="16" t="s">
        <v>117</v>
      </c>
      <c r="H121" s="16" t="s">
        <v>127</v>
      </c>
      <c r="I121" s="20" t="s">
        <v>116</v>
      </c>
      <c r="J121" s="35" t="s">
        <v>114</v>
      </c>
      <c r="K121" s="39"/>
    </row>
    <row r="122" customHeight="1" spans="1:11">
      <c r="A122" s="32"/>
      <c r="B122" s="32"/>
      <c r="C122" s="43"/>
      <c r="D122" s="41"/>
      <c r="E122" s="26"/>
      <c r="F122" s="26"/>
      <c r="G122" s="35"/>
      <c r="H122" s="35"/>
      <c r="I122" s="16"/>
      <c r="J122" s="35"/>
      <c r="K122" s="39"/>
    </row>
    <row r="123" customHeight="1" spans="1:11">
      <c r="A123" s="32"/>
      <c r="B123" s="32"/>
      <c r="C123" s="44" t="s">
        <v>146</v>
      </c>
      <c r="D123" s="27" t="str">
        <f>HYPERLINK("#摆设!证悟木「纷纶」置物架","证悟木「纷纶」置物架")</f>
        <v>证悟木「纷纶」置物架</v>
      </c>
      <c r="E123" s="26">
        <f>摆设!D7</f>
        <v>0</v>
      </c>
      <c r="F123" s="26">
        <v>2</v>
      </c>
      <c r="G123" s="16" t="s">
        <v>110</v>
      </c>
      <c r="H123" s="16" t="s">
        <v>125</v>
      </c>
      <c r="I123" s="20" t="s">
        <v>116</v>
      </c>
      <c r="J123" s="16" t="s">
        <v>114</v>
      </c>
      <c r="K123" s="39"/>
    </row>
    <row r="124" customHeight="1" spans="1:11">
      <c r="A124" s="32"/>
      <c r="B124" s="32"/>
      <c r="C124" s="44"/>
      <c r="D124" s="27" t="str">
        <f>HYPERLINK("#摆设!「包罗百味的选择」","「包罗百味的选择」")</f>
        <v>「包罗百味的选择」</v>
      </c>
      <c r="E124" s="26">
        <f>摆设!D35</f>
        <v>0</v>
      </c>
      <c r="F124" s="26">
        <v>3</v>
      </c>
      <c r="G124" s="16" t="s">
        <v>110</v>
      </c>
      <c r="H124" s="16" t="s">
        <v>115</v>
      </c>
      <c r="I124" s="20" t="s">
        <v>116</v>
      </c>
      <c r="J124" s="16" t="s">
        <v>114</v>
      </c>
      <c r="K124" s="39"/>
    </row>
    <row r="125" customHeight="1" spans="1:11">
      <c r="A125" s="32"/>
      <c r="B125" s="32"/>
      <c r="C125" s="44"/>
      <c r="D125" s="27" t="str">
        <f>HYPERLINK("#摆设!妙彩宝瓶—「菘蓝」","妙彩宝瓶—「菘蓝」")</f>
        <v>妙彩宝瓶—「菘蓝」</v>
      </c>
      <c r="E125" s="26">
        <f>摆设!D65</f>
        <v>0</v>
      </c>
      <c r="F125" s="26">
        <v>2</v>
      </c>
      <c r="G125" s="16" t="s">
        <v>117</v>
      </c>
      <c r="H125" s="16" t="s">
        <v>127</v>
      </c>
      <c r="I125" s="20" t="s">
        <v>116</v>
      </c>
      <c r="J125" s="35" t="s">
        <v>147</v>
      </c>
      <c r="K125" s="39"/>
    </row>
    <row r="126" customHeight="1" spans="1:11">
      <c r="A126" s="32"/>
      <c r="B126" s="32"/>
      <c r="C126" s="44"/>
      <c r="D126" s="27" t="str">
        <f>HYPERLINK("#摆设!妙彩宝瓶—「藤绿」","妙彩宝瓶—「藤绿」")</f>
        <v>妙彩宝瓶—「藤绿」</v>
      </c>
      <c r="E126" s="26">
        <f>摆设!D66</f>
        <v>0</v>
      </c>
      <c r="F126" s="26">
        <v>1</v>
      </c>
      <c r="G126" s="16" t="s">
        <v>117</v>
      </c>
      <c r="H126" s="16" t="s">
        <v>127</v>
      </c>
      <c r="I126" s="20" t="s">
        <v>116</v>
      </c>
      <c r="J126" s="35" t="s">
        <v>147</v>
      </c>
      <c r="K126" s="39"/>
    </row>
    <row r="127" customHeight="1" spans="1:11">
      <c r="A127" s="32"/>
      <c r="B127" s="32"/>
      <c r="C127" s="44"/>
      <c r="D127" s="27" t="str">
        <f>HYPERLINK("#摆设!妙彩宝瓶—「熟麦」","妙彩宝瓶—「熟麦」")</f>
        <v>妙彩宝瓶—「熟麦」</v>
      </c>
      <c r="E127" s="26">
        <f>摆设!D67</f>
        <v>0</v>
      </c>
      <c r="F127" s="26">
        <v>1</v>
      </c>
      <c r="G127" s="16" t="s">
        <v>117</v>
      </c>
      <c r="H127" s="16" t="s">
        <v>127</v>
      </c>
      <c r="I127" s="20" t="s">
        <v>116</v>
      </c>
      <c r="J127" s="35" t="s">
        <v>147</v>
      </c>
      <c r="K127" s="39"/>
    </row>
    <row r="128" customHeight="1" spans="1:11">
      <c r="A128" s="32"/>
      <c r="B128" s="32"/>
      <c r="C128" s="44"/>
      <c r="D128" s="27" t="str">
        <f>HYPERLINK("#摆设!「青琅般辉煌之纹」","「青琅般辉煌之纹」")</f>
        <v>「青琅般辉煌之纹」</v>
      </c>
      <c r="E128" s="26">
        <f>摆设!D73</f>
        <v>0</v>
      </c>
      <c r="F128" s="26">
        <v>1</v>
      </c>
      <c r="G128" s="16" t="s">
        <v>117</v>
      </c>
      <c r="H128" s="16" t="s">
        <v>119</v>
      </c>
      <c r="I128" s="20" t="s">
        <v>116</v>
      </c>
      <c r="J128" s="35" t="s">
        <v>147</v>
      </c>
      <c r="K128" s="39"/>
    </row>
    <row r="129" customHeight="1" spans="1:11">
      <c r="A129" s="32"/>
      <c r="B129" s="32"/>
      <c r="C129" s="44"/>
      <c r="D129" s="27" t="str">
        <f>HYPERLINK("#摆设!「商铺的珍玩」","「商铺的珍玩」")</f>
        <v>「商铺的珍玩」</v>
      </c>
      <c r="E129" s="26">
        <f>摆设!D108</f>
        <v>0</v>
      </c>
      <c r="F129" s="26">
        <v>2</v>
      </c>
      <c r="G129" s="16" t="s">
        <v>120</v>
      </c>
      <c r="H129" s="16" t="s">
        <v>122</v>
      </c>
      <c r="I129" s="20" t="s">
        <v>116</v>
      </c>
      <c r="J129" s="16" t="s">
        <v>114</v>
      </c>
      <c r="K129" s="39"/>
    </row>
    <row r="130" customHeight="1" spans="1:11">
      <c r="A130" s="32"/>
      <c r="B130" s="32"/>
      <c r="C130" s="44"/>
      <c r="D130" s="27" t="str">
        <f>HYPERLINK("#摆设!「商铺的罗纹」","「商铺的罗纹」")</f>
        <v>「商铺的罗纹」</v>
      </c>
      <c r="E130" s="26">
        <f>摆设!D109</f>
        <v>0</v>
      </c>
      <c r="F130" s="26">
        <v>2</v>
      </c>
      <c r="G130" s="16" t="s">
        <v>120</v>
      </c>
      <c r="H130" s="16" t="s">
        <v>122</v>
      </c>
      <c r="I130" s="20" t="s">
        <v>116</v>
      </c>
      <c r="J130" s="16" t="s">
        <v>114</v>
      </c>
      <c r="K130" s="39"/>
    </row>
    <row r="131" customHeight="1" spans="1:11">
      <c r="A131" s="32"/>
      <c r="B131" s="32"/>
      <c r="C131" s="44"/>
      <c r="D131" s="27" t="str">
        <f>HYPERLINK("#摆设!「不可久置的烈浆」","「不可久置的烈浆」")</f>
        <v>「不可久置的烈浆」</v>
      </c>
      <c r="E131" s="26">
        <f>摆设!D110</f>
        <v>0</v>
      </c>
      <c r="F131" s="26">
        <v>2</v>
      </c>
      <c r="G131" s="16" t="s">
        <v>120</v>
      </c>
      <c r="H131" s="16" t="s">
        <v>122</v>
      </c>
      <c r="I131" s="20" t="s">
        <v>116</v>
      </c>
      <c r="J131" s="16" t="s">
        <v>114</v>
      </c>
      <c r="K131" s="39"/>
    </row>
    <row r="132" customHeight="1" spans="1:11">
      <c r="A132" s="32"/>
      <c r="B132" s="32"/>
      <c r="C132" s="43"/>
      <c r="D132" s="41"/>
      <c r="E132" s="26"/>
      <c r="F132" s="23"/>
      <c r="G132" s="46"/>
      <c r="H132" s="46"/>
      <c r="I132" s="46"/>
      <c r="J132" s="46"/>
      <c r="K132" s="39"/>
    </row>
    <row r="133" customHeight="1" spans="1:11">
      <c r="A133" s="32"/>
      <c r="B133" s="32"/>
      <c r="C133" s="44" t="s">
        <v>148</v>
      </c>
      <c r="D133" s="27" t="str">
        <f>HYPERLINK("#摆设!「包罗百味的选择」","「包罗百味的选择」")</f>
        <v>「包罗百味的选择」</v>
      </c>
      <c r="E133" s="26">
        <f>摆设!D35</f>
        <v>0</v>
      </c>
      <c r="F133" s="26">
        <v>1</v>
      </c>
      <c r="G133" s="16" t="s">
        <v>110</v>
      </c>
      <c r="H133" s="16" t="s">
        <v>115</v>
      </c>
      <c r="I133" s="20" t="s">
        <v>116</v>
      </c>
      <c r="J133" s="16" t="s">
        <v>114</v>
      </c>
      <c r="K133" s="39"/>
    </row>
    <row r="134" customHeight="1" spans="1:11">
      <c r="A134" s="32"/>
      <c r="B134" s="32"/>
      <c r="C134" s="44"/>
      <c r="D134" s="27" t="str">
        <f>HYPERLINK("#摆设!「大快朵颐的豪情」","「大快朵颐的豪情」")</f>
        <v>「大快朵颐的豪情」</v>
      </c>
      <c r="E134" s="26">
        <f>摆设!D36</f>
        <v>0</v>
      </c>
      <c r="F134" s="26">
        <v>1</v>
      </c>
      <c r="G134" s="16" t="s">
        <v>110</v>
      </c>
      <c r="H134" s="16" t="s">
        <v>115</v>
      </c>
      <c r="I134" s="20" t="s">
        <v>116</v>
      </c>
      <c r="J134" s="16" t="s">
        <v>114</v>
      </c>
      <c r="K134" s="39"/>
    </row>
    <row r="135" customHeight="1" spans="1:11">
      <c r="A135" s="32"/>
      <c r="B135" s="32"/>
      <c r="C135" s="44"/>
      <c r="D135" s="27" t="str">
        <f>HYPERLINK("#摆设!「酒馆诸事的证人」","「酒馆诸事的证人」")</f>
        <v>「酒馆诸事的证人」</v>
      </c>
      <c r="E135" s="26">
        <f>摆设!D38</f>
        <v>0</v>
      </c>
      <c r="F135" s="26">
        <v>1</v>
      </c>
      <c r="G135" s="16" t="s">
        <v>110</v>
      </c>
      <c r="H135" s="16" t="s">
        <v>142</v>
      </c>
      <c r="I135" s="20" t="s">
        <v>116</v>
      </c>
      <c r="J135" s="16" t="s">
        <v>114</v>
      </c>
      <c r="K135" s="39"/>
    </row>
    <row r="136" customHeight="1" spans="1:11">
      <c r="A136" s="32"/>
      <c r="B136" s="32"/>
      <c r="C136" s="44"/>
      <c r="D136" s="27" t="str">
        <f>HYPERLINK("#摆设!「闲时豪饮的畅快」","「闲时豪饮的畅快」")</f>
        <v>「闲时豪饮的畅快」</v>
      </c>
      <c r="E136" s="26">
        <f>摆设!D50</f>
        <v>0</v>
      </c>
      <c r="F136" s="23">
        <v>2</v>
      </c>
      <c r="G136" s="16" t="s">
        <v>117</v>
      </c>
      <c r="H136" s="16" t="s">
        <v>118</v>
      </c>
      <c r="I136" s="20" t="s">
        <v>116</v>
      </c>
      <c r="J136" s="16" t="s">
        <v>114</v>
      </c>
      <c r="K136" s="39"/>
    </row>
    <row r="137" customHeight="1" spans="1:11">
      <c r="A137" s="32"/>
      <c r="B137" s="32"/>
      <c r="C137" s="44"/>
      <c r="D137" s="27" t="str">
        <f>HYPERLINK("#摆设!业果木「静语」长椅","业果木「静语」长椅")</f>
        <v>业果木「静语」长椅</v>
      </c>
      <c r="E137" s="26">
        <f>摆设!D48</f>
        <v>0</v>
      </c>
      <c r="F137" s="26">
        <v>2</v>
      </c>
      <c r="G137" s="16" t="s">
        <v>117</v>
      </c>
      <c r="H137" s="16" t="s">
        <v>118</v>
      </c>
      <c r="I137" s="20" t="s">
        <v>116</v>
      </c>
      <c r="J137" s="16" t="s">
        <v>114</v>
      </c>
      <c r="K137" s="39"/>
    </row>
    <row r="138" customHeight="1" spans="1:11">
      <c r="A138" s="32"/>
      <c r="B138" s="32"/>
      <c r="C138" s="44"/>
      <c r="D138" s="27" t="str">
        <f>HYPERLINK("#摆设!「文火慢烤的鲜香」","「文火慢烤的鲜香」")</f>
        <v>「文火慢烤的鲜香」</v>
      </c>
      <c r="E138" s="26">
        <f>摆设!D60</f>
        <v>0</v>
      </c>
      <c r="F138" s="26">
        <v>1</v>
      </c>
      <c r="G138" s="16" t="s">
        <v>117</v>
      </c>
      <c r="H138" s="16" t="s">
        <v>127</v>
      </c>
      <c r="I138" s="24" t="s">
        <v>112</v>
      </c>
      <c r="J138" s="16" t="s">
        <v>114</v>
      </c>
      <c r="K138" s="39"/>
    </row>
    <row r="139" customHeight="1" spans="1:11">
      <c r="A139" s="32"/>
      <c r="B139" s="32"/>
      <c r="C139" s="44"/>
      <c r="D139" s="27" t="str">
        <f>HYPERLINK("#摆设!「猛火炙烤的浓香」","「猛火炙烤的浓香」")</f>
        <v>「猛火炙烤的浓香」</v>
      </c>
      <c r="E139" s="26">
        <f>摆设!D59</f>
        <v>0</v>
      </c>
      <c r="F139" s="26">
        <v>1</v>
      </c>
      <c r="G139" s="16" t="s">
        <v>117</v>
      </c>
      <c r="H139" s="16" t="s">
        <v>127</v>
      </c>
      <c r="I139" s="24" t="s">
        <v>112</v>
      </c>
      <c r="J139" s="16" t="s">
        <v>114</v>
      </c>
      <c r="K139" s="39"/>
    </row>
    <row r="140" customHeight="1" spans="1:11">
      <c r="A140" s="32"/>
      <c r="B140" s="32"/>
      <c r="C140" s="44"/>
      <c r="D140" s="27" t="str">
        <f>HYPERLINK("#摆设!「椰褐般深沉之纹」","「椰褐般深沉之纹」")</f>
        <v>「椰褐般深沉之纹」</v>
      </c>
      <c r="E140" s="26">
        <f>摆设!D75</f>
        <v>0</v>
      </c>
      <c r="F140" s="26">
        <v>1</v>
      </c>
      <c r="G140" s="16" t="s">
        <v>117</v>
      </c>
      <c r="H140" s="16" t="s">
        <v>119</v>
      </c>
      <c r="I140" s="20" t="s">
        <v>116</v>
      </c>
      <c r="J140" s="35" t="s">
        <v>147</v>
      </c>
      <c r="K140" s="39"/>
    </row>
    <row r="141" customHeight="1" spans="1:11">
      <c r="A141" s="32"/>
      <c r="B141" s="32"/>
      <c r="C141" s="44"/>
      <c r="D141" s="27" t="str">
        <f>HYPERLINK("#摆设!「于醇厚的壶浆中」","「于醇厚的壶浆中」")</f>
        <v>「于醇厚的壶浆中」</v>
      </c>
      <c r="E141" s="26">
        <f>摆设!D105</f>
        <v>0</v>
      </c>
      <c r="F141" s="23">
        <v>1</v>
      </c>
      <c r="G141" s="16" t="s">
        <v>120</v>
      </c>
      <c r="H141" s="16" t="s">
        <v>122</v>
      </c>
      <c r="I141" s="20" t="s">
        <v>116</v>
      </c>
      <c r="J141" s="35" t="s">
        <v>149</v>
      </c>
      <c r="K141" s="39"/>
    </row>
    <row r="142" customHeight="1" spans="1:11">
      <c r="A142" s="32"/>
      <c r="B142" s="32"/>
      <c r="C142" s="44"/>
      <c r="D142" s="27" t="str">
        <f>HYPERLINK("#摆设!「于脆爽的酣甜中」","「于脆爽的酣甜中」")</f>
        <v>「于脆爽的酣甜中」</v>
      </c>
      <c r="E142" s="26">
        <f>摆设!D106</f>
        <v>0</v>
      </c>
      <c r="F142" s="26">
        <v>1</v>
      </c>
      <c r="G142" s="16" t="s">
        <v>120</v>
      </c>
      <c r="H142" s="16" t="s">
        <v>122</v>
      </c>
      <c r="I142" s="20" t="s">
        <v>116</v>
      </c>
      <c r="J142" s="35" t="s">
        <v>149</v>
      </c>
      <c r="K142" s="39"/>
    </row>
    <row r="143" customHeight="1" spans="1:11">
      <c r="A143" s="32"/>
      <c r="B143" s="32"/>
      <c r="C143" s="43"/>
      <c r="D143" s="41"/>
      <c r="E143" s="26"/>
      <c r="F143" s="23"/>
      <c r="G143" s="46"/>
      <c r="H143" s="46"/>
      <c r="I143" s="46"/>
      <c r="J143" s="46"/>
      <c r="K143" s="39"/>
    </row>
    <row r="144" customHeight="1" spans="1:11">
      <c r="A144" s="32"/>
      <c r="B144" s="32"/>
      <c r="C144" s="42" t="s">
        <v>150</v>
      </c>
      <c r="D144" s="27" t="str">
        <f>HYPERLINK("#摆设!「卓识之地的瑰宝」","「卓识之地的瑰宝」")</f>
        <v>「卓识之地的瑰宝」</v>
      </c>
      <c r="E144" s="26">
        <f>摆设!D19</f>
        <v>0</v>
      </c>
      <c r="F144" s="26">
        <v>1</v>
      </c>
      <c r="G144" s="16" t="s">
        <v>110</v>
      </c>
      <c r="H144" s="16" t="s">
        <v>111</v>
      </c>
      <c r="I144" s="24" t="s">
        <v>112</v>
      </c>
      <c r="J144" s="35" t="s">
        <v>114</v>
      </c>
      <c r="K144" s="39"/>
    </row>
    <row r="145" customHeight="1" spans="1:11">
      <c r="A145" s="32"/>
      <c r="B145" s="32"/>
      <c r="C145" s="42"/>
      <c r="D145" s="27" t="str">
        <f>HYPERLINK("#摆设!「卓识之地的卷藏」","「卓识之地的卷藏」")</f>
        <v>「卓识之地的卷藏」</v>
      </c>
      <c r="E145" s="26">
        <f>摆设!D20</f>
        <v>0</v>
      </c>
      <c r="F145" s="26">
        <v>3</v>
      </c>
      <c r="G145" s="16" t="s">
        <v>110</v>
      </c>
      <c r="H145" s="16" t="s">
        <v>111</v>
      </c>
      <c r="I145" s="24" t="s">
        <v>112</v>
      </c>
      <c r="J145" s="35" t="s">
        <v>114</v>
      </c>
      <c r="K145" s="39"/>
    </row>
    <row r="146" customHeight="1" spans="1:11">
      <c r="A146" s="32"/>
      <c r="B146" s="32"/>
      <c r="C146" s="42"/>
      <c r="D146" s="27" t="str">
        <f>HYPERLINK("#摆设!「大快朵颐的豪情」","「大快朵颐的豪情」")</f>
        <v>「大快朵颐的豪情」</v>
      </c>
      <c r="E146" s="26">
        <f>摆设!D36</f>
        <v>0</v>
      </c>
      <c r="F146" s="26">
        <v>1</v>
      </c>
      <c r="G146" s="16" t="s">
        <v>110</v>
      </c>
      <c r="H146" s="16" t="s">
        <v>115</v>
      </c>
      <c r="I146" s="20" t="s">
        <v>116</v>
      </c>
      <c r="J146" s="35" t="s">
        <v>114</v>
      </c>
      <c r="K146" s="39"/>
    </row>
    <row r="147" customHeight="1" spans="1:11">
      <c r="A147" s="32"/>
      <c r="B147" s="32"/>
      <c r="C147" s="42"/>
      <c r="D147" s="27" t="str">
        <f>HYPERLINK("#摆设!业果木「反擒拿」餐椅","业果木「反擒拿」餐椅")</f>
        <v>业果木「反擒拿」餐椅</v>
      </c>
      <c r="E147" s="26">
        <f>摆设!D49</f>
        <v>0</v>
      </c>
      <c r="F147" s="26">
        <v>6</v>
      </c>
      <c r="G147" s="16" t="s">
        <v>117</v>
      </c>
      <c r="H147" s="16" t="s">
        <v>118</v>
      </c>
      <c r="I147" s="20" t="s">
        <v>116</v>
      </c>
      <c r="J147" s="35" t="s">
        <v>114</v>
      </c>
      <c r="K147" s="39"/>
    </row>
    <row r="148" customHeight="1" spans="1:11">
      <c r="A148" s="32"/>
      <c r="B148" s="32"/>
      <c r="C148" s="42"/>
      <c r="D148" s="27" t="str">
        <f>HYPERLINK("#摆设!「欢适之光」","「欢适之光」")</f>
        <v>「欢适之光」</v>
      </c>
      <c r="E148" s="26">
        <f>摆设!D81</f>
        <v>0</v>
      </c>
      <c r="F148" s="26">
        <v>2</v>
      </c>
      <c r="G148" s="16" t="s">
        <v>120</v>
      </c>
      <c r="H148" s="16" t="s">
        <v>128</v>
      </c>
      <c r="I148" s="20" t="s">
        <v>116</v>
      </c>
      <c r="J148" s="35" t="s">
        <v>114</v>
      </c>
      <c r="K148" s="39"/>
    </row>
    <row r="149" customHeight="1" spans="1:11">
      <c r="A149" s="32"/>
      <c r="B149" s="32"/>
      <c r="C149" s="43"/>
      <c r="D149" s="41"/>
      <c r="E149" s="26"/>
      <c r="F149" s="23"/>
      <c r="G149" s="46"/>
      <c r="H149" s="46"/>
      <c r="I149" s="46"/>
      <c r="J149" s="46"/>
      <c r="K149" s="39"/>
    </row>
    <row r="150" customHeight="1" spans="1:11">
      <c r="A150" s="32"/>
      <c r="B150" s="32"/>
      <c r="C150" s="44" t="s">
        <v>151</v>
      </c>
      <c r="D150" s="27" t="str">
        <f>HYPERLINK("#摆设!沙域柜桌—「欢待」","沙域柜桌—「欢待」")</f>
        <v>沙域柜桌—「欢待」</v>
      </c>
      <c r="E150" s="26">
        <f>摆设!D6</f>
        <v>0</v>
      </c>
      <c r="F150" s="26">
        <v>1</v>
      </c>
      <c r="G150" s="16" t="s">
        <v>110</v>
      </c>
      <c r="H150" s="16" t="s">
        <v>125</v>
      </c>
      <c r="I150" s="20" t="s">
        <v>116</v>
      </c>
      <c r="J150" s="35" t="s">
        <v>149</v>
      </c>
      <c r="K150" s="39"/>
    </row>
    <row r="151" customHeight="1" spans="1:11">
      <c r="A151" s="32"/>
      <c r="B151" s="32"/>
      <c r="C151" s="44"/>
      <c r="D151" s="27" t="str">
        <f>HYPERLINK("#摆设!辉木「疗愈」床头柜","辉木「疗愈」床头柜")</f>
        <v>辉木「疗愈」床头柜</v>
      </c>
      <c r="E151" s="26">
        <f>摆设!D8</f>
        <v>0</v>
      </c>
      <c r="F151" s="26">
        <v>3</v>
      </c>
      <c r="G151" s="16" t="s">
        <v>110</v>
      </c>
      <c r="H151" s="16" t="s">
        <v>125</v>
      </c>
      <c r="I151" s="20" t="s">
        <v>116</v>
      </c>
      <c r="J151" s="16" t="s">
        <v>114</v>
      </c>
      <c r="K151" s="39"/>
    </row>
    <row r="152" customHeight="1" spans="1:11">
      <c r="A152" s="32"/>
      <c r="B152" s="32"/>
      <c r="C152" s="44"/>
      <c r="D152" s="27" t="str">
        <f>HYPERLINK("#摆设!「大快朵颐的豪情」","「大快朵颐的豪情」")</f>
        <v>「大快朵颐的豪情」</v>
      </c>
      <c r="E152" s="26">
        <f>摆设!D36</f>
        <v>0</v>
      </c>
      <c r="F152" s="26">
        <v>1</v>
      </c>
      <c r="G152" s="16" t="s">
        <v>110</v>
      </c>
      <c r="H152" s="16" t="s">
        <v>115</v>
      </c>
      <c r="I152" s="20" t="s">
        <v>116</v>
      </c>
      <c r="J152" s="16" t="s">
        <v>114</v>
      </c>
      <c r="K152" s="39"/>
    </row>
    <row r="153" customHeight="1" spans="1:11">
      <c r="A153" s="32"/>
      <c r="B153" s="32"/>
      <c r="C153" s="44"/>
      <c r="D153" s="27" t="str">
        <f>HYPERLINK("#摆设!证悟木「安恬」床榻","证悟木「安恬」床榻")</f>
        <v>证悟木「安恬」床榻</v>
      </c>
      <c r="E153" s="26">
        <f>摆设!D42</f>
        <v>0</v>
      </c>
      <c r="F153" s="26">
        <v>2</v>
      </c>
      <c r="G153" s="16" t="s">
        <v>110</v>
      </c>
      <c r="H153" s="16" t="s">
        <v>126</v>
      </c>
      <c r="I153" s="20" t="s">
        <v>116</v>
      </c>
      <c r="J153" s="16" t="s">
        <v>114</v>
      </c>
      <c r="K153" s="39"/>
    </row>
    <row r="154" customHeight="1" spans="1:11">
      <c r="A154" s="32"/>
      <c r="B154" s="32"/>
      <c r="C154" s="44"/>
      <c r="D154" s="27" t="str">
        <f>HYPERLINK("#摆设!业果木「静语」长椅","业果木「静语」长椅")</f>
        <v>业果木「静语」长椅</v>
      </c>
      <c r="E154" s="26">
        <f>摆设!D48</f>
        <v>0</v>
      </c>
      <c r="F154" s="26">
        <v>2</v>
      </c>
      <c r="G154" s="16" t="s">
        <v>117</v>
      </c>
      <c r="H154" s="16" t="s">
        <v>118</v>
      </c>
      <c r="I154" s="20" t="s">
        <v>116</v>
      </c>
      <c r="J154" s="16" t="s">
        <v>114</v>
      </c>
      <c r="K154" s="39"/>
    </row>
    <row r="155" customHeight="1" spans="1:11">
      <c r="A155" s="32"/>
      <c r="B155" s="32"/>
      <c r="C155" s="44"/>
      <c r="D155" s="27" t="str">
        <f>HYPERLINK("#摆设!「谏果般森丽之纹」","「谏果般森丽之纹」")</f>
        <v>「谏果般森丽之纹」</v>
      </c>
      <c r="E155" s="26">
        <f>摆设!D76</f>
        <v>0</v>
      </c>
      <c r="F155" s="26">
        <v>1</v>
      </c>
      <c r="G155" s="16" t="s">
        <v>117</v>
      </c>
      <c r="H155" s="16" t="s">
        <v>119</v>
      </c>
      <c r="I155" s="20" t="s">
        <v>116</v>
      </c>
      <c r="J155" s="35" t="s">
        <v>149</v>
      </c>
      <c r="K155" s="39"/>
    </row>
    <row r="156" customHeight="1" spans="1:11">
      <c r="A156" s="32"/>
      <c r="B156" s="32"/>
      <c r="C156" s="44"/>
      <c r="D156" s="27" t="str">
        <f>HYPERLINK("#摆设!「欢适之光」","「欢适之光」")</f>
        <v>「欢适之光」</v>
      </c>
      <c r="E156" s="26">
        <f>摆设!D81</f>
        <v>0</v>
      </c>
      <c r="F156" s="26">
        <v>2</v>
      </c>
      <c r="G156" s="16" t="s">
        <v>120</v>
      </c>
      <c r="H156" s="16" t="s">
        <v>128</v>
      </c>
      <c r="I156" s="20" t="s">
        <v>116</v>
      </c>
      <c r="J156" s="16" t="s">
        <v>114</v>
      </c>
      <c r="K156" s="39"/>
    </row>
    <row r="157" customHeight="1" spans="1:11">
      <c r="A157" s="32"/>
      <c r="B157" s="32"/>
      <c r="C157" s="44"/>
      <c r="D157" s="27" t="str">
        <f>HYPERLINK("#摆设!「丛茂的片段」","「丛茂的片段」")</f>
        <v>「丛茂的片段」</v>
      </c>
      <c r="E157" s="26">
        <f>摆设!D87</f>
        <v>0</v>
      </c>
      <c r="F157" s="26">
        <v>1</v>
      </c>
      <c r="G157" s="16" t="s">
        <v>120</v>
      </c>
      <c r="H157" s="16" t="s">
        <v>121</v>
      </c>
      <c r="I157" s="20" t="s">
        <v>116</v>
      </c>
      <c r="J157" s="35" t="s">
        <v>147</v>
      </c>
      <c r="K157" s="39"/>
    </row>
    <row r="158" customHeight="1" spans="1:11">
      <c r="A158" s="32"/>
      <c r="B158" s="32"/>
      <c r="C158" s="44"/>
      <c r="D158" s="27" t="str">
        <f>HYPERLINK("#摆设!「于醇厚的壶浆中」","「于醇厚的壶浆中」")</f>
        <v>「于醇厚的壶浆中」</v>
      </c>
      <c r="E158" s="26">
        <f>摆设!D105</f>
        <v>0</v>
      </c>
      <c r="F158" s="26">
        <v>1</v>
      </c>
      <c r="G158" s="16" t="s">
        <v>120</v>
      </c>
      <c r="H158" s="16" t="s">
        <v>122</v>
      </c>
      <c r="I158" s="20" t="s">
        <v>116</v>
      </c>
      <c r="J158" s="35" t="s">
        <v>149</v>
      </c>
      <c r="K158" s="39"/>
    </row>
    <row r="159" customHeight="1" spans="1:11">
      <c r="A159" s="32"/>
      <c r="B159" s="32"/>
      <c r="C159" s="43"/>
      <c r="D159" s="41"/>
      <c r="E159" s="26"/>
      <c r="F159" s="23"/>
      <c r="G159" s="46"/>
      <c r="H159" s="46"/>
      <c r="I159" s="46"/>
      <c r="J159" s="46"/>
      <c r="K159" s="39"/>
    </row>
    <row r="160" customHeight="1" spans="1:11">
      <c r="A160" s="32"/>
      <c r="B160" s="32"/>
      <c r="C160" s="44" t="s">
        <v>152</v>
      </c>
      <c r="D160" s="27" t="str">
        <f>HYPERLINK("#摆设!沙域柜桌—「欢待」","沙域柜桌—「欢待」")</f>
        <v>沙域柜桌—「欢待」</v>
      </c>
      <c r="E160" s="26">
        <f>摆设!D6</f>
        <v>0</v>
      </c>
      <c r="F160" s="26">
        <v>1</v>
      </c>
      <c r="G160" s="16" t="s">
        <v>110</v>
      </c>
      <c r="H160" s="16" t="s">
        <v>125</v>
      </c>
      <c r="I160" s="20" t="s">
        <v>116</v>
      </c>
      <c r="J160" s="35" t="s">
        <v>149</v>
      </c>
      <c r="K160" s="39"/>
    </row>
    <row r="161" spans="1:11">
      <c r="A161" s="32"/>
      <c r="B161" s="32"/>
      <c r="C161" s="47"/>
      <c r="D161" s="27" t="str">
        <f>HYPERLINK("#摆设!沙域竖柜—「什物」","沙域竖柜—「什物」")</f>
        <v>沙域竖柜—「什物」</v>
      </c>
      <c r="E161" s="26">
        <f>摆设!D24</f>
        <v>0</v>
      </c>
      <c r="F161" s="26">
        <v>2</v>
      </c>
      <c r="G161" s="16" t="s">
        <v>110</v>
      </c>
      <c r="H161" s="16" t="s">
        <v>111</v>
      </c>
      <c r="I161" s="20" t="s">
        <v>116</v>
      </c>
      <c r="J161" s="35" t="s">
        <v>149</v>
      </c>
      <c r="K161" s="39"/>
    </row>
    <row r="162" spans="1:11">
      <c r="A162" s="32"/>
      <c r="B162" s="32"/>
      <c r="C162" s="47"/>
      <c r="D162" s="27" t="str">
        <f>HYPERLINK("#摆设!沙域书案—「慎取」","沙域书案—「慎取」")</f>
        <v>沙域书案—「慎取」</v>
      </c>
      <c r="E162" s="26">
        <f>摆设!D61</f>
        <v>0</v>
      </c>
      <c r="F162" s="26">
        <v>1</v>
      </c>
      <c r="G162" s="16" t="s">
        <v>117</v>
      </c>
      <c r="H162" s="16" t="s">
        <v>127</v>
      </c>
      <c r="I162" s="20" t="s">
        <v>116</v>
      </c>
      <c r="J162" s="35" t="s">
        <v>149</v>
      </c>
      <c r="K162" s="39"/>
    </row>
    <row r="163" spans="1:11">
      <c r="A163" s="32"/>
      <c r="B163" s="32"/>
      <c r="C163" s="47"/>
      <c r="D163" s="27" t="str">
        <f>HYPERLINK("#摆设!妙彩宝瓶—「藤绿」","妙彩宝瓶—「藤绿」")</f>
        <v>妙彩宝瓶—「藤绿」</v>
      </c>
      <c r="E163" s="26">
        <f>摆设!D66</f>
        <v>0</v>
      </c>
      <c r="F163" s="26">
        <v>1</v>
      </c>
      <c r="G163" s="16" t="s">
        <v>117</v>
      </c>
      <c r="H163" s="16" t="s">
        <v>127</v>
      </c>
      <c r="I163" s="20" t="s">
        <v>116</v>
      </c>
      <c r="J163" s="35" t="s">
        <v>147</v>
      </c>
      <c r="K163" s="39"/>
    </row>
    <row r="164" spans="1:11">
      <c r="A164" s="32"/>
      <c r="B164" s="32"/>
      <c r="C164" s="47"/>
      <c r="D164" s="27" t="str">
        <f>HYPERLINK("#摆设!妙彩宝瓶—「熟麦」","妙彩宝瓶—「熟麦」")</f>
        <v>妙彩宝瓶—「熟麦」</v>
      </c>
      <c r="E164" s="26">
        <f>摆设!D67</f>
        <v>0</v>
      </c>
      <c r="F164" s="26">
        <v>1</v>
      </c>
      <c r="G164" s="16" t="s">
        <v>117</v>
      </c>
      <c r="H164" s="16" t="s">
        <v>127</v>
      </c>
      <c r="I164" s="20" t="s">
        <v>116</v>
      </c>
      <c r="J164" s="35" t="s">
        <v>147</v>
      </c>
      <c r="K164" s="39"/>
    </row>
    <row r="165" spans="1:11">
      <c r="A165" s="32"/>
      <c r="B165" s="32"/>
      <c r="C165" s="47"/>
      <c r="D165" s="27" t="str">
        <f>HYPERLINK("#摆设!「阳橙般夺目之纹」","「阳橙般夺目之纹」")</f>
        <v>「阳橙般夺目之纹」</v>
      </c>
      <c r="E165" s="26">
        <f>摆设!D74</f>
        <v>0</v>
      </c>
      <c r="F165" s="26">
        <v>1</v>
      </c>
      <c r="G165" s="16" t="s">
        <v>117</v>
      </c>
      <c r="H165" s="16" t="s">
        <v>119</v>
      </c>
      <c r="I165" s="20" t="s">
        <v>116</v>
      </c>
      <c r="J165" s="35" t="s">
        <v>147</v>
      </c>
      <c r="K165" s="39"/>
    </row>
    <row r="166" spans="1:11">
      <c r="A166" s="32"/>
      <c r="B166" s="32"/>
      <c r="C166" s="47"/>
      <c r="D166" s="27" t="str">
        <f>HYPERLINK("#摆设!「于缭绕的淡霭中」","「于缭绕的淡霭中」")</f>
        <v>「于缭绕的淡霭中」</v>
      </c>
      <c r="E166" s="26">
        <f>摆设!D107</f>
        <v>0</v>
      </c>
      <c r="F166" s="26">
        <v>1</v>
      </c>
      <c r="G166" s="16" t="s">
        <v>120</v>
      </c>
      <c r="H166" s="16" t="s">
        <v>122</v>
      </c>
      <c r="I166" s="20" t="s">
        <v>116</v>
      </c>
      <c r="J166" s="35" t="s">
        <v>149</v>
      </c>
      <c r="K166" s="39"/>
    </row>
    <row r="167" spans="1:11">
      <c r="A167" s="32"/>
      <c r="B167" s="32"/>
      <c r="C167" s="33"/>
      <c r="D167" s="34"/>
      <c r="E167" s="26"/>
      <c r="F167" s="26"/>
      <c r="G167" s="35"/>
      <c r="H167" s="35"/>
      <c r="I167" s="16"/>
      <c r="J167" s="35"/>
      <c r="K167" s="39"/>
    </row>
    <row r="168" spans="1:11">
      <c r="A168" s="32">
        <v>71</v>
      </c>
      <c r="B168" s="32" t="s">
        <v>153</v>
      </c>
      <c r="C168" s="33" t="s">
        <v>153</v>
      </c>
      <c r="D168" s="34" t="str">
        <f>HYPERLINK("#摆设!开放式烘炉工坊","开放式烘炉工坊")</f>
        <v>开放式烘炉工坊</v>
      </c>
      <c r="E168" s="26">
        <f>摆设!D142</f>
        <v>0</v>
      </c>
      <c r="F168" s="26">
        <v>1</v>
      </c>
      <c r="G168" s="35" t="s">
        <v>154</v>
      </c>
      <c r="H168" s="35" t="s">
        <v>155</v>
      </c>
      <c r="I168" s="24" t="s">
        <v>112</v>
      </c>
      <c r="J168" s="35" t="s">
        <v>156</v>
      </c>
      <c r="K168" s="39"/>
    </row>
    <row r="169" spans="1:11">
      <c r="A169" s="32">
        <v>72</v>
      </c>
      <c r="B169" s="32" t="s">
        <v>153</v>
      </c>
      <c r="C169" s="36"/>
      <c r="D169" s="34" t="str">
        <f>HYPERLINK("#摆设!纤拳石","纤拳石")</f>
        <v>纤拳石</v>
      </c>
      <c r="E169" s="26">
        <f>摆设!D191</f>
        <v>0</v>
      </c>
      <c r="F169" s="26">
        <v>1</v>
      </c>
      <c r="G169" s="35" t="s">
        <v>157</v>
      </c>
      <c r="H169" s="35" t="s">
        <v>158</v>
      </c>
      <c r="I169" s="20" t="s">
        <v>116</v>
      </c>
      <c r="J169" s="35" t="s">
        <v>145</v>
      </c>
      <c r="K169" s="39"/>
    </row>
    <row r="170" spans="1:11">
      <c r="A170" s="32">
        <v>73</v>
      </c>
      <c r="B170" s="32" t="s">
        <v>153</v>
      </c>
      <c r="C170" s="36"/>
      <c r="D170" s="34" t="str">
        <f>HYPERLINK("#摆设!茁壮的萃华树","茁壮的萃华树")</f>
        <v>茁壮的萃华树</v>
      </c>
      <c r="E170" s="26">
        <f>摆设!D198</f>
        <v>0</v>
      </c>
      <c r="F170" s="26">
        <v>1</v>
      </c>
      <c r="G170" s="35" t="s">
        <v>157</v>
      </c>
      <c r="H170" s="35" t="s">
        <v>159</v>
      </c>
      <c r="I170" s="20" t="s">
        <v>116</v>
      </c>
      <c r="J170" s="35" t="s">
        <v>145</v>
      </c>
      <c r="K170" s="39"/>
    </row>
    <row r="171" spans="1:11">
      <c r="A171" s="32">
        <v>74</v>
      </c>
      <c r="B171" s="32" t="s">
        <v>153</v>
      </c>
      <c r="C171" s="36"/>
      <c r="D171" s="34" t="str">
        <f>HYPERLINK("#摆设!青衫景铄","青衫景铄")</f>
        <v>青衫景铄</v>
      </c>
      <c r="E171" s="26">
        <f>摆设!D218</f>
        <v>0</v>
      </c>
      <c r="F171" s="26">
        <v>1</v>
      </c>
      <c r="G171" s="35" t="s">
        <v>157</v>
      </c>
      <c r="H171" s="35" t="s">
        <v>160</v>
      </c>
      <c r="I171" s="25" t="s">
        <v>135</v>
      </c>
      <c r="J171" s="35" t="s">
        <v>145</v>
      </c>
      <c r="K171" s="39"/>
    </row>
    <row r="172" spans="1:11">
      <c r="A172" s="32">
        <v>75</v>
      </c>
      <c r="B172" s="32" t="s">
        <v>153</v>
      </c>
      <c r="C172" s="36"/>
      <c r="D172" s="34" t="str">
        <f>HYPERLINK("#摆设!杉木置物架","杉木置物架")</f>
        <v>杉木置物架</v>
      </c>
      <c r="E172" s="26">
        <f>摆设!D268</f>
        <v>0</v>
      </c>
      <c r="F172" s="26">
        <v>1</v>
      </c>
      <c r="G172" s="35" t="s">
        <v>161</v>
      </c>
      <c r="H172" s="35" t="s">
        <v>127</v>
      </c>
      <c r="I172" s="25" t="s">
        <v>135</v>
      </c>
      <c r="J172" s="35" t="s">
        <v>114</v>
      </c>
      <c r="K172" s="39"/>
    </row>
    <row r="173" spans="1:11">
      <c r="A173" s="32">
        <v>76</v>
      </c>
      <c r="B173" s="32" t="s">
        <v>153</v>
      </c>
      <c r="C173" s="36"/>
      <c r="D173" s="34" t="str">
        <f>HYPERLINK("#摆设!杉木武器架","杉木武器架")</f>
        <v>杉木武器架</v>
      </c>
      <c r="E173" s="26">
        <f>摆设!D269</f>
        <v>0</v>
      </c>
      <c r="F173" s="26">
        <v>3</v>
      </c>
      <c r="G173" s="35" t="s">
        <v>161</v>
      </c>
      <c r="H173" s="35" t="s">
        <v>127</v>
      </c>
      <c r="I173" s="25" t="s">
        <v>135</v>
      </c>
      <c r="J173" s="35" t="s">
        <v>114</v>
      </c>
      <c r="K173" s="39"/>
    </row>
    <row r="174" spans="1:11">
      <c r="A174" s="32">
        <v>77</v>
      </c>
      <c r="B174" s="32" t="s">
        <v>153</v>
      </c>
      <c r="C174" s="36"/>
      <c r="D174" s="34" t="str">
        <f>HYPERLINK("#摆设!硬木兵戈架","硬木兵戈架")</f>
        <v>硬木兵戈架</v>
      </c>
      <c r="E174" s="26">
        <f>摆设!D252</f>
        <v>0</v>
      </c>
      <c r="F174" s="26">
        <v>2</v>
      </c>
      <c r="G174" s="35" t="s">
        <v>161</v>
      </c>
      <c r="H174" s="35" t="s">
        <v>127</v>
      </c>
      <c r="I174" s="20" t="s">
        <v>116</v>
      </c>
      <c r="J174" s="35" t="s">
        <v>114</v>
      </c>
      <c r="K174" s="39"/>
    </row>
    <row r="175" spans="1:11">
      <c r="A175" s="32">
        <v>78</v>
      </c>
      <c r="B175" s="32" t="s">
        <v>153</v>
      </c>
      <c r="C175" s="36"/>
      <c r="D175" s="34" t="str">
        <f>HYPERLINK("#摆设!旧式水井","旧式水井")</f>
        <v>旧式水井</v>
      </c>
      <c r="E175" s="26">
        <f>摆设!D271</f>
        <v>0</v>
      </c>
      <c r="F175" s="26">
        <v>1</v>
      </c>
      <c r="G175" s="35" t="s">
        <v>161</v>
      </c>
      <c r="H175" s="35" t="s">
        <v>127</v>
      </c>
      <c r="I175" s="25" t="s">
        <v>135</v>
      </c>
      <c r="J175" s="35" t="s">
        <v>114</v>
      </c>
      <c r="K175" s="39"/>
    </row>
    <row r="176" spans="1:11">
      <c r="A176" s="32">
        <v>79</v>
      </c>
      <c r="B176" s="32" t="s">
        <v>153</v>
      </c>
      <c r="C176" s="36"/>
      <c r="D176" s="34" t="str">
        <f>HYPERLINK("#摆设!重型杉木锻造桌","重型杉木锻造桌")</f>
        <v>重型杉木锻造桌</v>
      </c>
      <c r="E176" s="26">
        <f>摆设!D296</f>
        <v>0</v>
      </c>
      <c r="F176" s="26">
        <v>1</v>
      </c>
      <c r="G176" s="35" t="s">
        <v>162</v>
      </c>
      <c r="H176" s="35" t="s">
        <v>115</v>
      </c>
      <c r="I176" s="20" t="s">
        <v>116</v>
      </c>
      <c r="J176" s="35" t="s">
        <v>114</v>
      </c>
      <c r="K176" s="39"/>
    </row>
    <row r="177" spans="1:11">
      <c r="A177" s="32">
        <v>80</v>
      </c>
      <c r="B177" s="32" t="s">
        <v>153</v>
      </c>
      <c r="C177" s="36"/>
      <c r="D177" s="34" t="str">
        <f>HYPERLINK("#摆设!宽大的松木长桌","宽大的松木长桌")</f>
        <v>宽大的松木长桌</v>
      </c>
      <c r="E177" s="26">
        <f>摆设!D301</f>
        <v>0</v>
      </c>
      <c r="F177" s="26">
        <v>1</v>
      </c>
      <c r="G177" s="35" t="s">
        <v>162</v>
      </c>
      <c r="H177" s="35" t="s">
        <v>115</v>
      </c>
      <c r="I177" s="25" t="s">
        <v>135</v>
      </c>
      <c r="J177" s="35" t="s">
        <v>114</v>
      </c>
      <c r="K177" s="39"/>
    </row>
    <row r="178" spans="1:11">
      <c r="A178" s="32"/>
      <c r="B178" s="32"/>
      <c r="C178" s="36"/>
      <c r="D178" s="37"/>
      <c r="E178" s="26"/>
      <c r="F178" s="26"/>
      <c r="G178" s="35"/>
      <c r="H178" s="35"/>
      <c r="I178" s="35"/>
      <c r="J178" s="35"/>
      <c r="K178" s="39"/>
    </row>
    <row r="179" spans="1:11">
      <c r="A179" s="32">
        <v>81</v>
      </c>
      <c r="B179" s="32" t="s">
        <v>163</v>
      </c>
      <c r="C179" s="33" t="s">
        <v>163</v>
      </c>
      <c r="D179" s="34" t="str">
        <f>HYPERLINK("#摆设!高大阁楼的乡间住宅","高大阁楼的乡间住宅")</f>
        <v>高大阁楼的乡间住宅</v>
      </c>
      <c r="E179" s="26">
        <f>摆设!D136</f>
        <v>0</v>
      </c>
      <c r="F179" s="26">
        <v>1</v>
      </c>
      <c r="G179" s="35" t="s">
        <v>154</v>
      </c>
      <c r="H179" s="35" t="s">
        <v>164</v>
      </c>
      <c r="I179" s="20" t="s">
        <v>116</v>
      </c>
      <c r="J179" s="35" t="s">
        <v>114</v>
      </c>
      <c r="K179" s="39"/>
    </row>
    <row r="180" spans="1:11">
      <c r="A180" s="32">
        <v>82</v>
      </c>
      <c r="B180" s="32" t="s">
        <v>163</v>
      </c>
      <c r="C180" s="36"/>
      <c r="D180" s="34" t="str">
        <f>HYPERLINK("#摆设!古典乡间住宅","古典乡间住宅")</f>
        <v>古典乡间住宅</v>
      </c>
      <c r="E180" s="26">
        <f>摆设!D137</f>
        <v>0</v>
      </c>
      <c r="F180" s="26">
        <v>1</v>
      </c>
      <c r="G180" s="35" t="s">
        <v>154</v>
      </c>
      <c r="H180" s="35" t="s">
        <v>164</v>
      </c>
      <c r="I180" s="20" t="s">
        <v>116</v>
      </c>
      <c r="J180" s="35" t="s">
        <v>165</v>
      </c>
      <c r="K180" s="39"/>
    </row>
    <row r="181" spans="1:11">
      <c r="A181" s="32">
        <v>83</v>
      </c>
      <c r="B181" s="32" t="s">
        <v>163</v>
      </c>
      <c r="C181" s="36"/>
      <c r="D181" s="34" t="str">
        <f>HYPERLINK("#摆设!袖珍松木小屋","袖珍松木小屋")</f>
        <v>袖珍松木小屋</v>
      </c>
      <c r="E181" s="26">
        <f>摆设!D138</f>
        <v>0</v>
      </c>
      <c r="F181" s="26">
        <v>1</v>
      </c>
      <c r="G181" s="35" t="s">
        <v>154</v>
      </c>
      <c r="H181" s="35" t="s">
        <v>164</v>
      </c>
      <c r="I181" s="20" t="s">
        <v>116</v>
      </c>
      <c r="J181" s="35" t="s">
        <v>165</v>
      </c>
      <c r="K181" s="39"/>
    </row>
    <row r="182" spans="1:11">
      <c r="A182" s="32">
        <v>84</v>
      </c>
      <c r="B182" s="32" t="s">
        <v>163</v>
      </c>
      <c r="C182" s="36"/>
      <c r="D182" s="34" t="str">
        <f>HYPERLINK("#摆设!纤拳石","纤拳石")</f>
        <v>纤拳石</v>
      </c>
      <c r="E182" s="26">
        <f>摆设!D191</f>
        <v>0</v>
      </c>
      <c r="F182" s="26">
        <v>1</v>
      </c>
      <c r="G182" s="35" t="s">
        <v>157</v>
      </c>
      <c r="H182" s="35" t="s">
        <v>158</v>
      </c>
      <c r="I182" s="20" t="s">
        <v>116</v>
      </c>
      <c r="J182" s="35" t="s">
        <v>145</v>
      </c>
      <c r="K182" s="39"/>
    </row>
    <row r="183" spans="1:11">
      <c r="A183" s="32">
        <v>85</v>
      </c>
      <c r="B183" s="32" t="s">
        <v>163</v>
      </c>
      <c r="C183" s="36"/>
      <c r="D183" s="34" t="str">
        <f>HYPERLINK("#摆设!「归风的苍色」","「归风的苍色」")</f>
        <v>「归风的苍色」</v>
      </c>
      <c r="E183" s="26">
        <f>摆设!D196</f>
        <v>0</v>
      </c>
      <c r="F183" s="26">
        <v>1</v>
      </c>
      <c r="G183" s="35" t="s">
        <v>157</v>
      </c>
      <c r="H183" s="35" t="s">
        <v>159</v>
      </c>
      <c r="I183" s="20" t="s">
        <v>116</v>
      </c>
      <c r="J183" s="35" t="s">
        <v>166</v>
      </c>
      <c r="K183" s="39"/>
    </row>
    <row r="184" spans="1:11">
      <c r="A184" s="32">
        <v>86</v>
      </c>
      <c r="B184" s="32" t="s">
        <v>163</v>
      </c>
      <c r="C184" s="36"/>
      <c r="D184" s="34" t="str">
        <f>HYPERLINK("#摆设!交错放置的杉木货箱","交错放置的杉木货箱")</f>
        <v>交错放置的杉木货箱</v>
      </c>
      <c r="E184" s="26">
        <f>摆设!D236</f>
        <v>0</v>
      </c>
      <c r="F184" s="26">
        <v>1</v>
      </c>
      <c r="G184" s="35" t="s">
        <v>161</v>
      </c>
      <c r="H184" s="35" t="s">
        <v>167</v>
      </c>
      <c r="I184" s="25" t="s">
        <v>135</v>
      </c>
      <c r="J184" s="35" t="s">
        <v>114</v>
      </c>
      <c r="K184" s="39"/>
    </row>
    <row r="185" spans="1:11">
      <c r="A185" s="32">
        <v>87</v>
      </c>
      <c r="B185" s="32" t="s">
        <v>163</v>
      </c>
      <c r="C185" s="36"/>
      <c r="D185" s="34" t="str">
        <f>HYPERLINK("#摆设!有序叠放的杉木酒桶","有序叠放的杉木酒桶")</f>
        <v>有序叠放的杉木酒桶</v>
      </c>
      <c r="E185" s="26">
        <f>摆设!D237</f>
        <v>0</v>
      </c>
      <c r="F185" s="26">
        <v>1</v>
      </c>
      <c r="G185" s="35" t="s">
        <v>161</v>
      </c>
      <c r="H185" s="35" t="s">
        <v>167</v>
      </c>
      <c r="I185" s="25" t="s">
        <v>135</v>
      </c>
      <c r="J185" s="35" t="s">
        <v>114</v>
      </c>
      <c r="K185" s="39"/>
    </row>
    <row r="186" spans="1:11">
      <c r="A186" s="32">
        <v>88</v>
      </c>
      <c r="B186" s="32" t="s">
        <v>163</v>
      </c>
      <c r="C186" s="36"/>
      <c r="D186" s="34" t="str">
        <f>HYPERLINK("#摆设!沉甸甸的干草卷","沉甸甸的干草卷")</f>
        <v>沉甸甸的干草卷</v>
      </c>
      <c r="E186" s="26">
        <f>摆设!D238</f>
        <v>0</v>
      </c>
      <c r="F186" s="26">
        <v>1</v>
      </c>
      <c r="G186" s="35" t="s">
        <v>161</v>
      </c>
      <c r="H186" s="35" t="s">
        <v>167</v>
      </c>
      <c r="I186" s="25" t="s">
        <v>135</v>
      </c>
      <c r="J186" s="35" t="s">
        <v>114</v>
      </c>
      <c r="K186" s="39"/>
    </row>
    <row r="187" spans="1:11">
      <c r="A187" s="32">
        <v>89</v>
      </c>
      <c r="B187" s="32" t="s">
        <v>163</v>
      </c>
      <c r="C187" s="36"/>
      <c r="D187" s="34" t="str">
        <f>HYPERLINK("#摆设!简易货运拖车","简易货运拖车")</f>
        <v>简易货运拖车</v>
      </c>
      <c r="E187" s="26">
        <f>摆设!D270</f>
        <v>0</v>
      </c>
      <c r="F187" s="26">
        <v>1</v>
      </c>
      <c r="G187" s="35" t="s">
        <v>161</v>
      </c>
      <c r="H187" s="35" t="s">
        <v>127</v>
      </c>
      <c r="I187" s="25" t="s">
        <v>135</v>
      </c>
      <c r="J187" s="35" t="s">
        <v>114</v>
      </c>
      <c r="K187" s="39"/>
    </row>
    <row r="188" spans="1:11">
      <c r="A188" s="32">
        <v>90</v>
      </c>
      <c r="B188" s="32" t="s">
        <v>163</v>
      </c>
      <c r="C188" s="36"/>
      <c r="D188" s="34" t="str">
        <f>HYPERLINK("#摆设!硬顶水井—「但求虚澈」","硬顶水井—「但求虚澈」")</f>
        <v>硬顶水井—「但求虚澈」</v>
      </c>
      <c r="E188" s="26">
        <f>摆设!D254</f>
        <v>0</v>
      </c>
      <c r="F188" s="26">
        <v>1</v>
      </c>
      <c r="G188" s="35" t="s">
        <v>161</v>
      </c>
      <c r="H188" s="35" t="s">
        <v>127</v>
      </c>
      <c r="I188" s="20" t="s">
        <v>116</v>
      </c>
      <c r="J188" s="35" t="s">
        <v>134</v>
      </c>
      <c r="K188" s="39"/>
    </row>
    <row r="189" spans="1:11">
      <c r="A189" s="32">
        <v>91</v>
      </c>
      <c r="B189" s="32" t="s">
        <v>163</v>
      </c>
      <c r="C189" s="36"/>
      <c r="D189" s="34" t="str">
        <f>HYPERLINK("#摆设!野外松木路灯","野外松木路灯")</f>
        <v>野外松木路灯</v>
      </c>
      <c r="E189" s="26">
        <f>摆设!D280</f>
        <v>0</v>
      </c>
      <c r="F189" s="26">
        <v>2</v>
      </c>
      <c r="G189" s="35" t="s">
        <v>161</v>
      </c>
      <c r="H189" s="35" t="s">
        <v>128</v>
      </c>
      <c r="I189" s="25" t="s">
        <v>135</v>
      </c>
      <c r="J189" s="35" t="s">
        <v>165</v>
      </c>
      <c r="K189" s="39"/>
    </row>
    <row r="190" spans="1:11">
      <c r="A190" s="32">
        <v>92</v>
      </c>
      <c r="B190" s="32" t="s">
        <v>163</v>
      </c>
      <c r="C190" s="36"/>
      <c r="D190" s="34" t="str">
        <f>HYPERLINK("#摆设!平整的木制长凳","平整的木制长凳")</f>
        <v>平整的木制长凳</v>
      </c>
      <c r="E190" s="26">
        <f>摆设!D293</f>
        <v>0</v>
      </c>
      <c r="F190" s="26">
        <v>2</v>
      </c>
      <c r="G190" s="35" t="s">
        <v>162</v>
      </c>
      <c r="H190" s="35" t="s">
        <v>118</v>
      </c>
      <c r="I190" s="25" t="s">
        <v>135</v>
      </c>
      <c r="J190" s="35" t="s">
        <v>114</v>
      </c>
      <c r="K190" s="39"/>
    </row>
    <row r="191" spans="1:11">
      <c r="A191" s="32">
        <v>93</v>
      </c>
      <c r="B191" s="32" t="s">
        <v>163</v>
      </c>
      <c r="C191" s="36"/>
      <c r="D191" s="34" t="str">
        <f>HYPERLINK("#摆设!宽大的松木长桌","宽大的松木长桌")</f>
        <v>宽大的松木长桌</v>
      </c>
      <c r="E191" s="26">
        <f>摆设!D301</f>
        <v>0</v>
      </c>
      <c r="F191" s="26">
        <v>1</v>
      </c>
      <c r="G191" s="35" t="s">
        <v>162</v>
      </c>
      <c r="H191" s="35" t="s">
        <v>115</v>
      </c>
      <c r="I191" s="25" t="s">
        <v>135</v>
      </c>
      <c r="J191" s="35" t="s">
        <v>114</v>
      </c>
      <c r="K191" s="39"/>
    </row>
    <row r="192" spans="1:11">
      <c r="A192" s="32"/>
      <c r="B192" s="32"/>
      <c r="C192" s="36"/>
      <c r="D192" s="37"/>
      <c r="E192" s="26"/>
      <c r="F192" s="26"/>
      <c r="G192" s="35"/>
      <c r="H192" s="35"/>
      <c r="I192" s="35"/>
      <c r="J192" s="35"/>
      <c r="K192" s="39"/>
    </row>
    <row r="193" spans="1:11">
      <c r="A193" s="32">
        <v>94</v>
      </c>
      <c r="B193" s="32" t="s">
        <v>168</v>
      </c>
      <c r="C193" s="33" t="s">
        <v>168</v>
      </c>
      <c r="D193" s="34" t="str">
        <f>HYPERLINK("#摆设!花鸟喷泉","花鸟喷泉")</f>
        <v>花鸟喷泉</v>
      </c>
      <c r="E193" s="26">
        <f>摆设!D125</f>
        <v>0</v>
      </c>
      <c r="F193" s="26">
        <v>1</v>
      </c>
      <c r="G193" s="35" t="s">
        <v>169</v>
      </c>
      <c r="H193" s="35" t="s">
        <v>170</v>
      </c>
      <c r="I193" s="24" t="s">
        <v>112</v>
      </c>
      <c r="J193" s="35" t="s">
        <v>171</v>
      </c>
      <c r="K193" s="39"/>
    </row>
    <row r="194" spans="1:11">
      <c r="A194" s="32">
        <v>95</v>
      </c>
      <c r="B194" s="32" t="s">
        <v>168</v>
      </c>
      <c r="C194" s="36"/>
      <c r="D194" s="34" t="str">
        <f>HYPERLINK("#摆设!「归风的苍色」","「归风的苍色」")</f>
        <v>「归风的苍色」</v>
      </c>
      <c r="E194" s="26">
        <f>摆设!D196</f>
        <v>0</v>
      </c>
      <c r="F194" s="26">
        <v>1</v>
      </c>
      <c r="G194" s="35" t="s">
        <v>157</v>
      </c>
      <c r="H194" s="35" t="s">
        <v>159</v>
      </c>
      <c r="I194" s="20" t="s">
        <v>116</v>
      </c>
      <c r="J194" s="35" t="s">
        <v>166</v>
      </c>
      <c r="K194" s="39"/>
    </row>
    <row r="195" spans="1:11">
      <c r="A195" s="32">
        <v>96</v>
      </c>
      <c r="B195" s="32" t="s">
        <v>168</v>
      </c>
      <c r="C195" s="36"/>
      <c r="D195" s="34" t="str">
        <f>HYPERLINK("#摆设!茁壮的萃华树","茁壮的萃华树")</f>
        <v>茁壮的萃华树</v>
      </c>
      <c r="E195" s="26">
        <f>摆设!D198</f>
        <v>0</v>
      </c>
      <c r="F195" s="26">
        <v>1</v>
      </c>
      <c r="G195" s="35" t="s">
        <v>157</v>
      </c>
      <c r="H195" s="35" t="s">
        <v>159</v>
      </c>
      <c r="I195" s="20" t="s">
        <v>116</v>
      </c>
      <c r="J195" s="35" t="s">
        <v>145</v>
      </c>
      <c r="K195" s="39"/>
    </row>
    <row r="196" spans="1:11">
      <c r="A196" s="32">
        <v>97</v>
      </c>
      <c r="B196" s="32" t="s">
        <v>168</v>
      </c>
      <c r="C196" s="36"/>
      <c r="D196" s="34" t="str">
        <f>HYPERLINK("#摆设!正逢花期的灌木丛","正逢花期的灌木丛")</f>
        <v>正逢花期的灌木丛</v>
      </c>
      <c r="E196" s="26">
        <f>摆设!D207</f>
        <v>0</v>
      </c>
      <c r="F196" s="26">
        <v>4</v>
      </c>
      <c r="G196" s="35" t="s">
        <v>157</v>
      </c>
      <c r="H196" s="35" t="s">
        <v>160</v>
      </c>
      <c r="I196" s="20" t="s">
        <v>116</v>
      </c>
      <c r="J196" s="35" t="s">
        <v>145</v>
      </c>
      <c r="K196" s="39"/>
    </row>
    <row r="197" spans="1:11">
      <c r="A197" s="32">
        <v>98</v>
      </c>
      <c r="B197" s="32" t="s">
        <v>168</v>
      </c>
      <c r="C197" s="36"/>
      <c r="D197" s="34" t="str">
        <f>HYPERLINK("#摆设!青衫景铄","青衫景铄")</f>
        <v>青衫景铄</v>
      </c>
      <c r="E197" s="26">
        <f>摆设!D218</f>
        <v>0</v>
      </c>
      <c r="F197" s="26">
        <v>2</v>
      </c>
      <c r="G197" s="35" t="s">
        <v>157</v>
      </c>
      <c r="H197" s="35" t="s">
        <v>160</v>
      </c>
      <c r="I197" s="25" t="s">
        <v>135</v>
      </c>
      <c r="J197" s="35" t="s">
        <v>145</v>
      </c>
      <c r="K197" s="39"/>
    </row>
    <row r="198" spans="1:11">
      <c r="A198" s="32">
        <v>99</v>
      </c>
      <c r="B198" s="32" t="s">
        <v>168</v>
      </c>
      <c r="C198" s="36"/>
      <c r="D198" s="34" t="str">
        <f>HYPERLINK("#摆设!石制盏形水池","石制盏形水池")</f>
        <v>石制盏形水池</v>
      </c>
      <c r="E198" s="26">
        <f>摆设!D231</f>
        <v>0</v>
      </c>
      <c r="F198" s="26">
        <v>1</v>
      </c>
      <c r="G198" s="35" t="s">
        <v>161</v>
      </c>
      <c r="H198" s="35" t="s">
        <v>167</v>
      </c>
      <c r="I198" s="20" t="s">
        <v>116</v>
      </c>
      <c r="J198" s="35" t="s">
        <v>114</v>
      </c>
      <c r="K198" s="39"/>
    </row>
    <row r="199" spans="1:11">
      <c r="A199" s="32">
        <v>100</v>
      </c>
      <c r="B199" s="32" t="s">
        <v>168</v>
      </c>
      <c r="C199" s="36"/>
      <c r="D199" s="34" t="str">
        <f>HYPERLINK("#摆设!铁艺雕花路灯","铁艺雕花路灯")</f>
        <v>铁艺雕花路灯</v>
      </c>
      <c r="E199" s="26">
        <f>摆设!D276</f>
        <v>0</v>
      </c>
      <c r="F199" s="26">
        <v>1</v>
      </c>
      <c r="G199" s="35" t="s">
        <v>161</v>
      </c>
      <c r="H199" s="35" t="s">
        <v>128</v>
      </c>
      <c r="I199" s="20" t="s">
        <v>116</v>
      </c>
      <c r="J199" s="35" t="s">
        <v>114</v>
      </c>
      <c r="K199" s="39"/>
    </row>
    <row r="200" spans="1:11">
      <c r="A200" s="32">
        <v>101</v>
      </c>
      <c r="B200" s="32" t="s">
        <v>168</v>
      </c>
      <c r="C200" s="36"/>
      <c r="D200" s="34" t="str">
        <f>HYPERLINK("#摆设!平整的木制长凳","平整的木制长凳")</f>
        <v>平整的木制长凳</v>
      </c>
      <c r="E200" s="26">
        <f>摆设!D293</f>
        <v>0</v>
      </c>
      <c r="F200" s="26">
        <v>3</v>
      </c>
      <c r="G200" s="35" t="s">
        <v>162</v>
      </c>
      <c r="H200" s="35" t="s">
        <v>118</v>
      </c>
      <c r="I200" s="25" t="s">
        <v>135</v>
      </c>
      <c r="J200" s="35" t="s">
        <v>114</v>
      </c>
      <c r="K200" s="39"/>
    </row>
    <row r="201" spans="1:11">
      <c r="A201" s="32">
        <v>102</v>
      </c>
      <c r="B201" s="32" t="s">
        <v>168</v>
      </c>
      <c r="C201" s="36"/>
      <c r="D201" s="34" t="str">
        <f>HYPERLINK("#摆设!平整的石制长凳","平整的石制长凳")</f>
        <v>平整的石制长凳</v>
      </c>
      <c r="E201" s="26">
        <f>摆设!D294</f>
        <v>0</v>
      </c>
      <c r="F201" s="26">
        <v>2</v>
      </c>
      <c r="G201" s="35" t="s">
        <v>162</v>
      </c>
      <c r="H201" s="35" t="s">
        <v>118</v>
      </c>
      <c r="I201" s="25" t="s">
        <v>135</v>
      </c>
      <c r="J201" s="35" t="s">
        <v>114</v>
      </c>
      <c r="K201" s="39"/>
    </row>
    <row r="202" spans="1:11">
      <c r="A202" s="32"/>
      <c r="B202" s="32"/>
      <c r="C202" s="36"/>
      <c r="D202" s="37"/>
      <c r="E202" s="26"/>
      <c r="F202" s="26"/>
      <c r="G202" s="35"/>
      <c r="H202" s="35"/>
      <c r="I202" s="35"/>
      <c r="J202" s="35"/>
      <c r="K202" s="39"/>
    </row>
    <row r="203" spans="1:11">
      <c r="A203" s="32">
        <v>103</v>
      </c>
      <c r="B203" s="32" t="s">
        <v>172</v>
      </c>
      <c r="C203" s="33" t="s">
        <v>172</v>
      </c>
      <c r="D203" s="34" t="str">
        <f>HYPERLINK("#摆设!「行商石门北」","「行商石门北」")</f>
        <v>「行商石门北」</v>
      </c>
      <c r="E203" s="26">
        <f>摆设!D143</f>
        <v>0</v>
      </c>
      <c r="F203" s="26">
        <v>1</v>
      </c>
      <c r="G203" s="35" t="s">
        <v>154</v>
      </c>
      <c r="H203" s="35" t="s">
        <v>155</v>
      </c>
      <c r="I203" s="20" t="s">
        <v>116</v>
      </c>
      <c r="J203" s="35" t="s">
        <v>114</v>
      </c>
      <c r="K203" s="39"/>
    </row>
    <row r="204" spans="1:11">
      <c r="A204" s="32">
        <v>104</v>
      </c>
      <c r="B204" s="32" t="s">
        <v>172</v>
      </c>
      <c r="C204" s="36"/>
      <c r="D204" s="34" t="str">
        <f>HYPERLINK("#摆设!「百味四宫釜」","「百味四宫釜」")</f>
        <v>「百味四宫釜」</v>
      </c>
      <c r="E204" s="26">
        <f>摆设!D145</f>
        <v>0</v>
      </c>
      <c r="F204" s="26">
        <v>1</v>
      </c>
      <c r="G204" s="35" t="s">
        <v>154</v>
      </c>
      <c r="H204" s="35" t="s">
        <v>155</v>
      </c>
      <c r="I204" s="20" t="s">
        <v>116</v>
      </c>
      <c r="J204" s="35" t="s">
        <v>113</v>
      </c>
      <c r="K204" s="39"/>
    </row>
    <row r="205" spans="1:11">
      <c r="A205" s="32">
        <v>105</v>
      </c>
      <c r="B205" s="32" t="s">
        <v>172</v>
      </c>
      <c r="C205" s="36"/>
      <c r="D205" s="34" t="str">
        <f>HYPERLINK("#摆设!果蔬摊—「案上田园」","果蔬摊—「案上田园」")</f>
        <v>果蔬摊—「案上田园」</v>
      </c>
      <c r="E205" s="26">
        <f>摆设!D146</f>
        <v>0</v>
      </c>
      <c r="F205" s="26">
        <v>1</v>
      </c>
      <c r="G205" s="35" t="s">
        <v>154</v>
      </c>
      <c r="H205" s="35" t="s">
        <v>155</v>
      </c>
      <c r="I205" s="20" t="s">
        <v>116</v>
      </c>
      <c r="J205" s="35" t="s">
        <v>114</v>
      </c>
      <c r="K205" s="39"/>
    </row>
    <row r="206" spans="1:11">
      <c r="A206" s="32">
        <v>106</v>
      </c>
      <c r="B206" s="32" t="s">
        <v>172</v>
      </c>
      <c r="C206" s="36"/>
      <c r="D206" s="34" t="str">
        <f>HYPERLINK("#摆设!茁壮的萃华树","茁壮的萃华树")</f>
        <v>茁壮的萃华树</v>
      </c>
      <c r="E206" s="26">
        <f>摆设!D198</f>
        <v>0</v>
      </c>
      <c r="F206" s="26">
        <v>1</v>
      </c>
      <c r="G206" s="35" t="s">
        <v>157</v>
      </c>
      <c r="H206" s="35" t="s">
        <v>159</v>
      </c>
      <c r="I206" s="20" t="s">
        <v>116</v>
      </c>
      <c r="J206" s="35" t="s">
        <v>145</v>
      </c>
      <c r="K206" s="39"/>
    </row>
    <row r="207" spans="1:11">
      <c r="A207" s="32">
        <v>107</v>
      </c>
      <c r="B207" s="32" t="s">
        <v>172</v>
      </c>
      <c r="C207" s="36"/>
      <c r="D207" s="34" t="str">
        <f>HYPERLINK("#摆设!「猎人的暗哨」","「猎人的暗哨」")</f>
        <v>「猎人的暗哨」</v>
      </c>
      <c r="E207" s="26">
        <f>摆设!D209</f>
        <v>0</v>
      </c>
      <c r="F207" s="26">
        <v>1</v>
      </c>
      <c r="G207" s="35" t="s">
        <v>157</v>
      </c>
      <c r="H207" s="35" t="s">
        <v>160</v>
      </c>
      <c r="I207" s="20" t="s">
        <v>116</v>
      </c>
      <c r="J207" s="35" t="s">
        <v>145</v>
      </c>
      <c r="K207" s="39"/>
    </row>
    <row r="208" spans="1:11">
      <c r="A208" s="32">
        <v>108</v>
      </c>
      <c r="B208" s="32" t="s">
        <v>172</v>
      </c>
      <c r="C208" s="36"/>
      <c r="D208" s="34" t="str">
        <f>HYPERLINK("#摆设!竹框酒坛—「琼浆待月往」","竹框酒坛—「琼浆待月往」")</f>
        <v>竹框酒坛—「琼浆待月往」</v>
      </c>
      <c r="E208" s="26">
        <f>摆设!D224</f>
        <v>0</v>
      </c>
      <c r="F208" s="26">
        <v>2</v>
      </c>
      <c r="G208" s="35" t="s">
        <v>161</v>
      </c>
      <c r="H208" s="35" t="s">
        <v>167</v>
      </c>
      <c r="I208" s="20" t="s">
        <v>116</v>
      </c>
      <c r="J208" s="35" t="s">
        <v>114</v>
      </c>
      <c r="K208" s="39"/>
    </row>
    <row r="209" spans="1:11">
      <c r="A209" s="32">
        <v>109</v>
      </c>
      <c r="B209" s="32" t="s">
        <v>172</v>
      </c>
      <c r="C209" s="36"/>
      <c r="D209" s="34" t="str">
        <f>HYPERLINK("#摆设!储物袋—「隐雷退散」","储物袋—「隐雷退散」")</f>
        <v>储物袋—「隐雷退散」</v>
      </c>
      <c r="E209" s="26">
        <f>摆设!D239</f>
        <v>0</v>
      </c>
      <c r="F209" s="26">
        <v>2</v>
      </c>
      <c r="G209" s="35" t="s">
        <v>161</v>
      </c>
      <c r="H209" s="35" t="s">
        <v>167</v>
      </c>
      <c r="I209" s="25" t="s">
        <v>135</v>
      </c>
      <c r="J209" s="35" t="s">
        <v>114</v>
      </c>
      <c r="K209" s="39"/>
    </row>
    <row r="210" spans="1:11">
      <c r="A210" s="32">
        <v>110</v>
      </c>
      <c r="B210" s="32" t="s">
        <v>172</v>
      </c>
      <c r="C210" s="36"/>
      <c r="D210" s="34" t="str">
        <f>HYPERLINK("#摆设!果蔬商贩的谨慎","果蔬商贩的谨慎")</f>
        <v>果蔬商贩的谨慎</v>
      </c>
      <c r="E210" s="26">
        <f>摆设!D227</f>
        <v>0</v>
      </c>
      <c r="F210" s="26">
        <v>1</v>
      </c>
      <c r="G210" s="35" t="s">
        <v>161</v>
      </c>
      <c r="H210" s="35" t="s">
        <v>167</v>
      </c>
      <c r="I210" s="20" t="s">
        <v>116</v>
      </c>
      <c r="J210" s="35" t="s">
        <v>114</v>
      </c>
      <c r="K210" s="39"/>
    </row>
    <row r="211" spans="1:11">
      <c r="A211" s="32">
        <v>111</v>
      </c>
      <c r="B211" s="32" t="s">
        <v>172</v>
      </c>
      <c r="C211" s="36"/>
      <c r="D211" s="34" t="str">
        <f>HYPERLINK("#摆设!旧式水井","旧式水井")</f>
        <v>旧式水井</v>
      </c>
      <c r="E211" s="26">
        <f>摆设!D271</f>
        <v>0</v>
      </c>
      <c r="F211" s="26">
        <v>1</v>
      </c>
      <c r="G211" s="35" t="s">
        <v>161</v>
      </c>
      <c r="H211" s="35" t="s">
        <v>127</v>
      </c>
      <c r="I211" s="25" t="s">
        <v>135</v>
      </c>
      <c r="J211" s="35" t="s">
        <v>114</v>
      </c>
      <c r="K211" s="39"/>
    </row>
    <row r="212" spans="1:11">
      <c r="A212" s="32">
        <v>112</v>
      </c>
      <c r="B212" s="32" t="s">
        <v>172</v>
      </c>
      <c r="C212" s="36"/>
      <c r="D212" s="34" t="str">
        <f>HYPERLINK("#摆设!退邪灯—「明照左右」","退邪灯—「明照左右」")</f>
        <v>退邪灯—「明照左右」</v>
      </c>
      <c r="E212" s="26">
        <f>摆设!D277</f>
        <v>0</v>
      </c>
      <c r="F212" s="26">
        <v>1</v>
      </c>
      <c r="G212" s="35" t="s">
        <v>161</v>
      </c>
      <c r="H212" s="35" t="s">
        <v>128</v>
      </c>
      <c r="I212" s="20" t="s">
        <v>116</v>
      </c>
      <c r="J212" s="35" t="s">
        <v>114</v>
      </c>
      <c r="K212" s="39"/>
    </row>
    <row r="213" spans="1:11">
      <c r="A213" s="32">
        <v>113</v>
      </c>
      <c r="B213" s="32" t="s">
        <v>172</v>
      </c>
      <c r="C213" s="36"/>
      <c r="D213" s="34" t="str">
        <f>HYPERLINK("#摆设!双重商摊—「运势层层高」","双重商摊—「运势层层高」")</f>
        <v>双重商摊—「运势层层高」</v>
      </c>
      <c r="E213" s="26">
        <f>摆设!D298</f>
        <v>0</v>
      </c>
      <c r="F213" s="26">
        <v>1</v>
      </c>
      <c r="G213" s="35" t="s">
        <v>162</v>
      </c>
      <c r="H213" s="35" t="s">
        <v>115</v>
      </c>
      <c r="I213" s="20" t="s">
        <v>116</v>
      </c>
      <c r="J213" s="35" t="s">
        <v>129</v>
      </c>
      <c r="K213" s="39"/>
    </row>
    <row r="214" spans="1:11">
      <c r="A214" s="32">
        <v>114</v>
      </c>
      <c r="B214" s="32" t="s">
        <v>172</v>
      </c>
      <c r="C214" s="36"/>
      <c r="D214" s="34" t="str">
        <f>HYPERLINK("#摆设!竹制露天茶桌","竹制露天茶桌")</f>
        <v>竹制露天茶桌</v>
      </c>
      <c r="E214" s="26">
        <f>摆设!D299</f>
        <v>0</v>
      </c>
      <c r="F214" s="26">
        <v>1</v>
      </c>
      <c r="G214" s="35" t="s">
        <v>162</v>
      </c>
      <c r="H214" s="35" t="s">
        <v>115</v>
      </c>
      <c r="I214" s="20" t="s">
        <v>116</v>
      </c>
      <c r="J214" s="35" t="s">
        <v>114</v>
      </c>
      <c r="K214" s="39"/>
    </row>
    <row r="215" spans="1:11">
      <c r="A215" s="32">
        <v>115</v>
      </c>
      <c r="B215" s="32" t="s">
        <v>172</v>
      </c>
      <c r="C215" s="36"/>
      <c r="D215" s="34" t="str">
        <f>HYPERLINK("#摆设!木制露天茶桌","木制露天茶桌")</f>
        <v>木制露天茶桌</v>
      </c>
      <c r="E215" s="26">
        <f>摆设!D300</f>
        <v>0</v>
      </c>
      <c r="F215" s="26">
        <v>3</v>
      </c>
      <c r="G215" s="35" t="s">
        <v>162</v>
      </c>
      <c r="H215" s="35" t="s">
        <v>115</v>
      </c>
      <c r="I215" s="20" t="s">
        <v>116</v>
      </c>
      <c r="J215" s="35" t="s">
        <v>134</v>
      </c>
      <c r="K215" s="39"/>
    </row>
    <row r="216" spans="1:11">
      <c r="A216" s="32">
        <v>116</v>
      </c>
      <c r="B216" s="32" t="s">
        <v>172</v>
      </c>
      <c r="C216" s="36"/>
      <c r="D216" s="34" t="str">
        <f>HYPERLINK("#摆设!酒肆货柜—「会须百杯饮」","酒肆货柜—「会须百杯饮」")</f>
        <v>酒肆货柜—「会须百杯饮」</v>
      </c>
      <c r="E216" s="26">
        <f>摆设!D303</f>
        <v>0</v>
      </c>
      <c r="F216" s="26">
        <v>1</v>
      </c>
      <c r="G216" s="35" t="s">
        <v>162</v>
      </c>
      <c r="H216" s="35" t="s">
        <v>125</v>
      </c>
      <c r="I216" s="20" t="s">
        <v>116</v>
      </c>
      <c r="J216" s="35" t="s">
        <v>114</v>
      </c>
      <c r="K216" s="39"/>
    </row>
    <row r="217" spans="1:11">
      <c r="A217" s="32">
        <v>117</v>
      </c>
      <c r="B217" s="32" t="s">
        <v>172</v>
      </c>
      <c r="C217" s="36"/>
      <c r="D217" s="34" t="str">
        <f>HYPERLINK("#摆设!垂香木厨房货架","垂香木厨房货架")</f>
        <v>垂香木厨房货架</v>
      </c>
      <c r="E217" s="26">
        <f>摆设!D12</f>
        <v>0</v>
      </c>
      <c r="F217" s="26">
        <v>1</v>
      </c>
      <c r="G217" s="35" t="s">
        <v>110</v>
      </c>
      <c r="H217" s="35" t="s">
        <v>125</v>
      </c>
      <c r="I217" s="25" t="s">
        <v>135</v>
      </c>
      <c r="J217" s="35" t="s">
        <v>145</v>
      </c>
      <c r="K217" s="39"/>
    </row>
    <row r="218" spans="1:11">
      <c r="A218" s="32"/>
      <c r="B218" s="32"/>
      <c r="C218" s="36"/>
      <c r="D218" s="37"/>
      <c r="E218" s="26"/>
      <c r="F218" s="26"/>
      <c r="G218" s="35"/>
      <c r="H218" s="35"/>
      <c r="I218" s="35"/>
      <c r="J218" s="35"/>
      <c r="K218" s="39"/>
    </row>
    <row r="219" spans="1:11">
      <c r="A219" s="32">
        <v>118</v>
      </c>
      <c r="B219" s="32" t="s">
        <v>173</v>
      </c>
      <c r="C219" s="33" t="s">
        <v>173</v>
      </c>
      <c r="D219" s="34" t="str">
        <f>HYPERLINK("#摆设!松木餐椅","松木餐椅")</f>
        <v>松木餐椅</v>
      </c>
      <c r="E219" s="26">
        <f>摆设!D51</f>
        <v>0</v>
      </c>
      <c r="F219" s="26">
        <v>1</v>
      </c>
      <c r="G219" s="35" t="s">
        <v>117</v>
      </c>
      <c r="H219" s="35" t="s">
        <v>118</v>
      </c>
      <c r="I219" s="25" t="s">
        <v>135</v>
      </c>
      <c r="J219" s="35" t="s">
        <v>123</v>
      </c>
      <c r="K219" s="39"/>
    </row>
    <row r="220" spans="1:11">
      <c r="A220" s="32">
        <v>119</v>
      </c>
      <c r="B220" s="32" t="s">
        <v>173</v>
      </c>
      <c r="C220" s="36"/>
      <c r="D220" s="34" t="str">
        <f>HYPERLINK("#摆设!「行商石门北」","「行商石门北」")</f>
        <v>「行商石门北」</v>
      </c>
      <c r="E220" s="26">
        <f>摆设!D143</f>
        <v>0</v>
      </c>
      <c r="F220" s="26">
        <v>1</v>
      </c>
      <c r="G220" s="35" t="s">
        <v>154</v>
      </c>
      <c r="H220" s="35" t="s">
        <v>155</v>
      </c>
      <c r="I220" s="20" t="s">
        <v>116</v>
      </c>
      <c r="J220" s="35" t="s">
        <v>114</v>
      </c>
      <c r="K220" s="39"/>
    </row>
    <row r="221" spans="1:11">
      <c r="A221" s="32">
        <v>120</v>
      </c>
      <c r="B221" s="32" t="s">
        <v>173</v>
      </c>
      <c r="C221" s="36"/>
      <c r="D221" s="34" t="str">
        <f>HYPERLINK("#摆设!卷棚果蔬舆","卷棚果蔬舆")</f>
        <v>卷棚果蔬舆</v>
      </c>
      <c r="E221" s="26">
        <f>摆设!D144</f>
        <v>0</v>
      </c>
      <c r="F221" s="26">
        <v>1</v>
      </c>
      <c r="G221" s="35" t="s">
        <v>154</v>
      </c>
      <c r="H221" s="35" t="s">
        <v>155</v>
      </c>
      <c r="I221" s="20" t="s">
        <v>116</v>
      </c>
      <c r="J221" s="35" t="s">
        <v>114</v>
      </c>
      <c r="K221" s="39"/>
    </row>
    <row r="222" spans="1:11">
      <c r="A222" s="32">
        <v>121</v>
      </c>
      <c r="B222" s="32" t="s">
        <v>173</v>
      </c>
      <c r="C222" s="36"/>
      <c r="D222" s="34" t="str">
        <f>HYPERLINK("#摆设!「云游碧水东」","「云游碧水东」")</f>
        <v>「云游碧水东」</v>
      </c>
      <c r="E222" s="26">
        <f>摆设!D157</f>
        <v>0</v>
      </c>
      <c r="F222" s="26">
        <v>1</v>
      </c>
      <c r="G222" s="35" t="s">
        <v>154</v>
      </c>
      <c r="H222" s="35" t="s">
        <v>174</v>
      </c>
      <c r="I222" s="20" t="s">
        <v>116</v>
      </c>
      <c r="J222" s="35" t="s">
        <v>134</v>
      </c>
      <c r="K222" s="39"/>
    </row>
    <row r="223" spans="1:11">
      <c r="A223" s="32">
        <v>122</v>
      </c>
      <c r="B223" s="32" t="s">
        <v>173</v>
      </c>
      <c r="C223" s="36"/>
      <c r="D223" s="34" t="str">
        <f>HYPERLINK("#摆设!竹框酒坛—「琼浆待月往」","竹框酒坛—「琼浆待月往」")</f>
        <v>竹框酒坛—「琼浆待月往」</v>
      </c>
      <c r="E223" s="26">
        <f>摆设!D224</f>
        <v>0</v>
      </c>
      <c r="F223" s="26">
        <v>1</v>
      </c>
      <c r="G223" s="35" t="s">
        <v>161</v>
      </c>
      <c r="H223" s="35" t="s">
        <v>167</v>
      </c>
      <c r="I223" s="20" t="s">
        <v>116</v>
      </c>
      <c r="J223" s="35" t="s">
        <v>114</v>
      </c>
      <c r="K223" s="39"/>
    </row>
    <row r="224" spans="1:11">
      <c r="A224" s="32">
        <v>123</v>
      </c>
      <c r="B224" s="32" t="s">
        <v>173</v>
      </c>
      <c r="C224" s="36"/>
      <c r="D224" s="34" t="str">
        <f>HYPERLINK("#摆设!玩具摊—「琳琅生趣」","玩具摊—「琳琅生趣」")</f>
        <v>玩具摊—「琳琅生趣」</v>
      </c>
      <c r="E224" s="26">
        <f>摆设!D225</f>
        <v>0</v>
      </c>
      <c r="F224" s="26">
        <v>1</v>
      </c>
      <c r="G224" s="35" t="s">
        <v>161</v>
      </c>
      <c r="H224" s="35" t="s">
        <v>167</v>
      </c>
      <c r="I224" s="20" t="s">
        <v>116</v>
      </c>
      <c r="J224" s="35" t="s">
        <v>129</v>
      </c>
      <c r="K224" s="39"/>
    </row>
    <row r="225" spans="1:11">
      <c r="A225" s="32">
        <v>124</v>
      </c>
      <c r="B225" s="32" t="s">
        <v>173</v>
      </c>
      <c r="C225" s="36"/>
      <c r="D225" s="34" t="str">
        <f>HYPERLINK("#摆设!花伞铺—「簦下千彩」","花伞铺—「簦下千彩」")</f>
        <v>花伞铺—「簦下千彩」</v>
      </c>
      <c r="E225" s="26">
        <f>摆设!D226</f>
        <v>0</v>
      </c>
      <c r="F225" s="26">
        <v>1</v>
      </c>
      <c r="G225" s="35" t="s">
        <v>161</v>
      </c>
      <c r="H225" s="35" t="s">
        <v>167</v>
      </c>
      <c r="I225" s="20" t="s">
        <v>116</v>
      </c>
      <c r="J225" s="35" t="s">
        <v>129</v>
      </c>
      <c r="K225" s="39"/>
    </row>
    <row r="226" spans="1:11">
      <c r="A226" s="32">
        <v>125</v>
      </c>
      <c r="B226" s="32" t="s">
        <v>173</v>
      </c>
      <c r="C226" s="36"/>
      <c r="D226" s="34" t="str">
        <f>HYPERLINK("#摆设!储物袋—「隐雷退散」","储物袋—「隐雷退散」")</f>
        <v>储物袋—「隐雷退散」</v>
      </c>
      <c r="E226" s="26">
        <f>摆设!D239</f>
        <v>0</v>
      </c>
      <c r="F226" s="26">
        <v>1</v>
      </c>
      <c r="G226" s="35" t="s">
        <v>161</v>
      </c>
      <c r="H226" s="35" t="s">
        <v>167</v>
      </c>
      <c r="I226" s="25" t="s">
        <v>135</v>
      </c>
      <c r="J226" s="35" t="s">
        <v>114</v>
      </c>
      <c r="K226" s="39"/>
    </row>
    <row r="227" spans="1:11">
      <c r="A227" s="32">
        <v>126</v>
      </c>
      <c r="B227" s="32" t="s">
        <v>173</v>
      </c>
      <c r="C227" s="36"/>
      <c r="D227" s="34" t="str">
        <f>HYPERLINK("#摆设!果蔬商贩的谨慎","果蔬商贩的谨慎")</f>
        <v>果蔬商贩的谨慎</v>
      </c>
      <c r="E227" s="26">
        <f>摆设!D227</f>
        <v>0</v>
      </c>
      <c r="F227" s="26">
        <v>1</v>
      </c>
      <c r="G227" s="35" t="s">
        <v>161</v>
      </c>
      <c r="H227" s="35" t="s">
        <v>167</v>
      </c>
      <c r="I227" s="20" t="s">
        <v>116</v>
      </c>
      <c r="J227" s="35" t="s">
        <v>114</v>
      </c>
      <c r="K227" s="39"/>
    </row>
    <row r="228" spans="1:11">
      <c r="A228" s="32">
        <v>127</v>
      </c>
      <c r="B228" s="32" t="s">
        <v>173</v>
      </c>
      <c r="C228" s="36"/>
      <c r="D228" s="34" t="str">
        <f>HYPERLINK("#摆设!退邪灯—「明照左右」","退邪灯—「明照左右」")</f>
        <v>退邪灯—「明照左右」</v>
      </c>
      <c r="E228" s="26">
        <f>摆设!D277</f>
        <v>0</v>
      </c>
      <c r="F228" s="26">
        <v>1</v>
      </c>
      <c r="G228" s="35" t="s">
        <v>161</v>
      </c>
      <c r="H228" s="35" t="s">
        <v>128</v>
      </c>
      <c r="I228" s="20" t="s">
        <v>116</v>
      </c>
      <c r="J228" s="35" t="s">
        <v>114</v>
      </c>
      <c r="K228" s="39"/>
    </row>
    <row r="229" spans="1:11">
      <c r="A229" s="32">
        <v>128</v>
      </c>
      <c r="B229" s="32" t="s">
        <v>173</v>
      </c>
      <c r="C229" s="36"/>
      <c r="D229" s="34" t="str">
        <f>HYPERLINK("#摆设!双重商摊—「运势层层高」","双重商摊—「运势层层高」")</f>
        <v>双重商摊—「运势层层高」</v>
      </c>
      <c r="E229" s="26">
        <f>摆设!D298</f>
        <v>0</v>
      </c>
      <c r="F229" s="26">
        <v>1</v>
      </c>
      <c r="G229" s="35" t="s">
        <v>162</v>
      </c>
      <c r="H229" s="35" t="s">
        <v>115</v>
      </c>
      <c r="I229" s="20" t="s">
        <v>116</v>
      </c>
      <c r="J229" s="35" t="s">
        <v>129</v>
      </c>
      <c r="K229" s="39"/>
    </row>
    <row r="230" spans="1:11">
      <c r="A230" s="32">
        <v>129</v>
      </c>
      <c r="B230" s="32" t="s">
        <v>173</v>
      </c>
      <c r="C230" s="36"/>
      <c r="D230" s="34" t="str">
        <f>HYPERLINK("#摆设!竹制露天茶桌","竹制露天茶桌")</f>
        <v>竹制露天茶桌</v>
      </c>
      <c r="E230" s="26">
        <f>摆设!D299</f>
        <v>0</v>
      </c>
      <c r="F230" s="26">
        <v>1</v>
      </c>
      <c r="G230" s="35" t="s">
        <v>162</v>
      </c>
      <c r="H230" s="35" t="s">
        <v>115</v>
      </c>
      <c r="I230" s="20" t="s">
        <v>116</v>
      </c>
      <c r="J230" s="35" t="s">
        <v>114</v>
      </c>
      <c r="K230" s="39"/>
    </row>
    <row r="231" spans="1:11">
      <c r="A231" s="32">
        <v>130</v>
      </c>
      <c r="B231" s="32" t="s">
        <v>173</v>
      </c>
      <c r="C231" s="36"/>
      <c r="D231" s="34" t="str">
        <f>HYPERLINK("#摆设!酒肆货柜—「会须百杯饮」","酒肆货柜—「会须百杯饮」")</f>
        <v>酒肆货柜—「会须百杯饮」</v>
      </c>
      <c r="E231" s="26">
        <f>摆设!D303</f>
        <v>0</v>
      </c>
      <c r="F231" s="26">
        <v>1</v>
      </c>
      <c r="G231" s="35" t="s">
        <v>162</v>
      </c>
      <c r="H231" s="35" t="s">
        <v>125</v>
      </c>
      <c r="I231" s="20" t="s">
        <v>116</v>
      </c>
      <c r="J231" s="35" t="s">
        <v>114</v>
      </c>
      <c r="K231" s="39"/>
    </row>
    <row r="232" spans="1:11">
      <c r="A232" s="32">
        <v>131</v>
      </c>
      <c r="B232" s="32" t="s">
        <v>173</v>
      </c>
      <c r="C232" s="36"/>
      <c r="D232" s="34" t="str">
        <f>HYPERLINK("#摆设!抗浪结构双层货盘","抗浪结构双层货盘")</f>
        <v>抗浪结构双层货盘</v>
      </c>
      <c r="E232" s="26">
        <f>摆设!D304</f>
        <v>0</v>
      </c>
      <c r="F232" s="26">
        <v>1</v>
      </c>
      <c r="G232" s="35" t="s">
        <v>162</v>
      </c>
      <c r="H232" s="35" t="s">
        <v>125</v>
      </c>
      <c r="I232" s="20" t="s">
        <v>116</v>
      </c>
      <c r="J232" s="35" t="s">
        <v>114</v>
      </c>
      <c r="K232" s="39"/>
    </row>
    <row r="233" spans="1:11">
      <c r="A233" s="32"/>
      <c r="B233" s="32"/>
      <c r="C233" s="36"/>
      <c r="D233" s="37"/>
      <c r="E233" s="26"/>
      <c r="F233" s="26"/>
      <c r="G233" s="35"/>
      <c r="H233" s="35"/>
      <c r="I233" s="35"/>
      <c r="J233" s="35"/>
      <c r="K233" s="39"/>
    </row>
    <row r="234" spans="1:11">
      <c r="A234" s="32">
        <v>132</v>
      </c>
      <c r="B234" s="32" t="s">
        <v>175</v>
      </c>
      <c r="C234" s="33" t="s">
        <v>175</v>
      </c>
      <c r="D234" s="34" t="str">
        <f>HYPERLINK("#摆设!三眼守仙牌","三眼守仙牌")</f>
        <v>三眼守仙牌</v>
      </c>
      <c r="E234" s="26">
        <f>摆设!D111</f>
        <v>0</v>
      </c>
      <c r="F234" s="26">
        <v>1</v>
      </c>
      <c r="G234" s="35" t="s">
        <v>169</v>
      </c>
      <c r="H234" s="35" t="s">
        <v>176</v>
      </c>
      <c r="I234" s="24" t="s">
        <v>112</v>
      </c>
      <c r="J234" s="35" t="s">
        <v>165</v>
      </c>
      <c r="K234" s="39"/>
    </row>
    <row r="235" spans="1:11">
      <c r="A235" s="32">
        <v>133</v>
      </c>
      <c r="B235" s="32" t="s">
        <v>175</v>
      </c>
      <c r="C235" s="36"/>
      <c r="D235" s="34" t="str">
        <f>HYPERLINK("#摆设!璃月商铺—「客聚如潮」","璃月商铺—「客聚如潮」")</f>
        <v>璃月商铺—「客聚如潮」</v>
      </c>
      <c r="E235" s="26">
        <f>摆设!D134</f>
        <v>0</v>
      </c>
      <c r="F235" s="26">
        <v>1</v>
      </c>
      <c r="G235" s="35" t="s">
        <v>154</v>
      </c>
      <c r="H235" s="35" t="s">
        <v>177</v>
      </c>
      <c r="I235" s="20" t="s">
        <v>116</v>
      </c>
      <c r="J235" s="35" t="s">
        <v>134</v>
      </c>
      <c r="K235" s="39"/>
    </row>
    <row r="236" spans="1:11">
      <c r="A236" s="32">
        <v>134</v>
      </c>
      <c r="B236" s="32" t="s">
        <v>175</v>
      </c>
      <c r="C236" s="36"/>
      <c r="D236" s="34" t="str">
        <f>HYPERLINK("#摆设!璃月民居—「岁不我与」","璃月民居—「岁不我与」")</f>
        <v>璃月民居—「岁不我与」</v>
      </c>
      <c r="E236" s="26">
        <f>摆设!D135</f>
        <v>0</v>
      </c>
      <c r="F236" s="26">
        <v>1</v>
      </c>
      <c r="G236" s="35" t="s">
        <v>154</v>
      </c>
      <c r="H236" s="35" t="s">
        <v>177</v>
      </c>
      <c r="I236" s="20" t="s">
        <v>116</v>
      </c>
      <c r="J236" s="35" t="s">
        <v>178</v>
      </c>
      <c r="K236" s="39"/>
    </row>
    <row r="237" spans="1:11">
      <c r="A237" s="32">
        <v>135</v>
      </c>
      <c r="B237" s="32" t="s">
        <v>175</v>
      </c>
      <c r="C237" s="36"/>
      <c r="D237" s="34" t="str">
        <f>HYPERLINK("#摆设!干草货棚","干草货棚")</f>
        <v>干草货棚</v>
      </c>
      <c r="E237" s="26">
        <f>摆设!D164</f>
        <v>0</v>
      </c>
      <c r="F237" s="26">
        <v>1</v>
      </c>
      <c r="G237" s="35" t="s">
        <v>154</v>
      </c>
      <c r="H237" s="35" t="s">
        <v>174</v>
      </c>
      <c r="I237" s="25" t="s">
        <v>135</v>
      </c>
      <c r="J237" s="35" t="s">
        <v>114</v>
      </c>
      <c r="K237" s="39"/>
    </row>
    <row r="238" spans="1:11">
      <c r="A238" s="32">
        <v>136</v>
      </c>
      <c r="B238" s="32" t="s">
        <v>175</v>
      </c>
      <c r="C238" s="36"/>
      <c r="D238" s="34" t="str">
        <f>HYPERLINK("#摆设!纤拳石","纤拳石")</f>
        <v>纤拳石</v>
      </c>
      <c r="E238" s="26">
        <f>摆设!D191</f>
        <v>0</v>
      </c>
      <c r="F238" s="26">
        <v>2</v>
      </c>
      <c r="G238" s="35" t="s">
        <v>157</v>
      </c>
      <c r="H238" s="35" t="s">
        <v>158</v>
      </c>
      <c r="I238" s="20" t="s">
        <v>116</v>
      </c>
      <c r="J238" s="35" t="s">
        <v>145</v>
      </c>
      <c r="K238" s="39"/>
    </row>
    <row r="239" spans="1:11">
      <c r="A239" s="32">
        <v>137</v>
      </c>
      <c r="B239" s="32" t="s">
        <v>175</v>
      </c>
      <c r="C239" s="36"/>
      <c r="D239" s="34" t="str">
        <f>HYPERLINK("#摆设!「归风的苍色」","「归风的苍色」")</f>
        <v>「归风的苍色」</v>
      </c>
      <c r="E239" s="26">
        <f>摆设!D196</f>
        <v>0</v>
      </c>
      <c r="F239" s="26">
        <v>1</v>
      </c>
      <c r="G239" s="35" t="s">
        <v>157</v>
      </c>
      <c r="H239" s="35" t="s">
        <v>159</v>
      </c>
      <c r="I239" s="20" t="s">
        <v>116</v>
      </c>
      <c r="J239" s="35" t="s">
        <v>166</v>
      </c>
      <c r="K239" s="39"/>
    </row>
    <row r="240" spans="1:11">
      <c r="A240" s="32">
        <v>138</v>
      </c>
      <c r="B240" s="32" t="s">
        <v>175</v>
      </c>
      <c r="C240" s="36"/>
      <c r="D240" s="34" t="str">
        <f>HYPERLINK("#摆设!青衫景铄","青衫景铄")</f>
        <v>青衫景铄</v>
      </c>
      <c r="E240" s="26">
        <f>摆设!D218</f>
        <v>0</v>
      </c>
      <c r="F240" s="26">
        <v>1</v>
      </c>
      <c r="G240" s="35" t="s">
        <v>157</v>
      </c>
      <c r="H240" s="35" t="s">
        <v>160</v>
      </c>
      <c r="I240" s="25" t="s">
        <v>135</v>
      </c>
      <c r="J240" s="35" t="s">
        <v>145</v>
      </c>
      <c r="K240" s="39"/>
    </row>
    <row r="241" spans="1:11">
      <c r="A241" s="32">
        <v>139</v>
      </c>
      <c r="B241" s="32" t="s">
        <v>175</v>
      </c>
      <c r="C241" s="36"/>
      <c r="D241" s="34" t="str">
        <f>HYPERLINK("#摆设!丛生蝶绿","丛生蝶绿")</f>
        <v>丛生蝶绿</v>
      </c>
      <c r="E241" s="26">
        <f>摆设!D220</f>
        <v>0</v>
      </c>
      <c r="F241" s="26">
        <v>1</v>
      </c>
      <c r="G241" s="35" t="s">
        <v>157</v>
      </c>
      <c r="H241" s="35" t="s">
        <v>160</v>
      </c>
      <c r="I241" s="25" t="s">
        <v>135</v>
      </c>
      <c r="J241" s="35" t="s">
        <v>145</v>
      </c>
      <c r="K241" s="39"/>
    </row>
    <row r="242" spans="1:11">
      <c r="A242" s="32">
        <v>140</v>
      </c>
      <c r="B242" s="32" t="s">
        <v>175</v>
      </c>
      <c r="C242" s="36"/>
      <c r="D242" s="34" t="str">
        <f>HYPERLINK("#摆设!硬石加固的水井","硬石加固的水井")</f>
        <v>硬石加固的水井</v>
      </c>
      <c r="E242" s="26">
        <f>摆设!D253</f>
        <v>0</v>
      </c>
      <c r="F242" s="26">
        <v>1</v>
      </c>
      <c r="G242" s="35" t="s">
        <v>161</v>
      </c>
      <c r="H242" s="35" t="s">
        <v>127</v>
      </c>
      <c r="I242" s="20" t="s">
        <v>116</v>
      </c>
      <c r="J242" s="35" t="s">
        <v>114</v>
      </c>
      <c r="K242" s="39"/>
    </row>
    <row r="243" spans="1:11">
      <c r="A243" s="32">
        <v>141</v>
      </c>
      <c r="B243" s="32" t="s">
        <v>175</v>
      </c>
      <c r="C243" s="36"/>
      <c r="D243" s="34" t="str">
        <f>HYPERLINK("#摆设!退邪灯—「明照左右」","退邪灯—「明照左右」")</f>
        <v>退邪灯—「明照左右」</v>
      </c>
      <c r="E243" s="26">
        <f>摆设!D277</f>
        <v>0</v>
      </c>
      <c r="F243" s="26">
        <v>1</v>
      </c>
      <c r="G243" s="35" t="s">
        <v>161</v>
      </c>
      <c r="H243" s="35" t="s">
        <v>128</v>
      </c>
      <c r="I243" s="20" t="s">
        <v>116</v>
      </c>
      <c r="J243" s="35" t="s">
        <v>114</v>
      </c>
      <c r="K243" s="39"/>
    </row>
    <row r="244" spans="1:11">
      <c r="A244" s="32">
        <v>142</v>
      </c>
      <c r="B244" s="32" t="s">
        <v>175</v>
      </c>
      <c r="C244" s="36"/>
      <c r="D244" s="34" t="str">
        <f>HYPERLINK("#摆设!清影灯—「笔锋墨影」","清影灯—「笔锋墨影」")</f>
        <v>清影灯—「笔锋墨影」</v>
      </c>
      <c r="E244" s="26">
        <f>摆设!D278</f>
        <v>0</v>
      </c>
      <c r="F244" s="26">
        <v>1</v>
      </c>
      <c r="G244" s="35" t="s">
        <v>161</v>
      </c>
      <c r="H244" s="35" t="s">
        <v>128</v>
      </c>
      <c r="I244" s="20" t="s">
        <v>116</v>
      </c>
      <c r="J244" s="35" t="s">
        <v>114</v>
      </c>
      <c r="K244" s="39"/>
    </row>
    <row r="245" spans="1:11">
      <c r="A245" s="32">
        <v>143</v>
      </c>
      <c r="B245" s="32" t="s">
        <v>175</v>
      </c>
      <c r="C245" s="36"/>
      <c r="D245" s="34" t="str">
        <f>HYPERLINK("#摆设!卸力的松木围栏","卸力的松木围栏")</f>
        <v>卸力的松木围栏</v>
      </c>
      <c r="E245" s="26">
        <f>摆设!D288</f>
        <v>0</v>
      </c>
      <c r="F245" s="26">
        <v>4</v>
      </c>
      <c r="G245" s="35" t="s">
        <v>162</v>
      </c>
      <c r="H245" s="35" t="s">
        <v>179</v>
      </c>
      <c r="I245" s="25" t="s">
        <v>135</v>
      </c>
      <c r="J245" s="35" t="s">
        <v>165</v>
      </c>
      <c r="K245" s="39"/>
    </row>
    <row r="246" spans="1:11">
      <c r="A246" s="32">
        <v>144</v>
      </c>
      <c r="B246" s="32" t="s">
        <v>175</v>
      </c>
      <c r="C246" s="36"/>
      <c r="D246" s="34" t="str">
        <f>HYPERLINK("#摆设!大型石制滚磨","大型石制滚磨")</f>
        <v>大型石制滚磨</v>
      </c>
      <c r="E246" s="26">
        <f>摆设!D297</f>
        <v>0</v>
      </c>
      <c r="F246" s="26">
        <v>1</v>
      </c>
      <c r="G246" s="35" t="s">
        <v>162</v>
      </c>
      <c r="H246" s="35" t="s">
        <v>115</v>
      </c>
      <c r="I246" s="20" t="s">
        <v>116</v>
      </c>
      <c r="J246" s="35" t="s">
        <v>114</v>
      </c>
      <c r="K246" s="39"/>
    </row>
    <row r="247" spans="1:11">
      <c r="A247" s="32">
        <v>145</v>
      </c>
      <c r="B247" s="32" t="s">
        <v>175</v>
      </c>
      <c r="C247" s="36"/>
      <c r="D247" s="34" t="str">
        <f>HYPERLINK("#摆设!竹制露天茶桌","竹制露天茶桌")</f>
        <v>竹制露天茶桌</v>
      </c>
      <c r="E247" s="26">
        <f>摆设!D299</f>
        <v>0</v>
      </c>
      <c r="F247" s="26">
        <v>2</v>
      </c>
      <c r="G247" s="35" t="s">
        <v>162</v>
      </c>
      <c r="H247" s="35" t="s">
        <v>115</v>
      </c>
      <c r="I247" s="20" t="s">
        <v>116</v>
      </c>
      <c r="J247" s="35" t="s">
        <v>114</v>
      </c>
      <c r="K247" s="39"/>
    </row>
    <row r="248" spans="1:11">
      <c r="A248" s="32">
        <v>146</v>
      </c>
      <c r="B248" s="32" t="s">
        <v>175</v>
      </c>
      <c r="C248" s="36"/>
      <c r="D248" s="34" t="str">
        <f>HYPERLINK("#摆设!木制露天茶桌","木制露天茶桌")</f>
        <v>木制露天茶桌</v>
      </c>
      <c r="E248" s="26">
        <f>摆设!D300</f>
        <v>0</v>
      </c>
      <c r="F248" s="26">
        <v>1</v>
      </c>
      <c r="G248" s="35" t="s">
        <v>162</v>
      </c>
      <c r="H248" s="35" t="s">
        <v>115</v>
      </c>
      <c r="I248" s="20" t="s">
        <v>116</v>
      </c>
      <c r="J248" s="35" t="s">
        <v>134</v>
      </c>
      <c r="K248" s="39"/>
    </row>
    <row r="249" spans="1:11">
      <c r="A249" s="32">
        <v>147</v>
      </c>
      <c r="B249" s="32" t="s">
        <v>175</v>
      </c>
      <c r="C249" s="36"/>
      <c r="D249" s="34" t="str">
        <f>HYPERLINK("#摆设!抗浪结构双层货盘","抗浪结构双层货盘")</f>
        <v>抗浪结构双层货盘</v>
      </c>
      <c r="E249" s="26">
        <f>摆设!D304</f>
        <v>0</v>
      </c>
      <c r="F249" s="26">
        <v>1</v>
      </c>
      <c r="G249" s="35" t="s">
        <v>162</v>
      </c>
      <c r="H249" s="35" t="s">
        <v>125</v>
      </c>
      <c r="I249" s="20" t="s">
        <v>116</v>
      </c>
      <c r="J249" s="35" t="s">
        <v>114</v>
      </c>
      <c r="K249" s="39"/>
    </row>
    <row r="250" spans="1:11">
      <c r="A250" s="32"/>
      <c r="B250" s="32"/>
      <c r="C250" s="36"/>
      <c r="D250" s="37"/>
      <c r="E250" s="26"/>
      <c r="F250" s="26"/>
      <c r="G250" s="35"/>
      <c r="H250" s="35"/>
      <c r="I250" s="35"/>
      <c r="J250" s="35"/>
      <c r="K250" s="39"/>
    </row>
    <row r="251" spans="1:11">
      <c r="A251" s="32">
        <v>148</v>
      </c>
      <c r="B251" s="32" t="s">
        <v>180</v>
      </c>
      <c r="C251" s="33" t="s">
        <v>180</v>
      </c>
      <c r="D251" s="34" t="str">
        <f>HYPERLINK("#摆设!丘丘螺旋瞭望塔","丘丘螺旋瞭望塔")</f>
        <v>丘丘螺旋瞭望塔</v>
      </c>
      <c r="E251" s="26">
        <f>摆设!D126</f>
        <v>0</v>
      </c>
      <c r="F251" s="26">
        <v>1</v>
      </c>
      <c r="G251" s="35" t="s">
        <v>169</v>
      </c>
      <c r="H251" s="35" t="s">
        <v>170</v>
      </c>
      <c r="I251" s="20" t="s">
        <v>116</v>
      </c>
      <c r="J251" s="35" t="s">
        <v>181</v>
      </c>
      <c r="K251" s="39"/>
    </row>
    <row r="252" spans="1:11">
      <c r="A252" s="32">
        <v>149</v>
      </c>
      <c r="B252" s="32" t="s">
        <v>180</v>
      </c>
      <c r="C252" s="36"/>
      <c r="D252" s="34" t="str">
        <f>HYPERLINK("#摆设!丘丘简易草棚","丘丘简易草棚")</f>
        <v>丘丘简易草棚</v>
      </c>
      <c r="E252" s="26">
        <f>摆设!D128</f>
        <v>0</v>
      </c>
      <c r="F252" s="26">
        <v>1</v>
      </c>
      <c r="G252" s="35" t="s">
        <v>169</v>
      </c>
      <c r="H252" s="35" t="s">
        <v>170</v>
      </c>
      <c r="I252" s="25" t="s">
        <v>135</v>
      </c>
      <c r="J252" s="35" t="s">
        <v>182</v>
      </c>
      <c r="K252" s="39"/>
    </row>
    <row r="253" spans="1:11">
      <c r="A253" s="32">
        <v>150</v>
      </c>
      <c r="B253" s="32" t="s">
        <v>180</v>
      </c>
      <c r="C253" s="36"/>
      <c r="D253" s="34" t="str">
        <f>HYPERLINK("#摆设!丘丘前哨小屋","丘丘前哨小屋")</f>
        <v>丘丘前哨小屋</v>
      </c>
      <c r="E253" s="26">
        <f>摆设!D139</f>
        <v>0</v>
      </c>
      <c r="F253" s="26">
        <v>1</v>
      </c>
      <c r="G253" s="35" t="s">
        <v>154</v>
      </c>
      <c r="H253" s="35" t="s">
        <v>183</v>
      </c>
      <c r="I253" s="20" t="s">
        <v>116</v>
      </c>
      <c r="J253" s="35" t="s">
        <v>184</v>
      </c>
      <c r="K253" s="39"/>
    </row>
    <row r="254" spans="1:11">
      <c r="A254" s="32">
        <v>151</v>
      </c>
      <c r="B254" s="32" t="s">
        <v>180</v>
      </c>
      <c r="C254" s="36"/>
      <c r="D254" s="34" t="str">
        <f>HYPERLINK("#摆设!丘丘领袖大殿","丘丘领袖大殿")</f>
        <v>丘丘领袖大殿</v>
      </c>
      <c r="E254" s="26">
        <f>摆设!D140</f>
        <v>0</v>
      </c>
      <c r="F254" s="26">
        <v>1</v>
      </c>
      <c r="G254" s="35" t="s">
        <v>154</v>
      </c>
      <c r="H254" s="35" t="s">
        <v>183</v>
      </c>
      <c r="I254" s="24" t="s">
        <v>112</v>
      </c>
      <c r="J254" s="35" t="s">
        <v>171</v>
      </c>
      <c r="K254" s="39"/>
    </row>
    <row r="255" spans="1:11">
      <c r="A255" s="32">
        <v>152</v>
      </c>
      <c r="B255" s="32" t="s">
        <v>180</v>
      </c>
      <c r="C255" s="36"/>
      <c r="D255" s="34" t="str">
        <f>HYPERLINK("#摆设!丘丘双层警戒台","丘丘双层警戒台")</f>
        <v>丘丘双层警戒台</v>
      </c>
      <c r="E255" s="26">
        <f>摆设!D141</f>
        <v>0</v>
      </c>
      <c r="F255" s="26">
        <v>1</v>
      </c>
      <c r="G255" s="35" t="s">
        <v>154</v>
      </c>
      <c r="H255" s="35" t="s">
        <v>183</v>
      </c>
      <c r="I255" s="20" t="s">
        <v>116</v>
      </c>
      <c r="J255" s="35" t="s">
        <v>185</v>
      </c>
      <c r="K255" s="39"/>
    </row>
    <row r="256" spans="1:11">
      <c r="A256" s="32">
        <v>153</v>
      </c>
      <c r="B256" s="32" t="s">
        <v>180</v>
      </c>
      <c r="C256" s="36"/>
      <c r="D256" s="34" t="str">
        <f>HYPERLINK("#摆设!伏青石","伏青石")</f>
        <v>伏青石</v>
      </c>
      <c r="E256" s="26">
        <f>摆设!D190</f>
        <v>0</v>
      </c>
      <c r="F256" s="26">
        <v>1</v>
      </c>
      <c r="G256" s="35" t="s">
        <v>157</v>
      </c>
      <c r="H256" s="35" t="s">
        <v>158</v>
      </c>
      <c r="I256" s="20" t="s">
        <v>116</v>
      </c>
      <c r="J256" s="35" t="s">
        <v>166</v>
      </c>
      <c r="K256" s="39"/>
    </row>
    <row r="257" spans="1:11">
      <c r="A257" s="32">
        <v>154</v>
      </c>
      <c r="B257" s="32" t="s">
        <v>180</v>
      </c>
      <c r="C257" s="36"/>
      <c r="D257" s="34" t="str">
        <f>HYPERLINK("#摆设!纤拳石","纤拳石")</f>
        <v>纤拳石</v>
      </c>
      <c r="E257" s="26">
        <f>摆设!D191</f>
        <v>0</v>
      </c>
      <c r="F257" s="26">
        <v>1</v>
      </c>
      <c r="G257" s="35" t="s">
        <v>157</v>
      </c>
      <c r="H257" s="35" t="s">
        <v>158</v>
      </c>
      <c r="I257" s="20" t="s">
        <v>116</v>
      </c>
      <c r="J257" s="35" t="s">
        <v>145</v>
      </c>
      <c r="K257" s="39"/>
    </row>
    <row r="258" spans="1:11">
      <c r="A258" s="32">
        <v>155</v>
      </c>
      <c r="B258" s="32" t="s">
        <v>180</v>
      </c>
      <c r="C258" s="36"/>
      <c r="D258" s="34" t="str">
        <f>HYPERLINK("#摆设!「归风的苍色」","「归风的苍色」")</f>
        <v>「归风的苍色」</v>
      </c>
      <c r="E258" s="26">
        <f>摆设!D196</f>
        <v>0</v>
      </c>
      <c r="F258" s="26">
        <v>1</v>
      </c>
      <c r="G258" s="35" t="s">
        <v>157</v>
      </c>
      <c r="H258" s="35" t="s">
        <v>159</v>
      </c>
      <c r="I258" s="20" t="s">
        <v>116</v>
      </c>
      <c r="J258" s="35" t="s">
        <v>166</v>
      </c>
      <c r="K258" s="39"/>
    </row>
    <row r="259" spans="1:11">
      <c r="A259" s="32">
        <v>156</v>
      </c>
      <c r="B259" s="32" t="s">
        <v>180</v>
      </c>
      <c r="C259" s="36"/>
      <c r="D259" s="34" t="str">
        <f>HYPERLINK("#摆设!茁壮的萃华树","茁壮的萃华树")</f>
        <v>茁壮的萃华树</v>
      </c>
      <c r="E259" s="26">
        <f>摆设!D198</f>
        <v>0</v>
      </c>
      <c r="F259" s="26">
        <v>1</v>
      </c>
      <c r="G259" s="35" t="s">
        <v>157</v>
      </c>
      <c r="H259" s="35" t="s">
        <v>159</v>
      </c>
      <c r="I259" s="20" t="s">
        <v>116</v>
      </c>
      <c r="J259" s="35" t="s">
        <v>145</v>
      </c>
      <c r="K259" s="39"/>
    </row>
    <row r="260" spans="1:11">
      <c r="A260" s="32">
        <v>157</v>
      </c>
      <c r="B260" s="32" t="s">
        <v>180</v>
      </c>
      <c r="C260" s="36"/>
      <c r="D260" s="34" t="str">
        <f>HYPERLINK("#摆设!青衫景铄","青衫景铄")</f>
        <v>青衫景铄</v>
      </c>
      <c r="E260" s="26">
        <f>摆设!D218</f>
        <v>0</v>
      </c>
      <c r="F260" s="26">
        <v>1</v>
      </c>
      <c r="G260" s="35" t="s">
        <v>157</v>
      </c>
      <c r="H260" s="35" t="s">
        <v>160</v>
      </c>
      <c r="I260" s="25" t="s">
        <v>135</v>
      </c>
      <c r="J260" s="35" t="s">
        <v>145</v>
      </c>
      <c r="K260" s="39"/>
    </row>
    <row r="261" spans="1:11">
      <c r="A261" s="32">
        <v>158</v>
      </c>
      <c r="B261" s="32" t="s">
        <v>180</v>
      </c>
      <c r="C261" s="36"/>
      <c r="D261" s="34" t="str">
        <f>HYPERLINK("#摆设!青衫问寒","青衫问寒")</f>
        <v>青衫问寒</v>
      </c>
      <c r="E261" s="26">
        <f>摆设!D219</f>
        <v>0</v>
      </c>
      <c r="F261" s="26">
        <v>1</v>
      </c>
      <c r="G261" s="35" t="s">
        <v>157</v>
      </c>
      <c r="H261" s="35" t="s">
        <v>160</v>
      </c>
      <c r="I261" s="25" t="s">
        <v>135</v>
      </c>
      <c r="J261" s="35" t="s">
        <v>145</v>
      </c>
      <c r="K261" s="39"/>
    </row>
    <row r="262" spans="1:11">
      <c r="A262" s="32">
        <v>159</v>
      </c>
      <c r="B262" s="32" t="s">
        <v>180</v>
      </c>
      <c r="C262" s="36"/>
      <c r="D262" s="34" t="str">
        <f>HYPERLINK("#摆设!丘丘弓箭标靶","丘丘弓箭标靶")</f>
        <v>丘丘弓箭标靶</v>
      </c>
      <c r="E262" s="26">
        <f>摆设!D228</f>
        <v>0</v>
      </c>
      <c r="F262" s="26">
        <v>1</v>
      </c>
      <c r="G262" s="35" t="s">
        <v>161</v>
      </c>
      <c r="H262" s="35" t="s">
        <v>167</v>
      </c>
      <c r="I262" s="20" t="s">
        <v>116</v>
      </c>
      <c r="J262" s="35" t="s">
        <v>114</v>
      </c>
      <c r="K262" s="39"/>
    </row>
    <row r="263" spans="1:11">
      <c r="A263" s="32">
        <v>160</v>
      </c>
      <c r="B263" s="32" t="s">
        <v>180</v>
      </c>
      <c r="C263" s="36"/>
      <c r="D263" s="34" t="str">
        <f>HYPERLINK("#摆设!丘丘带角陶锅","丘丘带角陶锅")</f>
        <v>丘丘带角陶锅</v>
      </c>
      <c r="E263" s="26">
        <f>摆设!D229</f>
        <v>0</v>
      </c>
      <c r="F263" s="26">
        <v>1</v>
      </c>
      <c r="G263" s="35" t="s">
        <v>161</v>
      </c>
      <c r="H263" s="35" t="s">
        <v>167</v>
      </c>
      <c r="I263" s="20" t="s">
        <v>116</v>
      </c>
      <c r="J263" s="35" t="s">
        <v>114</v>
      </c>
      <c r="K263" s="39"/>
    </row>
    <row r="264" spans="1:11">
      <c r="A264" s="32">
        <v>161</v>
      </c>
      <c r="B264" s="32" t="s">
        <v>180</v>
      </c>
      <c r="C264" s="36"/>
      <c r="D264" s="34" t="str">
        <f>HYPERLINK("#摆设!杉木置物架","杉木置物架")</f>
        <v>杉木置物架</v>
      </c>
      <c r="E264" s="26">
        <f>摆设!D268</f>
        <v>0</v>
      </c>
      <c r="F264" s="26">
        <v>1</v>
      </c>
      <c r="G264" s="35" t="s">
        <v>161</v>
      </c>
      <c r="H264" s="35" t="s">
        <v>127</v>
      </c>
      <c r="I264" s="25" t="s">
        <v>135</v>
      </c>
      <c r="J264" s="35" t="s">
        <v>114</v>
      </c>
      <c r="K264" s="39"/>
    </row>
    <row r="265" spans="1:11">
      <c r="A265" s="32">
        <v>162</v>
      </c>
      <c r="B265" s="32" t="s">
        <v>180</v>
      </c>
      <c r="C265" s="36"/>
      <c r="D265" s="34" t="str">
        <f>HYPERLINK("#摆设!杉木武器架","杉木武器架")</f>
        <v>杉木武器架</v>
      </c>
      <c r="E265" s="26">
        <f>摆设!D269</f>
        <v>0</v>
      </c>
      <c r="F265" s="26">
        <v>1</v>
      </c>
      <c r="G265" s="35" t="s">
        <v>161</v>
      </c>
      <c r="H265" s="35" t="s">
        <v>127</v>
      </c>
      <c r="I265" s="25" t="s">
        <v>135</v>
      </c>
      <c r="J265" s="35" t="s">
        <v>114</v>
      </c>
      <c r="K265" s="39"/>
    </row>
    <row r="266" spans="1:11">
      <c r="A266" s="32">
        <v>163</v>
      </c>
      <c r="B266" s="32" t="s">
        <v>180</v>
      </c>
      <c r="C266" s="36"/>
      <c r="D266" s="34" t="str">
        <f>HYPERLINK("#摆设!硬木兵戈架","硬木兵戈架")</f>
        <v>硬木兵戈架</v>
      </c>
      <c r="E266" s="26">
        <f>摆设!D252</f>
        <v>0</v>
      </c>
      <c r="F266" s="26">
        <v>1</v>
      </c>
      <c r="G266" s="35" t="s">
        <v>161</v>
      </c>
      <c r="H266" s="35" t="s">
        <v>127</v>
      </c>
      <c r="I266" s="20" t="s">
        <v>116</v>
      </c>
      <c r="J266" s="35" t="s">
        <v>114</v>
      </c>
      <c r="K266" s="39"/>
    </row>
    <row r="267" spans="1:11">
      <c r="A267" s="32">
        <v>164</v>
      </c>
      <c r="B267" s="32" t="s">
        <v>180</v>
      </c>
      <c r="C267" s="36"/>
      <c r="D267" s="34" t="str">
        <f>HYPERLINK("#摆设!丘丘木制围栏","丘丘木制围栏")</f>
        <v>丘丘木制围栏</v>
      </c>
      <c r="E267" s="26">
        <f>摆设!D289</f>
        <v>0</v>
      </c>
      <c r="F267" s="26">
        <v>2</v>
      </c>
      <c r="G267" s="35" t="s">
        <v>162</v>
      </c>
      <c r="H267" s="35" t="s">
        <v>179</v>
      </c>
      <c r="I267" s="25" t="s">
        <v>135</v>
      </c>
      <c r="J267" s="35" t="s">
        <v>114</v>
      </c>
      <c r="K267" s="39"/>
    </row>
    <row r="268" spans="1:11">
      <c r="A268" s="32">
        <v>165</v>
      </c>
      <c r="B268" s="32" t="s">
        <v>180</v>
      </c>
      <c r="C268" s="36"/>
      <c r="D268" s="34" t="str">
        <f>HYPERLINK("#摆设!丘丘图腾围栏","丘丘图腾围栏")</f>
        <v>丘丘图腾围栏</v>
      </c>
      <c r="E268" s="26">
        <f>摆设!D290</f>
        <v>0</v>
      </c>
      <c r="F268" s="26">
        <v>2</v>
      </c>
      <c r="G268" s="35" t="s">
        <v>162</v>
      </c>
      <c r="H268" s="35" t="s">
        <v>179</v>
      </c>
      <c r="I268" s="25" t="s">
        <v>135</v>
      </c>
      <c r="J268" s="35" t="s">
        <v>114</v>
      </c>
      <c r="K268" s="39"/>
    </row>
    <row r="269" spans="1:11">
      <c r="A269" s="32"/>
      <c r="B269" s="32"/>
      <c r="C269" s="36"/>
      <c r="D269" s="37"/>
      <c r="E269" s="26"/>
      <c r="F269" s="26"/>
      <c r="G269" s="35"/>
      <c r="H269" s="35"/>
      <c r="I269" s="35"/>
      <c r="J269" s="35"/>
      <c r="K269" s="39"/>
    </row>
    <row r="270" spans="1:11">
      <c r="A270" s="32">
        <v>166</v>
      </c>
      <c r="B270" s="32" t="s">
        <v>186</v>
      </c>
      <c r="C270" s="33" t="s">
        <v>186</v>
      </c>
      <c r="D270" s="34" t="str">
        <f>HYPERLINK("#摆设!「学者的倦怠」","「学者的倦怠」")</f>
        <v>「学者的倦怠」</v>
      </c>
      <c r="E270" s="26">
        <f>摆设!D92</f>
        <v>0</v>
      </c>
      <c r="F270" s="26">
        <v>1</v>
      </c>
      <c r="G270" s="35" t="s">
        <v>120</v>
      </c>
      <c r="H270" s="35" t="s">
        <v>122</v>
      </c>
      <c r="I270" s="20" t="s">
        <v>116</v>
      </c>
      <c r="J270" s="35" t="s">
        <v>114</v>
      </c>
      <c r="K270" s="39"/>
    </row>
    <row r="271" spans="1:11">
      <c r="A271" s="32">
        <v>167</v>
      </c>
      <c r="B271" s="32" t="s">
        <v>186</v>
      </c>
      <c r="C271" s="36"/>
      <c r="D271" s="34" t="str">
        <f>HYPERLINK("#摆设!硬顶避雷帐篷","硬顶避雷帐篷")</f>
        <v>硬顶避雷帐篷</v>
      </c>
      <c r="E271" s="26">
        <f>摆设!D158</f>
        <v>0</v>
      </c>
      <c r="F271" s="26">
        <v>1</v>
      </c>
      <c r="G271" s="35" t="s">
        <v>154</v>
      </c>
      <c r="H271" s="35" t="s">
        <v>174</v>
      </c>
      <c r="I271" s="20" t="s">
        <v>116</v>
      </c>
      <c r="J271" s="35" t="s">
        <v>187</v>
      </c>
      <c r="K271" s="39"/>
    </row>
    <row r="272" spans="1:11">
      <c r="A272" s="32">
        <v>168</v>
      </c>
      <c r="B272" s="32" t="s">
        <v>186</v>
      </c>
      <c r="C272" s="36"/>
      <c r="D272" s="34" t="str">
        <f>HYPERLINK("#摆设!简易单人帐篷","简易单人帐篷")</f>
        <v>简易单人帐篷</v>
      </c>
      <c r="E272" s="26">
        <f>摆设!D159</f>
        <v>0</v>
      </c>
      <c r="F272" s="26">
        <v>1</v>
      </c>
      <c r="G272" s="35" t="s">
        <v>154</v>
      </c>
      <c r="H272" s="35" t="s">
        <v>174</v>
      </c>
      <c r="I272" s="20" t="s">
        <v>116</v>
      </c>
      <c r="J272" s="35" t="s">
        <v>187</v>
      </c>
      <c r="K272" s="39"/>
    </row>
    <row r="273" spans="1:11">
      <c r="A273" s="32">
        <v>169</v>
      </c>
      <c r="B273" s="32" t="s">
        <v>186</v>
      </c>
      <c r="C273" s="36"/>
      <c r="D273" s="34" t="str">
        <f>HYPERLINK("#摆设!纤拳石","纤拳石")</f>
        <v>纤拳石</v>
      </c>
      <c r="E273" s="26">
        <f>摆设!D191</f>
        <v>0</v>
      </c>
      <c r="F273" s="26">
        <v>2</v>
      </c>
      <c r="G273" s="35" t="s">
        <v>157</v>
      </c>
      <c r="H273" s="35" t="s">
        <v>158</v>
      </c>
      <c r="I273" s="20" t="s">
        <v>116</v>
      </c>
      <c r="J273" s="35" t="s">
        <v>145</v>
      </c>
      <c r="K273" s="39"/>
    </row>
    <row r="274" spans="1:11">
      <c r="A274" s="32">
        <v>170</v>
      </c>
      <c r="B274" s="32" t="s">
        <v>186</v>
      </c>
      <c r="C274" s="36"/>
      <c r="D274" s="34" t="str">
        <f>HYPERLINK("#摆设!天衡赤枫—「红叶如灼」","天衡赤枫—「红叶如灼」")</f>
        <v>天衡赤枫—「红叶如灼」</v>
      </c>
      <c r="E274" s="26">
        <f>摆设!D197</f>
        <v>0</v>
      </c>
      <c r="F274" s="26">
        <v>1</v>
      </c>
      <c r="G274" s="35" t="s">
        <v>157</v>
      </c>
      <c r="H274" s="35" t="s">
        <v>159</v>
      </c>
      <c r="I274" s="20" t="s">
        <v>116</v>
      </c>
      <c r="J274" s="35" t="s">
        <v>145</v>
      </c>
      <c r="K274" s="39"/>
    </row>
    <row r="275" spans="1:11">
      <c r="A275" s="32">
        <v>171</v>
      </c>
      <c r="B275" s="32" t="s">
        <v>186</v>
      </c>
      <c r="C275" s="36"/>
      <c r="D275" s="34" t="str">
        <f>HYPERLINK("#摆设!「明冠羽叶」","「明冠羽叶」")</f>
        <v>「明冠羽叶」</v>
      </c>
      <c r="E275" s="26">
        <f>摆设!D208</f>
        <v>0</v>
      </c>
      <c r="F275" s="26">
        <v>1</v>
      </c>
      <c r="G275" s="35" t="s">
        <v>157</v>
      </c>
      <c r="H275" s="35" t="s">
        <v>160</v>
      </c>
      <c r="I275" s="20" t="s">
        <v>116</v>
      </c>
      <c r="J275" s="35" t="s">
        <v>166</v>
      </c>
      <c r="K275" s="39"/>
    </row>
    <row r="276" spans="1:11">
      <c r="A276" s="32">
        <v>172</v>
      </c>
      <c r="B276" s="32" t="s">
        <v>186</v>
      </c>
      <c r="C276" s="36"/>
      <c r="D276" s="34" t="str">
        <f>HYPERLINK("#摆设!青衫问寒","青衫问寒")</f>
        <v>青衫问寒</v>
      </c>
      <c r="E276" s="26">
        <f>摆设!D219</f>
        <v>0</v>
      </c>
      <c r="F276" s="26">
        <v>2</v>
      </c>
      <c r="G276" s="35" t="s">
        <v>157</v>
      </c>
      <c r="H276" s="35" t="s">
        <v>160</v>
      </c>
      <c r="I276" s="25" t="s">
        <v>135</v>
      </c>
      <c r="J276" s="35" t="s">
        <v>145</v>
      </c>
      <c r="K276" s="39"/>
    </row>
    <row r="277" spans="1:11">
      <c r="A277" s="32">
        <v>173</v>
      </c>
      <c r="B277" s="32" t="s">
        <v>186</v>
      </c>
      <c r="C277" s="36"/>
      <c r="D277" s="34" t="str">
        <f>HYPERLINK("#摆设!枯木方向标","枯木方向标")</f>
        <v>枯木方向标</v>
      </c>
      <c r="E277" s="26">
        <f>摆设!D240</f>
        <v>0</v>
      </c>
      <c r="F277" s="26">
        <v>1</v>
      </c>
      <c r="G277" s="35" t="s">
        <v>161</v>
      </c>
      <c r="H277" s="35" t="s">
        <v>167</v>
      </c>
      <c r="I277" s="25" t="s">
        <v>135</v>
      </c>
      <c r="J277" s="35" t="s">
        <v>187</v>
      </c>
      <c r="K277" s="39"/>
    </row>
    <row r="278" spans="1:11">
      <c r="A278" s="32">
        <v>174</v>
      </c>
      <c r="B278" s="32" t="s">
        <v>186</v>
      </c>
      <c r="C278" s="36"/>
      <c r="D278" s="34" t="str">
        <f>HYPERLINK("#摆设!「冒险家难逃之重」","「冒险家难逃之重」")</f>
        <v>「冒险家难逃之重」</v>
      </c>
      <c r="E278" s="26">
        <f>摆设!D230</f>
        <v>0</v>
      </c>
      <c r="F278" s="26">
        <v>1</v>
      </c>
      <c r="G278" s="35" t="s">
        <v>161</v>
      </c>
      <c r="H278" s="35" t="s">
        <v>167</v>
      </c>
      <c r="I278" s="20" t="s">
        <v>116</v>
      </c>
      <c r="J278" s="35" t="s">
        <v>188</v>
      </c>
      <c r="K278" s="39"/>
    </row>
    <row r="279" spans="1:11">
      <c r="A279" s="32">
        <v>175</v>
      </c>
      <c r="B279" s="32" t="s">
        <v>186</v>
      </c>
      <c r="C279" s="36"/>
      <c r="D279" s="34" t="str">
        <f>HYPERLINK("#摆设!「冒险家的随身秘宝」","「冒险家的随身秘宝」")</f>
        <v>「冒险家的随身秘宝」</v>
      </c>
      <c r="E279" s="26">
        <f>摆设!D255</f>
        <v>0</v>
      </c>
      <c r="F279" s="26">
        <v>1</v>
      </c>
      <c r="G279" s="35" t="s">
        <v>161</v>
      </c>
      <c r="H279" s="35" t="s">
        <v>127</v>
      </c>
      <c r="I279" s="20" t="s">
        <v>116</v>
      </c>
      <c r="J279" s="35" t="s">
        <v>114</v>
      </c>
      <c r="K279" s="39"/>
    </row>
    <row r="280" spans="1:11">
      <c r="A280" s="32"/>
      <c r="B280" s="32"/>
      <c r="C280" s="36"/>
      <c r="D280" s="37"/>
      <c r="E280" s="26"/>
      <c r="F280" s="26"/>
      <c r="G280" s="35"/>
      <c r="H280" s="35"/>
      <c r="I280" s="35"/>
      <c r="J280" s="35"/>
      <c r="K280" s="39"/>
    </row>
    <row r="281" spans="1:11">
      <c r="A281" s="32">
        <v>176</v>
      </c>
      <c r="B281" s="32" t="s">
        <v>189</v>
      </c>
      <c r="C281" s="33" t="s">
        <v>189</v>
      </c>
      <c r="D281" s="34" t="str">
        <f>HYPERLINK("#摆设!工程暂驻点","工程暂驻点")</f>
        <v>工程暂驻点</v>
      </c>
      <c r="E281" s="26">
        <f>摆设!D129</f>
        <v>0</v>
      </c>
      <c r="F281" s="26">
        <v>1</v>
      </c>
      <c r="G281" s="35" t="s">
        <v>169</v>
      </c>
      <c r="H281" s="35" t="s">
        <v>170</v>
      </c>
      <c r="I281" s="25" t="s">
        <v>135</v>
      </c>
      <c r="J281" s="35" t="s">
        <v>114</v>
      </c>
      <c r="K281" s="39"/>
    </row>
    <row r="282" spans="1:11">
      <c r="A282" s="32">
        <v>177</v>
      </c>
      <c r="B282" s="32" t="s">
        <v>189</v>
      </c>
      <c r="C282" s="36"/>
      <c r="D282" s="34" t="str">
        <f>HYPERLINK("#摆设!有序叠放的杉木酒桶","有序叠放的杉木酒桶")</f>
        <v>有序叠放的杉木酒桶</v>
      </c>
      <c r="E282" s="26">
        <f>摆设!D237</f>
        <v>0</v>
      </c>
      <c r="F282" s="26">
        <v>1</v>
      </c>
      <c r="G282" s="35" t="s">
        <v>161</v>
      </c>
      <c r="H282" s="35" t="s">
        <v>167</v>
      </c>
      <c r="I282" s="25" t="s">
        <v>135</v>
      </c>
      <c r="J282" s="35" t="s">
        <v>114</v>
      </c>
      <c r="K282" s="39"/>
    </row>
    <row r="283" spans="1:11">
      <c r="A283" s="32">
        <v>178</v>
      </c>
      <c r="B283" s="32" t="s">
        <v>189</v>
      </c>
      <c r="C283" s="36"/>
      <c r="D283" s="34" t="str">
        <f>HYPERLINK("#摆设!结实的木桶","结实的木桶")</f>
        <v>结实的木桶</v>
      </c>
      <c r="E283" s="26">
        <f>摆设!D241</f>
        <v>0</v>
      </c>
      <c r="F283" s="26">
        <v>1</v>
      </c>
      <c r="G283" s="35" t="s">
        <v>161</v>
      </c>
      <c r="H283" s="35" t="s">
        <v>167</v>
      </c>
      <c r="I283" s="25" t="s">
        <v>135</v>
      </c>
      <c r="J283" s="35" t="s">
        <v>114</v>
      </c>
      <c r="K283" s="39"/>
    </row>
    <row r="284" spans="1:11">
      <c r="A284" s="32">
        <v>179</v>
      </c>
      <c r="B284" s="32" t="s">
        <v>189</v>
      </c>
      <c r="C284" s="36"/>
      <c r="D284" s="34" t="str">
        <f>HYPERLINK("#摆设!高耸的木杆","高耸的木杆")</f>
        <v>高耸的木杆</v>
      </c>
      <c r="E284" s="26">
        <f>摆设!D242</f>
        <v>0</v>
      </c>
      <c r="F284" s="26">
        <v>2</v>
      </c>
      <c r="G284" s="35" t="s">
        <v>161</v>
      </c>
      <c r="H284" s="35" t="s">
        <v>167</v>
      </c>
      <c r="I284" s="25" t="s">
        <v>135</v>
      </c>
      <c r="J284" s="35" t="s">
        <v>114</v>
      </c>
      <c r="K284" s="39"/>
    </row>
    <row r="285" spans="1:11">
      <c r="A285" s="32">
        <v>180</v>
      </c>
      <c r="B285" s="32" t="s">
        <v>189</v>
      </c>
      <c r="C285" s="36"/>
      <c r="D285" s="34" t="str">
        <f>HYPERLINK("#摆设!转移壅土的木桶","转移壅土的木桶")</f>
        <v>转移壅土的木桶</v>
      </c>
      <c r="E285" s="26">
        <f>摆设!D250</f>
        <v>0</v>
      </c>
      <c r="F285" s="26">
        <v>1</v>
      </c>
      <c r="G285" s="35" t="s">
        <v>161</v>
      </c>
      <c r="H285" s="35" t="s">
        <v>190</v>
      </c>
      <c r="I285" s="25" t="s">
        <v>135</v>
      </c>
      <c r="J285" s="35" t="s">
        <v>114</v>
      </c>
      <c r="K285" s="39"/>
    </row>
    <row r="286" spans="1:11">
      <c r="A286" s="32">
        <v>181</v>
      </c>
      <c r="B286" s="32" t="s">
        <v>189</v>
      </c>
      <c r="C286" s="36"/>
      <c r="D286" s="34" t="str">
        <f>HYPERLINK("#摆设!简易货运拖车","简易货运拖车")</f>
        <v>简易货运拖车</v>
      </c>
      <c r="E286" s="26">
        <f>摆设!D270</f>
        <v>0</v>
      </c>
      <c r="F286" s="26">
        <v>1</v>
      </c>
      <c r="G286" s="35" t="s">
        <v>161</v>
      </c>
      <c r="H286" s="35" t="s">
        <v>127</v>
      </c>
      <c r="I286" s="25" t="s">
        <v>135</v>
      </c>
      <c r="J286" s="35" t="s">
        <v>114</v>
      </c>
      <c r="K286" s="39"/>
    </row>
    <row r="287" spans="1:11">
      <c r="A287" s="32">
        <v>182</v>
      </c>
      <c r="B287" s="32" t="s">
        <v>189</v>
      </c>
      <c r="C287" s="36"/>
      <c r="D287" s="34" t="str">
        <f>HYPERLINK("#摆设!野外松木路灯","野外松木路灯")</f>
        <v>野外松木路灯</v>
      </c>
      <c r="E287" s="26">
        <f>摆设!D280</f>
        <v>0</v>
      </c>
      <c r="F287" s="26">
        <v>1</v>
      </c>
      <c r="G287" s="35" t="s">
        <v>161</v>
      </c>
      <c r="H287" s="35" t="s">
        <v>128</v>
      </c>
      <c r="I287" s="25" t="s">
        <v>135</v>
      </c>
      <c r="J287" s="35" t="s">
        <v>165</v>
      </c>
      <c r="K287" s="39"/>
    </row>
    <row r="288" spans="1:11">
      <c r="A288" s="32">
        <v>183</v>
      </c>
      <c r="B288" s="32" t="s">
        <v>189</v>
      </c>
      <c r="C288" s="36"/>
      <c r="D288" s="34" t="str">
        <f>HYPERLINK("#摆设!葱郁的葡萄藤","葱郁的葡萄藤")</f>
        <v>葱郁的葡萄藤</v>
      </c>
      <c r="E288" s="26">
        <f>摆设!D285</f>
        <v>0</v>
      </c>
      <c r="F288" s="26">
        <v>8</v>
      </c>
      <c r="G288" s="35" t="s">
        <v>162</v>
      </c>
      <c r="H288" s="35" t="s">
        <v>179</v>
      </c>
      <c r="I288" s="20" t="s">
        <v>116</v>
      </c>
      <c r="J288" s="35" t="s">
        <v>114</v>
      </c>
      <c r="K288" s="39"/>
    </row>
    <row r="289" spans="1:11">
      <c r="A289" s="32">
        <v>184</v>
      </c>
      <c r="B289" s="32" t="s">
        <v>189</v>
      </c>
      <c r="C289" s="36"/>
      <c r="D289" s="34" t="str">
        <f>HYPERLINK("#摆设!简易木制围栏","简易木制围栏")</f>
        <v>简易木制围栏</v>
      </c>
      <c r="E289" s="26">
        <f>摆设!D291</f>
        <v>0</v>
      </c>
      <c r="F289" s="26">
        <v>2</v>
      </c>
      <c r="G289" s="35" t="s">
        <v>162</v>
      </c>
      <c r="H289" s="35" t="s">
        <v>179</v>
      </c>
      <c r="I289" s="25" t="s">
        <v>135</v>
      </c>
      <c r="J289" s="35" t="s">
        <v>114</v>
      </c>
      <c r="K289" s="39"/>
    </row>
    <row r="290" spans="1:11">
      <c r="A290" s="32">
        <v>185</v>
      </c>
      <c r="B290" s="32" t="s">
        <v>189</v>
      </c>
      <c r="C290" s="36"/>
      <c r="D290" s="34" t="str">
        <f>HYPERLINK("#摆设!施工过半的围栏","施工过半的围栏")</f>
        <v>施工过半的围栏</v>
      </c>
      <c r="E290" s="26">
        <f>摆设!D292</f>
        <v>0</v>
      </c>
      <c r="F290" s="26">
        <v>2</v>
      </c>
      <c r="G290" s="35" t="s">
        <v>162</v>
      </c>
      <c r="H290" s="35" t="s">
        <v>179</v>
      </c>
      <c r="I290" s="25" t="s">
        <v>135</v>
      </c>
      <c r="J290" s="35" t="s">
        <v>114</v>
      </c>
      <c r="K290" s="39"/>
    </row>
    <row r="291" spans="1:11">
      <c r="A291" s="32"/>
      <c r="B291" s="32"/>
      <c r="C291" s="36"/>
      <c r="D291" s="37"/>
      <c r="E291" s="26"/>
      <c r="F291" s="26"/>
      <c r="G291" s="35"/>
      <c r="H291" s="35"/>
      <c r="I291" s="35"/>
      <c r="J291" s="35"/>
      <c r="K291" s="39"/>
    </row>
    <row r="292" spans="1:12">
      <c r="A292" s="32"/>
      <c r="B292" s="32"/>
      <c r="C292" s="33" t="s">
        <v>191</v>
      </c>
      <c r="D292" s="34" t="str">
        <f>HYPERLINK("#摆设!要地牙门—「云底之能」","要地牙门—「云底之能」")</f>
        <v>要地牙门—「云底之能」</v>
      </c>
      <c r="E292" s="26">
        <f>摆设!D112</f>
        <v>0</v>
      </c>
      <c r="F292" s="26">
        <v>1</v>
      </c>
      <c r="G292" s="35" t="s">
        <v>169</v>
      </c>
      <c r="H292" s="35" t="s">
        <v>176</v>
      </c>
      <c r="I292" s="20" t="s">
        <v>116</v>
      </c>
      <c r="J292" s="35" t="s">
        <v>139</v>
      </c>
      <c r="K292" s="39"/>
      <c r="L292" s="45" t="s">
        <v>140</v>
      </c>
    </row>
    <row r="293" spans="1:12">
      <c r="A293" s="32"/>
      <c r="B293" s="32"/>
      <c r="C293" s="40"/>
      <c r="D293" s="34" t="str">
        <f>HYPERLINK("#摆设!要地栏楯—「约己之壁」","要地栏楯—「约己之壁」")</f>
        <v>要地栏楯—「约己之壁」</v>
      </c>
      <c r="E293" s="26">
        <f>摆设!D113</f>
        <v>0</v>
      </c>
      <c r="F293" s="26">
        <v>4</v>
      </c>
      <c r="G293" s="35" t="s">
        <v>169</v>
      </c>
      <c r="H293" s="35" t="s">
        <v>176</v>
      </c>
      <c r="I293" s="20" t="s">
        <v>116</v>
      </c>
      <c r="J293" s="35" t="s">
        <v>139</v>
      </c>
      <c r="K293" s="39"/>
      <c r="L293" s="45"/>
    </row>
    <row r="294" spans="1:12">
      <c r="A294" s="32"/>
      <c r="B294" s="32"/>
      <c r="C294" s="40"/>
      <c r="D294" s="34" t="str">
        <f>HYPERLINK("#摆设!栏楯转角—「瞩视无遗」","栏楯转角—「瞩视无遗」")</f>
        <v>栏楯转角—「瞩视无遗」</v>
      </c>
      <c r="E294" s="26">
        <f>摆设!D114</f>
        <v>0</v>
      </c>
      <c r="F294" s="26">
        <v>3</v>
      </c>
      <c r="G294" s="35" t="s">
        <v>169</v>
      </c>
      <c r="H294" s="35" t="s">
        <v>176</v>
      </c>
      <c r="I294" s="20" t="s">
        <v>116</v>
      </c>
      <c r="J294" s="35" t="s">
        <v>139</v>
      </c>
      <c r="K294" s="39"/>
      <c r="L294" s="45"/>
    </row>
    <row r="295" spans="1:12">
      <c r="A295" s="32"/>
      <c r="B295" s="32"/>
      <c r="C295" s="40"/>
      <c r="D295" s="34" t="str">
        <f>HYPERLINK("#摆设!稻妻官邸—「严谕正办」","稻妻官邸—「严谕正办」")</f>
        <v>稻妻官邸—「严谕正办」</v>
      </c>
      <c r="E295" s="26">
        <f>摆设!D166</f>
        <v>0</v>
      </c>
      <c r="F295" s="26">
        <v>1</v>
      </c>
      <c r="G295" s="35" t="s">
        <v>154</v>
      </c>
      <c r="H295" s="35" t="s">
        <v>192</v>
      </c>
      <c r="I295" s="24" t="s">
        <v>112</v>
      </c>
      <c r="J295" s="35" t="s">
        <v>139</v>
      </c>
      <c r="K295" s="39"/>
      <c r="L295" s="45"/>
    </row>
    <row r="296" spans="1:12">
      <c r="A296" s="32"/>
      <c r="B296" s="32"/>
      <c r="C296" s="40"/>
      <c r="D296" s="34" t="str">
        <f>HYPERLINK("#摆设!官邸回廊—「势至权达」","官邸回廊—「势至权达」")</f>
        <v>官邸回廊—「势至权达」</v>
      </c>
      <c r="E296" s="26">
        <f>摆设!D167</f>
        <v>0</v>
      </c>
      <c r="F296" s="26">
        <v>2</v>
      </c>
      <c r="G296" s="35" t="s">
        <v>154</v>
      </c>
      <c r="H296" s="35" t="s">
        <v>192</v>
      </c>
      <c r="I296" s="24" t="s">
        <v>112</v>
      </c>
      <c r="J296" s="35" t="s">
        <v>139</v>
      </c>
      <c r="K296" s="39"/>
      <c r="L296" s="45"/>
    </row>
    <row r="297" spans="1:12">
      <c r="A297" s="32"/>
      <c r="B297" s="32"/>
      <c r="C297" s="40"/>
      <c r="D297" s="34" t="str">
        <f>HYPERLINK("#摆设!「红鸢问寝觉」","「红鸢问寝觉」")</f>
        <v>「红鸢问寝觉」</v>
      </c>
      <c r="E297" s="26">
        <f>摆设!D201</f>
        <v>0</v>
      </c>
      <c r="F297" s="26">
        <v>1</v>
      </c>
      <c r="G297" s="35" t="s">
        <v>157</v>
      </c>
      <c r="H297" s="35" t="s">
        <v>159</v>
      </c>
      <c r="I297" s="20" t="s">
        <v>116</v>
      </c>
      <c r="J297" s="35" t="s">
        <v>145</v>
      </c>
      <c r="K297" s="39"/>
      <c r="L297" s="45"/>
    </row>
    <row r="298" spans="1:12">
      <c r="A298" s="32"/>
      <c r="B298" s="32"/>
      <c r="C298" s="40"/>
      <c r="D298" s="34" t="str">
        <f>HYPERLINK("#摆设!「片叶苏芳缀银朱」","「片叶苏芳缀银朱」")</f>
        <v>「片叶苏芳缀银朱」</v>
      </c>
      <c r="E298" s="26">
        <f>摆设!D203</f>
        <v>0</v>
      </c>
      <c r="F298" s="26">
        <v>2</v>
      </c>
      <c r="G298" s="35" t="s">
        <v>157</v>
      </c>
      <c r="H298" s="35" t="s">
        <v>159</v>
      </c>
      <c r="I298" s="20" t="s">
        <v>116</v>
      </c>
      <c r="J298" s="35" t="s">
        <v>145</v>
      </c>
      <c r="K298" s="39"/>
      <c r="L298" s="45"/>
    </row>
    <row r="299" spans="1:12">
      <c r="A299" s="32"/>
      <c r="B299" s="32"/>
      <c r="C299" s="40"/>
      <c r="D299" s="34" t="str">
        <f>HYPERLINK("#摆设!阵屋半钟—「轰雷之音」","阵屋半钟—「轰雷之音」")</f>
        <v>阵屋半钟—「轰雷之音」</v>
      </c>
      <c r="E299" s="26">
        <f>摆设!D232</f>
        <v>0</v>
      </c>
      <c r="F299" s="26">
        <v>1</v>
      </c>
      <c r="G299" s="35" t="s">
        <v>161</v>
      </c>
      <c r="H299" s="35" t="s">
        <v>167</v>
      </c>
      <c r="I299" s="20" t="s">
        <v>116</v>
      </c>
      <c r="J299" s="35" t="s">
        <v>193</v>
      </c>
      <c r="K299" s="39"/>
      <c r="L299" s="45"/>
    </row>
    <row r="300" spans="1:12">
      <c r="A300" s="32"/>
      <c r="B300" s="32"/>
      <c r="C300" s="40"/>
      <c r="D300" s="34" t="str">
        <f>HYPERLINK("#摆设!军势钲鼓—「破阵余响」","军势钲鼓—「破阵余响」")</f>
        <v>军势钲鼓—「破阵余响」</v>
      </c>
      <c r="E300" s="26">
        <f>摆设!D221</f>
        <v>0</v>
      </c>
      <c r="F300" s="26">
        <v>2</v>
      </c>
      <c r="G300" s="35" t="s">
        <v>161</v>
      </c>
      <c r="H300" s="35" t="s">
        <v>167</v>
      </c>
      <c r="I300" s="24" t="s">
        <v>112</v>
      </c>
      <c r="J300" s="35" t="s">
        <v>194</v>
      </c>
      <c r="K300" s="39"/>
      <c r="L300" s="45"/>
    </row>
    <row r="301" spans="1:12">
      <c r="A301" s="32"/>
      <c r="B301" s="32"/>
      <c r="C301" s="40"/>
      <c r="D301" s="37"/>
      <c r="E301" s="26"/>
      <c r="F301" s="26"/>
      <c r="G301" s="35"/>
      <c r="H301" s="35"/>
      <c r="I301" s="35"/>
      <c r="J301" s="35"/>
      <c r="K301" s="39"/>
      <c r="L301" s="45"/>
    </row>
    <row r="302" spans="1:12">
      <c r="A302" s="32"/>
      <c r="B302" s="32"/>
      <c r="C302" s="33" t="s">
        <v>195</v>
      </c>
      <c r="D302" s="34" t="str">
        <f>HYPERLINK("#摆设!温泉屏风—「适分」","温泉屏风—「适分」")</f>
        <v>温泉屏风—「适分」</v>
      </c>
      <c r="E302" s="26">
        <f>摆设!D118</f>
        <v>0</v>
      </c>
      <c r="F302" s="26">
        <v>2</v>
      </c>
      <c r="G302" s="35" t="s">
        <v>169</v>
      </c>
      <c r="H302" s="35" t="s">
        <v>176</v>
      </c>
      <c r="I302" s="20" t="s">
        <v>116</v>
      </c>
      <c r="J302" s="35" t="s">
        <v>114</v>
      </c>
      <c r="K302" s="39"/>
      <c r="L302" s="48"/>
    </row>
    <row r="303" spans="1:12">
      <c r="A303" s="32"/>
      <c r="B303" s="32"/>
      <c r="C303" s="40"/>
      <c r="D303" s="34" t="str">
        <f>HYPERLINK("#摆设!温泉外墙—「无越」","温泉外墙—「无越」")</f>
        <v>温泉外墙—「无越」</v>
      </c>
      <c r="E303" s="26">
        <f>摆设!D119</f>
        <v>0</v>
      </c>
      <c r="F303" s="26">
        <v>6</v>
      </c>
      <c r="G303" s="35" t="s">
        <v>169</v>
      </c>
      <c r="H303" s="35" t="s">
        <v>176</v>
      </c>
      <c r="I303" s="20" t="s">
        <v>116</v>
      </c>
      <c r="J303" s="35" t="s">
        <v>114</v>
      </c>
      <c r="K303" s="39"/>
      <c r="L303" s="48"/>
    </row>
    <row r="304" spans="1:12">
      <c r="A304" s="32"/>
      <c r="B304" s="32"/>
      <c r="C304" s="40"/>
      <c r="D304" s="34" t="str">
        <f>HYPERLINK("#摆设!温泉墙板—「稳足」","温泉墙板—「稳足」")</f>
        <v>温泉墙板—「稳足」</v>
      </c>
      <c r="E304" s="26">
        <f>摆设!D120</f>
        <v>0</v>
      </c>
      <c r="F304" s="26">
        <v>1</v>
      </c>
      <c r="G304" s="35" t="s">
        <v>169</v>
      </c>
      <c r="H304" s="35" t="s">
        <v>176</v>
      </c>
      <c r="I304" s="20" t="s">
        <v>116</v>
      </c>
      <c r="J304" s="35" t="s">
        <v>114</v>
      </c>
      <c r="K304" s="39"/>
      <c r="L304" s="48"/>
    </row>
    <row r="305" spans="1:12">
      <c r="A305" s="32"/>
      <c r="B305" s="32"/>
      <c r="C305" s="40"/>
      <c r="D305" s="34" t="str">
        <f>HYPERLINK("#摆设!温泉门厅—「避凉」","温泉门厅—「避凉」")</f>
        <v>温泉门厅—「避凉」</v>
      </c>
      <c r="E305" s="26">
        <f>摆设!D121</f>
        <v>0</v>
      </c>
      <c r="F305" s="26">
        <v>1</v>
      </c>
      <c r="G305" s="35" t="s">
        <v>169</v>
      </c>
      <c r="H305" s="35" t="s">
        <v>176</v>
      </c>
      <c r="I305" s="20" t="s">
        <v>116</v>
      </c>
      <c r="J305" s="35" t="s">
        <v>114</v>
      </c>
      <c r="K305" s="39"/>
      <c r="L305" s="48"/>
    </row>
    <row r="306" spans="1:12">
      <c r="A306" s="32"/>
      <c r="B306" s="32"/>
      <c r="C306" s="40"/>
      <c r="D306" s="34" t="str">
        <f>HYPERLINK("#摆设!白石温泉—「暖漫」","白石温泉—「暖漫」")</f>
        <v>白石温泉—「暖漫」</v>
      </c>
      <c r="E306" s="26">
        <f>摆设!D127</f>
        <v>0</v>
      </c>
      <c r="F306" s="26">
        <v>1</v>
      </c>
      <c r="G306" s="35" t="s">
        <v>169</v>
      </c>
      <c r="H306" s="35" t="s">
        <v>170</v>
      </c>
      <c r="I306" s="20" t="s">
        <v>116</v>
      </c>
      <c r="J306" s="35" t="s">
        <v>114</v>
      </c>
      <c r="K306" s="39"/>
      <c r="L306" s="48"/>
    </row>
    <row r="307" spans="1:12">
      <c r="A307" s="32"/>
      <c r="B307" s="32"/>
      <c r="C307" s="40"/>
      <c r="D307" s="34" t="str">
        <f>HYPERLINK("#摆设!寂修石","寂修石")</f>
        <v>寂修石</v>
      </c>
      <c r="E307" s="26">
        <f>摆设!D194</f>
        <v>0</v>
      </c>
      <c r="F307" s="26">
        <v>1</v>
      </c>
      <c r="G307" s="35" t="s">
        <v>157</v>
      </c>
      <c r="H307" s="35" t="s">
        <v>158</v>
      </c>
      <c r="I307" s="25" t="s">
        <v>135</v>
      </c>
      <c r="J307" s="35" t="s">
        <v>145</v>
      </c>
      <c r="K307" s="39"/>
      <c r="L307" s="48"/>
    </row>
    <row r="308" spans="1:12">
      <c r="A308" s="32"/>
      <c r="B308" s="32"/>
      <c r="C308" s="40"/>
      <c r="D308" s="34" t="str">
        <f>HYPERLINK("#摆设!涉浪石","涉浪石")</f>
        <v>涉浪石</v>
      </c>
      <c r="E308" s="26">
        <f>摆设!D195</f>
        <v>0</v>
      </c>
      <c r="F308" s="26">
        <v>1</v>
      </c>
      <c r="G308" s="35" t="s">
        <v>157</v>
      </c>
      <c r="H308" s="35" t="s">
        <v>158</v>
      </c>
      <c r="I308" s="25" t="s">
        <v>135</v>
      </c>
      <c r="J308" s="35" t="s">
        <v>145</v>
      </c>
      <c r="K308" s="39"/>
      <c r="L308" s="48"/>
    </row>
    <row r="309" spans="1:12">
      <c r="A309" s="32"/>
      <c r="B309" s="32"/>
      <c r="C309" s="40"/>
      <c r="D309" s="34" t="str">
        <f>HYPERLINK("#摆设!温泉白石—「秘火」","温泉白石—「秘火」")</f>
        <v>温泉白石—「秘火」</v>
      </c>
      <c r="E309" s="26">
        <f>摆设!D193</f>
        <v>0</v>
      </c>
      <c r="F309" s="26">
        <v>1</v>
      </c>
      <c r="G309" s="35" t="s">
        <v>157</v>
      </c>
      <c r="H309" s="35" t="s">
        <v>158</v>
      </c>
      <c r="I309" s="20" t="s">
        <v>116</v>
      </c>
      <c r="J309" s="35" t="s">
        <v>145</v>
      </c>
      <c r="K309" s="39"/>
      <c r="L309" s="48"/>
    </row>
    <row r="310" spans="1:12">
      <c r="A310" s="32"/>
      <c r="B310" s="32"/>
      <c r="C310" s="40"/>
      <c r="D310" s="34" t="str">
        <f>HYPERLINK("#摆设!「花咲初退红」","「花咲初退红」")</f>
        <v>「花咲初退红」</v>
      </c>
      <c r="E310" s="26">
        <f>摆设!D199</f>
        <v>0</v>
      </c>
      <c r="F310" s="26">
        <v>1</v>
      </c>
      <c r="G310" s="35" t="s">
        <v>157</v>
      </c>
      <c r="H310" s="35" t="s">
        <v>159</v>
      </c>
      <c r="I310" s="20" t="s">
        <v>116</v>
      </c>
      <c r="J310" s="35" t="s">
        <v>145</v>
      </c>
      <c r="K310" s="39"/>
      <c r="L310" s="48"/>
    </row>
    <row r="311" spans="1:12">
      <c r="A311" s="32"/>
      <c r="B311" s="32"/>
      <c r="C311" s="40"/>
      <c r="D311" s="34" t="str">
        <f>HYPERLINK("#摆设!「春惜一斤染」","「春惜一斤染」")</f>
        <v>「春惜一斤染」</v>
      </c>
      <c r="E311" s="26">
        <f>摆设!D200</f>
        <v>0</v>
      </c>
      <c r="F311" s="26">
        <v>1</v>
      </c>
      <c r="G311" s="35" t="s">
        <v>157</v>
      </c>
      <c r="H311" s="35" t="s">
        <v>159</v>
      </c>
      <c r="I311" s="20" t="s">
        <v>116</v>
      </c>
      <c r="J311" s="35" t="s">
        <v>145</v>
      </c>
      <c r="K311" s="39"/>
      <c r="L311" s="48"/>
    </row>
    <row r="312" spans="1:12">
      <c r="A312" s="32"/>
      <c r="B312" s="32"/>
      <c r="C312" s="40"/>
      <c r="D312" s="34" t="str">
        <f>HYPERLINK("#摆设!「薄红榴璃散千瓣」","「薄红榴璃散千瓣」")</f>
        <v>「薄红榴璃散千瓣」</v>
      </c>
      <c r="E312" s="26">
        <f>摆设!D213</f>
        <v>0</v>
      </c>
      <c r="F312" s="26">
        <v>2</v>
      </c>
      <c r="G312" s="35" t="s">
        <v>157</v>
      </c>
      <c r="H312" s="35" t="s">
        <v>160</v>
      </c>
      <c r="I312" s="20" t="s">
        <v>116</v>
      </c>
      <c r="J312" s="35" t="s">
        <v>145</v>
      </c>
      <c r="K312" s="39"/>
      <c r="L312" s="45" t="s">
        <v>140</v>
      </c>
    </row>
    <row r="313" spans="1:12">
      <c r="A313" s="32"/>
      <c r="B313" s="32"/>
      <c r="C313" s="40"/>
      <c r="D313" s="37"/>
      <c r="E313" s="26"/>
      <c r="F313" s="26"/>
      <c r="G313" s="35"/>
      <c r="H313" s="35"/>
      <c r="I313" s="35"/>
      <c r="J313" s="35"/>
      <c r="K313" s="39"/>
      <c r="L313" s="45"/>
    </row>
    <row r="314" spans="1:12">
      <c r="A314" s="32"/>
      <c r="B314" s="32"/>
      <c r="C314" s="33" t="s">
        <v>196</v>
      </c>
      <c r="D314" s="34" t="str">
        <f>HYPERLINK("#摆设!御伽木「近竹」院门","御伽木「近竹」院门")</f>
        <v>御伽木「近竹」院门</v>
      </c>
      <c r="E314" s="26">
        <f>摆设!D122</f>
        <v>0</v>
      </c>
      <c r="F314" s="26">
        <v>1</v>
      </c>
      <c r="G314" s="35" t="s">
        <v>169</v>
      </c>
      <c r="H314" s="35" t="s">
        <v>176</v>
      </c>
      <c r="I314" s="25" t="s">
        <v>135</v>
      </c>
      <c r="J314" s="35" t="s">
        <v>139</v>
      </c>
      <c r="K314" s="39"/>
      <c r="L314" s="45"/>
    </row>
    <row r="315" spans="1:12">
      <c r="A315" s="32"/>
      <c r="B315" s="32"/>
      <c r="C315" s="40"/>
      <c r="D315" s="34" t="str">
        <f>HYPERLINK("#摆设!御伽木「近竹」围栏","御伽木「近竹」围栏")</f>
        <v>御伽木「近竹」围栏</v>
      </c>
      <c r="E315" s="26">
        <f>摆设!D123</f>
        <v>0</v>
      </c>
      <c r="F315" s="26">
        <v>10</v>
      </c>
      <c r="G315" s="35" t="s">
        <v>169</v>
      </c>
      <c r="H315" s="35" t="s">
        <v>176</v>
      </c>
      <c r="I315" s="25" t="s">
        <v>135</v>
      </c>
      <c r="J315" s="35" t="s">
        <v>139</v>
      </c>
      <c r="K315" s="39"/>
      <c r="L315" s="45"/>
    </row>
    <row r="316" spans="1:12">
      <c r="A316" s="32"/>
      <c r="B316" s="32"/>
      <c r="C316" s="40"/>
      <c r="D316" s="34" t="str">
        <f>HYPERLINK("#摆设!稻妻筱屋—「静度岁晏」","稻妻筱屋—「静度岁晏」")</f>
        <v>稻妻筱屋—「静度岁晏」</v>
      </c>
      <c r="E316" s="26">
        <f>摆设!D174</f>
        <v>0</v>
      </c>
      <c r="F316" s="26">
        <v>1</v>
      </c>
      <c r="G316" s="35" t="s">
        <v>154</v>
      </c>
      <c r="H316" s="35" t="s">
        <v>192</v>
      </c>
      <c r="I316" s="20" t="s">
        <v>116</v>
      </c>
      <c r="J316" s="35" t="s">
        <v>139</v>
      </c>
      <c r="K316" s="39"/>
      <c r="L316" s="45"/>
    </row>
    <row r="317" spans="1:12">
      <c r="A317" s="32"/>
      <c r="B317" s="32"/>
      <c r="C317" s="40"/>
      <c r="D317" s="34" t="str">
        <f>HYPERLINK("#摆设!稻妻筱屋—「野逸入心」","稻妻筱屋—「野逸入心」")</f>
        <v>稻妻筱屋—「野逸入心」</v>
      </c>
      <c r="E317" s="26">
        <f>摆设!D175</f>
        <v>0</v>
      </c>
      <c r="F317" s="26">
        <v>1</v>
      </c>
      <c r="G317" s="35" t="s">
        <v>154</v>
      </c>
      <c r="H317" s="35" t="s">
        <v>192</v>
      </c>
      <c r="I317" s="20" t="s">
        <v>116</v>
      </c>
      <c r="J317" s="35" t="s">
        <v>139</v>
      </c>
      <c r="K317" s="39"/>
      <c r="L317" s="45"/>
    </row>
    <row r="318" spans="1:12">
      <c r="A318" s="32"/>
      <c r="B318" s="32"/>
      <c r="C318" s="40"/>
      <c r="D318" s="34" t="str">
        <f>HYPERLINK("#摆设!「纁漫雁来中」","「纁漫雁来中」")</f>
        <v>「纁漫雁来中」</v>
      </c>
      <c r="E318" s="26">
        <f>摆设!D202</f>
        <v>0</v>
      </c>
      <c r="F318" s="26">
        <v>1</v>
      </c>
      <c r="G318" s="35" t="s">
        <v>157</v>
      </c>
      <c r="H318" s="35" t="s">
        <v>159</v>
      </c>
      <c r="I318" s="20" t="s">
        <v>116</v>
      </c>
      <c r="J318" s="35" t="s">
        <v>145</v>
      </c>
      <c r="K318" s="39"/>
      <c r="L318" s="45"/>
    </row>
    <row r="319" spans="1:12">
      <c r="A319" s="32"/>
      <c r="B319" s="32"/>
      <c r="C319" s="40"/>
      <c r="D319" s="34" t="str">
        <f>HYPERLINK("#摆设!御伽木「但饮」木桶","御伽木「但饮」木桶")</f>
        <v>御伽木「但饮」木桶</v>
      </c>
      <c r="E319" s="26">
        <f>摆设!D243</f>
        <v>0</v>
      </c>
      <c r="F319" s="26">
        <v>1</v>
      </c>
      <c r="G319" s="35" t="s">
        <v>161</v>
      </c>
      <c r="H319" s="35" t="s">
        <v>167</v>
      </c>
      <c r="I319" s="25" t="s">
        <v>135</v>
      </c>
      <c r="J319" s="35" t="s">
        <v>139</v>
      </c>
      <c r="K319" s="39"/>
      <c r="L319" s="45"/>
    </row>
    <row r="320" spans="1:12">
      <c r="A320" s="32"/>
      <c r="B320" s="32"/>
      <c r="C320" s="40"/>
      <c r="D320" s="34" t="str">
        <f>HYPERLINK("#摆设!厚壁「石胆」陶制水缸","厚壁「石胆」陶制水缸")</f>
        <v>厚壁「石胆」陶制水缸</v>
      </c>
      <c r="E320" s="26">
        <f>摆设!D244</f>
        <v>0</v>
      </c>
      <c r="F320" s="26">
        <v>1</v>
      </c>
      <c r="G320" s="35" t="s">
        <v>161</v>
      </c>
      <c r="H320" s="35" t="s">
        <v>167</v>
      </c>
      <c r="I320" s="25" t="s">
        <v>135</v>
      </c>
      <c r="J320" s="35" t="s">
        <v>139</v>
      </c>
      <c r="K320" s="39"/>
      <c r="L320" s="45"/>
    </row>
    <row r="321" spans="1:12">
      <c r="A321" s="32"/>
      <c r="B321" s="32"/>
      <c r="C321" s="40"/>
      <c r="D321" s="34" t="str">
        <f>HYPERLINK("#摆设!晴空缯彩游鱼旗","晴空缯彩游鱼旗")</f>
        <v>晴空缯彩游鱼旗</v>
      </c>
      <c r="E321" s="26">
        <f>摆设!D260</f>
        <v>0</v>
      </c>
      <c r="F321" s="26">
        <v>1</v>
      </c>
      <c r="G321" s="35" t="s">
        <v>161</v>
      </c>
      <c r="H321" s="35" t="s">
        <v>127</v>
      </c>
      <c r="I321" s="20" t="s">
        <v>116</v>
      </c>
      <c r="J321" s="35" t="s">
        <v>139</v>
      </c>
      <c r="K321" s="39"/>
      <c r="L321" s="45"/>
    </row>
    <row r="322" spans="1:12">
      <c r="A322" s="32"/>
      <c r="B322" s="32"/>
      <c r="C322" s="40"/>
      <c r="D322" s="34" t="str">
        <f>HYPERLINK("#摆设!「果农的勤俭」","「果农的勤俭」")</f>
        <v>「果农的勤俭」</v>
      </c>
      <c r="E322" s="26">
        <f>摆设!D286</f>
        <v>0</v>
      </c>
      <c r="F322" s="26">
        <v>6</v>
      </c>
      <c r="G322" s="35" t="s">
        <v>162</v>
      </c>
      <c r="H322" s="35" t="s">
        <v>179</v>
      </c>
      <c r="I322" s="20" t="s">
        <v>116</v>
      </c>
      <c r="J322" s="35" t="s">
        <v>139</v>
      </c>
      <c r="K322" s="39"/>
      <c r="L322" s="45"/>
    </row>
    <row r="323" spans="1:12">
      <c r="A323" s="32"/>
      <c r="B323" s="32"/>
      <c r="C323" s="40"/>
      <c r="D323" s="37"/>
      <c r="E323" s="26"/>
      <c r="F323" s="26"/>
      <c r="G323" s="35"/>
      <c r="H323" s="35"/>
      <c r="I323" s="35"/>
      <c r="J323" s="35"/>
      <c r="K323" s="39"/>
      <c r="L323" s="45"/>
    </row>
    <row r="324" spans="1:12">
      <c r="A324" s="32"/>
      <c r="B324" s="32"/>
      <c r="C324" s="33" t="s">
        <v>197</v>
      </c>
      <c r="D324" s="34" t="str">
        <f>HYPERLINK("#摆设!「净绪之龛」","「净绪之龛」")</f>
        <v>「净绪之龛」</v>
      </c>
      <c r="E324" s="26">
        <f>摆设!D165</f>
        <v>0</v>
      </c>
      <c r="F324" s="26">
        <v>1</v>
      </c>
      <c r="G324" s="35" t="s">
        <v>154</v>
      </c>
      <c r="H324" s="35" t="s">
        <v>192</v>
      </c>
      <c r="I324" s="24" t="s">
        <v>112</v>
      </c>
      <c r="J324" s="35" t="s">
        <v>193</v>
      </c>
      <c r="K324" s="39"/>
      <c r="L324" s="45" t="s">
        <v>140</v>
      </c>
    </row>
    <row r="325" spans="1:12">
      <c r="A325" s="32"/>
      <c r="B325" s="32"/>
      <c r="C325" s="40"/>
      <c r="D325" s="34" t="str">
        <f>HYPERLINK("#摆设!御神签务所—「兆解」","御神签务所—「兆解」")</f>
        <v>御神签务所—「兆解」</v>
      </c>
      <c r="E325" s="26">
        <f>摆设!D169</f>
        <v>0</v>
      </c>
      <c r="F325" s="26">
        <v>1</v>
      </c>
      <c r="G325" s="35" t="s">
        <v>154</v>
      </c>
      <c r="H325" s="35" t="s">
        <v>192</v>
      </c>
      <c r="I325" s="24" t="s">
        <v>112</v>
      </c>
      <c r="J325" s="35" t="s">
        <v>139</v>
      </c>
      <c r="K325" s="39"/>
      <c r="L325" s="45"/>
    </row>
    <row r="326" spans="1:12">
      <c r="A326" s="32"/>
      <c r="B326" s="32"/>
      <c r="C326" s="40"/>
      <c r="D326" s="34" t="str">
        <f>HYPERLINK("#摆设!「代宫司之印」","「代宫司之印」")</f>
        <v>「代宫司之印」</v>
      </c>
      <c r="E326" s="26">
        <f>摆设!D192</f>
        <v>0</v>
      </c>
      <c r="F326" s="26">
        <v>1</v>
      </c>
      <c r="G326" s="35" t="s">
        <v>157</v>
      </c>
      <c r="H326" s="35" t="s">
        <v>158</v>
      </c>
      <c r="I326" s="20" t="s">
        <v>116</v>
      </c>
      <c r="J326" s="35" t="s">
        <v>145</v>
      </c>
      <c r="K326" s="39"/>
      <c r="L326" s="45"/>
    </row>
    <row r="327" spans="1:12">
      <c r="A327" s="32"/>
      <c r="B327" s="32"/>
      <c r="C327" s="40"/>
      <c r="D327" s="34" t="str">
        <f>HYPERLINK("#摆设!「红鸢问寝觉」","「红鸢问寝觉」")</f>
        <v>「红鸢问寝觉」</v>
      </c>
      <c r="E327" s="26">
        <f>摆设!D201</f>
        <v>0</v>
      </c>
      <c r="F327" s="26">
        <v>2</v>
      </c>
      <c r="G327" s="35" t="s">
        <v>157</v>
      </c>
      <c r="H327" s="35" t="s">
        <v>159</v>
      </c>
      <c r="I327" s="20" t="s">
        <v>116</v>
      </c>
      <c r="J327" s="35" t="s">
        <v>145</v>
      </c>
      <c r="K327" s="39"/>
      <c r="L327" s="45"/>
    </row>
    <row r="328" spans="1:12">
      <c r="A328" s="32"/>
      <c r="B328" s="32"/>
      <c r="C328" s="40"/>
      <c r="D328" s="34" t="str">
        <f>HYPERLINK("#摆设!「片叶苏芳缀银朱」","「片叶苏芳缀银朱」")</f>
        <v>「片叶苏芳缀银朱」</v>
      </c>
      <c r="E328" s="26">
        <f>摆设!D203</f>
        <v>0</v>
      </c>
      <c r="F328" s="26">
        <v>1</v>
      </c>
      <c r="G328" s="35" t="s">
        <v>157</v>
      </c>
      <c r="H328" s="35" t="s">
        <v>159</v>
      </c>
      <c r="I328" s="20" t="s">
        <v>116</v>
      </c>
      <c r="J328" s="35" t="s">
        <v>145</v>
      </c>
      <c r="K328" s="39"/>
      <c r="L328" s="45"/>
    </row>
    <row r="329" spans="1:12">
      <c r="A329" s="32"/>
      <c r="B329" s="32"/>
      <c r="C329" s="40"/>
      <c r="D329" s="34" t="str">
        <f>HYPERLINK("#摆设!「紫苑叹幽弘」","「紫苑叹幽弘」")</f>
        <v>「紫苑叹幽弘」</v>
      </c>
      <c r="E329" s="26">
        <f>摆设!D210</f>
        <v>0</v>
      </c>
      <c r="F329" s="26">
        <v>1</v>
      </c>
      <c r="G329" s="35" t="s">
        <v>157</v>
      </c>
      <c r="H329" s="35" t="s">
        <v>160</v>
      </c>
      <c r="I329" s="20" t="s">
        <v>116</v>
      </c>
      <c r="J329" s="35" t="s">
        <v>145</v>
      </c>
      <c r="K329" s="39"/>
      <c r="L329" s="45"/>
    </row>
    <row r="330" spans="1:12">
      <c r="A330" s="32"/>
      <c r="B330" s="32"/>
      <c r="C330" s="40"/>
      <c r="D330" s="34" t="str">
        <f>HYPERLINK("#摆设!梦见木「灾祛」御签挂","梦见木「灾祛」御签挂")</f>
        <v>梦见木「灾祛」御签挂</v>
      </c>
      <c r="E330" s="26">
        <f>摆设!D256</f>
        <v>0</v>
      </c>
      <c r="F330" s="26">
        <v>1</v>
      </c>
      <c r="G330" s="35" t="s">
        <v>161</v>
      </c>
      <c r="H330" s="35" t="s">
        <v>127</v>
      </c>
      <c r="I330" s="20" t="s">
        <v>116</v>
      </c>
      <c r="J330" s="35" t="s">
        <v>139</v>
      </c>
      <c r="K330" s="39"/>
      <c r="L330" s="45"/>
    </row>
    <row r="331" spans="1:12">
      <c r="A331" s="32"/>
      <c r="B331" s="32"/>
      <c r="C331" s="40"/>
      <c r="D331" s="34" t="str">
        <f>HYPERLINK("#摆设!天狐雕像—「白辰嗣响」","天狐雕像—「白辰嗣响」")</f>
        <v>天狐雕像—「白辰嗣响」</v>
      </c>
      <c r="E331" s="26">
        <f>摆设!D259</f>
        <v>0</v>
      </c>
      <c r="F331" s="26">
        <v>2</v>
      </c>
      <c r="G331" s="35" t="s">
        <v>161</v>
      </c>
      <c r="H331" s="35" t="s">
        <v>127</v>
      </c>
      <c r="I331" s="20" t="s">
        <v>116</v>
      </c>
      <c r="J331" s="35" t="s">
        <v>139</v>
      </c>
      <c r="K331" s="39"/>
      <c r="L331" s="45"/>
    </row>
    <row r="332" spans="1:12">
      <c r="A332" s="32"/>
      <c r="B332" s="32"/>
      <c r="C332" s="40"/>
      <c r="D332" s="34" t="str">
        <f>HYPERLINK("#摆设!梦见木「诚见」赛钱箱","梦见木「诚见」赛钱箱")</f>
        <v>梦见木「诚见」赛钱箱</v>
      </c>
      <c r="E332" s="26">
        <f>摆设!D261</f>
        <v>0</v>
      </c>
      <c r="F332" s="26">
        <v>1</v>
      </c>
      <c r="G332" s="35" t="s">
        <v>161</v>
      </c>
      <c r="H332" s="35" t="s">
        <v>127</v>
      </c>
      <c r="I332" s="20" t="s">
        <v>116</v>
      </c>
      <c r="J332" s="35" t="s">
        <v>139</v>
      </c>
      <c r="K332" s="39"/>
      <c r="L332" s="45"/>
    </row>
    <row r="333" spans="1:12">
      <c r="A333" s="32"/>
      <c r="B333" s="32"/>
      <c r="C333" s="40"/>
      <c r="D333" s="34" t="str">
        <f>HYPERLINK("#摆设!梦见木「空怀」路灯","梦见木「空怀」路灯")</f>
        <v>梦见木「空怀」路灯</v>
      </c>
      <c r="E333" s="26">
        <f>摆设!D279</f>
        <v>0</v>
      </c>
      <c r="F333" s="26">
        <v>2</v>
      </c>
      <c r="G333" s="35" t="s">
        <v>161</v>
      </c>
      <c r="H333" s="35" t="s">
        <v>128</v>
      </c>
      <c r="I333" s="20" t="s">
        <v>116</v>
      </c>
      <c r="J333" s="35" t="s">
        <v>139</v>
      </c>
      <c r="K333" s="39"/>
      <c r="L333" s="45"/>
    </row>
    <row r="334" spans="1:12">
      <c r="A334" s="32"/>
      <c r="B334" s="32"/>
      <c r="C334" s="40"/>
      <c r="D334" s="34" t="str">
        <f>HYPERLINK("#摆设!鱼脂白烛—「傍明」","鱼脂白烛—「傍明」")</f>
        <v>鱼脂白烛—「傍明」</v>
      </c>
      <c r="E334" s="26">
        <f>摆设!D282</f>
        <v>0</v>
      </c>
      <c r="F334" s="26">
        <v>3</v>
      </c>
      <c r="G334" s="35" t="s">
        <v>161</v>
      </c>
      <c r="H334" s="35" t="s">
        <v>128</v>
      </c>
      <c r="I334" s="25" t="s">
        <v>135</v>
      </c>
      <c r="J334" s="35" t="s">
        <v>139</v>
      </c>
      <c r="K334" s="39"/>
      <c r="L334" s="45"/>
    </row>
    <row r="335" spans="1:12">
      <c r="A335" s="32"/>
      <c r="B335" s="32"/>
      <c r="C335" s="40"/>
      <c r="D335" s="34" t="str">
        <f>HYPERLINK("#摆设!铸石地基—「修身砥行」","铸石地基—「修身砥行」")</f>
        <v>铸石地基—「修身砥行」</v>
      </c>
      <c r="E335" s="26">
        <f>摆设!D305</f>
        <v>0</v>
      </c>
      <c r="F335" s="26">
        <v>1</v>
      </c>
      <c r="G335" s="35" t="s">
        <v>162</v>
      </c>
      <c r="H335" s="35" t="s">
        <v>198</v>
      </c>
      <c r="I335" s="20" t="s">
        <v>116</v>
      </c>
      <c r="J335" s="35" t="s">
        <v>114</v>
      </c>
      <c r="K335" s="39"/>
      <c r="L335" s="45"/>
    </row>
    <row r="336" spans="1:12">
      <c r="A336" s="32"/>
      <c r="B336" s="32"/>
      <c r="C336" s="40"/>
      <c r="D336" s="34" t="str">
        <f>HYPERLINK("#摆设!铸石地基—「随车致雨」","铸石地基—「随车致雨」")</f>
        <v>铸石地基—「随车致雨」</v>
      </c>
      <c r="E336" s="26">
        <f>摆设!D306</f>
        <v>0</v>
      </c>
      <c r="F336" s="26">
        <v>2</v>
      </c>
      <c r="G336" s="35" t="s">
        <v>162</v>
      </c>
      <c r="H336" s="35" t="s">
        <v>198</v>
      </c>
      <c r="I336" s="20" t="s">
        <v>116</v>
      </c>
      <c r="J336" s="35" t="s">
        <v>114</v>
      </c>
      <c r="K336" s="39"/>
      <c r="L336" s="45"/>
    </row>
    <row r="337" spans="1:12">
      <c r="A337" s="32"/>
      <c r="B337" s="32"/>
      <c r="C337" s="40"/>
      <c r="D337" s="34" t="str">
        <f>HYPERLINK("#摆设!铸石地基—「倍道兼行」","铸石地基—「倍道兼行」")</f>
        <v>铸石地基—「倍道兼行」</v>
      </c>
      <c r="E337" s="26">
        <f>摆设!D307</f>
        <v>0</v>
      </c>
      <c r="F337" s="26">
        <v>2</v>
      </c>
      <c r="G337" s="35" t="s">
        <v>162</v>
      </c>
      <c r="H337" s="35" t="s">
        <v>198</v>
      </c>
      <c r="I337" s="20" t="s">
        <v>116</v>
      </c>
      <c r="J337" s="35" t="s">
        <v>114</v>
      </c>
      <c r="K337" s="39"/>
      <c r="L337" s="45"/>
    </row>
    <row r="338" spans="1:12">
      <c r="A338" s="32"/>
      <c r="B338" s="32"/>
      <c r="C338" s="40"/>
      <c r="D338" s="37"/>
      <c r="E338" s="26"/>
      <c r="F338" s="26"/>
      <c r="G338" s="35"/>
      <c r="H338" s="35"/>
      <c r="I338" s="35"/>
      <c r="J338" s="35"/>
      <c r="K338" s="39"/>
      <c r="L338" s="45"/>
    </row>
    <row r="339" spans="1:12">
      <c r="A339" s="32"/>
      <c r="B339" s="32"/>
      <c r="C339" s="33" t="s">
        <v>199</v>
      </c>
      <c r="D339" s="34" t="str">
        <f>HYPERLINK("#摆设!阵屋正门—「忠肃」","阵屋正门—「忠肃」")</f>
        <v>阵屋正门—「忠肃」</v>
      </c>
      <c r="E339" s="26">
        <f>摆设!D124</f>
        <v>0</v>
      </c>
      <c r="F339" s="26">
        <v>1</v>
      </c>
      <c r="G339" s="35" t="s">
        <v>169</v>
      </c>
      <c r="H339" s="35" t="s">
        <v>176</v>
      </c>
      <c r="I339" s="20" t="s">
        <v>116</v>
      </c>
      <c r="J339" s="35" t="s">
        <v>114</v>
      </c>
      <c r="K339" s="39"/>
      <c r="L339" s="48"/>
    </row>
    <row r="340" spans="1:12">
      <c r="A340" s="32"/>
      <c r="B340" s="32"/>
      <c r="C340" s="40"/>
      <c r="D340" s="34" t="str">
        <f>HYPERLINK("#摆设!阵屋围栏—「错牙」","阵屋围栏—「错牙」")</f>
        <v>阵屋围栏—「错牙」</v>
      </c>
      <c r="E340" s="26">
        <f>摆设!D115</f>
        <v>0</v>
      </c>
      <c r="F340" s="26">
        <v>5</v>
      </c>
      <c r="G340" s="35" t="s">
        <v>169</v>
      </c>
      <c r="H340" s="35" t="s">
        <v>176</v>
      </c>
      <c r="I340" s="20" t="s">
        <v>116</v>
      </c>
      <c r="J340" s="35" t="s">
        <v>114</v>
      </c>
      <c r="K340" s="39"/>
      <c r="L340" s="48"/>
    </row>
    <row r="341" spans="1:12">
      <c r="A341" s="32"/>
      <c r="B341" s="32"/>
      <c r="C341" s="40"/>
      <c r="D341" s="34" t="str">
        <f>HYPERLINK("#摆设!阵屋围栏—「截断」","阵屋围栏—「截断」")</f>
        <v>阵屋围栏—「截断」</v>
      </c>
      <c r="E341" s="26">
        <f>摆设!D116</f>
        <v>0</v>
      </c>
      <c r="F341" s="26">
        <v>2</v>
      </c>
      <c r="G341" s="35" t="s">
        <v>169</v>
      </c>
      <c r="H341" s="35" t="s">
        <v>176</v>
      </c>
      <c r="I341" s="20" t="s">
        <v>116</v>
      </c>
      <c r="J341" s="35" t="s">
        <v>114</v>
      </c>
      <c r="K341" s="39"/>
      <c r="L341" s="48"/>
    </row>
    <row r="342" spans="1:12">
      <c r="A342" s="32"/>
      <c r="B342" s="32"/>
      <c r="C342" s="40"/>
      <c r="D342" s="34" t="str">
        <f>HYPERLINK("#摆设!阵屋桩木—「苦刺」","阵屋桩木—「苦刺」")</f>
        <v>阵屋桩木—「苦刺」</v>
      </c>
      <c r="E342" s="26">
        <f>摆设!D117</f>
        <v>0</v>
      </c>
      <c r="F342" s="26">
        <v>5</v>
      </c>
      <c r="G342" s="35" t="s">
        <v>169</v>
      </c>
      <c r="H342" s="35" t="s">
        <v>176</v>
      </c>
      <c r="I342" s="20" t="s">
        <v>116</v>
      </c>
      <c r="J342" s="35" t="s">
        <v>114</v>
      </c>
      <c r="K342" s="39"/>
      <c r="L342" s="48"/>
    </row>
    <row r="343" spans="1:12">
      <c r="A343" s="32"/>
      <c r="B343" s="32"/>
      <c r="C343" s="40"/>
      <c r="D343" s="34" t="str">
        <f>HYPERLINK("#摆设!阵屋哨塔—「洞鉴」","阵屋哨塔—「洞鉴」")</f>
        <v>阵屋哨塔—「洞鉴」</v>
      </c>
      <c r="E343" s="26">
        <f>摆设!D176</f>
        <v>0</v>
      </c>
      <c r="F343" s="26">
        <v>1</v>
      </c>
      <c r="G343" s="35" t="s">
        <v>154</v>
      </c>
      <c r="H343" s="35" t="s">
        <v>192</v>
      </c>
      <c r="I343" s="20" t="s">
        <v>116</v>
      </c>
      <c r="J343" s="35" t="s">
        <v>114</v>
      </c>
      <c r="K343" s="39"/>
      <c r="L343" s="48"/>
    </row>
    <row r="344" spans="1:12">
      <c r="A344" s="32"/>
      <c r="B344" s="32"/>
      <c r="C344" s="40"/>
      <c r="D344" s="34" t="str">
        <f>HYPERLINK("#摆设!阵屋行帐—「时策」","阵屋行帐—「时策」")</f>
        <v>阵屋行帐—「时策」</v>
      </c>
      <c r="E344" s="26">
        <f>摆设!D168</f>
        <v>0</v>
      </c>
      <c r="F344" s="26">
        <v>1</v>
      </c>
      <c r="G344" s="35" t="s">
        <v>154</v>
      </c>
      <c r="H344" s="35" t="s">
        <v>192</v>
      </c>
      <c r="I344" s="24" t="s">
        <v>112</v>
      </c>
      <c r="J344" s="35" t="s">
        <v>114</v>
      </c>
      <c r="K344" s="39"/>
      <c r="L344" s="48"/>
    </row>
    <row r="345" spans="1:12">
      <c r="A345" s="32"/>
      <c r="B345" s="32"/>
      <c r="C345" s="40"/>
      <c r="D345" s="34" t="str">
        <f>HYPERLINK("#摆设!阵屋营房—「周固」","阵屋营房—「周固」")</f>
        <v>阵屋营房—「周固」</v>
      </c>
      <c r="E345" s="26">
        <f>摆设!D177</f>
        <v>0</v>
      </c>
      <c r="F345" s="26">
        <v>1</v>
      </c>
      <c r="G345" s="35" t="s">
        <v>154</v>
      </c>
      <c r="H345" s="35" t="s">
        <v>192</v>
      </c>
      <c r="I345" s="20" t="s">
        <v>116</v>
      </c>
      <c r="J345" s="35" t="s">
        <v>114</v>
      </c>
      <c r="K345" s="39"/>
      <c r="L345" s="48"/>
    </row>
    <row r="346" spans="1:12">
      <c r="A346" s="32"/>
      <c r="B346" s="32"/>
      <c r="C346" s="40"/>
      <c r="D346" s="34" t="str">
        <f>HYPERLINK("#摆设!「纁漫雁来中」","「纁漫雁来中」")</f>
        <v>「纁漫雁来中」</v>
      </c>
      <c r="E346" s="26">
        <f>摆设!D202</f>
        <v>0</v>
      </c>
      <c r="F346" s="26">
        <v>1</v>
      </c>
      <c r="G346" s="35" t="s">
        <v>157</v>
      </c>
      <c r="H346" s="35" t="s">
        <v>159</v>
      </c>
      <c r="I346" s="20" t="s">
        <v>116</v>
      </c>
      <c r="J346" s="35" t="s">
        <v>145</v>
      </c>
      <c r="K346" s="39"/>
      <c r="L346" s="48"/>
    </row>
    <row r="347" spans="1:12">
      <c r="A347" s="32"/>
      <c r="B347" s="32"/>
      <c r="C347" s="40"/>
      <c r="D347" s="34" t="str">
        <f>HYPERLINK("#摆设!「片叶苏芳缀银朱」","「片叶苏芳缀银朱」")</f>
        <v>「片叶苏芳缀银朱」</v>
      </c>
      <c r="E347" s="26">
        <f>摆设!D203</f>
        <v>0</v>
      </c>
      <c r="F347" s="26">
        <v>1</v>
      </c>
      <c r="G347" s="35" t="s">
        <v>157</v>
      </c>
      <c r="H347" s="35" t="s">
        <v>159</v>
      </c>
      <c r="I347" s="20" t="s">
        <v>116</v>
      </c>
      <c r="J347" s="35" t="s">
        <v>145</v>
      </c>
      <c r="K347" s="39"/>
      <c r="L347" s="48"/>
    </row>
    <row r="348" spans="1:12">
      <c r="A348" s="32"/>
      <c r="B348" s="32"/>
      <c r="C348" s="40"/>
      <c r="D348" s="34" t="str">
        <f>HYPERLINK("#摆设!古法新造御伽木酒桶","古法新造御伽木酒桶")</f>
        <v>古法新造御伽木酒桶</v>
      </c>
      <c r="E348" s="26">
        <f>摆设!D245</f>
        <v>0</v>
      </c>
      <c r="F348" s="26">
        <v>1</v>
      </c>
      <c r="G348" s="35" t="s">
        <v>161</v>
      </c>
      <c r="H348" s="35" t="s">
        <v>167</v>
      </c>
      <c r="I348" s="25" t="s">
        <v>135</v>
      </c>
      <c r="J348" s="35" t="s">
        <v>114</v>
      </c>
      <c r="K348" s="39"/>
      <c r="L348" s="48"/>
    </row>
    <row r="349" spans="1:12">
      <c r="A349" s="32"/>
      <c r="B349" s="32"/>
      <c r="C349" s="40"/>
      <c r="D349" s="34" t="str">
        <f>HYPERLINK("#摆设!御建鸣神主尊旗","御建鸣神主尊旗")</f>
        <v>御建鸣神主尊旗</v>
      </c>
      <c r="E349" s="26">
        <f>摆设!D257</f>
        <v>0</v>
      </c>
      <c r="F349" s="26">
        <v>2</v>
      </c>
      <c r="G349" s="35" t="s">
        <v>161</v>
      </c>
      <c r="H349" s="35" t="s">
        <v>127</v>
      </c>
      <c r="I349" s="20" t="s">
        <v>116</v>
      </c>
      <c r="J349" s="35" t="s">
        <v>114</v>
      </c>
      <c r="K349" s="39"/>
      <c r="L349" s="48"/>
    </row>
    <row r="350" spans="1:12">
      <c r="A350" s="32"/>
      <c r="B350" s="32"/>
      <c r="C350" s="40"/>
      <c r="D350" s="34" t="str">
        <f>HYPERLINK("#摆设!阵屋枪架—「尖破」","阵屋枪架—「尖破」")</f>
        <v>阵屋枪架—「尖破」</v>
      </c>
      <c r="E350" s="26">
        <f>摆设!D258</f>
        <v>0</v>
      </c>
      <c r="F350" s="26">
        <v>2</v>
      </c>
      <c r="G350" s="35" t="s">
        <v>161</v>
      </c>
      <c r="H350" s="35" t="s">
        <v>127</v>
      </c>
      <c r="I350" s="20" t="s">
        <v>116</v>
      </c>
      <c r="J350" s="35" t="s">
        <v>114</v>
      </c>
      <c r="K350" s="39"/>
      <c r="L350" s="48"/>
    </row>
    <row r="351" spans="1:12">
      <c r="A351" s="32"/>
      <c r="B351" s="32"/>
      <c r="C351" s="40"/>
      <c r="D351" s="34" t="str">
        <f>HYPERLINK("#摆设!乡野水井—「下索密藏」","乡野水井—「下索密藏」")</f>
        <v>乡野水井—「下索密藏」</v>
      </c>
      <c r="E351" s="26">
        <f>摆设!D251</f>
        <v>0</v>
      </c>
      <c r="F351" s="26">
        <v>1</v>
      </c>
      <c r="G351" s="35" t="s">
        <v>161</v>
      </c>
      <c r="H351" s="35" t="s">
        <v>127</v>
      </c>
      <c r="I351" s="20" t="s">
        <v>116</v>
      </c>
      <c r="J351" s="35" t="s">
        <v>114</v>
      </c>
      <c r="K351" s="39"/>
      <c r="L351" s="48"/>
    </row>
    <row r="352" spans="1:12">
      <c r="A352" s="32"/>
      <c r="B352" s="32"/>
      <c r="C352" s="40"/>
      <c r="D352" s="37"/>
      <c r="E352" s="26"/>
      <c r="F352" s="26"/>
      <c r="G352" s="35"/>
      <c r="H352" s="35"/>
      <c r="I352" s="20"/>
      <c r="J352" s="35"/>
      <c r="K352" s="39"/>
      <c r="L352" s="48"/>
    </row>
    <row r="353" spans="1:12">
      <c r="A353" s="32"/>
      <c r="B353" s="32"/>
      <c r="C353" s="33" t="s">
        <v>200</v>
      </c>
      <c r="D353" s="34" t="str">
        <f>HYPERLINK("#摆设!「恒诰之龛」","「恒诰之龛」")</f>
        <v>「恒诰之龛」</v>
      </c>
      <c r="E353" s="26">
        <f>摆设!D170</f>
        <v>0</v>
      </c>
      <c r="F353" s="26">
        <v>1</v>
      </c>
      <c r="G353" s="35" t="s">
        <v>154</v>
      </c>
      <c r="H353" s="35" t="s">
        <v>192</v>
      </c>
      <c r="I353" s="20" t="s">
        <v>116</v>
      </c>
      <c r="J353" s="35" t="s">
        <v>194</v>
      </c>
      <c r="K353" s="39"/>
      <c r="L353" s="45" t="s">
        <v>140</v>
      </c>
    </row>
    <row r="354" spans="1:12">
      <c r="A354" s="32"/>
      <c r="B354" s="32"/>
      <c r="C354" s="40"/>
      <c r="D354" s="34" t="str">
        <f>HYPERLINK("#摆设!「代宫司之印」","「代宫司之印」")</f>
        <v>「代宫司之印」</v>
      </c>
      <c r="E354" s="26">
        <f>摆设!D192</f>
        <v>0</v>
      </c>
      <c r="F354" s="26">
        <v>1</v>
      </c>
      <c r="G354" s="35" t="s">
        <v>157</v>
      </c>
      <c r="H354" s="35" t="s">
        <v>158</v>
      </c>
      <c r="I354" s="20" t="s">
        <v>116</v>
      </c>
      <c r="J354" s="35" t="s">
        <v>145</v>
      </c>
      <c r="K354" s="39"/>
      <c r="L354" s="45"/>
    </row>
    <row r="355" spans="1:12">
      <c r="A355" s="32"/>
      <c r="B355" s="32"/>
      <c r="C355" s="40"/>
      <c r="D355" s="34" t="str">
        <f>HYPERLINK("#摆设!寂修石","寂修石")</f>
        <v>寂修石</v>
      </c>
      <c r="E355" s="26">
        <f>摆设!D194</f>
        <v>0</v>
      </c>
      <c r="F355" s="26">
        <v>2</v>
      </c>
      <c r="G355" s="35" t="s">
        <v>157</v>
      </c>
      <c r="H355" s="35" t="s">
        <v>158</v>
      </c>
      <c r="I355" s="25" t="s">
        <v>135</v>
      </c>
      <c r="J355" s="35" t="s">
        <v>145</v>
      </c>
      <c r="K355" s="39"/>
      <c r="L355" s="45"/>
    </row>
    <row r="356" spans="1:12">
      <c r="A356" s="32"/>
      <c r="B356" s="32"/>
      <c r="C356" s="40"/>
      <c r="D356" s="34" t="str">
        <f>HYPERLINK("#摆设!涉浪石","涉浪石")</f>
        <v>涉浪石</v>
      </c>
      <c r="E356" s="26">
        <f>摆设!D195</f>
        <v>0</v>
      </c>
      <c r="F356" s="26">
        <v>1</v>
      </c>
      <c r="G356" s="35" t="s">
        <v>157</v>
      </c>
      <c r="H356" s="35" t="s">
        <v>158</v>
      </c>
      <c r="I356" s="25" t="s">
        <v>135</v>
      </c>
      <c r="J356" s="35" t="s">
        <v>145</v>
      </c>
      <c r="K356" s="39"/>
      <c r="L356" s="45"/>
    </row>
    <row r="357" spans="1:12">
      <c r="A357" s="32"/>
      <c r="B357" s="32"/>
      <c r="C357" s="40"/>
      <c r="D357" s="34" t="str">
        <f>HYPERLINK("#摆设!「红鸢问寝觉」","「红鸢问寝觉」")</f>
        <v>「红鸢问寝觉」</v>
      </c>
      <c r="E357" s="26">
        <f>摆设!D201</f>
        <v>0</v>
      </c>
      <c r="F357" s="26">
        <v>1</v>
      </c>
      <c r="G357" s="35" t="s">
        <v>157</v>
      </c>
      <c r="H357" s="35" t="s">
        <v>159</v>
      </c>
      <c r="I357" s="20" t="s">
        <v>116</v>
      </c>
      <c r="J357" s="35" t="s">
        <v>145</v>
      </c>
      <c r="K357" s="39"/>
      <c r="L357" s="45"/>
    </row>
    <row r="358" spans="1:12">
      <c r="A358" s="32"/>
      <c r="B358" s="32"/>
      <c r="C358" s="40"/>
      <c r="D358" s="34" t="str">
        <f>HYPERLINK("#摆设!「片叶苏芳缀银朱」","「片叶苏芳缀银朱」")</f>
        <v>「片叶苏芳缀银朱」</v>
      </c>
      <c r="E358" s="26">
        <f>摆设!D203</f>
        <v>0</v>
      </c>
      <c r="F358" s="26">
        <v>1</v>
      </c>
      <c r="G358" s="35" t="s">
        <v>157</v>
      </c>
      <c r="H358" s="35" t="s">
        <v>159</v>
      </c>
      <c r="I358" s="20" t="s">
        <v>116</v>
      </c>
      <c r="J358" s="35" t="s">
        <v>145</v>
      </c>
      <c r="K358" s="39"/>
      <c r="L358" s="45"/>
    </row>
    <row r="359" spans="1:12">
      <c r="A359" s="32"/>
      <c r="B359" s="32"/>
      <c r="C359" s="40"/>
      <c r="D359" s="34" t="str">
        <f>HYPERLINK("#摆设!「影徙露草自伤悼」","「影徙露草自伤悼」")</f>
        <v>「影徙露草自伤悼」</v>
      </c>
      <c r="E359" s="26">
        <f>摆设!D211</f>
        <v>0</v>
      </c>
      <c r="F359" s="26">
        <v>7</v>
      </c>
      <c r="G359" s="35" t="s">
        <v>157</v>
      </c>
      <c r="H359" s="35" t="s">
        <v>160</v>
      </c>
      <c r="I359" s="20" t="s">
        <v>116</v>
      </c>
      <c r="J359" s="35" t="s">
        <v>145</v>
      </c>
      <c r="K359" s="39"/>
      <c r="L359" s="45"/>
    </row>
    <row r="360" spans="1:12">
      <c r="A360" s="32"/>
      <c r="B360" s="32"/>
      <c r="C360" s="40"/>
      <c r="D360" s="34" t="str">
        <f>HYPERLINK("#摆设!「晚花空言约」","「晚花空言约」")</f>
        <v>「晚花空言约」</v>
      </c>
      <c r="E360" s="26">
        <f>摆设!D212</f>
        <v>0</v>
      </c>
      <c r="F360" s="26">
        <v>2</v>
      </c>
      <c r="G360" s="35" t="s">
        <v>157</v>
      </c>
      <c r="H360" s="35" t="s">
        <v>160</v>
      </c>
      <c r="I360" s="20" t="s">
        <v>116</v>
      </c>
      <c r="J360" s="35" t="s">
        <v>145</v>
      </c>
      <c r="K360" s="39"/>
      <c r="L360" s="45"/>
    </row>
    <row r="361" spans="1:12">
      <c r="A361" s="32"/>
      <c r="B361" s="32"/>
      <c r="C361" s="40"/>
      <c r="D361" s="34" t="str">
        <f>HYPERLINK("#摆设!鱼脂白烛—「傍明」","鱼脂白烛—「傍明」")</f>
        <v>鱼脂白烛—「傍明」</v>
      </c>
      <c r="E361" s="26">
        <f>摆设!D282</f>
        <v>0</v>
      </c>
      <c r="F361" s="26">
        <v>2</v>
      </c>
      <c r="G361" s="35" t="s">
        <v>161</v>
      </c>
      <c r="H361" s="35" t="s">
        <v>128</v>
      </c>
      <c r="I361" s="25" t="s">
        <v>135</v>
      </c>
      <c r="J361" s="35" t="s">
        <v>139</v>
      </c>
      <c r="K361" s="39"/>
      <c r="L361" s="45"/>
    </row>
    <row r="362" spans="1:12">
      <c r="A362" s="32"/>
      <c r="B362" s="32"/>
      <c r="C362" s="40"/>
      <c r="D362" s="34" t="str">
        <f>HYPERLINK("#摆设!御伽木郊野路灯","御伽木郊野路灯")</f>
        <v>御伽木郊野路灯</v>
      </c>
      <c r="E362" s="26">
        <f>摆设!D283</f>
        <v>0</v>
      </c>
      <c r="F362" s="26">
        <v>2</v>
      </c>
      <c r="G362" s="35" t="s">
        <v>161</v>
      </c>
      <c r="H362" s="35" t="s">
        <v>128</v>
      </c>
      <c r="I362" s="25" t="s">
        <v>135</v>
      </c>
      <c r="J362" s="35" t="s">
        <v>139</v>
      </c>
      <c r="K362" s="39"/>
      <c r="L362" s="45"/>
    </row>
    <row r="363" spans="1:12">
      <c r="A363" s="32"/>
      <c r="B363" s="32"/>
      <c r="C363" s="40"/>
      <c r="D363" s="37"/>
      <c r="E363" s="26"/>
      <c r="F363" s="26"/>
      <c r="G363" s="35"/>
      <c r="H363" s="35"/>
      <c r="I363" s="25"/>
      <c r="J363" s="35"/>
      <c r="K363" s="39"/>
      <c r="L363" s="45"/>
    </row>
    <row r="364" spans="1:12">
      <c r="A364" s="32"/>
      <c r="B364" s="32"/>
      <c r="C364" s="33" t="s">
        <v>201</v>
      </c>
      <c r="D364" s="34" t="str">
        <f>HYPERLINK("#摆设!御伽木市井杂煮屋台","御伽木市井杂煮屋台")</f>
        <v>御伽木市井杂煮屋台</v>
      </c>
      <c r="E364" s="26">
        <f>摆设!D160</f>
        <v>0</v>
      </c>
      <c r="F364" s="26">
        <v>1</v>
      </c>
      <c r="G364" s="35" t="s">
        <v>154</v>
      </c>
      <c r="H364" s="35" t="s">
        <v>174</v>
      </c>
      <c r="I364" s="20" t="s">
        <v>116</v>
      </c>
      <c r="J364" s="35" t="s">
        <v>139</v>
      </c>
      <c r="K364" s="39"/>
      <c r="L364" s="45" t="s">
        <v>140</v>
      </c>
    </row>
    <row r="365" spans="1:12">
      <c r="A365" s="32"/>
      <c r="B365" s="32"/>
      <c r="C365" s="40"/>
      <c r="D365" s="34" t="str">
        <f>HYPERLINK("#摆设!祭典「定番」百货屋台","祭典「定番」百货屋台")</f>
        <v>祭典「定番」百货屋台</v>
      </c>
      <c r="E365" s="26">
        <f>摆设!D155</f>
        <v>0</v>
      </c>
      <c r="F365" s="26">
        <v>1</v>
      </c>
      <c r="G365" s="35" t="s">
        <v>154</v>
      </c>
      <c r="H365" s="35" t="s">
        <v>174</v>
      </c>
      <c r="I365" s="24" t="s">
        <v>112</v>
      </c>
      <c r="J365" s="35" t="s">
        <v>139</v>
      </c>
      <c r="K365" s="39"/>
      <c r="L365" s="45"/>
    </row>
    <row r="366" spans="1:12">
      <c r="A366" s="32"/>
      <c r="B366" s="32"/>
      <c r="C366" s="40"/>
      <c r="D366" s="34" t="str">
        <f>HYPERLINK("#摆设!祭典「奇番」百货屋台","祭典「奇番」百货屋台")</f>
        <v>祭典「奇番」百货屋台</v>
      </c>
      <c r="E366" s="26">
        <f>摆设!D156</f>
        <v>0</v>
      </c>
      <c r="F366" s="26">
        <v>1</v>
      </c>
      <c r="G366" s="35" t="s">
        <v>154</v>
      </c>
      <c r="H366" s="35" t="s">
        <v>174</v>
      </c>
      <c r="I366" s="24" t="s">
        <v>112</v>
      </c>
      <c r="J366" s="35" t="s">
        <v>139</v>
      </c>
      <c r="K366" s="39"/>
      <c r="L366" s="45"/>
    </row>
    <row r="367" spans="1:12">
      <c r="A367" s="32"/>
      <c r="B367" s="32"/>
      <c r="C367" s="40"/>
      <c r="D367" s="34" t="str">
        <f>HYPERLINK("#摆设!稻妻民居—「知变易通」","稻妻民居—「知变易通」")</f>
        <v>稻妻民居—「知变易通」</v>
      </c>
      <c r="E367" s="26">
        <f>摆设!D173</f>
        <v>0</v>
      </c>
      <c r="F367" s="26">
        <v>1</v>
      </c>
      <c r="G367" s="35" t="s">
        <v>154</v>
      </c>
      <c r="H367" s="35" t="s">
        <v>192</v>
      </c>
      <c r="I367" s="20" t="s">
        <v>116</v>
      </c>
      <c r="J367" s="35" t="s">
        <v>139</v>
      </c>
      <c r="K367" s="39"/>
      <c r="L367" s="45"/>
    </row>
    <row r="368" spans="1:12">
      <c r="A368" s="32"/>
      <c r="B368" s="32"/>
      <c r="C368" s="40"/>
      <c r="D368" s="34" t="str">
        <f>HYPERLINK("#摆设!「花咲初退红」","「花咲初退红」")</f>
        <v>「花咲初退红」</v>
      </c>
      <c r="E368" s="26">
        <f>摆设!D199</f>
        <v>0</v>
      </c>
      <c r="F368" s="26">
        <v>1</v>
      </c>
      <c r="G368" s="35" t="s">
        <v>157</v>
      </c>
      <c r="H368" s="35" t="s">
        <v>159</v>
      </c>
      <c r="I368" s="20" t="s">
        <v>116</v>
      </c>
      <c r="J368" s="35" t="s">
        <v>145</v>
      </c>
      <c r="K368" s="39"/>
      <c r="L368" s="45"/>
    </row>
    <row r="369" spans="1:12">
      <c r="A369" s="32"/>
      <c r="B369" s="32"/>
      <c r="C369" s="40"/>
      <c r="D369" s="34" t="str">
        <f>HYPERLINK("#摆设!「春惜一斤染」","「春惜一斤染」")</f>
        <v>「春惜一斤染」</v>
      </c>
      <c r="E369" s="26">
        <f>摆设!D200</f>
        <v>0</v>
      </c>
      <c r="F369" s="26">
        <v>1</v>
      </c>
      <c r="G369" s="35" t="s">
        <v>157</v>
      </c>
      <c r="H369" s="35" t="s">
        <v>159</v>
      </c>
      <c r="I369" s="20" t="s">
        <v>116</v>
      </c>
      <c r="J369" s="35" t="s">
        <v>145</v>
      </c>
      <c r="K369" s="39"/>
      <c r="L369" s="45"/>
    </row>
    <row r="370" spans="1:12">
      <c r="A370" s="32"/>
      <c r="B370" s="32"/>
      <c r="C370" s="40"/>
      <c r="D370" s="34" t="str">
        <f>HYPERLINK("#摆设!古法新造御伽木货箱","古法新造御伽木货箱")</f>
        <v>古法新造御伽木货箱</v>
      </c>
      <c r="E370" s="26">
        <f>摆设!D246</f>
        <v>0</v>
      </c>
      <c r="F370" s="26">
        <v>1</v>
      </c>
      <c r="G370" s="35" t="s">
        <v>161</v>
      </c>
      <c r="H370" s="35" t="s">
        <v>167</v>
      </c>
      <c r="I370" s="25" t="s">
        <v>135</v>
      </c>
      <c r="J370" s="35" t="s">
        <v>139</v>
      </c>
      <c r="K370" s="39"/>
      <c r="L370" s="45"/>
    </row>
    <row r="371" spans="1:12">
      <c r="A371" s="32"/>
      <c r="B371" s="32"/>
      <c r="C371" s="40"/>
      <c r="D371" s="34" t="str">
        <f>HYPERLINK("#摆设!乡野水井—「下索密藏」","乡野水井—「下索密藏」")</f>
        <v>乡野水井—「下索密藏」</v>
      </c>
      <c r="E371" s="26">
        <f>摆设!D251</f>
        <v>0</v>
      </c>
      <c r="F371" s="26">
        <v>1</v>
      </c>
      <c r="G371" s="35" t="s">
        <v>161</v>
      </c>
      <c r="H371" s="35" t="s">
        <v>127</v>
      </c>
      <c r="I371" s="20" t="s">
        <v>116</v>
      </c>
      <c r="J371" s="35" t="s">
        <v>114</v>
      </c>
      <c r="K371" s="39"/>
      <c r="L371" s="45"/>
    </row>
    <row r="372" spans="1:12">
      <c r="A372" s="32"/>
      <c r="B372" s="32"/>
      <c r="C372" s="40"/>
      <c r="D372" s="34" t="str">
        <f>HYPERLINK("#摆设!五重灯笼祭典门关","五重灯笼祭典门关")</f>
        <v>五重灯笼祭典门关</v>
      </c>
      <c r="E372" s="26">
        <f>摆设!D281</f>
        <v>0</v>
      </c>
      <c r="F372" s="26">
        <v>1</v>
      </c>
      <c r="G372" s="35" t="s">
        <v>161</v>
      </c>
      <c r="H372" s="35" t="s">
        <v>128</v>
      </c>
      <c r="I372" s="25" t="s">
        <v>135</v>
      </c>
      <c r="J372" s="35" t="s">
        <v>139</v>
      </c>
      <c r="K372" s="39"/>
      <c r="L372" s="45"/>
    </row>
    <row r="373" spans="1:12">
      <c r="A373" s="32"/>
      <c r="B373" s="32"/>
      <c r="C373" s="40"/>
      <c r="D373" s="34" t="str">
        <f>HYPERLINK("#摆设!御伽木「乐至」方凳","御伽木「乐至」方凳")</f>
        <v>御伽木「乐至」方凳</v>
      </c>
      <c r="E373" s="26">
        <f>摆设!D295</f>
        <v>0</v>
      </c>
      <c r="F373" s="26">
        <v>4</v>
      </c>
      <c r="G373" s="35" t="s">
        <v>162</v>
      </c>
      <c r="H373" s="35" t="s">
        <v>118</v>
      </c>
      <c r="I373" s="25" t="s">
        <v>135</v>
      </c>
      <c r="J373" s="35" t="s">
        <v>139</v>
      </c>
      <c r="K373" s="39"/>
      <c r="L373" s="45"/>
    </row>
    <row r="374" spans="1:12">
      <c r="A374" s="32"/>
      <c r="B374" s="32"/>
      <c r="C374" s="40"/>
      <c r="D374" s="34" t="str">
        <f>HYPERLINK("#摆设!御伽木「乐至」方桌","御伽木「乐至」方桌")</f>
        <v>御伽木「乐至」方桌</v>
      </c>
      <c r="E374" s="26">
        <f>摆设!D302</f>
        <v>0</v>
      </c>
      <c r="F374" s="26">
        <v>2</v>
      </c>
      <c r="G374" s="35" t="s">
        <v>162</v>
      </c>
      <c r="H374" s="35" t="s">
        <v>115</v>
      </c>
      <c r="I374" s="25" t="s">
        <v>135</v>
      </c>
      <c r="J374" s="35" t="s">
        <v>139</v>
      </c>
      <c r="K374" s="39"/>
      <c r="L374" s="45"/>
    </row>
    <row r="375" spans="1:12">
      <c r="A375" s="32"/>
      <c r="B375" s="32"/>
      <c r="C375" s="40"/>
      <c r="D375" s="34" t="str">
        <f>HYPERLINK("#摆设!铸石地基—「修身砥行」","铸石地基—「修身砥行」")</f>
        <v>铸石地基—「修身砥行」</v>
      </c>
      <c r="E375" s="26">
        <f>摆设!D305</f>
        <v>0</v>
      </c>
      <c r="F375" s="26">
        <v>4</v>
      </c>
      <c r="G375" s="35" t="s">
        <v>162</v>
      </c>
      <c r="H375" s="35" t="s">
        <v>198</v>
      </c>
      <c r="I375" s="20" t="s">
        <v>116</v>
      </c>
      <c r="J375" s="35" t="s">
        <v>114</v>
      </c>
      <c r="K375" s="39"/>
      <c r="L375" s="45"/>
    </row>
    <row r="376" spans="1:12">
      <c r="A376" s="32"/>
      <c r="B376" s="32"/>
      <c r="C376" s="40"/>
      <c r="D376" s="34"/>
      <c r="E376" s="26"/>
      <c r="F376" s="26"/>
      <c r="G376" s="35"/>
      <c r="H376" s="35"/>
      <c r="I376" s="20"/>
      <c r="J376" s="35"/>
      <c r="K376" s="39"/>
      <c r="L376" s="45"/>
    </row>
    <row r="377" spans="1:12">
      <c r="A377" s="32"/>
      <c r="B377" s="32"/>
      <c r="C377" s="33" t="s">
        <v>202</v>
      </c>
      <c r="D377" s="34" t="str">
        <f>HYPERLINK("#摆设!御伽木拉面屋台","御伽木拉面屋台")</f>
        <v>御伽木拉面屋台</v>
      </c>
      <c r="E377" s="26">
        <f>摆设!D147</f>
        <v>0</v>
      </c>
      <c r="F377" s="26">
        <v>1</v>
      </c>
      <c r="G377" s="35" t="s">
        <v>154</v>
      </c>
      <c r="H377" s="35" t="s">
        <v>155</v>
      </c>
      <c r="I377" s="20" t="s">
        <v>116</v>
      </c>
      <c r="J377" s="35" t="s">
        <v>203</v>
      </c>
      <c r="K377" s="39"/>
      <c r="L377" s="45" t="s">
        <v>140</v>
      </c>
    </row>
    <row r="378" spans="1:12">
      <c r="A378" s="32"/>
      <c r="B378" s="32"/>
      <c r="C378" s="40"/>
      <c r="D378" s="34" t="str">
        <f>HYPERLINK("#摆设!花伞铺—「异梦绮彩」","花伞铺—「异梦绮彩」")</f>
        <v>花伞铺—「异梦绮彩」</v>
      </c>
      <c r="E378" s="26">
        <f>摆设!D161</f>
        <v>0</v>
      </c>
      <c r="F378" s="26">
        <v>1</v>
      </c>
      <c r="G378" s="35" t="s">
        <v>154</v>
      </c>
      <c r="H378" s="35" t="s">
        <v>174</v>
      </c>
      <c r="I378" s="20" t="s">
        <v>116</v>
      </c>
      <c r="J378" s="35" t="s">
        <v>139</v>
      </c>
      <c r="K378" s="39"/>
      <c r="L378" s="45"/>
    </row>
    <row r="379" ht="18" customHeight="1" spans="1:12">
      <c r="A379" s="32"/>
      <c r="B379" s="32"/>
      <c r="C379" s="40"/>
      <c r="D379" s="34" t="str">
        <f>HYPERLINK("#摆设!果蔬摊—「纯诚之味」","果蔬摊—「纯诚之味」")</f>
        <v>果蔬摊—「纯诚之味」</v>
      </c>
      <c r="E379" s="26">
        <f>摆设!D162</f>
        <v>0</v>
      </c>
      <c r="F379" s="26">
        <v>2</v>
      </c>
      <c r="G379" s="35" t="s">
        <v>154</v>
      </c>
      <c r="H379" s="35" t="s">
        <v>174</v>
      </c>
      <c r="I379" s="20" t="s">
        <v>116</v>
      </c>
      <c r="J379" s="35" t="s">
        <v>139</v>
      </c>
      <c r="K379" s="39"/>
      <c r="L379" s="45"/>
    </row>
    <row r="380" spans="1:12">
      <c r="A380" s="49"/>
      <c r="B380" s="49"/>
      <c r="C380" s="40"/>
      <c r="D380" s="34" t="str">
        <f>HYPERLINK("#摆设!孔雀木「幸归」面具架","孔雀木「幸归」面具架")</f>
        <v>孔雀木「幸归」面具架</v>
      </c>
      <c r="E380" s="26">
        <f>摆设!D163</f>
        <v>0</v>
      </c>
      <c r="F380" s="26">
        <v>1</v>
      </c>
      <c r="G380" s="35" t="s">
        <v>154</v>
      </c>
      <c r="H380" s="35" t="s">
        <v>174</v>
      </c>
      <c r="I380" s="20" t="s">
        <v>116</v>
      </c>
      <c r="J380" s="35" t="s">
        <v>139</v>
      </c>
      <c r="K380" s="39"/>
      <c r="L380" s="45"/>
    </row>
    <row r="381" spans="1:12">
      <c r="A381" s="49"/>
      <c r="B381" s="49"/>
      <c r="C381" s="40"/>
      <c r="D381" s="34" t="str">
        <f>HYPERLINK("#摆设!稻妻商铺—「千瑜百珉」","稻妻商铺—「千瑜百珉」")</f>
        <v>稻妻商铺—「千瑜百珉」</v>
      </c>
      <c r="E381" s="26">
        <f>摆设!D171</f>
        <v>0</v>
      </c>
      <c r="F381" s="26">
        <v>1</v>
      </c>
      <c r="G381" s="35" t="s">
        <v>154</v>
      </c>
      <c r="H381" s="35" t="s">
        <v>192</v>
      </c>
      <c r="I381" s="20" t="s">
        <v>116</v>
      </c>
      <c r="J381" s="35" t="s">
        <v>139</v>
      </c>
      <c r="K381" s="39"/>
      <c r="L381" s="45"/>
    </row>
    <row r="382" spans="1:12">
      <c r="A382" s="49"/>
      <c r="B382" s="49"/>
      <c r="C382" s="40"/>
      <c r="D382" s="34" t="str">
        <f>HYPERLINK("#摆设!稻妻民居—「三世共业」","稻妻民居—「三世共业」")</f>
        <v>稻妻民居—「三世共业」</v>
      </c>
      <c r="E382" s="26">
        <f>摆设!D172</f>
        <v>0</v>
      </c>
      <c r="F382" s="26">
        <v>1</v>
      </c>
      <c r="G382" s="35" t="s">
        <v>154</v>
      </c>
      <c r="H382" s="35" t="s">
        <v>192</v>
      </c>
      <c r="I382" s="20" t="s">
        <v>116</v>
      </c>
      <c r="J382" s="35" t="s">
        <v>139</v>
      </c>
      <c r="K382" s="39"/>
      <c r="L382" s="45"/>
    </row>
    <row r="383" spans="1:12">
      <c r="A383" s="49"/>
      <c r="B383" s="49"/>
      <c r="C383" s="40"/>
      <c r="D383" s="34" t="str">
        <f>HYPERLINK("#摆设!「红鸢问寝觉」","「红鸢问寝觉」")</f>
        <v>「红鸢问寝觉」</v>
      </c>
      <c r="E383" s="26">
        <f>摆设!D201</f>
        <v>0</v>
      </c>
      <c r="F383" s="26">
        <v>1</v>
      </c>
      <c r="G383" s="35" t="s">
        <v>157</v>
      </c>
      <c r="H383" s="35" t="s">
        <v>159</v>
      </c>
      <c r="I383" s="20" t="s">
        <v>116</v>
      </c>
      <c r="J383" s="35" t="s">
        <v>145</v>
      </c>
      <c r="K383" s="39"/>
      <c r="L383" s="45"/>
    </row>
    <row r="384" spans="1:12">
      <c r="A384" s="49"/>
      <c r="B384" s="49"/>
      <c r="C384" s="40"/>
      <c r="D384" s="34" t="str">
        <f>HYPERLINK("#摆设!「片叶苏芳缀银朱」","「片叶苏芳缀银朱」")</f>
        <v>「片叶苏芳缀银朱」</v>
      </c>
      <c r="E384" s="26">
        <f>摆设!D203</f>
        <v>0</v>
      </c>
      <c r="F384" s="26">
        <v>1</v>
      </c>
      <c r="G384" s="35" t="s">
        <v>157</v>
      </c>
      <c r="H384" s="35" t="s">
        <v>159</v>
      </c>
      <c r="I384" s="20" t="s">
        <v>116</v>
      </c>
      <c r="J384" s="35" t="s">
        <v>145</v>
      </c>
      <c r="K384" s="39"/>
      <c r="L384" s="45"/>
    </row>
    <row r="385" spans="1:12">
      <c r="A385" s="49"/>
      <c r="B385" s="49"/>
      <c r="C385" s="40"/>
      <c r="D385" s="34" t="str">
        <f>HYPERLINK("#摆设!古法新造御伽木货箱","古法新造御伽木货箱")</f>
        <v>古法新造御伽木货箱</v>
      </c>
      <c r="E385" s="26">
        <f>摆设!D246</f>
        <v>0</v>
      </c>
      <c r="F385" s="26">
        <v>1</v>
      </c>
      <c r="G385" s="35" t="s">
        <v>161</v>
      </c>
      <c r="H385" s="35" t="s">
        <v>167</v>
      </c>
      <c r="I385" s="25" t="s">
        <v>135</v>
      </c>
      <c r="J385" s="35" t="s">
        <v>139</v>
      </c>
      <c r="K385" s="39"/>
      <c r="L385" s="45"/>
    </row>
    <row r="386" spans="1:12">
      <c r="A386" s="49"/>
      <c r="B386" s="49"/>
      <c r="C386" s="40"/>
      <c r="D386" s="34" t="str">
        <f>HYPERLINK("#摆设!乡野水井—「下索密藏」","乡野水井—「下索密藏」")</f>
        <v>乡野水井—「下索密藏」</v>
      </c>
      <c r="E386" s="26">
        <f>摆设!D251</f>
        <v>0</v>
      </c>
      <c r="F386" s="26">
        <v>1</v>
      </c>
      <c r="G386" s="35" t="s">
        <v>161</v>
      </c>
      <c r="H386" s="35" t="s">
        <v>127</v>
      </c>
      <c r="I386" s="20" t="s">
        <v>116</v>
      </c>
      <c r="J386" s="35" t="s">
        <v>114</v>
      </c>
      <c r="K386" s="39"/>
      <c r="L386" s="45"/>
    </row>
    <row r="387" spans="1:12">
      <c r="A387" s="49"/>
      <c r="B387" s="49"/>
      <c r="C387" s="40"/>
      <c r="D387" s="34" t="str">
        <f>HYPERLINK("#摆设!五重灯笼祭典门关","五重灯笼祭典门关")</f>
        <v>五重灯笼祭典门关</v>
      </c>
      <c r="E387" s="26">
        <f>摆设!D281</f>
        <v>0</v>
      </c>
      <c r="F387" s="26">
        <v>1</v>
      </c>
      <c r="G387" s="35" t="s">
        <v>161</v>
      </c>
      <c r="H387" s="35" t="s">
        <v>128</v>
      </c>
      <c r="I387" s="25" t="s">
        <v>135</v>
      </c>
      <c r="J387" s="35" t="s">
        <v>139</v>
      </c>
      <c r="K387" s="39"/>
      <c r="L387" s="45"/>
    </row>
    <row r="388" spans="1:12">
      <c r="A388" s="49"/>
      <c r="B388" s="49"/>
      <c r="C388" s="40"/>
      <c r="D388" s="34" t="str">
        <f>HYPERLINK("#摆设!御伽木简本路灯","御伽木简本路灯")</f>
        <v>御伽木简本路灯</v>
      </c>
      <c r="E388" s="26">
        <f>摆设!D284</f>
        <v>0</v>
      </c>
      <c r="F388" s="26">
        <v>2</v>
      </c>
      <c r="G388" s="35" t="s">
        <v>161</v>
      </c>
      <c r="H388" s="35" t="s">
        <v>128</v>
      </c>
      <c r="I388" s="25" t="s">
        <v>135</v>
      </c>
      <c r="J388" s="35" t="s">
        <v>139</v>
      </c>
      <c r="K388" s="39"/>
      <c r="L388" s="45"/>
    </row>
    <row r="389" spans="1:12">
      <c r="A389" s="49"/>
      <c r="B389" s="49"/>
      <c r="C389" s="40"/>
      <c r="D389" s="34" t="str">
        <f>HYPERLINK("#摆设!铸石地基—「修身砥行」","铸石地基—「修身砥行」")</f>
        <v>铸石地基—「修身砥行」</v>
      </c>
      <c r="E389" s="26">
        <f>摆设!D305</f>
        <v>0</v>
      </c>
      <c r="F389" s="26">
        <v>5</v>
      </c>
      <c r="G389" s="35" t="s">
        <v>162</v>
      </c>
      <c r="H389" s="35" t="s">
        <v>198</v>
      </c>
      <c r="I389" s="20" t="s">
        <v>116</v>
      </c>
      <c r="J389" s="35" t="s">
        <v>114</v>
      </c>
      <c r="K389" s="39"/>
      <c r="L389" s="45"/>
    </row>
    <row r="390" spans="3:11">
      <c r="C390" s="46"/>
      <c r="D390" s="37"/>
      <c r="E390" s="23"/>
      <c r="F390" s="23"/>
      <c r="G390" s="46"/>
      <c r="H390" s="46"/>
      <c r="I390" s="46"/>
      <c r="J390" s="46"/>
      <c r="K390" s="55"/>
    </row>
    <row r="391" spans="3:11">
      <c r="C391" s="50" t="s">
        <v>204</v>
      </c>
      <c r="D391" s="51" t="str">
        <f>HYPERLINK("#摆设!辉木布顶百用店","辉木布顶百用店")</f>
        <v>辉木布顶百用店</v>
      </c>
      <c r="E391" s="23">
        <f>摆设!D153</f>
        <v>0</v>
      </c>
      <c r="F391" s="23">
        <v>1</v>
      </c>
      <c r="G391" s="16" t="s">
        <v>154</v>
      </c>
      <c r="H391" s="23" t="s">
        <v>155</v>
      </c>
      <c r="I391" s="20" t="s">
        <v>116</v>
      </c>
      <c r="J391" s="35" t="s">
        <v>205</v>
      </c>
      <c r="K391" s="55"/>
    </row>
    <row r="392" spans="3:11">
      <c r="C392" s="50"/>
      <c r="D392" s="27" t="str">
        <f>HYPERLINK("#摆设!「智慧之城的泛常」","「智慧之城的泛常」")</f>
        <v>「智慧之城的泛常」</v>
      </c>
      <c r="E392" s="23">
        <f>摆设!D189</f>
        <v>0</v>
      </c>
      <c r="F392" s="23">
        <v>1</v>
      </c>
      <c r="G392" s="16" t="s">
        <v>154</v>
      </c>
      <c r="H392" s="23" t="s">
        <v>206</v>
      </c>
      <c r="I392" s="20" t="s">
        <v>116</v>
      </c>
      <c r="J392" s="16" t="s">
        <v>114</v>
      </c>
      <c r="K392" s="55"/>
    </row>
    <row r="393" spans="3:11">
      <c r="C393" s="50"/>
      <c r="D393" s="27" t="str">
        <f>HYPERLINK("#摆设!「旅团的征轮」","「旅团的征轮」")</f>
        <v>「旅团的征轮」</v>
      </c>
      <c r="E393" s="23">
        <f>摆设!D266</f>
        <v>0</v>
      </c>
      <c r="F393" s="23">
        <v>1</v>
      </c>
      <c r="G393" s="16" t="s">
        <v>161</v>
      </c>
      <c r="H393" s="16" t="s">
        <v>127</v>
      </c>
      <c r="I393" s="20" t="s">
        <v>116</v>
      </c>
      <c r="J393" s="35" t="s">
        <v>147</v>
      </c>
      <c r="K393" s="55"/>
    </row>
    <row r="394" spans="3:11">
      <c r="C394" s="50"/>
      <c r="D394" s="27" t="str">
        <f>HYPERLINK("#摆设!「醇甜于流转之间」","「醇甜于流转之间」")</f>
        <v>「醇甜于流转之间」</v>
      </c>
      <c r="E394" s="23">
        <f>摆设!D148</f>
        <v>0</v>
      </c>
      <c r="F394" s="23">
        <v>1</v>
      </c>
      <c r="G394" s="16" t="s">
        <v>154</v>
      </c>
      <c r="H394" s="23" t="s">
        <v>155</v>
      </c>
      <c r="I394" s="20" t="s">
        <v>116</v>
      </c>
      <c r="J394" s="35" t="s">
        <v>147</v>
      </c>
      <c r="K394" s="55"/>
    </row>
    <row r="395" spans="3:11">
      <c r="C395" s="50"/>
      <c r="D395" s="27" t="str">
        <f>HYPERLINK("#摆设!「醇甜于荫蔽之下」","「醇甜于荫蔽之下」")</f>
        <v>「醇甜于荫蔽之下」</v>
      </c>
      <c r="E395" s="23">
        <f>摆设!D149</f>
        <v>0</v>
      </c>
      <c r="F395" s="23">
        <v>1</v>
      </c>
      <c r="G395" s="16" t="s">
        <v>154</v>
      </c>
      <c r="H395" s="23" t="s">
        <v>155</v>
      </c>
      <c r="I395" s="20" t="s">
        <v>116</v>
      </c>
      <c r="J395" s="35" t="s">
        <v>147</v>
      </c>
      <c r="K395" s="55"/>
    </row>
    <row r="396" spans="3:11">
      <c r="C396" s="50"/>
      <c r="D396" s="27" t="str">
        <f>HYPERLINK("#摆设!攲斜弥亘树","攲斜弥亘树")</f>
        <v>攲斜弥亘树</v>
      </c>
      <c r="E396" s="23">
        <f>摆设!D205</f>
        <v>0</v>
      </c>
      <c r="F396" s="23">
        <v>1</v>
      </c>
      <c r="G396" s="16" t="s">
        <v>157</v>
      </c>
      <c r="H396" s="16" t="s">
        <v>159</v>
      </c>
      <c r="I396" s="25" t="s">
        <v>135</v>
      </c>
      <c r="J396" s="16" t="s">
        <v>145</v>
      </c>
      <c r="K396" s="55"/>
    </row>
    <row r="397" spans="3:11">
      <c r="C397" s="50"/>
      <c r="D397" s="27" t="str">
        <f>HYPERLINK("#摆设!「依常之光」","「依常之光」")</f>
        <v>「依常之光」</v>
      </c>
      <c r="E397" s="23">
        <f>摆设!D275</f>
        <v>0</v>
      </c>
      <c r="F397" s="23">
        <v>2</v>
      </c>
      <c r="G397" s="16" t="s">
        <v>161</v>
      </c>
      <c r="H397" s="16" t="s">
        <v>128</v>
      </c>
      <c r="I397" s="20" t="s">
        <v>116</v>
      </c>
      <c r="J397" s="16" t="s">
        <v>114</v>
      </c>
      <c r="K397" s="55"/>
    </row>
    <row r="398" spans="3:11">
      <c r="C398" s="50"/>
      <c r="D398" s="27" t="str">
        <f>HYPERLINK("#摆设!「智慧之城的美馔」","「智慧之城的美馔」")</f>
        <v>「智慧之城的美馔」</v>
      </c>
      <c r="E398" s="23">
        <f>摆设!D187</f>
        <v>0</v>
      </c>
      <c r="F398" s="23">
        <v>1</v>
      </c>
      <c r="G398" s="16" t="s">
        <v>154</v>
      </c>
      <c r="H398" s="23" t="s">
        <v>206</v>
      </c>
      <c r="I398" s="20" t="s">
        <v>116</v>
      </c>
      <c r="J398" s="16" t="s">
        <v>114</v>
      </c>
      <c r="K398" s="55"/>
    </row>
    <row r="399" spans="3:11">
      <c r="C399" s="50"/>
      <c r="D399" s="27" t="str">
        <f>HYPERLINK("#摆设!「纺缉的硕果琳琅」","「纺缉的硕果琳琅」")</f>
        <v>「纺缉的硕果琳琅」</v>
      </c>
      <c r="E399" s="23">
        <f>摆设!D223</f>
        <v>0</v>
      </c>
      <c r="F399" s="23">
        <v>1</v>
      </c>
      <c r="G399" s="16" t="s">
        <v>161</v>
      </c>
      <c r="H399" s="16" t="s">
        <v>167</v>
      </c>
      <c r="I399" s="20" t="s">
        <v>116</v>
      </c>
      <c r="J399" s="35" t="s">
        <v>147</v>
      </c>
      <c r="K399" s="55"/>
    </row>
    <row r="400" spans="3:11">
      <c r="C400" s="50"/>
      <c r="D400" s="27" t="str">
        <f>HYPERLINK("#摆设!「纺缉的纵深」","「纺缉的纵深」")</f>
        <v>「纺缉的纵深」</v>
      </c>
      <c r="E400" s="23">
        <f>摆设!D222</f>
        <v>0</v>
      </c>
      <c r="F400" s="23">
        <v>1</v>
      </c>
      <c r="G400" s="16" t="s">
        <v>161</v>
      </c>
      <c r="H400" s="16" t="s">
        <v>167</v>
      </c>
      <c r="I400" s="20" t="s">
        <v>116</v>
      </c>
      <c r="J400" s="35" t="s">
        <v>147</v>
      </c>
      <c r="K400" s="55"/>
    </row>
    <row r="401" spans="3:11">
      <c r="C401" s="50"/>
      <c r="D401" s="27" t="str">
        <f>HYPERLINK("#摆设!辉木移动烧烤铺","辉木移动烧烤铺")</f>
        <v>辉木移动烧烤铺</v>
      </c>
      <c r="E401" s="23">
        <f>摆设!D154</f>
        <v>0</v>
      </c>
      <c r="F401" s="23">
        <v>1</v>
      </c>
      <c r="G401" s="16" t="s">
        <v>154</v>
      </c>
      <c r="H401" s="23" t="s">
        <v>155</v>
      </c>
      <c r="I401" s="20" t="s">
        <v>116</v>
      </c>
      <c r="J401" s="35" t="s">
        <v>205</v>
      </c>
      <c r="K401" s="55"/>
    </row>
    <row r="402" spans="3:11">
      <c r="C402" s="50"/>
      <c r="D402" s="41"/>
      <c r="E402" s="23"/>
      <c r="F402" s="23"/>
      <c r="G402" s="46"/>
      <c r="H402" s="46"/>
      <c r="I402" s="46"/>
      <c r="J402" s="46"/>
      <c r="K402" s="55"/>
    </row>
    <row r="403" spans="3:11">
      <c r="C403" s="50" t="s">
        <v>207</v>
      </c>
      <c r="D403" s="27" t="str">
        <f>HYPERLINK("#摆设!「滴翠之光」","「滴翠之光」")</f>
        <v>「滴翠之光」</v>
      </c>
      <c r="E403" s="23">
        <f>摆设!D274</f>
        <v>0</v>
      </c>
      <c r="F403" s="23">
        <v>3</v>
      </c>
      <c r="G403" s="16" t="s">
        <v>161</v>
      </c>
      <c r="H403" s="16" t="s">
        <v>128</v>
      </c>
      <c r="I403" s="20" t="s">
        <v>116</v>
      </c>
      <c r="J403" s="35" t="s">
        <v>147</v>
      </c>
      <c r="K403" s="55"/>
    </row>
    <row r="404" spans="3:11">
      <c r="C404" s="50"/>
      <c r="D404" s="27" t="str">
        <f>HYPERLINK("#摆设!修茂弥亘树","修茂弥亘树")</f>
        <v>修茂弥亘树</v>
      </c>
      <c r="E404" s="23">
        <f>摆设!D206</f>
        <v>0</v>
      </c>
      <c r="F404" s="23">
        <v>1</v>
      </c>
      <c r="G404" s="16" t="s">
        <v>157</v>
      </c>
      <c r="H404" s="16" t="s">
        <v>159</v>
      </c>
      <c r="I404" s="25" t="s">
        <v>135</v>
      </c>
      <c r="J404" s="16" t="s">
        <v>145</v>
      </c>
      <c r="K404" s="55"/>
    </row>
    <row r="405" spans="3:11">
      <c r="C405" s="50"/>
      <c r="D405" s="27" t="str">
        <f>HYPERLINK("#摆设!「林居之人的恰切」","「林居之人的恰切」")</f>
        <v>「林居之人的恰切」</v>
      </c>
      <c r="E405" s="23">
        <f>摆设!D181</f>
        <v>0</v>
      </c>
      <c r="F405" s="23">
        <v>1</v>
      </c>
      <c r="G405" s="16" t="s">
        <v>154</v>
      </c>
      <c r="H405" s="23" t="s">
        <v>206</v>
      </c>
      <c r="I405" s="20" t="s">
        <v>116</v>
      </c>
      <c r="J405" s="35" t="s">
        <v>147</v>
      </c>
      <c r="K405" s="55"/>
    </row>
    <row r="406" spans="3:11">
      <c r="C406" s="50"/>
      <c r="D406" s="27" t="str">
        <f>HYPERLINK("#摆设!「林居之人的酌定」","「林居之人的酌定」")</f>
        <v>「林居之人的酌定」</v>
      </c>
      <c r="E406" s="23">
        <f>摆设!D180</f>
        <v>0</v>
      </c>
      <c r="F406" s="23">
        <v>1</v>
      </c>
      <c r="G406" s="16" t="s">
        <v>154</v>
      </c>
      <c r="H406" s="23" t="s">
        <v>206</v>
      </c>
      <c r="I406" s="20" t="s">
        <v>116</v>
      </c>
      <c r="J406" s="35" t="s">
        <v>147</v>
      </c>
      <c r="K406" s="55"/>
    </row>
    <row r="407" spans="3:11">
      <c r="C407" s="50"/>
      <c r="D407" s="27" t="str">
        <f>HYPERLINK("#摆设!「渔采的绝对界线」","「渔采的绝对界线」")</f>
        <v>「渔采的绝对界线」</v>
      </c>
      <c r="E407" s="23">
        <f>摆设!D287</f>
        <v>0</v>
      </c>
      <c r="F407" s="23">
        <v>29</v>
      </c>
      <c r="G407" s="16" t="s">
        <v>162</v>
      </c>
      <c r="H407" s="16" t="s">
        <v>179</v>
      </c>
      <c r="I407" s="25" t="s">
        <v>135</v>
      </c>
      <c r="J407" s="35" t="s">
        <v>147</v>
      </c>
      <c r="K407" s="55"/>
    </row>
    <row r="408" spans="3:11">
      <c r="C408" s="50"/>
      <c r="D408" s="27" t="str">
        <f>HYPERLINK("#摆设!「醇甜于窖藏之中」","「醇甜于窖藏之中」")</f>
        <v>「醇甜于窖藏之中」</v>
      </c>
      <c r="E408" s="23">
        <f>摆设!D150</f>
        <v>0</v>
      </c>
      <c r="F408" s="23">
        <v>1</v>
      </c>
      <c r="G408" s="16" t="s">
        <v>154</v>
      </c>
      <c r="H408" s="23" t="s">
        <v>155</v>
      </c>
      <c r="I408" s="20" t="s">
        <v>116</v>
      </c>
      <c r="J408" s="35" t="s">
        <v>147</v>
      </c>
      <c r="K408" s="55"/>
    </row>
    <row r="409" spans="3:11">
      <c r="C409" s="50"/>
      <c r="D409" s="27" t="str">
        <f>HYPERLINK("#摆设!「渔采的修旧利废」","「渔采的修旧利废」")</f>
        <v>「渔采的修旧利废」</v>
      </c>
      <c r="E409" s="23">
        <f>摆设!D152</f>
        <v>0</v>
      </c>
      <c r="F409" s="23">
        <v>1</v>
      </c>
      <c r="G409" s="16" t="s">
        <v>154</v>
      </c>
      <c r="H409" s="23" t="s">
        <v>155</v>
      </c>
      <c r="I409" s="20" t="s">
        <v>116</v>
      </c>
      <c r="J409" s="35" t="s">
        <v>147</v>
      </c>
      <c r="K409" s="55"/>
    </row>
    <row r="410" spans="3:11">
      <c r="C410" s="50"/>
      <c r="D410" s="27" t="str">
        <f>HYPERLINK("#摆设!「灼热的诱因」","「灼热的诱因」")</f>
        <v>「灼热的诱因」</v>
      </c>
      <c r="E410" s="23">
        <f>摆设!D216</f>
        <v>0</v>
      </c>
      <c r="F410" s="23">
        <v>6</v>
      </c>
      <c r="G410" s="16" t="s">
        <v>157</v>
      </c>
      <c r="H410" s="16" t="s">
        <v>160</v>
      </c>
      <c r="I410" s="20" t="s">
        <v>116</v>
      </c>
      <c r="J410" s="16" t="s">
        <v>145</v>
      </c>
      <c r="K410" s="55"/>
    </row>
    <row r="411" spans="3:11">
      <c r="C411" s="52"/>
      <c r="D411" s="41"/>
      <c r="E411" s="23"/>
      <c r="F411" s="23"/>
      <c r="G411" s="46"/>
      <c r="H411" s="46"/>
      <c r="I411" s="46"/>
      <c r="J411" s="46"/>
      <c r="K411" s="55"/>
    </row>
    <row r="412" spans="3:11">
      <c r="C412" s="53" t="s">
        <v>208</v>
      </c>
      <c r="D412" s="27" t="str">
        <f>HYPERLINK("#摆设!「盛放之光」","「盛放之光」")</f>
        <v>「盛放之光」</v>
      </c>
      <c r="E412" s="23">
        <f>摆设!D273</f>
        <v>0</v>
      </c>
      <c r="F412" s="23">
        <v>2</v>
      </c>
      <c r="G412" s="16" t="s">
        <v>161</v>
      </c>
      <c r="H412" s="16" t="s">
        <v>128</v>
      </c>
      <c r="I412" s="24" t="s">
        <v>112</v>
      </c>
      <c r="J412" s="16" t="s">
        <v>114</v>
      </c>
      <c r="K412" s="55"/>
    </row>
    <row r="413" spans="3:11">
      <c r="C413" s="53"/>
      <c r="D413" s="27" t="str">
        <f>HYPERLINK("#摆设!「潜心之光」","「潜心之光」")</f>
        <v>「潜心之光」</v>
      </c>
      <c r="E413" s="23">
        <f>摆设!D272</f>
        <v>0</v>
      </c>
      <c r="F413" s="23">
        <v>6</v>
      </c>
      <c r="G413" s="16" t="s">
        <v>161</v>
      </c>
      <c r="H413" s="16" t="s">
        <v>128</v>
      </c>
      <c r="I413" s="24" t="s">
        <v>112</v>
      </c>
      <c r="J413" s="16" t="s">
        <v>114</v>
      </c>
      <c r="K413" s="55"/>
    </row>
    <row r="414" spans="3:11">
      <c r="C414" s="53"/>
      <c r="D414" s="27" t="str">
        <f>HYPERLINK("#摆设!「剧场的盛意摹刻」","「剧场的盛意摹刻」")</f>
        <v>「剧场的盛意摹刻」</v>
      </c>
      <c r="E414" s="23">
        <f>摆设!D179</f>
        <v>0</v>
      </c>
      <c r="F414" s="23">
        <v>1</v>
      </c>
      <c r="G414" s="16" t="s">
        <v>154</v>
      </c>
      <c r="H414" s="23" t="s">
        <v>206</v>
      </c>
      <c r="I414" s="24" t="s">
        <v>112</v>
      </c>
      <c r="J414" s="35" t="s">
        <v>209</v>
      </c>
      <c r="K414" s="55"/>
    </row>
    <row r="415" spans="3:11">
      <c r="C415" s="53"/>
      <c r="D415" s="27" t="str">
        <f>HYPERLINK("#摆设!「剧场的琼片丛簇」","「剧场的琼片丛簇」")</f>
        <v>「剧场的琼片丛簇」</v>
      </c>
      <c r="E415" s="23">
        <f>摆设!D248</f>
        <v>0</v>
      </c>
      <c r="F415" s="23">
        <v>20</v>
      </c>
      <c r="G415" s="16" t="s">
        <v>161</v>
      </c>
      <c r="H415" s="16" t="s">
        <v>190</v>
      </c>
      <c r="I415" s="24" t="s">
        <v>112</v>
      </c>
      <c r="J415" s="16" t="s">
        <v>145</v>
      </c>
      <c r="K415" s="55"/>
    </row>
    <row r="416" spans="3:11">
      <c r="C416" s="53"/>
      <c r="D416" s="27" t="str">
        <f>HYPERLINK("#摆设!「卓识之地的朗澈」","「卓识之地的朗澈」")</f>
        <v>「卓识之地的朗澈」</v>
      </c>
      <c r="E416" s="23">
        <f>摆设!D131</f>
        <v>0</v>
      </c>
      <c r="F416" s="23">
        <v>1</v>
      </c>
      <c r="G416" s="16" t="s">
        <v>169</v>
      </c>
      <c r="H416" s="16" t="s">
        <v>170</v>
      </c>
      <c r="I416" s="24" t="s">
        <v>112</v>
      </c>
      <c r="J416" s="16" t="s">
        <v>114</v>
      </c>
      <c r="K416" s="55"/>
    </row>
    <row r="417" spans="3:11">
      <c r="C417" s="52"/>
      <c r="D417" s="41"/>
      <c r="E417" s="23"/>
      <c r="F417" s="23"/>
      <c r="G417" s="46"/>
      <c r="H417" s="46"/>
      <c r="I417" s="46"/>
      <c r="J417" s="46"/>
      <c r="K417" s="55"/>
    </row>
    <row r="418" spans="3:11">
      <c r="C418" s="50" t="s">
        <v>210</v>
      </c>
      <c r="D418" s="27" t="str">
        <f>HYPERLINK("#摆设!「灼热的诱因」","「灼热的诱因」")</f>
        <v>「灼热的诱因」</v>
      </c>
      <c r="E418" s="23">
        <f>摆设!D216</f>
        <v>0</v>
      </c>
      <c r="F418" s="23">
        <v>4</v>
      </c>
      <c r="G418" s="16" t="s">
        <v>157</v>
      </c>
      <c r="H418" s="16" t="s">
        <v>160</v>
      </c>
      <c r="I418" s="20" t="s">
        <v>116</v>
      </c>
      <c r="J418" s="35" t="s">
        <v>145</v>
      </c>
      <c r="K418" s="55"/>
    </row>
    <row r="419" spans="3:11">
      <c r="C419" s="50"/>
      <c r="D419" s="27" t="str">
        <f>HYPERLINK("#摆设!「渔采的市易之地」","「渔采的市易之地」")</f>
        <v>「渔采的市易之地」</v>
      </c>
      <c r="E419" s="23">
        <f>摆设!D151</f>
        <v>0</v>
      </c>
      <c r="F419" s="23">
        <v>1</v>
      </c>
      <c r="G419" s="16" t="s">
        <v>154</v>
      </c>
      <c r="H419" s="23" t="s">
        <v>155</v>
      </c>
      <c r="I419" s="20" t="s">
        <v>116</v>
      </c>
      <c r="J419" s="35" t="s">
        <v>147</v>
      </c>
      <c r="K419" s="55"/>
    </row>
    <row r="420" spans="3:11">
      <c r="C420" s="50"/>
      <c r="D420" s="27" t="str">
        <f>HYPERLINK("#摆设!「渔采的择取机网」","「渔采的择取机网」")</f>
        <v>「渔采的择取机网」</v>
      </c>
      <c r="E420" s="23">
        <f>摆设!D235</f>
        <v>0</v>
      </c>
      <c r="F420" s="23">
        <v>1</v>
      </c>
      <c r="G420" s="16" t="s">
        <v>161</v>
      </c>
      <c r="H420" s="16" t="s">
        <v>167</v>
      </c>
      <c r="I420" s="20" t="s">
        <v>116</v>
      </c>
      <c r="J420" s="35" t="s">
        <v>147</v>
      </c>
      <c r="K420" s="55"/>
    </row>
    <row r="421" spans="3:11">
      <c r="C421" s="50"/>
      <c r="D421" s="27" t="str">
        <f>HYPERLINK("#摆设!「智慧之城的丝缕」","「智慧之城的丝缕」")</f>
        <v>「智慧之城的丝缕」</v>
      </c>
      <c r="E421" s="23">
        <f>摆设!D188</f>
        <v>0</v>
      </c>
      <c r="F421" s="23">
        <v>1</v>
      </c>
      <c r="G421" s="16" t="s">
        <v>154</v>
      </c>
      <c r="H421" s="23" t="s">
        <v>206</v>
      </c>
      <c r="I421" s="20" t="s">
        <v>116</v>
      </c>
      <c r="J421" s="35" t="s">
        <v>114</v>
      </c>
      <c r="K421" s="55"/>
    </row>
    <row r="422" spans="3:11">
      <c r="C422" s="50"/>
      <c r="D422" s="27" t="str">
        <f>HYPERLINK("#摆设!「渔采的丰获之声」","「渔采的丰获之声」")</f>
        <v>「渔采的丰获之声」</v>
      </c>
      <c r="E422" s="23">
        <f>摆设!D233</f>
        <v>0</v>
      </c>
      <c r="F422" s="54">
        <v>1</v>
      </c>
      <c r="G422" s="16" t="s">
        <v>161</v>
      </c>
      <c r="H422" s="16" t="s">
        <v>167</v>
      </c>
      <c r="I422" s="20" t="s">
        <v>116</v>
      </c>
      <c r="J422" s="35" t="s">
        <v>147</v>
      </c>
      <c r="K422" s="55"/>
    </row>
    <row r="423" spans="3:11">
      <c r="C423" s="50"/>
      <c r="D423" s="27" t="str">
        <f>HYPERLINK("#摆设!「渔采的家常茶饭」","「渔采的家常茶饭」")</f>
        <v>「渔采的家常茶饭」</v>
      </c>
      <c r="E423" s="23">
        <f>摆设!D234</f>
        <v>0</v>
      </c>
      <c r="F423" s="23">
        <v>2</v>
      </c>
      <c r="G423" s="16" t="s">
        <v>161</v>
      </c>
      <c r="H423" s="16" t="s">
        <v>167</v>
      </c>
      <c r="I423" s="20" t="s">
        <v>116</v>
      </c>
      <c r="J423" s="35" t="s">
        <v>147</v>
      </c>
      <c r="K423" s="55"/>
    </row>
    <row r="424" spans="3:11">
      <c r="C424" s="50"/>
      <c r="D424" s="27" t="str">
        <f>HYPERLINK("#摆设!「林居之人的孤念」","「林居之人的孤念」")</f>
        <v>「林居之人的孤念」</v>
      </c>
      <c r="E424" s="23">
        <f>摆设!D182</f>
        <v>0</v>
      </c>
      <c r="F424" s="23">
        <v>1</v>
      </c>
      <c r="G424" s="16" t="s">
        <v>154</v>
      </c>
      <c r="H424" s="23" t="s">
        <v>206</v>
      </c>
      <c r="I424" s="20" t="s">
        <v>116</v>
      </c>
      <c r="J424" s="35" t="s">
        <v>147</v>
      </c>
      <c r="K424" s="55"/>
    </row>
    <row r="425" spans="3:11">
      <c r="C425" s="50"/>
      <c r="D425" s="27" t="str">
        <f>HYPERLINK("#摆设!「渔采的绝对界线」","「渔采的绝对界线」")</f>
        <v>「渔采的绝对界线」</v>
      </c>
      <c r="E425" s="23">
        <f>摆设!D287</f>
        <v>0</v>
      </c>
      <c r="F425" s="23">
        <v>20</v>
      </c>
      <c r="G425" s="16" t="s">
        <v>162</v>
      </c>
      <c r="H425" s="16" t="s">
        <v>179</v>
      </c>
      <c r="I425" s="25" t="s">
        <v>135</v>
      </c>
      <c r="J425" s="35" t="s">
        <v>147</v>
      </c>
      <c r="K425" s="55"/>
    </row>
    <row r="426" spans="3:11">
      <c r="C426" s="50"/>
      <c r="D426" s="27" t="str">
        <f>HYPERLINK("#摆设!「渔采的涓滴成河」","「渔采的涓滴成河」")</f>
        <v>「渔采的涓滴成河」</v>
      </c>
      <c r="E426" s="23">
        <f>摆设!D247</f>
        <v>0</v>
      </c>
      <c r="F426" s="23">
        <v>2</v>
      </c>
      <c r="G426" s="16" t="s">
        <v>161</v>
      </c>
      <c r="H426" s="16" t="s">
        <v>167</v>
      </c>
      <c r="I426" s="25" t="s">
        <v>135</v>
      </c>
      <c r="J426" s="35" t="s">
        <v>147</v>
      </c>
      <c r="K426" s="55"/>
    </row>
    <row r="427" spans="3:11">
      <c r="C427" s="50"/>
      <c r="D427" s="27" t="str">
        <f>HYPERLINK("#摆设!「滴翠之光」","「滴翠之光」")</f>
        <v>「滴翠之光」</v>
      </c>
      <c r="E427" s="23">
        <f>摆设!D274</f>
        <v>0</v>
      </c>
      <c r="F427" s="23">
        <v>2</v>
      </c>
      <c r="G427" s="16" t="s">
        <v>161</v>
      </c>
      <c r="H427" s="16" t="s">
        <v>128</v>
      </c>
      <c r="I427" s="20" t="s">
        <v>116</v>
      </c>
      <c r="J427" s="35" t="s">
        <v>147</v>
      </c>
      <c r="K427" s="55"/>
    </row>
    <row r="428" spans="3:11">
      <c r="C428" s="52"/>
      <c r="D428" s="41"/>
      <c r="E428" s="23"/>
      <c r="F428" s="23"/>
      <c r="G428" s="46"/>
      <c r="H428" s="46"/>
      <c r="I428" s="46"/>
      <c r="J428" s="46"/>
      <c r="K428" s="55"/>
    </row>
    <row r="429" spans="3:11">
      <c r="C429" s="50" t="s">
        <v>211</v>
      </c>
      <c r="D429" s="27" t="str">
        <f>HYPERLINK("#摆设!「旅团的征轮」","「旅团的征轮」")</f>
        <v>「旅团的征轮」</v>
      </c>
      <c r="E429" s="23">
        <f>摆设!D266</f>
        <v>0</v>
      </c>
      <c r="F429" s="23">
        <v>1</v>
      </c>
      <c r="G429" s="16" t="s">
        <v>161</v>
      </c>
      <c r="H429" s="16" t="s">
        <v>127</v>
      </c>
      <c r="I429" s="20" t="s">
        <v>116</v>
      </c>
      <c r="J429" s="35" t="s">
        <v>147</v>
      </c>
      <c r="K429" s="55"/>
    </row>
    <row r="430" spans="3:11">
      <c r="C430" s="50"/>
      <c r="D430" s="27" t="str">
        <f>HYPERLINK("#摆设!「纺缉的纵深」","「纺缉的纵深」")</f>
        <v>「纺缉的纵深」</v>
      </c>
      <c r="E430" s="23">
        <f>摆设!D222</f>
        <v>0</v>
      </c>
      <c r="F430" s="23">
        <v>1</v>
      </c>
      <c r="G430" s="16" t="s">
        <v>161</v>
      </c>
      <c r="H430" s="16" t="s">
        <v>167</v>
      </c>
      <c r="I430" s="20" t="s">
        <v>116</v>
      </c>
      <c r="J430" s="35" t="s">
        <v>147</v>
      </c>
      <c r="K430" s="55"/>
    </row>
    <row r="431" spans="3:11">
      <c r="C431" s="50"/>
      <c r="D431" s="27" t="str">
        <f>HYPERLINK("#摆设!「纺缉的硕果琳琅」","「纺缉的硕果琳琅」")</f>
        <v>「纺缉的硕果琳琅」</v>
      </c>
      <c r="E431" s="23">
        <f>摆设!D223</f>
        <v>0</v>
      </c>
      <c r="F431" s="23">
        <v>1</v>
      </c>
      <c r="G431" s="16" t="s">
        <v>161</v>
      </c>
      <c r="H431" s="16" t="s">
        <v>167</v>
      </c>
      <c r="I431" s="20" t="s">
        <v>116</v>
      </c>
      <c r="J431" s="35" t="s">
        <v>147</v>
      </c>
      <c r="K431" s="55"/>
    </row>
    <row r="432" spans="3:11">
      <c r="C432" s="50"/>
      <c r="D432" s="27" t="str">
        <f>HYPERLINK("#摆设!沙域平屋—「号声」","沙域平屋—「号声」")</f>
        <v>沙域平屋—「号声」</v>
      </c>
      <c r="E432" s="23">
        <f>摆设!D185</f>
        <v>0</v>
      </c>
      <c r="F432" s="23">
        <v>1</v>
      </c>
      <c r="G432" s="16" t="s">
        <v>154</v>
      </c>
      <c r="H432" s="23" t="s">
        <v>206</v>
      </c>
      <c r="I432" s="20" t="s">
        <v>116</v>
      </c>
      <c r="J432" s="35" t="s">
        <v>149</v>
      </c>
      <c r="K432" s="55"/>
    </row>
    <row r="433" spans="3:11">
      <c r="C433" s="50"/>
      <c r="D433" s="27" t="str">
        <f>HYPERLINK("#摆设!沙域平屋—「短寐」","沙域平屋—「短寐」")</f>
        <v>沙域平屋—「短寐」</v>
      </c>
      <c r="E433" s="23">
        <f>摆设!D186</f>
        <v>0</v>
      </c>
      <c r="F433" s="23">
        <v>1</v>
      </c>
      <c r="G433" s="16" t="s">
        <v>154</v>
      </c>
      <c r="H433" s="23" t="s">
        <v>206</v>
      </c>
      <c r="I433" s="20" t="s">
        <v>116</v>
      </c>
      <c r="J433" s="35" t="s">
        <v>149</v>
      </c>
      <c r="K433" s="55"/>
    </row>
    <row r="434" spans="3:11">
      <c r="C434" s="50"/>
      <c r="D434" s="27" t="str">
        <f>HYPERLINK("#摆设!沙域平屋—「众香」","沙域平屋—「众香」")</f>
        <v>沙域平屋—「众香」</v>
      </c>
      <c r="E434" s="23">
        <f>摆设!D184</f>
        <v>0</v>
      </c>
      <c r="F434" s="23">
        <v>3</v>
      </c>
      <c r="G434" s="16" t="s">
        <v>154</v>
      </c>
      <c r="H434" s="23" t="s">
        <v>206</v>
      </c>
      <c r="I434" s="20" t="s">
        <v>116</v>
      </c>
      <c r="J434" s="35" t="s">
        <v>149</v>
      </c>
      <c r="K434" s="55"/>
    </row>
    <row r="435" spans="3:11">
      <c r="C435" s="50"/>
      <c r="D435" s="27" t="str">
        <f>HYPERLINK("#摆设!沙域平屋—「端居」","沙域平屋—「端居」")</f>
        <v>沙域平屋—「端居」</v>
      </c>
      <c r="E435" s="23">
        <f>摆设!D183</f>
        <v>0</v>
      </c>
      <c r="F435" s="23">
        <v>1</v>
      </c>
      <c r="G435" s="16" t="s">
        <v>154</v>
      </c>
      <c r="H435" s="23" t="s">
        <v>206</v>
      </c>
      <c r="I435" s="20" t="s">
        <v>116</v>
      </c>
      <c r="J435" s="35" t="s">
        <v>149</v>
      </c>
      <c r="K435" s="55"/>
    </row>
    <row r="436" spans="3:11">
      <c r="C436" s="50"/>
      <c r="D436" s="27" t="str">
        <f>HYPERLINK("#摆设!「醇甜于流转之间」","「醇甜于流转之间」")</f>
        <v>「醇甜于流转之间」</v>
      </c>
      <c r="E436" s="23">
        <f>摆设!D148</f>
        <v>0</v>
      </c>
      <c r="F436" s="23">
        <v>1</v>
      </c>
      <c r="G436" s="16" t="s">
        <v>154</v>
      </c>
      <c r="H436" s="23" t="s">
        <v>155</v>
      </c>
      <c r="I436" s="20" t="s">
        <v>116</v>
      </c>
      <c r="J436" s="35" t="s">
        <v>147</v>
      </c>
      <c r="K436" s="55"/>
    </row>
    <row r="437" spans="3:11">
      <c r="C437" s="50"/>
      <c r="D437" s="27" t="str">
        <f>HYPERLINK("#摆设!「深藏咸涩的裂果」","「深藏咸涩的裂果」")</f>
        <v>「深藏咸涩的裂果」</v>
      </c>
      <c r="E437" s="23">
        <f>摆设!D214</f>
        <v>0</v>
      </c>
      <c r="F437" s="23">
        <v>1</v>
      </c>
      <c r="G437" s="16" t="s">
        <v>157</v>
      </c>
      <c r="H437" s="16" t="s">
        <v>160</v>
      </c>
      <c r="I437" s="20" t="s">
        <v>116</v>
      </c>
      <c r="J437" s="46"/>
      <c r="K437" s="55"/>
    </row>
    <row r="438" spans="3:11">
      <c r="C438" s="50"/>
      <c r="D438" s="27" t="str">
        <f>HYPERLINK("#摆设!「如烨烁的远星」","「如烨烁的远星」")</f>
        <v>「如烨烁的远星」</v>
      </c>
      <c r="E438" s="23">
        <f>摆设!D215</f>
        <v>0</v>
      </c>
      <c r="F438" s="23">
        <v>5</v>
      </c>
      <c r="G438" s="16" t="s">
        <v>157</v>
      </c>
      <c r="H438" s="16" t="s">
        <v>160</v>
      </c>
      <c r="I438" s="20" t="s">
        <v>116</v>
      </c>
      <c r="J438" s="35" t="s">
        <v>145</v>
      </c>
      <c r="K438" s="55"/>
    </row>
    <row r="439" spans="3:11">
      <c r="C439" s="50"/>
      <c r="D439" s="27" t="str">
        <f>HYPERLINK("#摆设!沙域棚屋—「细务」","沙域棚屋—「细务」")</f>
        <v>沙域棚屋—「细务」</v>
      </c>
      <c r="E439" s="23">
        <f>摆设!D132</f>
        <v>0</v>
      </c>
      <c r="F439" s="23">
        <v>1</v>
      </c>
      <c r="G439" s="16" t="s">
        <v>169</v>
      </c>
      <c r="H439" s="16" t="s">
        <v>170</v>
      </c>
      <c r="I439" s="20" t="s">
        <v>116</v>
      </c>
      <c r="J439" s="35" t="s">
        <v>149</v>
      </c>
      <c r="K439" s="55"/>
    </row>
    <row r="440" spans="3:11">
      <c r="C440" s="50"/>
      <c r="D440" s="27" t="str">
        <f>HYPERLINK("#摆设!沙域棚屋—「问事」","沙域棚屋—「问事」")</f>
        <v>沙域棚屋—「问事」</v>
      </c>
      <c r="E440" s="23">
        <f>摆设!D133</f>
        <v>0</v>
      </c>
      <c r="F440" s="23">
        <v>1</v>
      </c>
      <c r="G440" s="16" t="s">
        <v>169</v>
      </c>
      <c r="H440" s="16" t="s">
        <v>170</v>
      </c>
      <c r="I440" s="20" t="s">
        <v>116</v>
      </c>
      <c r="J440" s="35" t="s">
        <v>149</v>
      </c>
      <c r="K440" s="55"/>
    </row>
    <row r="441" spans="3:11">
      <c r="C441" s="50"/>
      <c r="D441" s="41"/>
      <c r="E441" s="23"/>
      <c r="F441" s="23"/>
      <c r="G441" s="46"/>
      <c r="H441" s="46"/>
      <c r="I441" s="46"/>
      <c r="J441" s="46"/>
      <c r="K441" s="55"/>
    </row>
    <row r="442" spans="3:11">
      <c r="C442" s="50" t="s">
        <v>212</v>
      </c>
      <c r="D442" s="27" t="str">
        <f>HYPERLINK("#摆设!「如烨烁的远星」","「如烨烁的远星」")</f>
        <v>「如烨烁的远星」</v>
      </c>
      <c r="E442" s="23">
        <f>摆设!D215</f>
        <v>0</v>
      </c>
      <c r="F442" s="23">
        <v>5</v>
      </c>
      <c r="G442" s="16" t="s">
        <v>157</v>
      </c>
      <c r="H442" s="16" t="s">
        <v>160</v>
      </c>
      <c r="I442" s="20" t="s">
        <v>116</v>
      </c>
      <c r="J442" s="16" t="s">
        <v>145</v>
      </c>
      <c r="K442" s="55"/>
    </row>
    <row r="443" spans="3:11">
      <c r="C443" s="50"/>
      <c r="D443" s="27" t="str">
        <f>HYPERLINK("#摆设!「必不可少之物」","「必不可少之物」")</f>
        <v>「必不可少之物」</v>
      </c>
      <c r="E443" s="23">
        <f>摆设!D262</f>
        <v>0</v>
      </c>
      <c r="F443" s="23">
        <v>3</v>
      </c>
      <c r="G443" s="16" t="s">
        <v>161</v>
      </c>
      <c r="H443" s="16" t="s">
        <v>127</v>
      </c>
      <c r="I443" s="20" t="s">
        <v>116</v>
      </c>
      <c r="J443" s="35" t="s">
        <v>147</v>
      </c>
      <c r="K443" s="55"/>
    </row>
    <row r="444" spans="3:11">
      <c r="C444" s="50"/>
      <c r="D444" s="27" t="str">
        <f>HYPERLINK("#摆设!修茂弥亘树","修茂弥亘树")</f>
        <v>修茂弥亘树</v>
      </c>
      <c r="E444" s="23">
        <f>摆设!D206</f>
        <v>0</v>
      </c>
      <c r="F444" s="23">
        <v>1</v>
      </c>
      <c r="G444" s="16" t="s">
        <v>157</v>
      </c>
      <c r="H444" s="16" t="s">
        <v>159</v>
      </c>
      <c r="I444" s="25" t="s">
        <v>135</v>
      </c>
      <c r="J444" s="16" t="s">
        <v>145</v>
      </c>
      <c r="K444" s="55"/>
    </row>
    <row r="445" spans="3:11">
      <c r="C445" s="50"/>
      <c r="D445" s="27" t="str">
        <f>HYPERLINK("#摆设!「旅团的征轮」","「旅团的征轮」")</f>
        <v>「旅团的征轮」</v>
      </c>
      <c r="E445" s="23">
        <f>摆设!D266</f>
        <v>0</v>
      </c>
      <c r="F445" s="23">
        <v>1</v>
      </c>
      <c r="G445" s="16" t="s">
        <v>161</v>
      </c>
      <c r="H445" s="16" t="s">
        <v>127</v>
      </c>
      <c r="I445" s="20" t="s">
        <v>116</v>
      </c>
      <c r="J445" s="35" t="s">
        <v>147</v>
      </c>
      <c r="K445" s="55"/>
    </row>
    <row r="446" spans="3:11">
      <c r="C446" s="50"/>
      <c r="D446" s="27" t="str">
        <f>HYPERLINK("#摆设!「旅团的威焰」","「旅团的威焰」")</f>
        <v>「旅团的威焰」</v>
      </c>
      <c r="E446" s="23">
        <f>摆设!D263</f>
        <v>0</v>
      </c>
      <c r="F446" s="23">
        <v>2</v>
      </c>
      <c r="G446" s="16" t="s">
        <v>161</v>
      </c>
      <c r="H446" s="16" t="s">
        <v>127</v>
      </c>
      <c r="I446" s="20" t="s">
        <v>116</v>
      </c>
      <c r="J446" s="35" t="s">
        <v>147</v>
      </c>
      <c r="K446" s="55"/>
    </row>
    <row r="447" spans="3:11">
      <c r="C447" s="50"/>
      <c r="D447" s="27" t="str">
        <f>HYPERLINK("#摆设!「攻伐的具象」","「攻伐的具象」")</f>
        <v>「攻伐的具象」</v>
      </c>
      <c r="E447" s="23">
        <f>摆设!D264</f>
        <v>0</v>
      </c>
      <c r="F447" s="23">
        <v>1</v>
      </c>
      <c r="G447" s="16" t="s">
        <v>161</v>
      </c>
      <c r="H447" s="16" t="s">
        <v>127</v>
      </c>
      <c r="I447" s="20" t="s">
        <v>116</v>
      </c>
      <c r="J447" s="35" t="s">
        <v>147</v>
      </c>
      <c r="K447" s="55"/>
    </row>
    <row r="448" spans="3:11">
      <c r="C448" s="50"/>
      <c r="D448" s="27" t="str">
        <f>HYPERLINK("#摆设!「旅团的盛名」","「旅团的盛名」")</f>
        <v>「旅团的盛名」</v>
      </c>
      <c r="E448" s="23">
        <f>摆设!D267</f>
        <v>0</v>
      </c>
      <c r="F448" s="23">
        <v>1</v>
      </c>
      <c r="G448" s="16" t="s">
        <v>161</v>
      </c>
      <c r="H448" s="16" t="s">
        <v>127</v>
      </c>
      <c r="I448" s="20" t="s">
        <v>116</v>
      </c>
      <c r="J448" s="35" t="s">
        <v>114</v>
      </c>
      <c r="K448" s="55"/>
    </row>
    <row r="449" spans="3:11">
      <c r="C449" s="50"/>
      <c r="D449" s="27" t="str">
        <f>HYPERLINK("#摆设!「禁足铁菱角」","「禁足铁菱角」")</f>
        <v>「禁足铁菱角」</v>
      </c>
      <c r="E449" s="23">
        <f>摆设!D265</f>
        <v>0</v>
      </c>
      <c r="F449" s="23">
        <v>7</v>
      </c>
      <c r="G449" s="16" t="s">
        <v>161</v>
      </c>
      <c r="H449" s="16" t="s">
        <v>127</v>
      </c>
      <c r="I449" s="20" t="s">
        <v>116</v>
      </c>
      <c r="J449" s="35" t="s">
        <v>147</v>
      </c>
      <c r="K449" s="55"/>
    </row>
    <row r="450" spans="3:11">
      <c r="C450" s="52"/>
      <c r="D450" s="41"/>
      <c r="E450" s="23"/>
      <c r="F450" s="23"/>
      <c r="G450" s="46"/>
      <c r="H450" s="46"/>
      <c r="I450" s="46"/>
      <c r="J450" s="46"/>
      <c r="K450" s="55"/>
    </row>
    <row r="451" spans="3:11">
      <c r="C451" s="50" t="s">
        <v>213</v>
      </c>
      <c r="D451" s="27" t="str">
        <f>HYPERLINK("#摆设!「潜心之光」","「潜心之光」")</f>
        <v>「潜心之光」</v>
      </c>
      <c r="E451" s="23">
        <f>摆设!D272</f>
        <v>0</v>
      </c>
      <c r="F451" s="23">
        <v>2</v>
      </c>
      <c r="G451" s="16" t="s">
        <v>161</v>
      </c>
      <c r="H451" s="16" t="s">
        <v>128</v>
      </c>
      <c r="I451" s="24" t="s">
        <v>112</v>
      </c>
      <c r="J451" s="16" t="s">
        <v>114</v>
      </c>
      <c r="K451" s="55"/>
    </row>
    <row r="452" spans="3:11">
      <c r="C452" s="50"/>
      <c r="D452" s="27" t="str">
        <f>HYPERLINK("#摆设!「剧场的琼片丛簇」","「剧场的琼片丛簇」")</f>
        <v>「剧场的琼片丛簇」</v>
      </c>
      <c r="E452" s="23">
        <f>摆设!D248</f>
        <v>0</v>
      </c>
      <c r="F452" s="23">
        <v>22</v>
      </c>
      <c r="G452" s="16" t="s">
        <v>161</v>
      </c>
      <c r="H452" s="16" t="s">
        <v>190</v>
      </c>
      <c r="I452" s="24" t="s">
        <v>112</v>
      </c>
      <c r="J452" s="16" t="s">
        <v>145</v>
      </c>
      <c r="K452" s="55"/>
    </row>
    <row r="453" spans="3:11">
      <c r="C453" s="50"/>
      <c r="D453" s="27" t="str">
        <f>HYPERLINK("#摆设!「卓识之地的朗澈」","「卓识之地的朗澈」")</f>
        <v>「卓识之地的朗澈」</v>
      </c>
      <c r="E453" s="23">
        <f>摆设!D131</f>
        <v>0</v>
      </c>
      <c r="F453" s="23">
        <v>1</v>
      </c>
      <c r="G453" s="16" t="s">
        <v>169</v>
      </c>
      <c r="H453" s="16" t="s">
        <v>170</v>
      </c>
      <c r="I453" s="24" t="s">
        <v>112</v>
      </c>
      <c r="J453" s="16" t="s">
        <v>114</v>
      </c>
      <c r="K453" s="55"/>
    </row>
    <row r="454" spans="3:11">
      <c r="C454" s="50"/>
      <c r="D454" s="27" t="str">
        <f>HYPERLINK("#摆设!「澄寂宫园的晶晖」","「澄寂宫园的晶晖」")</f>
        <v>「澄寂宫园的晶晖」</v>
      </c>
      <c r="E454" s="23">
        <f>摆设!D178</f>
        <v>0</v>
      </c>
      <c r="F454" s="23">
        <v>1</v>
      </c>
      <c r="G454" s="16" t="s">
        <v>154</v>
      </c>
      <c r="H454" s="23" t="s">
        <v>206</v>
      </c>
      <c r="I454" s="24" t="s">
        <v>112</v>
      </c>
      <c r="J454" s="16" t="s">
        <v>114</v>
      </c>
      <c r="K454" s="55"/>
    </row>
    <row r="455" spans="3:11">
      <c r="C455" s="50"/>
      <c r="D455" s="27" t="str">
        <f>HYPERLINK("#摆设!「澄寂宫园的黛痕」","「澄寂宫园的黛痕」")</f>
        <v>「澄寂宫园的黛痕」</v>
      </c>
      <c r="E455" s="23">
        <f>摆设!D249</f>
        <v>0</v>
      </c>
      <c r="F455" s="23">
        <v>5</v>
      </c>
      <c r="G455" s="16" t="s">
        <v>161</v>
      </c>
      <c r="H455" s="16" t="s">
        <v>190</v>
      </c>
      <c r="I455" s="24" t="s">
        <v>112</v>
      </c>
      <c r="J455" s="16" t="s">
        <v>145</v>
      </c>
      <c r="K455" s="55"/>
    </row>
    <row r="456" spans="3:11">
      <c r="C456" s="50"/>
      <c r="D456" s="27" t="str">
        <f>HYPERLINK("#摆设!修茂弥亘树","修茂弥亘树")</f>
        <v>修茂弥亘树</v>
      </c>
      <c r="E456" s="23">
        <f>摆设!D206</f>
        <v>0</v>
      </c>
      <c r="F456" s="23">
        <v>1</v>
      </c>
      <c r="G456" s="16" t="s">
        <v>157</v>
      </c>
      <c r="H456" s="16" t="s">
        <v>159</v>
      </c>
      <c r="I456" s="25" t="s">
        <v>135</v>
      </c>
      <c r="J456" s="16" t="s">
        <v>145</v>
      </c>
      <c r="K456" s="55"/>
    </row>
    <row r="457" spans="3:11">
      <c r="C457" s="50"/>
      <c r="D457" s="27" t="str">
        <f>HYPERLINK("#摆设!攲斜弥亘树","攲斜弥亘树")</f>
        <v>攲斜弥亘树</v>
      </c>
      <c r="E457" s="23">
        <f>摆设!D205</f>
        <v>0</v>
      </c>
      <c r="F457" s="23">
        <v>1</v>
      </c>
      <c r="G457" s="16" t="s">
        <v>157</v>
      </c>
      <c r="H457" s="16" t="s">
        <v>159</v>
      </c>
      <c r="I457" s="25" t="s">
        <v>135</v>
      </c>
      <c r="J457" s="16" t="s">
        <v>145</v>
      </c>
      <c r="K457" s="55"/>
    </row>
    <row r="458" spans="3:11">
      <c r="C458" s="50"/>
      <c r="D458" s="27" t="str">
        <f>HYPERLINK("#摆设!「悠长的介质」","「悠长的介质」")</f>
        <v>「悠长的介质」</v>
      </c>
      <c r="E458" s="23">
        <f>摆设!D217</f>
        <v>0</v>
      </c>
      <c r="F458" s="23">
        <v>6</v>
      </c>
      <c r="G458" s="16" t="s">
        <v>157</v>
      </c>
      <c r="H458" s="16" t="s">
        <v>160</v>
      </c>
      <c r="I458" s="20" t="s">
        <v>116</v>
      </c>
      <c r="J458" s="16" t="s">
        <v>145</v>
      </c>
      <c r="K458" s="55"/>
    </row>
    <row r="459" spans="3:11">
      <c r="C459" s="52"/>
      <c r="D459" s="41"/>
      <c r="E459" s="23"/>
      <c r="F459" s="23"/>
      <c r="G459" s="46"/>
      <c r="H459" s="46"/>
      <c r="I459" s="16"/>
      <c r="J459" s="46"/>
      <c r="K459" s="55"/>
    </row>
    <row r="460" spans="3:11">
      <c r="C460" s="53" t="s">
        <v>214</v>
      </c>
      <c r="D460" s="27" t="str">
        <f>HYPERLINK("#摆设!「悠长的介质」","「悠长的介质」")</f>
        <v>「悠长的介质」</v>
      </c>
      <c r="E460" s="23">
        <f>摆设!D217</f>
        <v>0</v>
      </c>
      <c r="F460" s="23">
        <v>3</v>
      </c>
      <c r="G460" s="16" t="s">
        <v>157</v>
      </c>
      <c r="H460" s="16" t="s">
        <v>160</v>
      </c>
      <c r="I460" s="20" t="s">
        <v>116</v>
      </c>
      <c r="J460" s="35" t="s">
        <v>145</v>
      </c>
      <c r="K460" s="55"/>
    </row>
    <row r="461" spans="3:11">
      <c r="C461" s="53"/>
      <c r="D461" s="27" t="str">
        <f>HYPERLINK("#摆设!「剧场的沁凉水雾」","「剧场的沁凉水雾」")</f>
        <v>「剧场的沁凉水雾」</v>
      </c>
      <c r="E461" s="23">
        <f>摆设!D130</f>
        <v>0</v>
      </c>
      <c r="F461" s="23">
        <v>1</v>
      </c>
      <c r="G461" s="16" t="s">
        <v>169</v>
      </c>
      <c r="H461" s="16" t="s">
        <v>170</v>
      </c>
      <c r="I461" s="24" t="s">
        <v>112</v>
      </c>
      <c r="J461" s="35" t="s">
        <v>114</v>
      </c>
      <c r="K461" s="55"/>
    </row>
    <row r="462" spans="3:11">
      <c r="C462" s="53"/>
      <c r="D462" s="27" t="str">
        <f>HYPERLINK("#摆设!「洁净的杯盏」","「洁净的杯盏」")</f>
        <v>「洁净的杯盏」</v>
      </c>
      <c r="E462" s="23">
        <f>摆设!D204</f>
        <v>0</v>
      </c>
      <c r="F462" s="23">
        <v>3</v>
      </c>
      <c r="G462" s="16" t="s">
        <v>157</v>
      </c>
      <c r="H462" s="16" t="s">
        <v>159</v>
      </c>
      <c r="I462" s="20" t="s">
        <v>116</v>
      </c>
      <c r="J462" s="35" t="s">
        <v>145</v>
      </c>
      <c r="K462" s="55"/>
    </row>
    <row r="463" spans="3:11">
      <c r="C463" s="53"/>
      <c r="D463" s="27" t="str">
        <f>HYPERLINK("#摆设!「如烨烁的远星」","「如烨烁的远星」")</f>
        <v>「如烨烁的远星」</v>
      </c>
      <c r="E463" s="23">
        <f>摆设!D215</f>
        <v>0</v>
      </c>
      <c r="F463" s="23">
        <v>4</v>
      </c>
      <c r="G463" s="16" t="s">
        <v>157</v>
      </c>
      <c r="H463" s="16" t="s">
        <v>160</v>
      </c>
      <c r="I463" s="20" t="s">
        <v>116</v>
      </c>
      <c r="J463" s="35" t="s">
        <v>145</v>
      </c>
      <c r="K463" s="55"/>
    </row>
    <row r="468" spans="3:3">
      <c r="C468" s="56"/>
    </row>
    <row r="469" spans="3:3">
      <c r="C469" s="56"/>
    </row>
    <row r="470" spans="3:3">
      <c r="C470" s="56"/>
    </row>
    <row r="471" spans="3:3">
      <c r="C471" s="56"/>
    </row>
    <row r="472" spans="3:3">
      <c r="C472" s="56"/>
    </row>
    <row r="473" spans="3:3">
      <c r="C473" s="56"/>
    </row>
    <row r="474" spans="3:3">
      <c r="C474" s="56"/>
    </row>
    <row r="475" spans="3:3">
      <c r="C475" s="56"/>
    </row>
    <row r="476" spans="3:3">
      <c r="C476" s="56"/>
    </row>
    <row r="477" spans="3:3">
      <c r="C477" s="56"/>
    </row>
    <row r="478" spans="3:3">
      <c r="C478" s="56"/>
    </row>
    <row r="479" spans="3:3">
      <c r="C479" s="56"/>
    </row>
    <row r="480" spans="3:3">
      <c r="C480" s="56"/>
    </row>
  </sheetData>
  <sheetProtection sheet="1" objects="1"/>
  <mergeCells count="48">
    <mergeCell ref="C2:C13"/>
    <mergeCell ref="C15:C28"/>
    <mergeCell ref="C30:C41"/>
    <mergeCell ref="C43:C54"/>
    <mergeCell ref="C56:C68"/>
    <mergeCell ref="C70:C76"/>
    <mergeCell ref="C78:C85"/>
    <mergeCell ref="C87:C93"/>
    <mergeCell ref="C95:C104"/>
    <mergeCell ref="C106:C115"/>
    <mergeCell ref="C117:C121"/>
    <mergeCell ref="C123:C131"/>
    <mergeCell ref="C133:C142"/>
    <mergeCell ref="C144:C148"/>
    <mergeCell ref="C150:C158"/>
    <mergeCell ref="C160:C166"/>
    <mergeCell ref="C168:C177"/>
    <mergeCell ref="C179:C191"/>
    <mergeCell ref="C193:C201"/>
    <mergeCell ref="C203:C217"/>
    <mergeCell ref="C219:C232"/>
    <mergeCell ref="C234:C249"/>
    <mergeCell ref="C251:C268"/>
    <mergeCell ref="C270:C279"/>
    <mergeCell ref="C281:C290"/>
    <mergeCell ref="C292:C300"/>
    <mergeCell ref="C302:C312"/>
    <mergeCell ref="C314:C322"/>
    <mergeCell ref="C324:C337"/>
    <mergeCell ref="C339:C351"/>
    <mergeCell ref="C353:C362"/>
    <mergeCell ref="C364:C375"/>
    <mergeCell ref="C377:C389"/>
    <mergeCell ref="C391:C401"/>
    <mergeCell ref="C403:C410"/>
    <mergeCell ref="C412:C416"/>
    <mergeCell ref="C418:C427"/>
    <mergeCell ref="C429:C440"/>
    <mergeCell ref="C442:C449"/>
    <mergeCell ref="C451:C458"/>
    <mergeCell ref="C460:C463"/>
    <mergeCell ref="L95:L104"/>
    <mergeCell ref="L292:L300"/>
    <mergeCell ref="L312:L322"/>
    <mergeCell ref="L324:L337"/>
    <mergeCell ref="L353:L362"/>
    <mergeCell ref="L364:L375"/>
    <mergeCell ref="L377:L389"/>
  </mergeCells>
  <conditionalFormatting sqref="E2:E13 E15:E28 E30:E41 E43:E54 E56:E68 E70:E76 E78:E85 E87:E93 E95:E104 E106:E115 E117:E121 E123:E131 E133:E142 E144:E148 E150:E158 E160:E166 E168:E177 E179:E191 E193:E201 E203:E217 E219:E232 E234:E249 E251:E268 E270:E279 E281:E290 E292:E300 E302:E312 E314:E322 E324:E337 E339:E351 E353:E362 E364:E375 E377:E389 E391:E401 E403:E410 E412:E416 E418:E427 E429:E440 E442:E449 E451:E458 E460:E463">
    <cfRule type="expression" dxfId="1" priority="2">
      <formula>E2=MAX($E2:$F2)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5"/>
  <sheetViews>
    <sheetView workbookViewId="0">
      <pane ySplit="1" topLeftCell="A131" activePane="bottomLeft" state="frozen"/>
      <selection/>
      <selection pane="bottomLeft" activeCell="D188" sqref="D188"/>
    </sheetView>
  </sheetViews>
  <sheetFormatPr defaultColWidth="9" defaultRowHeight="14.25"/>
  <cols>
    <col min="1" max="2" width="9" customWidth="1"/>
    <col min="3" max="3" width="24" style="10" customWidth="1"/>
    <col min="4" max="4" width="9" style="11" customWidth="1"/>
    <col min="5" max="5" width="9.625" style="11" customWidth="1"/>
    <col min="6" max="6" width="7" style="10" customWidth="1"/>
    <col min="7" max="7" width="46.125" style="11" customWidth="1"/>
    <col min="8" max="18" width="14" style="10" customWidth="1"/>
    <col min="19" max="16382" width="9" style="10"/>
  </cols>
  <sheetData>
    <row r="1" s="9" customFormat="1" spans="1:18">
      <c r="A1" s="12" t="s">
        <v>105</v>
      </c>
      <c r="B1" s="13" t="s">
        <v>106</v>
      </c>
      <c r="C1" s="13" t="s">
        <v>102</v>
      </c>
      <c r="D1" s="13" t="s">
        <v>103</v>
      </c>
      <c r="E1" s="14" t="s">
        <v>104</v>
      </c>
      <c r="F1" s="13" t="s">
        <v>107</v>
      </c>
      <c r="G1" s="14" t="s">
        <v>108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>
      <c r="A2" s="16" t="s">
        <v>110</v>
      </c>
      <c r="B2" s="16" t="s">
        <v>125</v>
      </c>
      <c r="C2" s="17" t="s">
        <v>215</v>
      </c>
      <c r="D2" s="18"/>
      <c r="E2" s="19">
        <v>1</v>
      </c>
      <c r="F2" s="20" t="s">
        <v>116</v>
      </c>
      <c r="G2" s="19" t="s">
        <v>134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>
      <c r="A3" s="16" t="s">
        <v>110</v>
      </c>
      <c r="B3" s="16" t="s">
        <v>125</v>
      </c>
      <c r="C3" s="17" t="s">
        <v>216</v>
      </c>
      <c r="D3" s="18"/>
      <c r="E3" s="19">
        <v>1</v>
      </c>
      <c r="F3" s="20" t="s">
        <v>116</v>
      </c>
      <c r="G3" s="19" t="s">
        <v>134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8">
      <c r="A4" s="16" t="s">
        <v>110</v>
      </c>
      <c r="B4" s="16" t="s">
        <v>125</v>
      </c>
      <c r="C4" s="17" t="s">
        <v>217</v>
      </c>
      <c r="D4" s="18"/>
      <c r="E4" s="19">
        <v>1</v>
      </c>
      <c r="F4" s="20" t="s">
        <v>116</v>
      </c>
      <c r="G4" s="19" t="s">
        <v>114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>
      <c r="A5" s="16" t="s">
        <v>110</v>
      </c>
      <c r="B5" s="16" t="s">
        <v>125</v>
      </c>
      <c r="C5" s="17" t="s">
        <v>218</v>
      </c>
      <c r="D5" s="18"/>
      <c r="E5" s="19">
        <v>1</v>
      </c>
      <c r="F5" s="20" t="s">
        <v>116</v>
      </c>
      <c r="G5" s="19" t="s">
        <v>114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="10" customFormat="1" spans="1:7">
      <c r="A6" s="16" t="s">
        <v>110</v>
      </c>
      <c r="B6" s="16" t="s">
        <v>125</v>
      </c>
      <c r="C6" s="22" t="s">
        <v>219</v>
      </c>
      <c r="D6" s="18"/>
      <c r="E6" s="23">
        <v>1</v>
      </c>
      <c r="F6" s="20" t="s">
        <v>116</v>
      </c>
      <c r="G6" s="23" t="s">
        <v>149</v>
      </c>
    </row>
    <row r="7" s="10" customFormat="1" spans="1:7">
      <c r="A7" s="16" t="s">
        <v>110</v>
      </c>
      <c r="B7" s="16" t="s">
        <v>125</v>
      </c>
      <c r="C7" s="22" t="s">
        <v>220</v>
      </c>
      <c r="D7" s="18"/>
      <c r="E7" s="23">
        <v>2</v>
      </c>
      <c r="F7" s="20" t="s">
        <v>116</v>
      </c>
      <c r="G7" s="19" t="s">
        <v>114</v>
      </c>
    </row>
    <row r="8" s="10" customFormat="1" spans="1:7">
      <c r="A8" s="16" t="s">
        <v>110</v>
      </c>
      <c r="B8" s="16" t="s">
        <v>125</v>
      </c>
      <c r="C8" s="22" t="s">
        <v>221</v>
      </c>
      <c r="D8" s="18"/>
      <c r="E8" s="23">
        <v>3</v>
      </c>
      <c r="F8" s="20" t="s">
        <v>116</v>
      </c>
      <c r="G8" s="19" t="s">
        <v>114</v>
      </c>
    </row>
    <row r="9" spans="1:18">
      <c r="A9" s="16" t="s">
        <v>110</v>
      </c>
      <c r="B9" s="16" t="s">
        <v>125</v>
      </c>
      <c r="C9" s="17" t="s">
        <v>222</v>
      </c>
      <c r="D9" s="18"/>
      <c r="E9" s="19">
        <v>1</v>
      </c>
      <c r="F9" s="20" t="s">
        <v>116</v>
      </c>
      <c r="G9" s="19" t="s">
        <v>114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18">
      <c r="A10" s="16" t="s">
        <v>110</v>
      </c>
      <c r="B10" s="16" t="s">
        <v>125</v>
      </c>
      <c r="C10" s="17" t="s">
        <v>223</v>
      </c>
      <c r="D10" s="18"/>
      <c r="E10" s="19">
        <v>1</v>
      </c>
      <c r="F10" s="20" t="s">
        <v>116</v>
      </c>
      <c r="G10" s="19" t="s">
        <v>114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spans="1:18">
      <c r="A11" s="16" t="s">
        <v>110</v>
      </c>
      <c r="B11" s="16" t="s">
        <v>125</v>
      </c>
      <c r="C11" s="17" t="s">
        <v>224</v>
      </c>
      <c r="D11" s="18"/>
      <c r="E11" s="19">
        <v>1</v>
      </c>
      <c r="F11" s="20" t="s">
        <v>116</v>
      </c>
      <c r="G11" s="19" t="s">
        <v>114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18">
      <c r="A12" s="16" t="s">
        <v>110</v>
      </c>
      <c r="B12" s="16" t="s">
        <v>125</v>
      </c>
      <c r="C12" s="17" t="s">
        <v>225</v>
      </c>
      <c r="D12" s="18"/>
      <c r="E12" s="19">
        <v>1</v>
      </c>
      <c r="F12" s="20" t="s">
        <v>116</v>
      </c>
      <c r="G12" s="19" t="s">
        <v>145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="10" customFormat="1" spans="1:18">
      <c r="A13" s="16" t="s">
        <v>110</v>
      </c>
      <c r="B13" s="16" t="s">
        <v>111</v>
      </c>
      <c r="C13" s="17" t="s">
        <v>226</v>
      </c>
      <c r="D13" s="18"/>
      <c r="E13" s="19">
        <v>1</v>
      </c>
      <c r="F13" s="24" t="s">
        <v>112</v>
      </c>
      <c r="G13" s="19" t="s">
        <v>113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spans="1:18">
      <c r="A14" s="16" t="s">
        <v>110</v>
      </c>
      <c r="B14" s="16" t="s">
        <v>111</v>
      </c>
      <c r="C14" s="17" t="s">
        <v>227</v>
      </c>
      <c r="D14" s="18"/>
      <c r="E14" s="19">
        <v>2</v>
      </c>
      <c r="F14" s="24" t="s">
        <v>112</v>
      </c>
      <c r="G14" s="19" t="s">
        <v>113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</row>
    <row r="15" spans="1:18">
      <c r="A15" s="16" t="s">
        <v>110</v>
      </c>
      <c r="B15" s="16" t="s">
        <v>111</v>
      </c>
      <c r="C15" s="17" t="s">
        <v>228</v>
      </c>
      <c r="D15" s="18"/>
      <c r="E15" s="19">
        <v>1</v>
      </c>
      <c r="F15" s="24" t="s">
        <v>112</v>
      </c>
      <c r="G15" s="19" t="s">
        <v>114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</row>
    <row r="16" spans="1:18">
      <c r="A16" s="16" t="s">
        <v>110</v>
      </c>
      <c r="B16" s="16" t="s">
        <v>111</v>
      </c>
      <c r="C16" s="17" t="s">
        <v>229</v>
      </c>
      <c r="D16" s="18"/>
      <c r="E16" s="19">
        <v>1</v>
      </c>
      <c r="F16" s="24" t="s">
        <v>112</v>
      </c>
      <c r="G16" s="19" t="s">
        <v>114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spans="1:18">
      <c r="A17" s="16" t="s">
        <v>110</v>
      </c>
      <c r="B17" s="16" t="s">
        <v>111</v>
      </c>
      <c r="C17" s="17" t="s">
        <v>230</v>
      </c>
      <c r="D17" s="18"/>
      <c r="E17" s="19">
        <v>2</v>
      </c>
      <c r="F17" s="24" t="s">
        <v>112</v>
      </c>
      <c r="G17" s="19" t="s">
        <v>139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 spans="1:18">
      <c r="A18" s="16" t="s">
        <v>110</v>
      </c>
      <c r="B18" s="16" t="s">
        <v>111</v>
      </c>
      <c r="C18" s="17" t="s">
        <v>231</v>
      </c>
      <c r="D18" s="18"/>
      <c r="E18" s="19">
        <v>1</v>
      </c>
      <c r="F18" s="24" t="s">
        <v>112</v>
      </c>
      <c r="G18" s="19" t="s">
        <v>139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s="10" customFormat="1" spans="1:7">
      <c r="A19" s="16" t="s">
        <v>110</v>
      </c>
      <c r="B19" s="16" t="s">
        <v>111</v>
      </c>
      <c r="C19" s="22" t="s">
        <v>232</v>
      </c>
      <c r="D19" s="18"/>
      <c r="E19" s="23">
        <v>1</v>
      </c>
      <c r="F19" s="24" t="s">
        <v>112</v>
      </c>
      <c r="G19" s="19" t="s">
        <v>114</v>
      </c>
    </row>
    <row r="20" s="10" customFormat="1" spans="1:7">
      <c r="A20" s="16" t="s">
        <v>110</v>
      </c>
      <c r="B20" s="16" t="s">
        <v>111</v>
      </c>
      <c r="C20" s="22" t="s">
        <v>233</v>
      </c>
      <c r="D20" s="18"/>
      <c r="E20" s="23">
        <v>3</v>
      </c>
      <c r="F20" s="24" t="s">
        <v>112</v>
      </c>
      <c r="G20" s="19" t="s">
        <v>114</v>
      </c>
    </row>
    <row r="21" spans="1:18">
      <c r="A21" s="16" t="s">
        <v>110</v>
      </c>
      <c r="B21" s="16" t="s">
        <v>111</v>
      </c>
      <c r="C21" s="17" t="s">
        <v>234</v>
      </c>
      <c r="D21" s="18"/>
      <c r="E21" s="19">
        <v>1</v>
      </c>
      <c r="F21" s="20" t="s">
        <v>116</v>
      </c>
      <c r="G21" s="19" t="s">
        <v>129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18">
      <c r="A22" s="16" t="s">
        <v>110</v>
      </c>
      <c r="B22" s="16" t="s">
        <v>111</v>
      </c>
      <c r="C22" s="17" t="s">
        <v>235</v>
      </c>
      <c r="D22" s="18"/>
      <c r="E22" s="19">
        <v>1</v>
      </c>
      <c r="F22" s="20" t="s">
        <v>116</v>
      </c>
      <c r="G22" s="19" t="s">
        <v>129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 spans="1:18">
      <c r="A23" s="16" t="s">
        <v>110</v>
      </c>
      <c r="B23" s="16" t="s">
        <v>111</v>
      </c>
      <c r="C23" s="17" t="s">
        <v>236</v>
      </c>
      <c r="D23" s="18"/>
      <c r="E23" s="19">
        <v>1</v>
      </c>
      <c r="F23" s="20" t="s">
        <v>116</v>
      </c>
      <c r="G23" s="19" t="s">
        <v>129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r="24" s="10" customFormat="1" spans="1:7">
      <c r="A24" s="16" t="s">
        <v>110</v>
      </c>
      <c r="B24" s="16" t="s">
        <v>111</v>
      </c>
      <c r="C24" s="22" t="s">
        <v>237</v>
      </c>
      <c r="D24" s="18"/>
      <c r="E24" s="23">
        <v>2</v>
      </c>
      <c r="F24" s="20" t="s">
        <v>116</v>
      </c>
      <c r="G24" s="23" t="s">
        <v>149</v>
      </c>
    </row>
    <row r="25" s="10" customFormat="1" spans="1:18">
      <c r="A25" s="16" t="s">
        <v>110</v>
      </c>
      <c r="B25" s="16" t="s">
        <v>115</v>
      </c>
      <c r="C25" s="17" t="s">
        <v>238</v>
      </c>
      <c r="D25" s="18"/>
      <c r="E25" s="19">
        <v>1</v>
      </c>
      <c r="F25" s="24" t="s">
        <v>112</v>
      </c>
      <c r="G25" s="19" t="s">
        <v>114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</row>
    <row r="26" spans="1:18">
      <c r="A26" s="16" t="s">
        <v>110</v>
      </c>
      <c r="B26" s="16" t="s">
        <v>115</v>
      </c>
      <c r="C26" s="17" t="s">
        <v>239</v>
      </c>
      <c r="D26" s="18"/>
      <c r="E26" s="19">
        <v>1</v>
      </c>
      <c r="F26" s="20" t="s">
        <v>116</v>
      </c>
      <c r="G26" s="19" t="s">
        <v>113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spans="1:18">
      <c r="A27" s="16" t="s">
        <v>110</v>
      </c>
      <c r="B27" s="16" t="s">
        <v>115</v>
      </c>
      <c r="C27" s="17" t="s">
        <v>240</v>
      </c>
      <c r="D27" s="18"/>
      <c r="E27" s="19">
        <v>1</v>
      </c>
      <c r="F27" s="20" t="s">
        <v>116</v>
      </c>
      <c r="G27" s="19" t="s">
        <v>114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</row>
    <row r="28" spans="1:18">
      <c r="A28" s="16" t="s">
        <v>110</v>
      </c>
      <c r="B28" s="16" t="s">
        <v>115</v>
      </c>
      <c r="C28" s="17" t="s">
        <v>241</v>
      </c>
      <c r="D28" s="18"/>
      <c r="E28" s="19">
        <v>1</v>
      </c>
      <c r="F28" s="20" t="s">
        <v>116</v>
      </c>
      <c r="G28" s="19" t="s">
        <v>134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spans="1:18">
      <c r="A29" s="16" t="s">
        <v>110</v>
      </c>
      <c r="B29" s="16" t="s">
        <v>115</v>
      </c>
      <c r="C29" s="17" t="s">
        <v>242</v>
      </c>
      <c r="D29" s="18"/>
      <c r="E29" s="19">
        <v>1</v>
      </c>
      <c r="F29" s="20" t="s">
        <v>116</v>
      </c>
      <c r="G29" s="19" t="s">
        <v>123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 spans="1:18">
      <c r="A30" s="16" t="s">
        <v>110</v>
      </c>
      <c r="B30" s="16" t="s">
        <v>115</v>
      </c>
      <c r="C30" s="17" t="s">
        <v>243</v>
      </c>
      <c r="D30" s="18"/>
      <c r="E30" s="19">
        <v>1</v>
      </c>
      <c r="F30" s="20" t="s">
        <v>116</v>
      </c>
      <c r="G30" s="19" t="s">
        <v>129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r="31" spans="1:18">
      <c r="A31" s="16" t="s">
        <v>110</v>
      </c>
      <c r="B31" s="16" t="s">
        <v>115</v>
      </c>
      <c r="C31" s="17" t="s">
        <v>244</v>
      </c>
      <c r="D31" s="18"/>
      <c r="E31" s="19">
        <v>1</v>
      </c>
      <c r="F31" s="20" t="s">
        <v>116</v>
      </c>
      <c r="G31" s="19" t="s">
        <v>129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r="32" spans="1:18">
      <c r="A32" s="16" t="s">
        <v>110</v>
      </c>
      <c r="B32" s="16" t="s">
        <v>115</v>
      </c>
      <c r="C32" s="17" t="s">
        <v>245</v>
      </c>
      <c r="D32" s="18"/>
      <c r="E32" s="19">
        <v>2</v>
      </c>
      <c r="F32" s="20" t="s">
        <v>116</v>
      </c>
      <c r="G32" s="19" t="s">
        <v>114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r="33" spans="1:18">
      <c r="A33" s="16" t="s">
        <v>110</v>
      </c>
      <c r="B33" s="16" t="s">
        <v>115</v>
      </c>
      <c r="C33" s="17" t="s">
        <v>246</v>
      </c>
      <c r="D33" s="18"/>
      <c r="E33" s="19">
        <v>1</v>
      </c>
      <c r="F33" s="20" t="s">
        <v>116</v>
      </c>
      <c r="G33" s="19" t="s">
        <v>114</v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 spans="1:18">
      <c r="A34" s="16" t="s">
        <v>110</v>
      </c>
      <c r="B34" s="16" t="s">
        <v>115</v>
      </c>
      <c r="C34" s="17" t="s">
        <v>247</v>
      </c>
      <c r="D34" s="18"/>
      <c r="E34" s="19">
        <v>1</v>
      </c>
      <c r="F34" s="20" t="s">
        <v>116</v>
      </c>
      <c r="G34" s="19" t="s">
        <v>139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s="10" customFormat="1" spans="1:7">
      <c r="A35" s="16" t="s">
        <v>110</v>
      </c>
      <c r="B35" s="16" t="s">
        <v>115</v>
      </c>
      <c r="C35" s="22" t="s">
        <v>248</v>
      </c>
      <c r="D35" s="18"/>
      <c r="E35" s="23">
        <v>3</v>
      </c>
      <c r="F35" s="20" t="s">
        <v>116</v>
      </c>
      <c r="G35" s="19" t="s">
        <v>114</v>
      </c>
    </row>
    <row r="36" s="10" customFormat="1" spans="1:7">
      <c r="A36" s="16" t="s">
        <v>110</v>
      </c>
      <c r="B36" s="16" t="s">
        <v>115</v>
      </c>
      <c r="C36" s="22" t="s">
        <v>249</v>
      </c>
      <c r="D36" s="18"/>
      <c r="E36" s="23">
        <v>1</v>
      </c>
      <c r="F36" s="20" t="s">
        <v>116</v>
      </c>
      <c r="G36" s="19" t="s">
        <v>114</v>
      </c>
    </row>
    <row r="37" s="10" customFormat="1" spans="1:18">
      <c r="A37" s="16" t="s">
        <v>110</v>
      </c>
      <c r="B37" s="16" t="s">
        <v>142</v>
      </c>
      <c r="C37" s="17" t="s">
        <v>250</v>
      </c>
      <c r="D37" s="18"/>
      <c r="E37" s="19">
        <v>1</v>
      </c>
      <c r="F37" s="20" t="s">
        <v>116</v>
      </c>
      <c r="G37" s="19" t="s">
        <v>114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</row>
    <row r="38" s="10" customFormat="1" spans="1:7">
      <c r="A38" s="16" t="s">
        <v>110</v>
      </c>
      <c r="B38" s="16" t="s">
        <v>142</v>
      </c>
      <c r="C38" s="22" t="s">
        <v>251</v>
      </c>
      <c r="D38" s="18"/>
      <c r="E38" s="23">
        <v>1</v>
      </c>
      <c r="F38" s="20" t="s">
        <v>116</v>
      </c>
      <c r="G38" s="19" t="s">
        <v>114</v>
      </c>
    </row>
    <row r="39" s="10" customFormat="1" spans="1:18">
      <c r="A39" s="16" t="s">
        <v>110</v>
      </c>
      <c r="B39" s="16" t="s">
        <v>126</v>
      </c>
      <c r="C39" s="17" t="s">
        <v>252</v>
      </c>
      <c r="D39" s="18"/>
      <c r="E39" s="19">
        <v>1</v>
      </c>
      <c r="F39" s="20" t="s">
        <v>116</v>
      </c>
      <c r="G39" s="19" t="s">
        <v>114</v>
      </c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</row>
    <row r="40" spans="1:18">
      <c r="A40" s="16" t="s">
        <v>110</v>
      </c>
      <c r="B40" s="16" t="s">
        <v>126</v>
      </c>
      <c r="C40" s="17" t="s">
        <v>253</v>
      </c>
      <c r="D40" s="18"/>
      <c r="E40" s="19">
        <v>1</v>
      </c>
      <c r="F40" s="20" t="s">
        <v>116</v>
      </c>
      <c r="G40" s="19" t="s">
        <v>114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</row>
    <row r="41" spans="1:18">
      <c r="A41" s="16" t="s">
        <v>110</v>
      </c>
      <c r="B41" s="16" t="s">
        <v>126</v>
      </c>
      <c r="C41" s="17" t="s">
        <v>254</v>
      </c>
      <c r="D41" s="18"/>
      <c r="E41" s="19">
        <v>1</v>
      </c>
      <c r="F41" s="20" t="s">
        <v>116</v>
      </c>
      <c r="G41" s="19" t="s">
        <v>114</v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</row>
    <row r="42" s="10" customFormat="1" spans="1:7">
      <c r="A42" s="16" t="s">
        <v>110</v>
      </c>
      <c r="B42" s="16" t="s">
        <v>126</v>
      </c>
      <c r="C42" s="22" t="s">
        <v>255</v>
      </c>
      <c r="D42" s="18"/>
      <c r="E42" s="23">
        <v>2</v>
      </c>
      <c r="F42" s="20" t="s">
        <v>116</v>
      </c>
      <c r="G42" s="19" t="s">
        <v>114</v>
      </c>
    </row>
    <row r="43" s="10" customFormat="1" spans="1:18">
      <c r="A43" s="16" t="s">
        <v>117</v>
      </c>
      <c r="B43" s="16" t="s">
        <v>118</v>
      </c>
      <c r="C43" s="17" t="s">
        <v>256</v>
      </c>
      <c r="D43" s="18"/>
      <c r="E43" s="19">
        <v>1</v>
      </c>
      <c r="F43" s="24" t="s">
        <v>112</v>
      </c>
      <c r="G43" s="19" t="s">
        <v>114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</row>
    <row r="44" spans="1:18">
      <c r="A44" s="16" t="s">
        <v>117</v>
      </c>
      <c r="B44" s="16" t="s">
        <v>118</v>
      </c>
      <c r="C44" s="17" t="s">
        <v>257</v>
      </c>
      <c r="D44" s="18"/>
      <c r="E44" s="19">
        <v>2</v>
      </c>
      <c r="F44" s="20" t="s">
        <v>116</v>
      </c>
      <c r="G44" s="19" t="s">
        <v>114</v>
      </c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</row>
    <row r="45" spans="1:18">
      <c r="A45" s="16" t="s">
        <v>117</v>
      </c>
      <c r="B45" s="16" t="s">
        <v>118</v>
      </c>
      <c r="C45" s="17" t="s">
        <v>258</v>
      </c>
      <c r="D45" s="18"/>
      <c r="E45" s="19">
        <v>1</v>
      </c>
      <c r="F45" s="20" t="s">
        <v>116</v>
      </c>
      <c r="G45" s="19" t="s">
        <v>114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</row>
    <row r="46" spans="1:18">
      <c r="A46" s="16" t="s">
        <v>117</v>
      </c>
      <c r="B46" s="16" t="s">
        <v>118</v>
      </c>
      <c r="C46" s="17" t="s">
        <v>259</v>
      </c>
      <c r="D46" s="18"/>
      <c r="E46" s="19">
        <v>2</v>
      </c>
      <c r="F46" s="20" t="s">
        <v>116</v>
      </c>
      <c r="G46" s="19" t="s">
        <v>129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 spans="1:18">
      <c r="A47" s="16" t="s">
        <v>117</v>
      </c>
      <c r="B47" s="16" t="s">
        <v>118</v>
      </c>
      <c r="C47" s="17" t="s">
        <v>260</v>
      </c>
      <c r="D47" s="18"/>
      <c r="E47" s="19">
        <v>1</v>
      </c>
      <c r="F47" s="20" t="s">
        <v>116</v>
      </c>
      <c r="G47" s="19" t="s">
        <v>114</v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</row>
    <row r="48" s="10" customFormat="1" spans="1:7">
      <c r="A48" s="16" t="s">
        <v>117</v>
      </c>
      <c r="B48" s="16" t="s">
        <v>118</v>
      </c>
      <c r="C48" s="22" t="s">
        <v>261</v>
      </c>
      <c r="D48" s="18"/>
      <c r="E48" s="23">
        <v>2</v>
      </c>
      <c r="F48" s="20" t="s">
        <v>116</v>
      </c>
      <c r="G48" s="19" t="s">
        <v>114</v>
      </c>
    </row>
    <row r="49" s="10" customFormat="1" spans="1:7">
      <c r="A49" s="16" t="s">
        <v>117</v>
      </c>
      <c r="B49" s="16" t="s">
        <v>118</v>
      </c>
      <c r="C49" s="22" t="s">
        <v>262</v>
      </c>
      <c r="D49" s="18"/>
      <c r="E49" s="23">
        <v>6</v>
      </c>
      <c r="F49" s="20" t="s">
        <v>116</v>
      </c>
      <c r="G49" s="19" t="s">
        <v>114</v>
      </c>
    </row>
    <row r="50" s="10" customFormat="1" spans="1:7">
      <c r="A50" s="16" t="s">
        <v>117</v>
      </c>
      <c r="B50" s="16" t="s">
        <v>118</v>
      </c>
      <c r="C50" s="22" t="s">
        <v>263</v>
      </c>
      <c r="D50" s="18"/>
      <c r="E50" s="23">
        <v>2</v>
      </c>
      <c r="F50" s="20" t="s">
        <v>116</v>
      </c>
      <c r="G50" s="19" t="s">
        <v>114</v>
      </c>
    </row>
    <row r="51" spans="1:18">
      <c r="A51" s="16" t="s">
        <v>117</v>
      </c>
      <c r="B51" s="16" t="s">
        <v>118</v>
      </c>
      <c r="C51" s="17" t="s">
        <v>264</v>
      </c>
      <c r="D51" s="18"/>
      <c r="E51" s="19">
        <v>3</v>
      </c>
      <c r="F51" s="25" t="s">
        <v>135</v>
      </c>
      <c r="G51" s="19" t="s">
        <v>123</v>
      </c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</row>
    <row r="52" spans="1:18">
      <c r="A52" s="16" t="s">
        <v>117</v>
      </c>
      <c r="B52" s="16" t="s">
        <v>118</v>
      </c>
      <c r="C52" s="17" t="s">
        <v>265</v>
      </c>
      <c r="D52" s="18"/>
      <c r="E52" s="19">
        <v>3</v>
      </c>
      <c r="F52" s="25" t="s">
        <v>135</v>
      </c>
      <c r="G52" s="19" t="s">
        <v>114</v>
      </c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</row>
    <row r="53" s="10" customFormat="1" spans="1:18">
      <c r="A53" s="16" t="s">
        <v>117</v>
      </c>
      <c r="B53" s="16" t="s">
        <v>127</v>
      </c>
      <c r="C53" s="17" t="s">
        <v>266</v>
      </c>
      <c r="D53" s="18"/>
      <c r="E53" s="19">
        <v>1</v>
      </c>
      <c r="F53" s="24" t="s">
        <v>112</v>
      </c>
      <c r="G53" s="19" t="s">
        <v>129</v>
      </c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</row>
    <row r="54" spans="1:18">
      <c r="A54" s="16" t="s">
        <v>117</v>
      </c>
      <c r="B54" s="16" t="s">
        <v>127</v>
      </c>
      <c r="C54" s="17" t="s">
        <v>267</v>
      </c>
      <c r="D54" s="18"/>
      <c r="E54" s="19">
        <v>4</v>
      </c>
      <c r="F54" s="24" t="s">
        <v>112</v>
      </c>
      <c r="G54" s="19" t="s">
        <v>114</v>
      </c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</row>
    <row r="55" spans="1:18">
      <c r="A55" s="16" t="s">
        <v>117</v>
      </c>
      <c r="B55" s="16" t="s">
        <v>127</v>
      </c>
      <c r="C55" s="17" t="s">
        <v>268</v>
      </c>
      <c r="D55" s="18"/>
      <c r="E55" s="19">
        <v>2</v>
      </c>
      <c r="F55" s="24" t="s">
        <v>112</v>
      </c>
      <c r="G55" s="19" t="s">
        <v>114</v>
      </c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</row>
    <row r="56" spans="1:18">
      <c r="A56" s="16" t="s">
        <v>117</v>
      </c>
      <c r="B56" s="16" t="s">
        <v>127</v>
      </c>
      <c r="C56" s="17" t="s">
        <v>269</v>
      </c>
      <c r="D56" s="18"/>
      <c r="E56" s="19">
        <v>1</v>
      </c>
      <c r="F56" s="24" t="s">
        <v>112</v>
      </c>
      <c r="G56" s="19" t="s">
        <v>114</v>
      </c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</row>
    <row r="57" spans="1:18">
      <c r="A57" s="16" t="s">
        <v>117</v>
      </c>
      <c r="B57" s="16" t="s">
        <v>127</v>
      </c>
      <c r="C57" s="17" t="s">
        <v>270</v>
      </c>
      <c r="D57" s="18"/>
      <c r="E57" s="19">
        <v>1</v>
      </c>
      <c r="F57" s="24" t="s">
        <v>112</v>
      </c>
      <c r="G57" s="19" t="s">
        <v>114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</row>
    <row r="58" s="10" customFormat="1" spans="1:7">
      <c r="A58" s="16" t="s">
        <v>117</v>
      </c>
      <c r="B58" s="16" t="s">
        <v>127</v>
      </c>
      <c r="C58" s="22" t="s">
        <v>271</v>
      </c>
      <c r="D58" s="18"/>
      <c r="E58" s="23">
        <v>1</v>
      </c>
      <c r="F58" s="24" t="s">
        <v>112</v>
      </c>
      <c r="G58" s="19" t="s">
        <v>114</v>
      </c>
    </row>
    <row r="59" s="10" customFormat="1" spans="1:7">
      <c r="A59" s="16" t="s">
        <v>117</v>
      </c>
      <c r="B59" s="16" t="s">
        <v>127</v>
      </c>
      <c r="C59" s="22" t="s">
        <v>272</v>
      </c>
      <c r="D59" s="18"/>
      <c r="E59" s="23">
        <v>1</v>
      </c>
      <c r="F59" s="24" t="s">
        <v>112</v>
      </c>
      <c r="G59" s="19" t="s">
        <v>114</v>
      </c>
    </row>
    <row r="60" s="10" customFormat="1" spans="1:7">
      <c r="A60" s="16" t="s">
        <v>117</v>
      </c>
      <c r="B60" s="16" t="s">
        <v>127</v>
      </c>
      <c r="C60" s="22" t="s">
        <v>273</v>
      </c>
      <c r="D60" s="18"/>
      <c r="E60" s="23">
        <v>1</v>
      </c>
      <c r="F60" s="24" t="s">
        <v>112</v>
      </c>
      <c r="G60" s="19" t="s">
        <v>114</v>
      </c>
    </row>
    <row r="61" s="10" customFormat="1" spans="1:7">
      <c r="A61" s="16" t="s">
        <v>117</v>
      </c>
      <c r="B61" s="16" t="s">
        <v>127</v>
      </c>
      <c r="C61" s="22" t="s">
        <v>274</v>
      </c>
      <c r="D61" s="18"/>
      <c r="E61" s="23">
        <v>1</v>
      </c>
      <c r="F61" s="20" t="s">
        <v>116</v>
      </c>
      <c r="G61" s="26" t="s">
        <v>149</v>
      </c>
    </row>
    <row r="62" spans="1:18">
      <c r="A62" s="16" t="s">
        <v>117</v>
      </c>
      <c r="B62" s="16" t="s">
        <v>127</v>
      </c>
      <c r="C62" s="17" t="s">
        <v>275</v>
      </c>
      <c r="D62" s="18"/>
      <c r="E62" s="19">
        <v>1</v>
      </c>
      <c r="F62" s="20" t="s">
        <v>116</v>
      </c>
      <c r="G62" s="19" t="s">
        <v>114</v>
      </c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</row>
    <row r="63" spans="1:18">
      <c r="A63" s="16" t="s">
        <v>117</v>
      </c>
      <c r="B63" s="16" t="s">
        <v>127</v>
      </c>
      <c r="C63" s="17" t="s">
        <v>276</v>
      </c>
      <c r="D63" s="18"/>
      <c r="E63" s="19">
        <v>1</v>
      </c>
      <c r="F63" s="20" t="s">
        <v>116</v>
      </c>
      <c r="G63" s="19" t="s">
        <v>114</v>
      </c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</row>
    <row r="64" spans="1:18">
      <c r="A64" s="16" t="s">
        <v>117</v>
      </c>
      <c r="B64" s="16" t="s">
        <v>127</v>
      </c>
      <c r="C64" s="17" t="s">
        <v>277</v>
      </c>
      <c r="D64" s="18"/>
      <c r="E64" s="19">
        <v>1</v>
      </c>
      <c r="F64" s="20" t="s">
        <v>116</v>
      </c>
      <c r="G64" s="19" t="s">
        <v>114</v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</row>
    <row r="65" s="10" customFormat="1" spans="1:7">
      <c r="A65" s="16" t="s">
        <v>117</v>
      </c>
      <c r="B65" s="16" t="s">
        <v>127</v>
      </c>
      <c r="C65" s="22" t="s">
        <v>278</v>
      </c>
      <c r="D65" s="18"/>
      <c r="E65" s="23">
        <v>2</v>
      </c>
      <c r="F65" s="20" t="s">
        <v>116</v>
      </c>
      <c r="G65" s="23" t="s">
        <v>147</v>
      </c>
    </row>
    <row r="66" s="10" customFormat="1" spans="1:7">
      <c r="A66" s="16" t="s">
        <v>117</v>
      </c>
      <c r="B66" s="16" t="s">
        <v>127</v>
      </c>
      <c r="C66" s="22" t="s">
        <v>279</v>
      </c>
      <c r="D66" s="18"/>
      <c r="E66" s="23">
        <v>1</v>
      </c>
      <c r="F66" s="20" t="s">
        <v>116</v>
      </c>
      <c r="G66" s="23" t="s">
        <v>147</v>
      </c>
    </row>
    <row r="67" s="10" customFormat="1" spans="1:7">
      <c r="A67" s="16" t="s">
        <v>117</v>
      </c>
      <c r="B67" s="16" t="s">
        <v>127</v>
      </c>
      <c r="C67" s="22" t="s">
        <v>280</v>
      </c>
      <c r="D67" s="18"/>
      <c r="E67" s="23">
        <v>1</v>
      </c>
      <c r="F67" s="20" t="s">
        <v>116</v>
      </c>
      <c r="G67" s="23" t="s">
        <v>147</v>
      </c>
    </row>
    <row r="68" s="10" customFormat="1" spans="1:7">
      <c r="A68" s="16" t="s">
        <v>117</v>
      </c>
      <c r="B68" s="16" t="s">
        <v>127</v>
      </c>
      <c r="C68" s="22" t="s">
        <v>281</v>
      </c>
      <c r="D68" s="18"/>
      <c r="E68" s="23">
        <v>1</v>
      </c>
      <c r="F68" s="20" t="s">
        <v>116</v>
      </c>
      <c r="G68" s="23" t="s">
        <v>145</v>
      </c>
    </row>
    <row r="69" s="10" customFormat="1" spans="1:7">
      <c r="A69" s="16" t="s">
        <v>117</v>
      </c>
      <c r="B69" s="16" t="s">
        <v>127</v>
      </c>
      <c r="C69" s="22" t="s">
        <v>282</v>
      </c>
      <c r="D69" s="18"/>
      <c r="E69" s="23">
        <v>1</v>
      </c>
      <c r="F69" s="20" t="s">
        <v>116</v>
      </c>
      <c r="G69" s="19" t="s">
        <v>114</v>
      </c>
    </row>
    <row r="70" spans="1:18">
      <c r="A70" s="16" t="s">
        <v>117</v>
      </c>
      <c r="B70" s="16" t="s">
        <v>127</v>
      </c>
      <c r="C70" s="17" t="s">
        <v>283</v>
      </c>
      <c r="D70" s="18"/>
      <c r="E70" s="19">
        <v>4</v>
      </c>
      <c r="F70" s="25" t="s">
        <v>135</v>
      </c>
      <c r="G70" s="19" t="s">
        <v>114</v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</row>
    <row r="71" s="10" customFormat="1" spans="1:18">
      <c r="A71" s="16" t="s">
        <v>117</v>
      </c>
      <c r="B71" s="16" t="s">
        <v>119</v>
      </c>
      <c r="C71" s="17" t="s">
        <v>284</v>
      </c>
      <c r="D71" s="18"/>
      <c r="E71" s="19">
        <v>1</v>
      </c>
      <c r="F71" s="20" t="s">
        <v>116</v>
      </c>
      <c r="G71" s="19" t="s">
        <v>114</v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</row>
    <row r="72" spans="1:18">
      <c r="A72" s="16" t="s">
        <v>117</v>
      </c>
      <c r="B72" s="16" t="s">
        <v>119</v>
      </c>
      <c r="C72" s="17" t="s">
        <v>285</v>
      </c>
      <c r="D72" s="18"/>
      <c r="E72" s="19">
        <v>1</v>
      </c>
      <c r="F72" s="20" t="s">
        <v>116</v>
      </c>
      <c r="G72" s="19" t="s">
        <v>129</v>
      </c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</row>
    <row r="73" s="10" customFormat="1" spans="1:7">
      <c r="A73" s="16" t="s">
        <v>117</v>
      </c>
      <c r="B73" s="16" t="s">
        <v>119</v>
      </c>
      <c r="C73" s="22" t="s">
        <v>286</v>
      </c>
      <c r="D73" s="18"/>
      <c r="E73" s="23">
        <v>1</v>
      </c>
      <c r="F73" s="20" t="s">
        <v>116</v>
      </c>
      <c r="G73" s="23" t="s">
        <v>147</v>
      </c>
    </row>
    <row r="74" s="10" customFormat="1" spans="1:7">
      <c r="A74" s="16" t="s">
        <v>117</v>
      </c>
      <c r="B74" s="16" t="s">
        <v>119</v>
      </c>
      <c r="C74" s="22" t="s">
        <v>287</v>
      </c>
      <c r="D74" s="18"/>
      <c r="E74" s="23">
        <v>1</v>
      </c>
      <c r="F74" s="20" t="s">
        <v>116</v>
      </c>
      <c r="G74" s="23" t="s">
        <v>147</v>
      </c>
    </row>
    <row r="75" s="10" customFormat="1" spans="1:7">
      <c r="A75" s="16" t="s">
        <v>117</v>
      </c>
      <c r="B75" s="16" t="s">
        <v>119</v>
      </c>
      <c r="C75" s="22" t="s">
        <v>288</v>
      </c>
      <c r="D75" s="18"/>
      <c r="E75" s="23">
        <v>1</v>
      </c>
      <c r="F75" s="20" t="s">
        <v>116</v>
      </c>
      <c r="G75" s="23" t="s">
        <v>147</v>
      </c>
    </row>
    <row r="76" s="10" customFormat="1" spans="1:7">
      <c r="A76" s="16" t="s">
        <v>117</v>
      </c>
      <c r="B76" s="16" t="s">
        <v>119</v>
      </c>
      <c r="C76" s="22" t="s">
        <v>289</v>
      </c>
      <c r="D76" s="18"/>
      <c r="E76" s="23">
        <v>1</v>
      </c>
      <c r="F76" s="20" t="s">
        <v>116</v>
      </c>
      <c r="G76" s="23" t="s">
        <v>149</v>
      </c>
    </row>
    <row r="77" s="10" customFormat="1" spans="1:18">
      <c r="A77" s="16" t="s">
        <v>120</v>
      </c>
      <c r="B77" s="16" t="s">
        <v>128</v>
      </c>
      <c r="C77" s="17" t="s">
        <v>290</v>
      </c>
      <c r="D77" s="18"/>
      <c r="E77" s="19">
        <v>1</v>
      </c>
      <c r="F77" s="20" t="s">
        <v>116</v>
      </c>
      <c r="G77" s="19" t="s">
        <v>114</v>
      </c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</row>
    <row r="78" spans="1:18">
      <c r="A78" s="16" t="s">
        <v>120</v>
      </c>
      <c r="B78" s="16" t="s">
        <v>128</v>
      </c>
      <c r="C78" s="17" t="s">
        <v>291</v>
      </c>
      <c r="D78" s="18"/>
      <c r="E78" s="19">
        <v>2</v>
      </c>
      <c r="F78" s="20" t="s">
        <v>116</v>
      </c>
      <c r="G78" s="19" t="s">
        <v>114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</row>
    <row r="79" spans="1:18">
      <c r="A79" s="16" t="s">
        <v>120</v>
      </c>
      <c r="B79" s="16" t="s">
        <v>128</v>
      </c>
      <c r="C79" s="17" t="s">
        <v>292</v>
      </c>
      <c r="D79" s="18"/>
      <c r="E79" s="19">
        <v>1</v>
      </c>
      <c r="F79" s="20" t="s">
        <v>116</v>
      </c>
      <c r="G79" s="19" t="s">
        <v>129</v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</row>
    <row r="80" spans="1:18">
      <c r="A80" s="16" t="s">
        <v>120</v>
      </c>
      <c r="B80" s="16" t="s">
        <v>128</v>
      </c>
      <c r="C80" s="17" t="s">
        <v>293</v>
      </c>
      <c r="D80" s="18"/>
      <c r="E80" s="19">
        <v>1</v>
      </c>
      <c r="F80" s="20" t="s">
        <v>116</v>
      </c>
      <c r="G80" s="19" t="s">
        <v>114</v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</row>
    <row r="81" s="10" customFormat="1" spans="1:7">
      <c r="A81" s="16" t="s">
        <v>120</v>
      </c>
      <c r="B81" s="16" t="s">
        <v>128</v>
      </c>
      <c r="C81" s="22" t="s">
        <v>294</v>
      </c>
      <c r="D81" s="18"/>
      <c r="E81" s="23">
        <v>2</v>
      </c>
      <c r="F81" s="20" t="s">
        <v>116</v>
      </c>
      <c r="G81" s="19" t="s">
        <v>114</v>
      </c>
    </row>
    <row r="82" s="10" customFormat="1" spans="1:18">
      <c r="A82" s="16" t="s">
        <v>120</v>
      </c>
      <c r="B82" s="16" t="s">
        <v>121</v>
      </c>
      <c r="C82" s="17" t="s">
        <v>295</v>
      </c>
      <c r="D82" s="18"/>
      <c r="E82" s="19">
        <v>2</v>
      </c>
      <c r="F82" s="20" t="s">
        <v>116</v>
      </c>
      <c r="G82" s="19" t="s">
        <v>114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</row>
    <row r="83" spans="1:18">
      <c r="A83" s="16" t="s">
        <v>120</v>
      </c>
      <c r="B83" s="16" t="s">
        <v>121</v>
      </c>
      <c r="C83" s="17" t="s">
        <v>296</v>
      </c>
      <c r="D83" s="18"/>
      <c r="E83" s="19">
        <v>1</v>
      </c>
      <c r="F83" s="20" t="s">
        <v>116</v>
      </c>
      <c r="G83" s="19" t="s">
        <v>129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</row>
    <row r="84" spans="1:18">
      <c r="A84" s="16" t="s">
        <v>120</v>
      </c>
      <c r="B84" s="16" t="s">
        <v>121</v>
      </c>
      <c r="C84" s="17" t="s">
        <v>297</v>
      </c>
      <c r="D84" s="18"/>
      <c r="E84" s="19">
        <v>1</v>
      </c>
      <c r="F84" s="20" t="s">
        <v>116</v>
      </c>
      <c r="G84" s="19" t="s">
        <v>114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</row>
    <row r="85" spans="1:17">
      <c r="A85" s="16" t="s">
        <v>120</v>
      </c>
      <c r="B85" s="16" t="s">
        <v>121</v>
      </c>
      <c r="C85" s="17" t="s">
        <v>298</v>
      </c>
      <c r="D85" s="18"/>
      <c r="E85" s="19">
        <v>1</v>
      </c>
      <c r="F85" s="20" t="s">
        <v>116</v>
      </c>
      <c r="G85" s="19" t="s">
        <v>114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</row>
    <row r="86" spans="1:17">
      <c r="A86" s="16" t="s">
        <v>120</v>
      </c>
      <c r="B86" s="16" t="s">
        <v>121</v>
      </c>
      <c r="C86" s="17" t="s">
        <v>299</v>
      </c>
      <c r="D86" s="18"/>
      <c r="E86" s="19">
        <v>1</v>
      </c>
      <c r="F86" s="20" t="s">
        <v>116</v>
      </c>
      <c r="G86" s="19" t="s">
        <v>114</v>
      </c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 s="10" customFormat="1" spans="1:7">
      <c r="A87" s="16" t="s">
        <v>120</v>
      </c>
      <c r="B87" s="16" t="s">
        <v>121</v>
      </c>
      <c r="C87" s="22" t="s">
        <v>300</v>
      </c>
      <c r="D87" s="18"/>
      <c r="E87" s="23">
        <v>1</v>
      </c>
      <c r="F87" s="20" t="s">
        <v>116</v>
      </c>
      <c r="G87" s="23" t="s">
        <v>147</v>
      </c>
    </row>
    <row r="88" s="10" customFormat="1" spans="1:17">
      <c r="A88" s="16" t="s">
        <v>120</v>
      </c>
      <c r="B88" s="16" t="s">
        <v>122</v>
      </c>
      <c r="C88" s="17" t="s">
        <v>301</v>
      </c>
      <c r="D88" s="18"/>
      <c r="E88" s="19">
        <v>1</v>
      </c>
      <c r="F88" s="20" t="s">
        <v>116</v>
      </c>
      <c r="G88" s="19" t="s">
        <v>114</v>
      </c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 spans="1:17">
      <c r="A89" s="16" t="s">
        <v>120</v>
      </c>
      <c r="B89" s="16" t="s">
        <v>122</v>
      </c>
      <c r="C89" s="17" t="s">
        <v>302</v>
      </c>
      <c r="D89" s="18"/>
      <c r="E89" s="19">
        <v>1</v>
      </c>
      <c r="F89" s="20" t="s">
        <v>116</v>
      </c>
      <c r="G89" s="19" t="s">
        <v>139</v>
      </c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 spans="1:18">
      <c r="A90" s="16" t="s">
        <v>120</v>
      </c>
      <c r="B90" s="16" t="s">
        <v>122</v>
      </c>
      <c r="C90" s="17" t="s">
        <v>303</v>
      </c>
      <c r="D90" s="18"/>
      <c r="E90" s="19">
        <v>1</v>
      </c>
      <c r="F90" s="20" t="s">
        <v>116</v>
      </c>
      <c r="G90" s="19" t="s">
        <v>114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 spans="1:18">
      <c r="A91" s="16" t="s">
        <v>120</v>
      </c>
      <c r="B91" s="16" t="s">
        <v>122</v>
      </c>
      <c r="C91" s="17" t="s">
        <v>304</v>
      </c>
      <c r="D91" s="18"/>
      <c r="E91" s="19">
        <v>1</v>
      </c>
      <c r="F91" s="20" t="s">
        <v>116</v>
      </c>
      <c r="G91" s="19" t="s">
        <v>114</v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</row>
    <row r="92" spans="1:18">
      <c r="A92" s="16" t="s">
        <v>120</v>
      </c>
      <c r="B92" s="16" t="s">
        <v>122</v>
      </c>
      <c r="C92" s="17" t="s">
        <v>305</v>
      </c>
      <c r="D92" s="18"/>
      <c r="E92" s="19">
        <v>1</v>
      </c>
      <c r="F92" s="20" t="s">
        <v>116</v>
      </c>
      <c r="G92" s="19" t="s">
        <v>114</v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</row>
    <row r="93" spans="1:18">
      <c r="A93" s="16" t="s">
        <v>120</v>
      </c>
      <c r="B93" s="16" t="s">
        <v>122</v>
      </c>
      <c r="C93" s="17" t="s">
        <v>306</v>
      </c>
      <c r="D93" s="18"/>
      <c r="E93" s="19">
        <v>1</v>
      </c>
      <c r="F93" s="20" t="s">
        <v>116</v>
      </c>
      <c r="G93" s="19" t="s">
        <v>114</v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</row>
    <row r="94" spans="1:18">
      <c r="A94" s="16" t="s">
        <v>120</v>
      </c>
      <c r="B94" s="16" t="s">
        <v>122</v>
      </c>
      <c r="C94" s="17" t="s">
        <v>307</v>
      </c>
      <c r="D94" s="18"/>
      <c r="E94" s="19">
        <v>1</v>
      </c>
      <c r="F94" s="20" t="s">
        <v>116</v>
      </c>
      <c r="G94" s="19" t="s">
        <v>114</v>
      </c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 spans="1:18">
      <c r="A95" s="16" t="s">
        <v>120</v>
      </c>
      <c r="B95" s="16" t="s">
        <v>122</v>
      </c>
      <c r="C95" s="17" t="s">
        <v>308</v>
      </c>
      <c r="D95" s="18"/>
      <c r="E95" s="19">
        <v>1</v>
      </c>
      <c r="F95" s="20" t="s">
        <v>116</v>
      </c>
      <c r="G95" s="19" t="s">
        <v>114</v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</row>
    <row r="96" spans="1:18">
      <c r="A96" s="16" t="s">
        <v>120</v>
      </c>
      <c r="B96" s="16" t="s">
        <v>122</v>
      </c>
      <c r="C96" s="17" t="s">
        <v>309</v>
      </c>
      <c r="D96" s="18"/>
      <c r="E96" s="19">
        <v>1</v>
      </c>
      <c r="F96" s="20" t="s">
        <v>116</v>
      </c>
      <c r="G96" s="19" t="s">
        <v>114</v>
      </c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</row>
    <row r="97" spans="1:18">
      <c r="A97" s="16" t="s">
        <v>120</v>
      </c>
      <c r="B97" s="16" t="s">
        <v>122</v>
      </c>
      <c r="C97" s="17" t="s">
        <v>310</v>
      </c>
      <c r="D97" s="18"/>
      <c r="E97" s="19">
        <v>1</v>
      </c>
      <c r="F97" s="20" t="s">
        <v>116</v>
      </c>
      <c r="G97" s="19" t="s">
        <v>129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</row>
    <row r="98" spans="1:18">
      <c r="A98" s="16" t="s">
        <v>120</v>
      </c>
      <c r="B98" s="16" t="s">
        <v>122</v>
      </c>
      <c r="C98" s="17" t="s">
        <v>311</v>
      </c>
      <c r="D98" s="18"/>
      <c r="E98" s="19">
        <v>1</v>
      </c>
      <c r="F98" s="20" t="s">
        <v>116</v>
      </c>
      <c r="G98" s="19" t="s">
        <v>123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</row>
    <row r="99" spans="1:18">
      <c r="A99" s="16" t="s">
        <v>120</v>
      </c>
      <c r="B99" s="16" t="s">
        <v>122</v>
      </c>
      <c r="C99" s="17" t="s">
        <v>312</v>
      </c>
      <c r="D99" s="18"/>
      <c r="E99" s="19">
        <v>1</v>
      </c>
      <c r="F99" s="20" t="s">
        <v>116</v>
      </c>
      <c r="G99" s="19" t="s">
        <v>114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</row>
    <row r="100" spans="1:18">
      <c r="A100" s="16" t="s">
        <v>120</v>
      </c>
      <c r="B100" s="16" t="s">
        <v>122</v>
      </c>
      <c r="C100" s="17" t="s">
        <v>313</v>
      </c>
      <c r="D100" s="18"/>
      <c r="E100" s="19">
        <v>1</v>
      </c>
      <c r="F100" s="20" t="s">
        <v>116</v>
      </c>
      <c r="G100" s="19" t="s">
        <v>143</v>
      </c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</row>
    <row r="101" spans="1:18">
      <c r="A101" s="16" t="s">
        <v>120</v>
      </c>
      <c r="B101" s="16" t="s">
        <v>122</v>
      </c>
      <c r="C101" s="17" t="s">
        <v>314</v>
      </c>
      <c r="D101" s="18"/>
      <c r="E101" s="19">
        <v>1</v>
      </c>
      <c r="F101" s="20" t="s">
        <v>116</v>
      </c>
      <c r="G101" s="19" t="s">
        <v>114</v>
      </c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 spans="1:18">
      <c r="A102" s="16" t="s">
        <v>120</v>
      </c>
      <c r="B102" s="16" t="s">
        <v>122</v>
      </c>
      <c r="C102" s="17" t="s">
        <v>315</v>
      </c>
      <c r="D102" s="18"/>
      <c r="E102" s="19">
        <v>1</v>
      </c>
      <c r="F102" s="20" t="s">
        <v>116</v>
      </c>
      <c r="G102" s="19" t="s">
        <v>139</v>
      </c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</row>
    <row r="103" spans="1:18">
      <c r="A103" s="16" t="s">
        <v>120</v>
      </c>
      <c r="B103" s="16" t="s">
        <v>122</v>
      </c>
      <c r="C103" s="17" t="s">
        <v>316</v>
      </c>
      <c r="D103" s="18"/>
      <c r="E103" s="19">
        <v>1</v>
      </c>
      <c r="F103" s="20" t="s">
        <v>116</v>
      </c>
      <c r="G103" s="19" t="s">
        <v>114</v>
      </c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</row>
    <row r="104" spans="1:18">
      <c r="A104" s="16" t="s">
        <v>120</v>
      </c>
      <c r="B104" s="16" t="s">
        <v>122</v>
      </c>
      <c r="C104" s="17" t="s">
        <v>317</v>
      </c>
      <c r="D104" s="18"/>
      <c r="E104" s="19">
        <v>1</v>
      </c>
      <c r="F104" s="20" t="s">
        <v>116</v>
      </c>
      <c r="G104" s="19" t="s">
        <v>114</v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</row>
    <row r="105" s="10" customFormat="1" spans="1:7">
      <c r="A105" s="16" t="s">
        <v>120</v>
      </c>
      <c r="B105" s="16" t="s">
        <v>122</v>
      </c>
      <c r="C105" s="22" t="s">
        <v>318</v>
      </c>
      <c r="D105" s="18"/>
      <c r="E105" s="23">
        <v>1</v>
      </c>
      <c r="F105" s="20" t="s">
        <v>116</v>
      </c>
      <c r="G105" s="23" t="s">
        <v>149</v>
      </c>
    </row>
    <row r="106" s="10" customFormat="1" spans="1:7">
      <c r="A106" s="16" t="s">
        <v>120</v>
      </c>
      <c r="B106" s="16" t="s">
        <v>122</v>
      </c>
      <c r="C106" s="22" t="s">
        <v>319</v>
      </c>
      <c r="D106" s="18"/>
      <c r="E106" s="23">
        <v>1</v>
      </c>
      <c r="F106" s="20" t="s">
        <v>116</v>
      </c>
      <c r="G106" s="23" t="s">
        <v>149</v>
      </c>
    </row>
    <row r="107" s="10" customFormat="1" spans="1:7">
      <c r="A107" s="16" t="s">
        <v>120</v>
      </c>
      <c r="B107" s="16" t="s">
        <v>122</v>
      </c>
      <c r="C107" s="22" t="s">
        <v>320</v>
      </c>
      <c r="D107" s="18"/>
      <c r="E107" s="23">
        <v>1</v>
      </c>
      <c r="F107" s="20" t="s">
        <v>116</v>
      </c>
      <c r="G107" s="23" t="s">
        <v>149</v>
      </c>
    </row>
    <row r="108" s="10" customFormat="1" spans="1:7">
      <c r="A108" s="16" t="s">
        <v>120</v>
      </c>
      <c r="B108" s="16" t="s">
        <v>122</v>
      </c>
      <c r="C108" s="22" t="s">
        <v>321</v>
      </c>
      <c r="D108" s="18"/>
      <c r="E108" s="23">
        <v>2</v>
      </c>
      <c r="F108" s="20" t="s">
        <v>116</v>
      </c>
      <c r="G108" s="19" t="s">
        <v>114</v>
      </c>
    </row>
    <row r="109" s="10" customFormat="1" spans="1:7">
      <c r="A109" s="16" t="s">
        <v>120</v>
      </c>
      <c r="B109" s="16" t="s">
        <v>122</v>
      </c>
      <c r="C109" s="22" t="s">
        <v>322</v>
      </c>
      <c r="D109" s="18"/>
      <c r="E109" s="23">
        <v>2</v>
      </c>
      <c r="F109" s="20" t="s">
        <v>116</v>
      </c>
      <c r="G109" s="19" t="s">
        <v>114</v>
      </c>
    </row>
    <row r="110" s="10" customFormat="1" spans="1:7">
      <c r="A110" s="16" t="s">
        <v>120</v>
      </c>
      <c r="B110" s="16" t="s">
        <v>122</v>
      </c>
      <c r="C110" s="22" t="s">
        <v>323</v>
      </c>
      <c r="D110" s="18"/>
      <c r="E110" s="23">
        <v>2</v>
      </c>
      <c r="F110" s="20" t="s">
        <v>116</v>
      </c>
      <c r="G110" s="19" t="s">
        <v>114</v>
      </c>
    </row>
    <row r="111" s="10" customFormat="1" spans="1:18">
      <c r="A111" s="16" t="s">
        <v>169</v>
      </c>
      <c r="B111" s="16" t="s">
        <v>176</v>
      </c>
      <c r="C111" s="17" t="s">
        <v>324</v>
      </c>
      <c r="D111" s="18"/>
      <c r="E111" s="19">
        <v>1</v>
      </c>
      <c r="F111" s="24" t="s">
        <v>112</v>
      </c>
      <c r="G111" s="19" t="s">
        <v>165</v>
      </c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</row>
    <row r="112" spans="1:18">
      <c r="A112" s="16" t="s">
        <v>169</v>
      </c>
      <c r="B112" s="16" t="s">
        <v>176</v>
      </c>
      <c r="C112" s="17" t="s">
        <v>325</v>
      </c>
      <c r="D112" s="18"/>
      <c r="E112" s="19">
        <v>1</v>
      </c>
      <c r="F112" s="20" t="s">
        <v>116</v>
      </c>
      <c r="G112" s="19" t="s">
        <v>139</v>
      </c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</row>
    <row r="113" spans="1:18">
      <c r="A113" s="16" t="s">
        <v>169</v>
      </c>
      <c r="B113" s="16" t="s">
        <v>176</v>
      </c>
      <c r="C113" s="17" t="s">
        <v>326</v>
      </c>
      <c r="D113" s="18"/>
      <c r="E113" s="19">
        <v>4</v>
      </c>
      <c r="F113" s="20" t="s">
        <v>116</v>
      </c>
      <c r="G113" s="19" t="s">
        <v>139</v>
      </c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</row>
    <row r="114" spans="1:18">
      <c r="A114" s="16" t="s">
        <v>169</v>
      </c>
      <c r="B114" s="16" t="s">
        <v>176</v>
      </c>
      <c r="C114" s="17" t="s">
        <v>327</v>
      </c>
      <c r="D114" s="18"/>
      <c r="E114" s="19">
        <v>3</v>
      </c>
      <c r="F114" s="20" t="s">
        <v>116</v>
      </c>
      <c r="G114" s="19" t="s">
        <v>139</v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</row>
    <row r="115" spans="1:18">
      <c r="A115" s="16" t="s">
        <v>169</v>
      </c>
      <c r="B115" s="16" t="s">
        <v>176</v>
      </c>
      <c r="C115" s="17" t="s">
        <v>328</v>
      </c>
      <c r="D115" s="18"/>
      <c r="E115" s="19">
        <v>5</v>
      </c>
      <c r="F115" s="20" t="s">
        <v>116</v>
      </c>
      <c r="G115" s="19" t="s">
        <v>114</v>
      </c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</row>
    <row r="116" spans="1:18">
      <c r="A116" s="16" t="s">
        <v>169</v>
      </c>
      <c r="B116" s="16" t="s">
        <v>176</v>
      </c>
      <c r="C116" s="17" t="s">
        <v>329</v>
      </c>
      <c r="D116" s="18"/>
      <c r="E116" s="19">
        <v>2</v>
      </c>
      <c r="F116" s="20" t="s">
        <v>116</v>
      </c>
      <c r="G116" s="19" t="s">
        <v>114</v>
      </c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</row>
    <row r="117" spans="1:18">
      <c r="A117" s="16" t="s">
        <v>169</v>
      </c>
      <c r="B117" s="16" t="s">
        <v>176</v>
      </c>
      <c r="C117" s="17" t="s">
        <v>330</v>
      </c>
      <c r="D117" s="18"/>
      <c r="E117" s="19">
        <v>5</v>
      </c>
      <c r="F117" s="20" t="s">
        <v>116</v>
      </c>
      <c r="G117" s="19" t="s">
        <v>114</v>
      </c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</row>
    <row r="118" spans="1:18">
      <c r="A118" s="16" t="s">
        <v>169</v>
      </c>
      <c r="B118" s="16" t="s">
        <v>176</v>
      </c>
      <c r="C118" s="17" t="s">
        <v>331</v>
      </c>
      <c r="D118" s="18"/>
      <c r="E118" s="19">
        <v>2</v>
      </c>
      <c r="F118" s="20" t="s">
        <v>116</v>
      </c>
      <c r="G118" s="19" t="s">
        <v>114</v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</row>
    <row r="119" spans="1:18">
      <c r="A119" s="16" t="s">
        <v>169</v>
      </c>
      <c r="B119" s="16" t="s">
        <v>176</v>
      </c>
      <c r="C119" s="17" t="s">
        <v>332</v>
      </c>
      <c r="D119" s="18"/>
      <c r="E119" s="19">
        <v>6</v>
      </c>
      <c r="F119" s="20" t="s">
        <v>116</v>
      </c>
      <c r="G119" s="19" t="s">
        <v>114</v>
      </c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</row>
    <row r="120" spans="1:18">
      <c r="A120" s="16" t="s">
        <v>169</v>
      </c>
      <c r="B120" s="16" t="s">
        <v>176</v>
      </c>
      <c r="C120" s="17" t="s">
        <v>333</v>
      </c>
      <c r="D120" s="18"/>
      <c r="E120" s="19">
        <v>1</v>
      </c>
      <c r="F120" s="20" t="s">
        <v>116</v>
      </c>
      <c r="G120" s="19" t="s">
        <v>114</v>
      </c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</row>
    <row r="121" spans="1:18">
      <c r="A121" s="16" t="s">
        <v>169</v>
      </c>
      <c r="B121" s="16" t="s">
        <v>176</v>
      </c>
      <c r="C121" s="17" t="s">
        <v>334</v>
      </c>
      <c r="D121" s="18"/>
      <c r="E121" s="19">
        <v>1</v>
      </c>
      <c r="F121" s="20" t="s">
        <v>116</v>
      </c>
      <c r="G121" s="19" t="s">
        <v>114</v>
      </c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</row>
    <row r="122" spans="1:18">
      <c r="A122" s="16" t="s">
        <v>169</v>
      </c>
      <c r="B122" s="16" t="s">
        <v>176</v>
      </c>
      <c r="C122" s="17" t="s">
        <v>335</v>
      </c>
      <c r="D122" s="18"/>
      <c r="E122" s="19">
        <v>1</v>
      </c>
      <c r="F122" s="25" t="s">
        <v>135</v>
      </c>
      <c r="G122" s="19" t="s">
        <v>139</v>
      </c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</row>
    <row r="123" spans="1:18">
      <c r="A123" s="16" t="s">
        <v>169</v>
      </c>
      <c r="B123" s="16" t="s">
        <v>176</v>
      </c>
      <c r="C123" s="17" t="s">
        <v>336</v>
      </c>
      <c r="D123" s="18"/>
      <c r="E123" s="19">
        <v>10</v>
      </c>
      <c r="F123" s="25" t="s">
        <v>135</v>
      </c>
      <c r="G123" s="19" t="s">
        <v>139</v>
      </c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</row>
    <row r="124" spans="1:18">
      <c r="A124" s="16" t="s">
        <v>169</v>
      </c>
      <c r="B124" s="16" t="s">
        <v>176</v>
      </c>
      <c r="C124" s="17" t="s">
        <v>337</v>
      </c>
      <c r="D124" s="18"/>
      <c r="E124" s="19">
        <v>1</v>
      </c>
      <c r="F124" s="20" t="s">
        <v>116</v>
      </c>
      <c r="G124" s="19" t="s">
        <v>114</v>
      </c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</row>
    <row r="125" s="10" customFormat="1" spans="1:18">
      <c r="A125" s="16" t="s">
        <v>169</v>
      </c>
      <c r="B125" s="16" t="s">
        <v>170</v>
      </c>
      <c r="C125" s="17" t="s">
        <v>338</v>
      </c>
      <c r="D125" s="18"/>
      <c r="E125" s="19">
        <v>1</v>
      </c>
      <c r="F125" s="24" t="s">
        <v>112</v>
      </c>
      <c r="G125" s="19" t="s">
        <v>171</v>
      </c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</row>
    <row r="126" spans="1:18">
      <c r="A126" s="16" t="s">
        <v>169</v>
      </c>
      <c r="B126" s="16" t="s">
        <v>170</v>
      </c>
      <c r="C126" s="17" t="s">
        <v>339</v>
      </c>
      <c r="D126" s="18"/>
      <c r="E126" s="19">
        <v>1</v>
      </c>
      <c r="F126" s="20" t="s">
        <v>116</v>
      </c>
      <c r="G126" s="19" t="s">
        <v>181</v>
      </c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 spans="1:18">
      <c r="A127" s="16" t="s">
        <v>169</v>
      </c>
      <c r="B127" s="16" t="s">
        <v>170</v>
      </c>
      <c r="C127" s="17" t="s">
        <v>340</v>
      </c>
      <c r="D127" s="18"/>
      <c r="E127" s="19">
        <v>1</v>
      </c>
      <c r="F127" s="20" t="s">
        <v>116</v>
      </c>
      <c r="G127" s="19" t="s">
        <v>114</v>
      </c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</row>
    <row r="128" spans="1:18">
      <c r="A128" s="16" t="s">
        <v>169</v>
      </c>
      <c r="B128" s="16" t="s">
        <v>170</v>
      </c>
      <c r="C128" s="17" t="s">
        <v>341</v>
      </c>
      <c r="D128" s="18"/>
      <c r="E128" s="19">
        <v>1</v>
      </c>
      <c r="F128" s="25" t="s">
        <v>135</v>
      </c>
      <c r="G128" s="19" t="s">
        <v>182</v>
      </c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</row>
    <row r="129" spans="1:18">
      <c r="A129" s="16" t="s">
        <v>169</v>
      </c>
      <c r="B129" s="16" t="s">
        <v>170</v>
      </c>
      <c r="C129" s="17" t="s">
        <v>342</v>
      </c>
      <c r="D129" s="18"/>
      <c r="E129" s="19">
        <v>1</v>
      </c>
      <c r="F129" s="25" t="s">
        <v>135</v>
      </c>
      <c r="G129" s="19" t="s">
        <v>114</v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</row>
    <row r="130" s="10" customFormat="1" spans="1:7">
      <c r="A130" s="16" t="s">
        <v>169</v>
      </c>
      <c r="B130" s="16" t="s">
        <v>170</v>
      </c>
      <c r="C130" s="27" t="s">
        <v>343</v>
      </c>
      <c r="D130" s="18"/>
      <c r="E130" s="23">
        <v>1</v>
      </c>
      <c r="F130" s="24" t="s">
        <v>112</v>
      </c>
      <c r="G130" s="19" t="s">
        <v>114</v>
      </c>
    </row>
    <row r="131" s="10" customFormat="1" spans="1:7">
      <c r="A131" s="16" t="s">
        <v>169</v>
      </c>
      <c r="B131" s="16" t="s">
        <v>170</v>
      </c>
      <c r="C131" s="27" t="s">
        <v>344</v>
      </c>
      <c r="D131" s="18"/>
      <c r="E131" s="23">
        <v>1</v>
      </c>
      <c r="F131" s="24" t="s">
        <v>112</v>
      </c>
      <c r="G131" s="19" t="s">
        <v>114</v>
      </c>
    </row>
    <row r="132" s="10" customFormat="1" spans="1:7">
      <c r="A132" s="16" t="s">
        <v>169</v>
      </c>
      <c r="B132" s="16" t="s">
        <v>170</v>
      </c>
      <c r="C132" s="22" t="s">
        <v>345</v>
      </c>
      <c r="D132" s="18"/>
      <c r="E132" s="23">
        <v>1</v>
      </c>
      <c r="F132" s="20" t="s">
        <v>116</v>
      </c>
      <c r="G132" s="23" t="s">
        <v>149</v>
      </c>
    </row>
    <row r="133" s="10" customFormat="1" spans="1:7">
      <c r="A133" s="16" t="s">
        <v>169</v>
      </c>
      <c r="B133" s="16" t="s">
        <v>170</v>
      </c>
      <c r="C133" s="22" t="s">
        <v>346</v>
      </c>
      <c r="D133" s="18"/>
      <c r="E133" s="23">
        <v>1</v>
      </c>
      <c r="F133" s="20" t="s">
        <v>116</v>
      </c>
      <c r="G133" s="23" t="s">
        <v>149</v>
      </c>
    </row>
    <row r="134" s="10" customFormat="1" spans="1:18">
      <c r="A134" s="16" t="s">
        <v>154</v>
      </c>
      <c r="B134" s="16" t="s">
        <v>177</v>
      </c>
      <c r="C134" s="17" t="s">
        <v>347</v>
      </c>
      <c r="D134" s="18"/>
      <c r="E134" s="19">
        <v>1</v>
      </c>
      <c r="F134" s="20" t="s">
        <v>116</v>
      </c>
      <c r="G134" s="19" t="s">
        <v>134</v>
      </c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</row>
    <row r="135" spans="1:18">
      <c r="A135" s="16" t="s">
        <v>154</v>
      </c>
      <c r="B135" s="16" t="s">
        <v>177</v>
      </c>
      <c r="C135" s="17" t="s">
        <v>348</v>
      </c>
      <c r="D135" s="18"/>
      <c r="E135" s="19">
        <v>1</v>
      </c>
      <c r="F135" s="20" t="s">
        <v>116</v>
      </c>
      <c r="G135" s="19" t="s">
        <v>178</v>
      </c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</row>
    <row r="136" s="10" customFormat="1" spans="1:18">
      <c r="A136" s="16" t="s">
        <v>154</v>
      </c>
      <c r="B136" s="16" t="s">
        <v>164</v>
      </c>
      <c r="C136" s="17" t="s">
        <v>349</v>
      </c>
      <c r="D136" s="18"/>
      <c r="E136" s="19">
        <v>1</v>
      </c>
      <c r="F136" s="20" t="s">
        <v>116</v>
      </c>
      <c r="G136" s="19" t="s">
        <v>114</v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</row>
    <row r="137" spans="1:18">
      <c r="A137" s="16" t="s">
        <v>154</v>
      </c>
      <c r="B137" s="16" t="s">
        <v>164</v>
      </c>
      <c r="C137" s="17" t="s">
        <v>350</v>
      </c>
      <c r="D137" s="18"/>
      <c r="E137" s="19">
        <v>1</v>
      </c>
      <c r="F137" s="20" t="s">
        <v>116</v>
      </c>
      <c r="G137" s="19" t="s">
        <v>165</v>
      </c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</row>
    <row r="138" spans="1:18">
      <c r="A138" s="16" t="s">
        <v>154</v>
      </c>
      <c r="B138" s="16" t="s">
        <v>164</v>
      </c>
      <c r="C138" s="17" t="s">
        <v>351</v>
      </c>
      <c r="D138" s="18"/>
      <c r="E138" s="19">
        <v>1</v>
      </c>
      <c r="F138" s="20" t="s">
        <v>116</v>
      </c>
      <c r="G138" s="19" t="s">
        <v>165</v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</row>
    <row r="139" s="10" customFormat="1" spans="1:18">
      <c r="A139" s="16" t="s">
        <v>154</v>
      </c>
      <c r="B139" s="16" t="s">
        <v>183</v>
      </c>
      <c r="C139" s="17" t="s">
        <v>352</v>
      </c>
      <c r="D139" s="18"/>
      <c r="E139" s="19">
        <v>1</v>
      </c>
      <c r="F139" s="20" t="s">
        <v>116</v>
      </c>
      <c r="G139" s="19" t="s">
        <v>184</v>
      </c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</row>
    <row r="140" spans="1:18">
      <c r="A140" s="16" t="s">
        <v>154</v>
      </c>
      <c r="B140" s="16" t="s">
        <v>183</v>
      </c>
      <c r="C140" s="17" t="s">
        <v>353</v>
      </c>
      <c r="D140" s="18"/>
      <c r="E140" s="19">
        <v>1</v>
      </c>
      <c r="F140" s="24" t="s">
        <v>112</v>
      </c>
      <c r="G140" s="19" t="s">
        <v>171</v>
      </c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</row>
    <row r="141" spans="1:18">
      <c r="A141" s="16" t="s">
        <v>154</v>
      </c>
      <c r="B141" s="16" t="s">
        <v>183</v>
      </c>
      <c r="C141" s="17" t="s">
        <v>354</v>
      </c>
      <c r="D141" s="18"/>
      <c r="E141" s="19">
        <v>1</v>
      </c>
      <c r="F141" s="20" t="s">
        <v>116</v>
      </c>
      <c r="G141" s="19" t="s">
        <v>185</v>
      </c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</row>
    <row r="142" s="10" customFormat="1" spans="1:18">
      <c r="A142" s="16" t="s">
        <v>154</v>
      </c>
      <c r="B142" s="16" t="s">
        <v>155</v>
      </c>
      <c r="C142" s="17" t="s">
        <v>355</v>
      </c>
      <c r="D142" s="18"/>
      <c r="E142" s="19">
        <v>1</v>
      </c>
      <c r="F142" s="24" t="s">
        <v>112</v>
      </c>
      <c r="G142" s="19" t="s">
        <v>156</v>
      </c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</row>
    <row r="143" spans="1:18">
      <c r="A143" s="16" t="s">
        <v>154</v>
      </c>
      <c r="B143" s="16" t="s">
        <v>155</v>
      </c>
      <c r="C143" s="17" t="s">
        <v>356</v>
      </c>
      <c r="D143" s="18"/>
      <c r="E143" s="19">
        <v>1</v>
      </c>
      <c r="F143" s="20" t="s">
        <v>116</v>
      </c>
      <c r="G143" s="19" t="s">
        <v>114</v>
      </c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</row>
    <row r="144" spans="1:18">
      <c r="A144" s="16" t="s">
        <v>154</v>
      </c>
      <c r="B144" s="16" t="s">
        <v>155</v>
      </c>
      <c r="C144" s="17" t="s">
        <v>357</v>
      </c>
      <c r="D144" s="18"/>
      <c r="E144" s="19">
        <v>1</v>
      </c>
      <c r="F144" s="20" t="s">
        <v>116</v>
      </c>
      <c r="G144" s="19" t="s">
        <v>114</v>
      </c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</row>
    <row r="145" spans="1:18">
      <c r="A145" s="16" t="s">
        <v>154</v>
      </c>
      <c r="B145" s="16" t="s">
        <v>155</v>
      </c>
      <c r="C145" s="17" t="s">
        <v>358</v>
      </c>
      <c r="D145" s="18"/>
      <c r="E145" s="19">
        <v>1</v>
      </c>
      <c r="F145" s="20" t="s">
        <v>116</v>
      </c>
      <c r="G145" s="19" t="s">
        <v>113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</row>
    <row r="146" spans="1:18">
      <c r="A146" s="16" t="s">
        <v>154</v>
      </c>
      <c r="B146" s="16" t="s">
        <v>155</v>
      </c>
      <c r="C146" s="17" t="s">
        <v>359</v>
      </c>
      <c r="D146" s="18"/>
      <c r="E146" s="19">
        <v>1</v>
      </c>
      <c r="F146" s="20" t="s">
        <v>116</v>
      </c>
      <c r="G146" s="19" t="s">
        <v>114</v>
      </c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</row>
    <row r="147" spans="1:18">
      <c r="A147" s="16" t="s">
        <v>154</v>
      </c>
      <c r="B147" s="16" t="s">
        <v>155</v>
      </c>
      <c r="C147" s="17" t="s">
        <v>360</v>
      </c>
      <c r="D147" s="18"/>
      <c r="E147" s="19">
        <v>1</v>
      </c>
      <c r="F147" s="20" t="s">
        <v>116</v>
      </c>
      <c r="G147" s="19" t="s">
        <v>114</v>
      </c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</row>
    <row r="148" s="10" customFormat="1" spans="1:7">
      <c r="A148" s="16" t="s">
        <v>154</v>
      </c>
      <c r="B148" s="23" t="s">
        <v>155</v>
      </c>
      <c r="C148" s="27" t="s">
        <v>361</v>
      </c>
      <c r="D148" s="18"/>
      <c r="E148" s="23">
        <v>1</v>
      </c>
      <c r="F148" s="20" t="s">
        <v>116</v>
      </c>
      <c r="G148" s="23" t="s">
        <v>147</v>
      </c>
    </row>
    <row r="149" s="10" customFormat="1" spans="1:7">
      <c r="A149" s="16" t="s">
        <v>154</v>
      </c>
      <c r="B149" s="23" t="s">
        <v>155</v>
      </c>
      <c r="C149" s="27" t="s">
        <v>362</v>
      </c>
      <c r="D149" s="18"/>
      <c r="E149" s="23">
        <v>1</v>
      </c>
      <c r="F149" s="20" t="s">
        <v>116</v>
      </c>
      <c r="G149" s="23" t="s">
        <v>147</v>
      </c>
    </row>
    <row r="150" s="10" customFormat="1" spans="1:7">
      <c r="A150" s="16" t="s">
        <v>154</v>
      </c>
      <c r="B150" s="23" t="s">
        <v>155</v>
      </c>
      <c r="C150" s="27" t="s">
        <v>363</v>
      </c>
      <c r="D150" s="18"/>
      <c r="E150" s="23">
        <v>1</v>
      </c>
      <c r="F150" s="20" t="s">
        <v>116</v>
      </c>
      <c r="G150" s="23" t="s">
        <v>147</v>
      </c>
    </row>
    <row r="151" s="10" customFormat="1" spans="1:7">
      <c r="A151" s="16" t="s">
        <v>154</v>
      </c>
      <c r="B151" s="23" t="s">
        <v>155</v>
      </c>
      <c r="C151" s="22" t="s">
        <v>364</v>
      </c>
      <c r="D151" s="18"/>
      <c r="E151" s="23">
        <v>1</v>
      </c>
      <c r="F151" s="20" t="s">
        <v>116</v>
      </c>
      <c r="G151" s="23" t="s">
        <v>147</v>
      </c>
    </row>
    <row r="152" s="10" customFormat="1" spans="1:7">
      <c r="A152" s="16" t="s">
        <v>154</v>
      </c>
      <c r="B152" s="23" t="s">
        <v>155</v>
      </c>
      <c r="C152" s="22" t="s">
        <v>365</v>
      </c>
      <c r="D152" s="18"/>
      <c r="E152" s="23">
        <v>1</v>
      </c>
      <c r="F152" s="20" t="s">
        <v>116</v>
      </c>
      <c r="G152" s="23" t="s">
        <v>147</v>
      </c>
    </row>
    <row r="153" s="10" customFormat="1" spans="1:7">
      <c r="A153" s="16" t="s">
        <v>154</v>
      </c>
      <c r="B153" s="23" t="s">
        <v>155</v>
      </c>
      <c r="C153" s="27" t="s">
        <v>366</v>
      </c>
      <c r="D153" s="18"/>
      <c r="E153" s="23">
        <v>1</v>
      </c>
      <c r="F153" s="20" t="s">
        <v>116</v>
      </c>
      <c r="G153" s="23" t="s">
        <v>205</v>
      </c>
    </row>
    <row r="154" s="10" customFormat="1" spans="1:7">
      <c r="A154" s="16" t="s">
        <v>154</v>
      </c>
      <c r="B154" s="23" t="s">
        <v>155</v>
      </c>
      <c r="C154" s="27" t="s">
        <v>367</v>
      </c>
      <c r="D154" s="18"/>
      <c r="E154" s="23">
        <v>1</v>
      </c>
      <c r="F154" s="20" t="s">
        <v>116</v>
      </c>
      <c r="G154" s="23" t="s">
        <v>205</v>
      </c>
    </row>
    <row r="155" spans="1:18">
      <c r="A155" s="16" t="s">
        <v>154</v>
      </c>
      <c r="B155" s="16" t="s">
        <v>174</v>
      </c>
      <c r="C155" s="17" t="s">
        <v>368</v>
      </c>
      <c r="D155" s="18"/>
      <c r="E155" s="19">
        <v>1</v>
      </c>
      <c r="F155" s="24" t="s">
        <v>112</v>
      </c>
      <c r="G155" s="19" t="s">
        <v>139</v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</row>
    <row r="156" spans="1:18">
      <c r="A156" s="16" t="s">
        <v>154</v>
      </c>
      <c r="B156" s="16" t="s">
        <v>174</v>
      </c>
      <c r="C156" s="17" t="s">
        <v>369</v>
      </c>
      <c r="D156" s="18"/>
      <c r="E156" s="19">
        <v>1</v>
      </c>
      <c r="F156" s="24" t="s">
        <v>112</v>
      </c>
      <c r="G156" s="19" t="s">
        <v>139</v>
      </c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</row>
    <row r="157" s="10" customFormat="1" spans="1:18">
      <c r="A157" s="16" t="s">
        <v>154</v>
      </c>
      <c r="B157" s="16" t="s">
        <v>174</v>
      </c>
      <c r="C157" s="17" t="s">
        <v>370</v>
      </c>
      <c r="D157" s="18"/>
      <c r="E157" s="19">
        <v>1</v>
      </c>
      <c r="F157" s="20" t="s">
        <v>116</v>
      </c>
      <c r="G157" s="19" t="s">
        <v>134</v>
      </c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</row>
    <row r="158" spans="1:18">
      <c r="A158" s="16" t="s">
        <v>154</v>
      </c>
      <c r="B158" s="16" t="s">
        <v>174</v>
      </c>
      <c r="C158" s="17" t="s">
        <v>371</v>
      </c>
      <c r="D158" s="18"/>
      <c r="E158" s="19">
        <v>1</v>
      </c>
      <c r="F158" s="20" t="s">
        <v>116</v>
      </c>
      <c r="G158" s="19" t="s">
        <v>372</v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</row>
    <row r="159" spans="1:18">
      <c r="A159" s="16" t="s">
        <v>154</v>
      </c>
      <c r="B159" s="16" t="s">
        <v>174</v>
      </c>
      <c r="C159" s="17" t="s">
        <v>373</v>
      </c>
      <c r="D159" s="18"/>
      <c r="E159" s="19">
        <v>1</v>
      </c>
      <c r="F159" s="20" t="s">
        <v>116</v>
      </c>
      <c r="G159" s="19" t="s">
        <v>372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 spans="1:18">
      <c r="A160" s="16" t="s">
        <v>154</v>
      </c>
      <c r="B160" s="16" t="s">
        <v>174</v>
      </c>
      <c r="C160" s="17" t="s">
        <v>374</v>
      </c>
      <c r="D160" s="18"/>
      <c r="E160" s="19">
        <v>1</v>
      </c>
      <c r="F160" s="20" t="s">
        <v>116</v>
      </c>
      <c r="G160" s="19" t="s">
        <v>139</v>
      </c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 spans="1:18">
      <c r="A161" s="16" t="s">
        <v>154</v>
      </c>
      <c r="B161" s="16" t="s">
        <v>174</v>
      </c>
      <c r="C161" s="17" t="s">
        <v>375</v>
      </c>
      <c r="D161" s="18"/>
      <c r="E161" s="19">
        <v>1</v>
      </c>
      <c r="F161" s="20" t="s">
        <v>116</v>
      </c>
      <c r="G161" s="19" t="s">
        <v>139</v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 spans="1:18">
      <c r="A162" s="16" t="s">
        <v>154</v>
      </c>
      <c r="B162" s="16" t="s">
        <v>174</v>
      </c>
      <c r="C162" s="17" t="s">
        <v>376</v>
      </c>
      <c r="D162" s="18"/>
      <c r="E162" s="19">
        <v>2</v>
      </c>
      <c r="F162" s="20" t="s">
        <v>116</v>
      </c>
      <c r="G162" s="19" t="s">
        <v>139</v>
      </c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 spans="1:18">
      <c r="A163" s="16" t="s">
        <v>154</v>
      </c>
      <c r="B163" s="16" t="s">
        <v>174</v>
      </c>
      <c r="C163" s="17" t="s">
        <v>377</v>
      </c>
      <c r="D163" s="18"/>
      <c r="E163" s="19">
        <v>1</v>
      </c>
      <c r="F163" s="20" t="s">
        <v>116</v>
      </c>
      <c r="G163" s="19" t="s">
        <v>139</v>
      </c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 spans="1:18">
      <c r="A164" s="16" t="s">
        <v>154</v>
      </c>
      <c r="B164" s="16" t="s">
        <v>174</v>
      </c>
      <c r="C164" s="17" t="s">
        <v>378</v>
      </c>
      <c r="D164" s="18"/>
      <c r="E164" s="19">
        <v>1</v>
      </c>
      <c r="F164" s="25" t="s">
        <v>135</v>
      </c>
      <c r="G164" s="19" t="s">
        <v>114</v>
      </c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 spans="1:18">
      <c r="A165" s="16" t="s">
        <v>154</v>
      </c>
      <c r="B165" s="16" t="s">
        <v>192</v>
      </c>
      <c r="C165" s="17" t="s">
        <v>379</v>
      </c>
      <c r="D165" s="18"/>
      <c r="E165" s="19">
        <v>1</v>
      </c>
      <c r="F165" s="24" t="s">
        <v>112</v>
      </c>
      <c r="G165" s="19" t="s">
        <v>193</v>
      </c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 spans="1:18">
      <c r="A166" s="16" t="s">
        <v>154</v>
      </c>
      <c r="B166" s="16" t="s">
        <v>192</v>
      </c>
      <c r="C166" s="17" t="s">
        <v>380</v>
      </c>
      <c r="D166" s="18"/>
      <c r="E166" s="19">
        <v>1</v>
      </c>
      <c r="F166" s="24" t="s">
        <v>112</v>
      </c>
      <c r="G166" s="19" t="s">
        <v>139</v>
      </c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 spans="1:18">
      <c r="A167" s="16" t="s">
        <v>154</v>
      </c>
      <c r="B167" s="16" t="s">
        <v>192</v>
      </c>
      <c r="C167" s="17" t="s">
        <v>381</v>
      </c>
      <c r="D167" s="18"/>
      <c r="E167" s="19">
        <v>2</v>
      </c>
      <c r="F167" s="24" t="s">
        <v>112</v>
      </c>
      <c r="G167" s="19" t="s">
        <v>139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 spans="1:18">
      <c r="A168" s="16" t="s">
        <v>154</v>
      </c>
      <c r="B168" s="16" t="s">
        <v>192</v>
      </c>
      <c r="C168" s="17" t="s">
        <v>382</v>
      </c>
      <c r="D168" s="18"/>
      <c r="E168" s="19">
        <v>1</v>
      </c>
      <c r="F168" s="24" t="s">
        <v>112</v>
      </c>
      <c r="G168" s="19" t="s">
        <v>114</v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 spans="1:18">
      <c r="A169" s="16" t="s">
        <v>154</v>
      </c>
      <c r="B169" s="16" t="s">
        <v>192</v>
      </c>
      <c r="C169" s="17" t="s">
        <v>383</v>
      </c>
      <c r="D169" s="18"/>
      <c r="E169" s="19">
        <v>1</v>
      </c>
      <c r="F169" s="24" t="s">
        <v>112</v>
      </c>
      <c r="G169" s="19" t="s">
        <v>139</v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 s="10" customFormat="1" spans="1:18">
      <c r="A170" s="16" t="s">
        <v>154</v>
      </c>
      <c r="B170" s="16" t="s">
        <v>192</v>
      </c>
      <c r="C170" s="17" t="s">
        <v>384</v>
      </c>
      <c r="D170" s="18"/>
      <c r="E170" s="19">
        <v>1</v>
      </c>
      <c r="F170" s="20" t="s">
        <v>116</v>
      </c>
      <c r="G170" s="19" t="s">
        <v>194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 spans="1:18">
      <c r="A171" s="16" t="s">
        <v>154</v>
      </c>
      <c r="B171" s="16" t="s">
        <v>192</v>
      </c>
      <c r="C171" s="17" t="s">
        <v>385</v>
      </c>
      <c r="D171" s="18"/>
      <c r="E171" s="19">
        <v>1</v>
      </c>
      <c r="F171" s="20" t="s">
        <v>116</v>
      </c>
      <c r="G171" s="19" t="s">
        <v>139</v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 spans="1:18">
      <c r="A172" s="16" t="s">
        <v>154</v>
      </c>
      <c r="B172" s="16" t="s">
        <v>192</v>
      </c>
      <c r="C172" s="17" t="s">
        <v>386</v>
      </c>
      <c r="D172" s="18"/>
      <c r="E172" s="19">
        <v>1</v>
      </c>
      <c r="F172" s="20" t="s">
        <v>116</v>
      </c>
      <c r="G172" s="19" t="s">
        <v>139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</row>
    <row r="173" spans="1:18">
      <c r="A173" s="16" t="s">
        <v>154</v>
      </c>
      <c r="B173" s="16" t="s">
        <v>192</v>
      </c>
      <c r="C173" s="17" t="s">
        <v>387</v>
      </c>
      <c r="D173" s="18"/>
      <c r="E173" s="19">
        <v>1</v>
      </c>
      <c r="F173" s="20" t="s">
        <v>116</v>
      </c>
      <c r="G173" s="19" t="s">
        <v>139</v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</row>
    <row r="174" spans="1:18">
      <c r="A174" s="16" t="s">
        <v>154</v>
      </c>
      <c r="B174" s="16" t="s">
        <v>192</v>
      </c>
      <c r="C174" s="17" t="s">
        <v>388</v>
      </c>
      <c r="D174" s="18"/>
      <c r="E174" s="19">
        <v>1</v>
      </c>
      <c r="F174" s="20" t="s">
        <v>116</v>
      </c>
      <c r="G174" s="19" t="s">
        <v>139</v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</row>
    <row r="175" spans="1:18">
      <c r="A175" s="16" t="s">
        <v>154</v>
      </c>
      <c r="B175" s="16" t="s">
        <v>192</v>
      </c>
      <c r="C175" s="17" t="s">
        <v>389</v>
      </c>
      <c r="D175" s="18"/>
      <c r="E175" s="19">
        <v>1</v>
      </c>
      <c r="F175" s="20" t="s">
        <v>116</v>
      </c>
      <c r="G175" s="19" t="s">
        <v>139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</row>
    <row r="176" spans="1:18">
      <c r="A176" s="16" t="s">
        <v>154</v>
      </c>
      <c r="B176" s="16" t="s">
        <v>192</v>
      </c>
      <c r="C176" s="17" t="s">
        <v>390</v>
      </c>
      <c r="D176" s="18"/>
      <c r="E176" s="19">
        <v>1</v>
      </c>
      <c r="F176" s="20" t="s">
        <v>116</v>
      </c>
      <c r="G176" s="19" t="s">
        <v>114</v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</row>
    <row r="177" spans="1:18">
      <c r="A177" s="16" t="s">
        <v>154</v>
      </c>
      <c r="B177" s="16" t="s">
        <v>192</v>
      </c>
      <c r="C177" s="17" t="s">
        <v>391</v>
      </c>
      <c r="D177" s="18"/>
      <c r="E177" s="19">
        <v>1</v>
      </c>
      <c r="F177" s="20" t="s">
        <v>116</v>
      </c>
      <c r="G177" s="19" t="s">
        <v>114</v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</row>
    <row r="178" s="10" customFormat="1" spans="1:7">
      <c r="A178" s="16" t="s">
        <v>154</v>
      </c>
      <c r="B178" s="23" t="s">
        <v>206</v>
      </c>
      <c r="C178" s="22" t="s">
        <v>392</v>
      </c>
      <c r="D178" s="18"/>
      <c r="E178" s="23">
        <v>1</v>
      </c>
      <c r="F178" s="24" t="s">
        <v>112</v>
      </c>
      <c r="G178" s="19" t="s">
        <v>114</v>
      </c>
    </row>
    <row r="179" s="10" customFormat="1" spans="1:7">
      <c r="A179" s="16" t="s">
        <v>154</v>
      </c>
      <c r="B179" s="23" t="s">
        <v>206</v>
      </c>
      <c r="C179" s="22" t="s">
        <v>393</v>
      </c>
      <c r="D179" s="18"/>
      <c r="E179" s="23">
        <v>1</v>
      </c>
      <c r="F179" s="24" t="s">
        <v>112</v>
      </c>
      <c r="G179" s="23" t="s">
        <v>209</v>
      </c>
    </row>
    <row r="180" s="10" customFormat="1" spans="1:7">
      <c r="A180" s="16" t="s">
        <v>154</v>
      </c>
      <c r="B180" s="23" t="s">
        <v>206</v>
      </c>
      <c r="C180" s="27" t="s">
        <v>394</v>
      </c>
      <c r="D180" s="18"/>
      <c r="E180" s="23">
        <v>1</v>
      </c>
      <c r="F180" s="20" t="s">
        <v>116</v>
      </c>
      <c r="G180" s="23" t="s">
        <v>147</v>
      </c>
    </row>
    <row r="181" s="10" customFormat="1" spans="1:7">
      <c r="A181" s="16" t="s">
        <v>154</v>
      </c>
      <c r="B181" s="23" t="s">
        <v>206</v>
      </c>
      <c r="C181" s="27" t="s">
        <v>395</v>
      </c>
      <c r="D181" s="18"/>
      <c r="E181" s="23">
        <v>1</v>
      </c>
      <c r="F181" s="20" t="s">
        <v>116</v>
      </c>
      <c r="G181" s="23" t="s">
        <v>147</v>
      </c>
    </row>
    <row r="182" s="10" customFormat="1" spans="1:7">
      <c r="A182" s="16" t="s">
        <v>154</v>
      </c>
      <c r="B182" s="23" t="s">
        <v>206</v>
      </c>
      <c r="C182" s="27" t="s">
        <v>396</v>
      </c>
      <c r="D182" s="18"/>
      <c r="E182" s="23">
        <v>1</v>
      </c>
      <c r="F182" s="20" t="s">
        <v>116</v>
      </c>
      <c r="G182" s="23" t="s">
        <v>147</v>
      </c>
    </row>
    <row r="183" s="10" customFormat="1" spans="1:7">
      <c r="A183" s="16" t="s">
        <v>154</v>
      </c>
      <c r="B183" s="23" t="s">
        <v>206</v>
      </c>
      <c r="C183" s="22" t="s">
        <v>397</v>
      </c>
      <c r="D183" s="18"/>
      <c r="E183" s="23">
        <v>1</v>
      </c>
      <c r="F183" s="20" t="s">
        <v>116</v>
      </c>
      <c r="G183" s="23" t="s">
        <v>149</v>
      </c>
    </row>
    <row r="184" s="10" customFormat="1" spans="1:7">
      <c r="A184" s="16" t="s">
        <v>154</v>
      </c>
      <c r="B184" s="23" t="s">
        <v>206</v>
      </c>
      <c r="C184" s="22" t="s">
        <v>398</v>
      </c>
      <c r="D184" s="18"/>
      <c r="E184" s="23">
        <v>3</v>
      </c>
      <c r="F184" s="20" t="s">
        <v>116</v>
      </c>
      <c r="G184" s="23" t="s">
        <v>149</v>
      </c>
    </row>
    <row r="185" s="10" customFormat="1" spans="1:7">
      <c r="A185" s="16" t="s">
        <v>154</v>
      </c>
      <c r="B185" s="23" t="s">
        <v>206</v>
      </c>
      <c r="C185" s="22" t="s">
        <v>399</v>
      </c>
      <c r="D185" s="18"/>
      <c r="E185" s="23">
        <v>1</v>
      </c>
      <c r="F185" s="20" t="s">
        <v>116</v>
      </c>
      <c r="G185" s="23" t="s">
        <v>149</v>
      </c>
    </row>
    <row r="186" s="10" customFormat="1" spans="1:7">
      <c r="A186" s="16" t="s">
        <v>154</v>
      </c>
      <c r="B186" s="23" t="s">
        <v>206</v>
      </c>
      <c r="C186" s="22" t="s">
        <v>400</v>
      </c>
      <c r="D186" s="18"/>
      <c r="E186" s="23">
        <v>1</v>
      </c>
      <c r="F186" s="20" t="s">
        <v>116</v>
      </c>
      <c r="G186" s="23" t="s">
        <v>149</v>
      </c>
    </row>
    <row r="187" s="10" customFormat="1" spans="1:7">
      <c r="A187" s="16" t="s">
        <v>154</v>
      </c>
      <c r="B187" s="23" t="s">
        <v>206</v>
      </c>
      <c r="C187" s="27" t="s">
        <v>401</v>
      </c>
      <c r="D187" s="18"/>
      <c r="E187" s="23">
        <v>1</v>
      </c>
      <c r="F187" s="20" t="s">
        <v>116</v>
      </c>
      <c r="G187" s="19" t="s">
        <v>114</v>
      </c>
    </row>
    <row r="188" s="10" customFormat="1" spans="1:7">
      <c r="A188" s="16" t="s">
        <v>154</v>
      </c>
      <c r="B188" s="23" t="s">
        <v>206</v>
      </c>
      <c r="C188" s="27" t="s">
        <v>402</v>
      </c>
      <c r="D188" s="18"/>
      <c r="E188" s="23">
        <v>1</v>
      </c>
      <c r="F188" s="20" t="s">
        <v>116</v>
      </c>
      <c r="G188" s="19" t="s">
        <v>114</v>
      </c>
    </row>
    <row r="189" s="10" customFormat="1" spans="1:7">
      <c r="A189" s="16" t="s">
        <v>154</v>
      </c>
      <c r="B189" s="23" t="s">
        <v>206</v>
      </c>
      <c r="C189" s="27" t="s">
        <v>403</v>
      </c>
      <c r="D189" s="18"/>
      <c r="E189" s="23">
        <v>1</v>
      </c>
      <c r="F189" s="20" t="s">
        <v>116</v>
      </c>
      <c r="G189" s="19" t="s">
        <v>114</v>
      </c>
    </row>
    <row r="190" s="10" customFormat="1" spans="1:18">
      <c r="A190" s="16" t="s">
        <v>157</v>
      </c>
      <c r="B190" s="16" t="s">
        <v>158</v>
      </c>
      <c r="C190" s="17" t="s">
        <v>404</v>
      </c>
      <c r="D190" s="18"/>
      <c r="E190" s="19">
        <v>1</v>
      </c>
      <c r="F190" s="20" t="s">
        <v>116</v>
      </c>
      <c r="G190" s="19" t="s">
        <v>166</v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</row>
    <row r="191" spans="1:18">
      <c r="A191" s="16" t="s">
        <v>157</v>
      </c>
      <c r="B191" s="16" t="s">
        <v>158</v>
      </c>
      <c r="C191" s="17" t="s">
        <v>405</v>
      </c>
      <c r="D191" s="18"/>
      <c r="E191" s="19">
        <v>2</v>
      </c>
      <c r="F191" s="20" t="s">
        <v>116</v>
      </c>
      <c r="G191" s="19" t="s">
        <v>145</v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</row>
    <row r="192" spans="1:18">
      <c r="A192" s="16" t="s">
        <v>157</v>
      </c>
      <c r="B192" s="16" t="s">
        <v>158</v>
      </c>
      <c r="C192" s="17" t="s">
        <v>406</v>
      </c>
      <c r="D192" s="18"/>
      <c r="E192" s="19">
        <v>1</v>
      </c>
      <c r="F192" s="20" t="s">
        <v>116</v>
      </c>
      <c r="G192" s="19" t="s">
        <v>145</v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</row>
    <row r="193" spans="1:18">
      <c r="A193" s="16" t="s">
        <v>157</v>
      </c>
      <c r="B193" s="16" t="s">
        <v>158</v>
      </c>
      <c r="C193" s="17" t="s">
        <v>407</v>
      </c>
      <c r="D193" s="18"/>
      <c r="E193" s="19">
        <v>1</v>
      </c>
      <c r="F193" s="20" t="s">
        <v>116</v>
      </c>
      <c r="G193" s="19" t="s">
        <v>145</v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</row>
    <row r="194" spans="1:18">
      <c r="A194" s="16" t="s">
        <v>157</v>
      </c>
      <c r="B194" s="16" t="s">
        <v>158</v>
      </c>
      <c r="C194" s="17" t="s">
        <v>408</v>
      </c>
      <c r="D194" s="18"/>
      <c r="E194" s="19">
        <v>2</v>
      </c>
      <c r="F194" s="25" t="s">
        <v>135</v>
      </c>
      <c r="G194" s="19" t="s">
        <v>145</v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</row>
    <row r="195" spans="1:18">
      <c r="A195" s="16" t="s">
        <v>157</v>
      </c>
      <c r="B195" s="16" t="s">
        <v>158</v>
      </c>
      <c r="C195" s="17" t="s">
        <v>409</v>
      </c>
      <c r="D195" s="18"/>
      <c r="E195" s="19">
        <v>1</v>
      </c>
      <c r="F195" s="25" t="s">
        <v>135</v>
      </c>
      <c r="G195" s="19" t="s">
        <v>145</v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</row>
    <row r="196" s="10" customFormat="1" spans="1:18">
      <c r="A196" s="16" t="s">
        <v>157</v>
      </c>
      <c r="B196" s="16" t="s">
        <v>159</v>
      </c>
      <c r="C196" s="17" t="s">
        <v>410</v>
      </c>
      <c r="D196" s="18"/>
      <c r="E196" s="19">
        <v>1</v>
      </c>
      <c r="F196" s="20" t="s">
        <v>116</v>
      </c>
      <c r="G196" s="19" t="s">
        <v>166</v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</row>
    <row r="197" spans="1:18">
      <c r="A197" s="16" t="s">
        <v>157</v>
      </c>
      <c r="B197" s="16" t="s">
        <v>159</v>
      </c>
      <c r="C197" s="17" t="s">
        <v>411</v>
      </c>
      <c r="D197" s="18"/>
      <c r="E197" s="19">
        <v>1</v>
      </c>
      <c r="F197" s="20" t="s">
        <v>116</v>
      </c>
      <c r="G197" s="19" t="s">
        <v>145</v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 spans="1:18">
      <c r="A198" s="16" t="s">
        <v>157</v>
      </c>
      <c r="B198" s="16" t="s">
        <v>159</v>
      </c>
      <c r="C198" s="17" t="s">
        <v>412</v>
      </c>
      <c r="D198" s="18"/>
      <c r="E198" s="19">
        <v>1</v>
      </c>
      <c r="F198" s="20" t="s">
        <v>116</v>
      </c>
      <c r="G198" s="19" t="s">
        <v>145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</row>
    <row r="199" spans="1:18">
      <c r="A199" s="16" t="s">
        <v>157</v>
      </c>
      <c r="B199" s="16" t="s">
        <v>159</v>
      </c>
      <c r="C199" s="17" t="s">
        <v>413</v>
      </c>
      <c r="D199" s="18"/>
      <c r="E199" s="19">
        <v>1</v>
      </c>
      <c r="F199" s="20" t="s">
        <v>116</v>
      </c>
      <c r="G199" s="19" t="s">
        <v>145</v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</row>
    <row r="200" spans="1:18">
      <c r="A200" s="16" t="s">
        <v>157</v>
      </c>
      <c r="B200" s="16" t="s">
        <v>159</v>
      </c>
      <c r="C200" s="17" t="s">
        <v>414</v>
      </c>
      <c r="D200" s="18"/>
      <c r="E200" s="19">
        <v>1</v>
      </c>
      <c r="F200" s="20" t="s">
        <v>116</v>
      </c>
      <c r="G200" s="19" t="s">
        <v>145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 spans="1:18">
      <c r="A201" s="16" t="s">
        <v>157</v>
      </c>
      <c r="B201" s="16" t="s">
        <v>159</v>
      </c>
      <c r="C201" s="17" t="s">
        <v>415</v>
      </c>
      <c r="D201" s="18"/>
      <c r="E201" s="19">
        <v>2</v>
      </c>
      <c r="F201" s="20" t="s">
        <v>116</v>
      </c>
      <c r="G201" s="19" t="s">
        <v>145</v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</row>
    <row r="202" spans="1:18">
      <c r="A202" s="16" t="s">
        <v>157</v>
      </c>
      <c r="B202" s="16" t="s">
        <v>159</v>
      </c>
      <c r="C202" s="17" t="s">
        <v>416</v>
      </c>
      <c r="D202" s="18"/>
      <c r="E202" s="19">
        <v>1</v>
      </c>
      <c r="F202" s="20" t="s">
        <v>116</v>
      </c>
      <c r="G202" s="19" t="s">
        <v>145</v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</row>
    <row r="203" spans="1:18">
      <c r="A203" s="16" t="s">
        <v>157</v>
      </c>
      <c r="B203" s="16" t="s">
        <v>159</v>
      </c>
      <c r="C203" s="17" t="s">
        <v>417</v>
      </c>
      <c r="D203" s="18"/>
      <c r="E203" s="19">
        <v>2</v>
      </c>
      <c r="F203" s="20" t="s">
        <v>116</v>
      </c>
      <c r="G203" s="19" t="s">
        <v>145</v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</row>
    <row r="204" s="10" customFormat="1" spans="1:7">
      <c r="A204" s="16" t="s">
        <v>157</v>
      </c>
      <c r="B204" s="16" t="s">
        <v>159</v>
      </c>
      <c r="C204" s="22" t="s">
        <v>418</v>
      </c>
      <c r="D204" s="18"/>
      <c r="E204" s="23">
        <v>3</v>
      </c>
      <c r="F204" s="20" t="s">
        <v>116</v>
      </c>
      <c r="G204" s="19" t="s">
        <v>145</v>
      </c>
    </row>
    <row r="205" s="10" customFormat="1" spans="1:7">
      <c r="A205" s="16" t="s">
        <v>157</v>
      </c>
      <c r="B205" s="16" t="s">
        <v>159</v>
      </c>
      <c r="C205" s="22" t="s">
        <v>419</v>
      </c>
      <c r="D205" s="18"/>
      <c r="E205" s="23">
        <v>1</v>
      </c>
      <c r="F205" s="25" t="s">
        <v>135</v>
      </c>
      <c r="G205" s="19" t="s">
        <v>145</v>
      </c>
    </row>
    <row r="206" s="10" customFormat="1" spans="1:7">
      <c r="A206" s="16" t="s">
        <v>157</v>
      </c>
      <c r="B206" s="16" t="s">
        <v>159</v>
      </c>
      <c r="C206" s="22" t="s">
        <v>420</v>
      </c>
      <c r="D206" s="18"/>
      <c r="E206" s="23">
        <v>1</v>
      </c>
      <c r="F206" s="25" t="s">
        <v>135</v>
      </c>
      <c r="G206" s="19" t="s">
        <v>145</v>
      </c>
    </row>
    <row r="207" s="10" customFormat="1" spans="1:18">
      <c r="A207" s="16" t="s">
        <v>157</v>
      </c>
      <c r="B207" s="16" t="s">
        <v>160</v>
      </c>
      <c r="C207" s="17" t="s">
        <v>421</v>
      </c>
      <c r="D207" s="18"/>
      <c r="E207" s="19">
        <v>4</v>
      </c>
      <c r="F207" s="20" t="s">
        <v>116</v>
      </c>
      <c r="G207" s="19" t="s">
        <v>145</v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</row>
    <row r="208" spans="1:18">
      <c r="A208" s="16" t="s">
        <v>157</v>
      </c>
      <c r="B208" s="16" t="s">
        <v>160</v>
      </c>
      <c r="C208" s="17" t="s">
        <v>422</v>
      </c>
      <c r="D208" s="18"/>
      <c r="E208" s="19">
        <v>1</v>
      </c>
      <c r="F208" s="20" t="s">
        <v>116</v>
      </c>
      <c r="G208" s="19" t="s">
        <v>166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</row>
    <row r="209" spans="1:18">
      <c r="A209" s="16" t="s">
        <v>157</v>
      </c>
      <c r="B209" s="16" t="s">
        <v>160</v>
      </c>
      <c r="C209" s="17" t="s">
        <v>423</v>
      </c>
      <c r="D209" s="18"/>
      <c r="E209" s="19">
        <v>1</v>
      </c>
      <c r="F209" s="20" t="s">
        <v>116</v>
      </c>
      <c r="G209" s="19" t="s">
        <v>145</v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</row>
    <row r="210" spans="1:18">
      <c r="A210" s="16" t="s">
        <v>157</v>
      </c>
      <c r="B210" s="16" t="s">
        <v>160</v>
      </c>
      <c r="C210" s="17" t="s">
        <v>424</v>
      </c>
      <c r="D210" s="18"/>
      <c r="E210" s="19">
        <v>1</v>
      </c>
      <c r="F210" s="20" t="s">
        <v>116</v>
      </c>
      <c r="G210" s="19" t="s">
        <v>145</v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</row>
    <row r="211" spans="1:18">
      <c r="A211" s="16" t="s">
        <v>157</v>
      </c>
      <c r="B211" s="16" t="s">
        <v>160</v>
      </c>
      <c r="C211" s="17" t="s">
        <v>425</v>
      </c>
      <c r="D211" s="18"/>
      <c r="E211" s="19">
        <v>7</v>
      </c>
      <c r="F211" s="20" t="s">
        <v>116</v>
      </c>
      <c r="G211" s="19" t="s">
        <v>145</v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</row>
    <row r="212" spans="1:18">
      <c r="A212" s="16" t="s">
        <v>157</v>
      </c>
      <c r="B212" s="16" t="s">
        <v>160</v>
      </c>
      <c r="C212" s="17" t="s">
        <v>426</v>
      </c>
      <c r="D212" s="18"/>
      <c r="E212" s="19">
        <v>2</v>
      </c>
      <c r="F212" s="20" t="s">
        <v>116</v>
      </c>
      <c r="G212" s="19" t="s">
        <v>145</v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</row>
    <row r="213" spans="1:18">
      <c r="A213" s="16" t="s">
        <v>157</v>
      </c>
      <c r="B213" s="16" t="s">
        <v>160</v>
      </c>
      <c r="C213" s="17" t="s">
        <v>427</v>
      </c>
      <c r="D213" s="18"/>
      <c r="E213" s="19">
        <v>2</v>
      </c>
      <c r="F213" s="20" t="s">
        <v>116</v>
      </c>
      <c r="G213" s="19" t="s">
        <v>145</v>
      </c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</row>
    <row r="214" s="10" customFormat="1" spans="1:7">
      <c r="A214" s="16" t="s">
        <v>157</v>
      </c>
      <c r="B214" s="16" t="s">
        <v>160</v>
      </c>
      <c r="C214" s="22" t="s">
        <v>428</v>
      </c>
      <c r="D214" s="18"/>
      <c r="E214" s="23">
        <v>1</v>
      </c>
      <c r="F214" s="20" t="s">
        <v>116</v>
      </c>
      <c r="G214" s="19" t="s">
        <v>145</v>
      </c>
    </row>
    <row r="215" s="10" customFormat="1" spans="1:7">
      <c r="A215" s="16" t="s">
        <v>157</v>
      </c>
      <c r="B215" s="16" t="s">
        <v>160</v>
      </c>
      <c r="C215" s="22" t="s">
        <v>429</v>
      </c>
      <c r="D215" s="18"/>
      <c r="E215" s="23">
        <v>5</v>
      </c>
      <c r="F215" s="20" t="s">
        <v>116</v>
      </c>
      <c r="G215" s="19" t="s">
        <v>145</v>
      </c>
    </row>
    <row r="216" s="10" customFormat="1" spans="1:7">
      <c r="A216" s="16" t="s">
        <v>157</v>
      </c>
      <c r="B216" s="16" t="s">
        <v>160</v>
      </c>
      <c r="C216" s="22" t="s">
        <v>430</v>
      </c>
      <c r="D216" s="18"/>
      <c r="E216" s="23">
        <v>6</v>
      </c>
      <c r="F216" s="20" t="s">
        <v>116</v>
      </c>
      <c r="G216" s="19" t="s">
        <v>145</v>
      </c>
    </row>
    <row r="217" s="10" customFormat="1" spans="1:7">
      <c r="A217" s="16" t="s">
        <v>157</v>
      </c>
      <c r="B217" s="16" t="s">
        <v>160</v>
      </c>
      <c r="C217" s="22" t="s">
        <v>431</v>
      </c>
      <c r="D217" s="18"/>
      <c r="E217" s="23">
        <v>6</v>
      </c>
      <c r="F217" s="20" t="s">
        <v>116</v>
      </c>
      <c r="G217" s="19" t="s">
        <v>145</v>
      </c>
    </row>
    <row r="218" spans="1:18">
      <c r="A218" s="16" t="s">
        <v>157</v>
      </c>
      <c r="B218" s="16" t="s">
        <v>160</v>
      </c>
      <c r="C218" s="17" t="s">
        <v>432</v>
      </c>
      <c r="D218" s="18"/>
      <c r="E218" s="19">
        <v>2</v>
      </c>
      <c r="F218" s="25" t="s">
        <v>135</v>
      </c>
      <c r="G218" s="19" t="s">
        <v>145</v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</row>
    <row r="219" spans="1:18">
      <c r="A219" s="16" t="s">
        <v>157</v>
      </c>
      <c r="B219" s="16" t="s">
        <v>160</v>
      </c>
      <c r="C219" s="17" t="s">
        <v>433</v>
      </c>
      <c r="D219" s="18"/>
      <c r="E219" s="19">
        <v>2</v>
      </c>
      <c r="F219" s="25" t="s">
        <v>135</v>
      </c>
      <c r="G219" s="19" t="s">
        <v>145</v>
      </c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</row>
    <row r="220" spans="1:18">
      <c r="A220" s="16" t="s">
        <v>157</v>
      </c>
      <c r="B220" s="16" t="s">
        <v>160</v>
      </c>
      <c r="C220" s="17" t="s">
        <v>434</v>
      </c>
      <c r="D220" s="18"/>
      <c r="E220" s="19">
        <v>1</v>
      </c>
      <c r="F220" s="25" t="s">
        <v>135</v>
      </c>
      <c r="G220" s="19" t="s">
        <v>145</v>
      </c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</row>
    <row r="221" s="10" customFormat="1" spans="1:18">
      <c r="A221" s="16" t="s">
        <v>161</v>
      </c>
      <c r="B221" s="16" t="s">
        <v>167</v>
      </c>
      <c r="C221" s="17" t="s">
        <v>435</v>
      </c>
      <c r="D221" s="18"/>
      <c r="E221" s="19">
        <v>2</v>
      </c>
      <c r="F221" s="24" t="s">
        <v>112</v>
      </c>
      <c r="G221" s="19" t="s">
        <v>194</v>
      </c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</row>
    <row r="222" s="10" customFormat="1" spans="1:7">
      <c r="A222" s="16" t="s">
        <v>161</v>
      </c>
      <c r="B222" s="16" t="s">
        <v>167</v>
      </c>
      <c r="C222" s="22" t="s">
        <v>436</v>
      </c>
      <c r="D222" s="18"/>
      <c r="E222" s="23">
        <v>1</v>
      </c>
      <c r="F222" s="20" t="s">
        <v>116</v>
      </c>
      <c r="G222" s="23" t="s">
        <v>147</v>
      </c>
    </row>
    <row r="223" s="10" customFormat="1" spans="1:7">
      <c r="A223" s="16" t="s">
        <v>161</v>
      </c>
      <c r="B223" s="16" t="s">
        <v>167</v>
      </c>
      <c r="C223" s="22" t="s">
        <v>437</v>
      </c>
      <c r="D223" s="18"/>
      <c r="E223" s="23">
        <v>1</v>
      </c>
      <c r="F223" s="20" t="s">
        <v>116</v>
      </c>
      <c r="G223" s="23" t="s">
        <v>147</v>
      </c>
    </row>
    <row r="224" spans="1:18">
      <c r="A224" s="16" t="s">
        <v>161</v>
      </c>
      <c r="B224" s="16" t="s">
        <v>167</v>
      </c>
      <c r="C224" s="17" t="s">
        <v>438</v>
      </c>
      <c r="D224" s="18"/>
      <c r="E224" s="19">
        <v>2</v>
      </c>
      <c r="F224" s="20" t="s">
        <v>116</v>
      </c>
      <c r="G224" s="19" t="s">
        <v>114</v>
      </c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</row>
    <row r="225" spans="1:18">
      <c r="A225" s="16" t="s">
        <v>161</v>
      </c>
      <c r="B225" s="16" t="s">
        <v>167</v>
      </c>
      <c r="C225" s="17" t="s">
        <v>439</v>
      </c>
      <c r="D225" s="18"/>
      <c r="E225" s="19">
        <v>1</v>
      </c>
      <c r="F225" s="20" t="s">
        <v>116</v>
      </c>
      <c r="G225" s="19" t="s">
        <v>129</v>
      </c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</row>
    <row r="226" spans="1:18">
      <c r="A226" s="16" t="s">
        <v>161</v>
      </c>
      <c r="B226" s="16" t="s">
        <v>167</v>
      </c>
      <c r="C226" s="17" t="s">
        <v>440</v>
      </c>
      <c r="D226" s="18"/>
      <c r="E226" s="19">
        <v>1</v>
      </c>
      <c r="F226" s="20" t="s">
        <v>116</v>
      </c>
      <c r="G226" s="19" t="s">
        <v>129</v>
      </c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</row>
    <row r="227" spans="1:18">
      <c r="A227" s="16" t="s">
        <v>161</v>
      </c>
      <c r="B227" s="16" t="s">
        <v>167</v>
      </c>
      <c r="C227" s="17" t="s">
        <v>441</v>
      </c>
      <c r="D227" s="18"/>
      <c r="E227" s="19">
        <v>1</v>
      </c>
      <c r="F227" s="20" t="s">
        <v>116</v>
      </c>
      <c r="G227" s="19" t="s">
        <v>114</v>
      </c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</row>
    <row r="228" spans="1:18">
      <c r="A228" s="16" t="s">
        <v>161</v>
      </c>
      <c r="B228" s="16" t="s">
        <v>167</v>
      </c>
      <c r="C228" s="17" t="s">
        <v>442</v>
      </c>
      <c r="D228" s="18"/>
      <c r="E228" s="19">
        <v>1</v>
      </c>
      <c r="F228" s="20" t="s">
        <v>116</v>
      </c>
      <c r="G228" s="19" t="s">
        <v>114</v>
      </c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</row>
    <row r="229" spans="1:18">
      <c r="A229" s="16" t="s">
        <v>161</v>
      </c>
      <c r="B229" s="16" t="s">
        <v>167</v>
      </c>
      <c r="C229" s="17" t="s">
        <v>443</v>
      </c>
      <c r="D229" s="18"/>
      <c r="E229" s="19">
        <v>1</v>
      </c>
      <c r="F229" s="20" t="s">
        <v>116</v>
      </c>
      <c r="G229" s="19" t="s">
        <v>114</v>
      </c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</row>
    <row r="230" spans="1:18">
      <c r="A230" s="16" t="s">
        <v>161</v>
      </c>
      <c r="B230" s="16" t="s">
        <v>167</v>
      </c>
      <c r="C230" s="17" t="s">
        <v>444</v>
      </c>
      <c r="D230" s="18"/>
      <c r="E230" s="19">
        <v>1</v>
      </c>
      <c r="F230" s="20" t="s">
        <v>116</v>
      </c>
      <c r="G230" s="19" t="s">
        <v>445</v>
      </c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</row>
    <row r="231" spans="1:18">
      <c r="A231" s="16" t="s">
        <v>161</v>
      </c>
      <c r="B231" s="16" t="s">
        <v>167</v>
      </c>
      <c r="C231" s="17" t="s">
        <v>446</v>
      </c>
      <c r="D231" s="18"/>
      <c r="E231" s="19">
        <v>1</v>
      </c>
      <c r="F231" s="20" t="s">
        <v>116</v>
      </c>
      <c r="G231" s="19" t="s">
        <v>114</v>
      </c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</row>
    <row r="232" spans="1:18">
      <c r="A232" s="16" t="s">
        <v>161</v>
      </c>
      <c r="B232" s="16" t="s">
        <v>167</v>
      </c>
      <c r="C232" s="17" t="s">
        <v>447</v>
      </c>
      <c r="D232" s="18"/>
      <c r="E232" s="19">
        <v>1</v>
      </c>
      <c r="F232" s="20" t="s">
        <v>116</v>
      </c>
      <c r="G232" s="19" t="s">
        <v>193</v>
      </c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</row>
    <row r="233" s="10" customFormat="1" spans="1:7">
      <c r="A233" s="16" t="s">
        <v>161</v>
      </c>
      <c r="B233" s="16" t="s">
        <v>167</v>
      </c>
      <c r="C233" s="22" t="s">
        <v>448</v>
      </c>
      <c r="D233" s="18"/>
      <c r="E233" s="23">
        <v>1</v>
      </c>
      <c r="F233" s="20" t="s">
        <v>116</v>
      </c>
      <c r="G233" s="23" t="s">
        <v>147</v>
      </c>
    </row>
    <row r="234" s="10" customFormat="1" spans="1:7">
      <c r="A234" s="16" t="s">
        <v>161</v>
      </c>
      <c r="B234" s="16" t="s">
        <v>167</v>
      </c>
      <c r="C234" s="22" t="s">
        <v>449</v>
      </c>
      <c r="D234" s="18"/>
      <c r="E234" s="23">
        <v>2</v>
      </c>
      <c r="F234" s="20" t="s">
        <v>116</v>
      </c>
      <c r="G234" s="23" t="s">
        <v>147</v>
      </c>
    </row>
    <row r="235" s="10" customFormat="1" spans="1:7">
      <c r="A235" s="16" t="s">
        <v>161</v>
      </c>
      <c r="B235" s="16" t="s">
        <v>167</v>
      </c>
      <c r="C235" s="22" t="s">
        <v>450</v>
      </c>
      <c r="D235" s="18"/>
      <c r="E235" s="23">
        <v>1</v>
      </c>
      <c r="F235" s="20" t="s">
        <v>116</v>
      </c>
      <c r="G235" s="23" t="s">
        <v>147</v>
      </c>
    </row>
    <row r="236" spans="1:18">
      <c r="A236" s="16" t="s">
        <v>161</v>
      </c>
      <c r="B236" s="16" t="s">
        <v>167</v>
      </c>
      <c r="C236" s="17" t="s">
        <v>451</v>
      </c>
      <c r="D236" s="18"/>
      <c r="E236" s="19">
        <v>1</v>
      </c>
      <c r="F236" s="25" t="s">
        <v>135</v>
      </c>
      <c r="G236" s="19" t="s">
        <v>114</v>
      </c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</row>
    <row r="237" spans="1:18">
      <c r="A237" s="16" t="s">
        <v>161</v>
      </c>
      <c r="B237" s="16" t="s">
        <v>167</v>
      </c>
      <c r="C237" s="17" t="s">
        <v>452</v>
      </c>
      <c r="D237" s="18"/>
      <c r="E237" s="19">
        <v>1</v>
      </c>
      <c r="F237" s="25" t="s">
        <v>135</v>
      </c>
      <c r="G237" s="19" t="s">
        <v>114</v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</row>
    <row r="238" spans="1:18">
      <c r="A238" s="16" t="s">
        <v>161</v>
      </c>
      <c r="B238" s="16" t="s">
        <v>167</v>
      </c>
      <c r="C238" s="17" t="s">
        <v>453</v>
      </c>
      <c r="D238" s="18"/>
      <c r="E238" s="19">
        <v>1</v>
      </c>
      <c r="F238" s="25" t="s">
        <v>135</v>
      </c>
      <c r="G238" s="19" t="s">
        <v>114</v>
      </c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</row>
    <row r="239" spans="1:18">
      <c r="A239" s="16" t="s">
        <v>161</v>
      </c>
      <c r="B239" s="16" t="s">
        <v>167</v>
      </c>
      <c r="C239" s="17" t="s">
        <v>454</v>
      </c>
      <c r="D239" s="18"/>
      <c r="E239" s="19">
        <v>2</v>
      </c>
      <c r="F239" s="25" t="s">
        <v>135</v>
      </c>
      <c r="G239" s="19" t="s">
        <v>114</v>
      </c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</row>
    <row r="240" spans="1:18">
      <c r="A240" s="16" t="s">
        <v>161</v>
      </c>
      <c r="B240" s="16" t="s">
        <v>167</v>
      </c>
      <c r="C240" s="17" t="s">
        <v>455</v>
      </c>
      <c r="D240" s="18"/>
      <c r="E240" s="19">
        <v>1</v>
      </c>
      <c r="F240" s="25" t="s">
        <v>135</v>
      </c>
      <c r="G240" s="19" t="s">
        <v>372</v>
      </c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</row>
    <row r="241" spans="1:18">
      <c r="A241" s="16" t="s">
        <v>161</v>
      </c>
      <c r="B241" s="16" t="s">
        <v>167</v>
      </c>
      <c r="C241" s="17" t="s">
        <v>456</v>
      </c>
      <c r="D241" s="18"/>
      <c r="E241" s="19">
        <v>1</v>
      </c>
      <c r="F241" s="25" t="s">
        <v>135</v>
      </c>
      <c r="G241" s="19" t="s">
        <v>114</v>
      </c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</row>
    <row r="242" spans="1:18">
      <c r="A242" s="16" t="s">
        <v>161</v>
      </c>
      <c r="B242" s="16" t="s">
        <v>167</v>
      </c>
      <c r="C242" s="17" t="s">
        <v>457</v>
      </c>
      <c r="D242" s="18"/>
      <c r="E242" s="19">
        <v>2</v>
      </c>
      <c r="F242" s="25" t="s">
        <v>135</v>
      </c>
      <c r="G242" s="19" t="s">
        <v>114</v>
      </c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</row>
    <row r="243" spans="1:18">
      <c r="A243" s="16" t="s">
        <v>161</v>
      </c>
      <c r="B243" s="16" t="s">
        <v>167</v>
      </c>
      <c r="C243" s="17" t="s">
        <v>458</v>
      </c>
      <c r="D243" s="18"/>
      <c r="E243" s="19">
        <v>1</v>
      </c>
      <c r="F243" s="25" t="s">
        <v>135</v>
      </c>
      <c r="G243" s="19" t="s">
        <v>139</v>
      </c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</row>
    <row r="244" spans="1:18">
      <c r="A244" s="16" t="s">
        <v>161</v>
      </c>
      <c r="B244" s="16" t="s">
        <v>167</v>
      </c>
      <c r="C244" s="17" t="s">
        <v>459</v>
      </c>
      <c r="D244" s="18"/>
      <c r="E244" s="19">
        <v>1</v>
      </c>
      <c r="F244" s="25" t="s">
        <v>135</v>
      </c>
      <c r="G244" s="19" t="s">
        <v>139</v>
      </c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</row>
    <row r="245" spans="1:18">
      <c r="A245" s="16" t="s">
        <v>161</v>
      </c>
      <c r="B245" s="16" t="s">
        <v>167</v>
      </c>
      <c r="C245" s="17" t="s">
        <v>460</v>
      </c>
      <c r="D245" s="18"/>
      <c r="E245" s="19">
        <v>1</v>
      </c>
      <c r="F245" s="25" t="s">
        <v>135</v>
      </c>
      <c r="G245" s="19" t="s">
        <v>114</v>
      </c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</row>
    <row r="246" spans="1:18">
      <c r="A246" s="16" t="s">
        <v>161</v>
      </c>
      <c r="B246" s="16" t="s">
        <v>167</v>
      </c>
      <c r="C246" s="17" t="s">
        <v>461</v>
      </c>
      <c r="D246" s="18"/>
      <c r="E246" s="19">
        <v>1</v>
      </c>
      <c r="F246" s="25" t="s">
        <v>135</v>
      </c>
      <c r="G246" s="19" t="s">
        <v>139</v>
      </c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</row>
    <row r="247" s="10" customFormat="1" spans="1:7">
      <c r="A247" s="16" t="s">
        <v>161</v>
      </c>
      <c r="B247" s="16" t="s">
        <v>167</v>
      </c>
      <c r="C247" s="22" t="s">
        <v>462</v>
      </c>
      <c r="D247" s="18"/>
      <c r="E247" s="23">
        <v>2</v>
      </c>
      <c r="F247" s="25" t="s">
        <v>135</v>
      </c>
      <c r="G247" s="26" t="s">
        <v>147</v>
      </c>
    </row>
    <row r="248" s="10" customFormat="1" spans="1:7">
      <c r="A248" s="16" t="s">
        <v>161</v>
      </c>
      <c r="B248" s="16" t="s">
        <v>190</v>
      </c>
      <c r="C248" s="22" t="s">
        <v>463</v>
      </c>
      <c r="D248" s="18"/>
      <c r="E248" s="23">
        <v>22</v>
      </c>
      <c r="F248" s="24" t="s">
        <v>112</v>
      </c>
      <c r="G248" s="19" t="s">
        <v>145</v>
      </c>
    </row>
    <row r="249" s="10" customFormat="1" spans="1:7">
      <c r="A249" s="16" t="s">
        <v>161</v>
      </c>
      <c r="B249" s="16" t="s">
        <v>190</v>
      </c>
      <c r="C249" s="22" t="s">
        <v>464</v>
      </c>
      <c r="D249" s="18"/>
      <c r="E249" s="23">
        <v>5</v>
      </c>
      <c r="F249" s="24" t="s">
        <v>112</v>
      </c>
      <c r="G249" s="19" t="s">
        <v>145</v>
      </c>
    </row>
    <row r="250" spans="1:18">
      <c r="A250" s="16" t="s">
        <v>161</v>
      </c>
      <c r="B250" s="16" t="s">
        <v>190</v>
      </c>
      <c r="C250" s="17" t="s">
        <v>465</v>
      </c>
      <c r="D250" s="18"/>
      <c r="E250" s="19">
        <v>1</v>
      </c>
      <c r="F250" s="25" t="s">
        <v>135</v>
      </c>
      <c r="G250" s="19" t="s">
        <v>114</v>
      </c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</row>
    <row r="251" s="10" customFormat="1" spans="1:18">
      <c r="A251" s="16" t="s">
        <v>161</v>
      </c>
      <c r="B251" s="16" t="s">
        <v>127</v>
      </c>
      <c r="C251" s="17" t="s">
        <v>466</v>
      </c>
      <c r="D251" s="18"/>
      <c r="E251" s="19">
        <v>1</v>
      </c>
      <c r="F251" s="20" t="s">
        <v>116</v>
      </c>
      <c r="G251" s="19" t="s">
        <v>114</v>
      </c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</row>
    <row r="252" spans="1:18">
      <c r="A252" s="16" t="s">
        <v>161</v>
      </c>
      <c r="B252" s="16" t="s">
        <v>127</v>
      </c>
      <c r="C252" s="17" t="s">
        <v>467</v>
      </c>
      <c r="D252" s="18"/>
      <c r="E252" s="19">
        <v>2</v>
      </c>
      <c r="F252" s="20" t="s">
        <v>116</v>
      </c>
      <c r="G252" s="19" t="s">
        <v>114</v>
      </c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</row>
    <row r="253" spans="1:18">
      <c r="A253" s="16" t="s">
        <v>161</v>
      </c>
      <c r="B253" s="16" t="s">
        <v>127</v>
      </c>
      <c r="C253" s="17" t="s">
        <v>468</v>
      </c>
      <c r="D253" s="18"/>
      <c r="E253" s="19">
        <v>1</v>
      </c>
      <c r="F253" s="20" t="s">
        <v>116</v>
      </c>
      <c r="G253" s="19" t="s">
        <v>114</v>
      </c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</row>
    <row r="254" spans="1:18">
      <c r="A254" s="16" t="s">
        <v>161</v>
      </c>
      <c r="B254" s="16" t="s">
        <v>127</v>
      </c>
      <c r="C254" s="17" t="s">
        <v>469</v>
      </c>
      <c r="D254" s="18"/>
      <c r="E254" s="19">
        <v>1</v>
      </c>
      <c r="F254" s="20" t="s">
        <v>116</v>
      </c>
      <c r="G254" s="19" t="s">
        <v>134</v>
      </c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</row>
    <row r="255" spans="1:18">
      <c r="A255" s="16" t="s">
        <v>161</v>
      </c>
      <c r="B255" s="16" t="s">
        <v>127</v>
      </c>
      <c r="C255" s="17" t="s">
        <v>470</v>
      </c>
      <c r="D255" s="18"/>
      <c r="E255" s="19">
        <v>1</v>
      </c>
      <c r="F255" s="20" t="s">
        <v>116</v>
      </c>
      <c r="G255" s="19" t="s">
        <v>114</v>
      </c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</row>
    <row r="256" spans="1:18">
      <c r="A256" s="16" t="s">
        <v>161</v>
      </c>
      <c r="B256" s="16" t="s">
        <v>127</v>
      </c>
      <c r="C256" s="17" t="s">
        <v>471</v>
      </c>
      <c r="D256" s="18"/>
      <c r="E256" s="19">
        <v>1</v>
      </c>
      <c r="F256" s="20" t="s">
        <v>116</v>
      </c>
      <c r="G256" s="19" t="s">
        <v>139</v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</row>
    <row r="257" spans="1:18">
      <c r="A257" s="16" t="s">
        <v>161</v>
      </c>
      <c r="B257" s="16" t="s">
        <v>127</v>
      </c>
      <c r="C257" s="17" t="s">
        <v>472</v>
      </c>
      <c r="D257" s="18"/>
      <c r="E257" s="19">
        <v>2</v>
      </c>
      <c r="F257" s="20" t="s">
        <v>116</v>
      </c>
      <c r="G257" s="19" t="s">
        <v>114</v>
      </c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</row>
    <row r="258" spans="1:18">
      <c r="A258" s="16" t="s">
        <v>161</v>
      </c>
      <c r="B258" s="16" t="s">
        <v>127</v>
      </c>
      <c r="C258" s="17" t="s">
        <v>473</v>
      </c>
      <c r="D258" s="18"/>
      <c r="E258" s="19">
        <v>2</v>
      </c>
      <c r="F258" s="20" t="s">
        <v>116</v>
      </c>
      <c r="G258" s="19" t="s">
        <v>114</v>
      </c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</row>
    <row r="259" spans="1:18">
      <c r="A259" s="16" t="s">
        <v>161</v>
      </c>
      <c r="B259" s="16" t="s">
        <v>127</v>
      </c>
      <c r="C259" s="17" t="s">
        <v>474</v>
      </c>
      <c r="D259" s="18"/>
      <c r="E259" s="19">
        <v>2</v>
      </c>
      <c r="F259" s="20" t="s">
        <v>116</v>
      </c>
      <c r="G259" s="19" t="s">
        <v>139</v>
      </c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</row>
    <row r="260" spans="1:18">
      <c r="A260" s="16" t="s">
        <v>161</v>
      </c>
      <c r="B260" s="16" t="s">
        <v>127</v>
      </c>
      <c r="C260" s="17" t="s">
        <v>475</v>
      </c>
      <c r="D260" s="18"/>
      <c r="E260" s="19">
        <v>1</v>
      </c>
      <c r="F260" s="20" t="s">
        <v>116</v>
      </c>
      <c r="G260" s="19" t="s">
        <v>139</v>
      </c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</row>
    <row r="261" spans="1:18">
      <c r="A261" s="16" t="s">
        <v>161</v>
      </c>
      <c r="B261" s="16" t="s">
        <v>127</v>
      </c>
      <c r="C261" s="17" t="s">
        <v>476</v>
      </c>
      <c r="D261" s="18"/>
      <c r="E261" s="19">
        <v>1</v>
      </c>
      <c r="F261" s="20" t="s">
        <v>116</v>
      </c>
      <c r="G261" s="19" t="s">
        <v>139</v>
      </c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</row>
    <row r="262" s="10" customFormat="1" spans="1:7">
      <c r="A262" s="16" t="s">
        <v>161</v>
      </c>
      <c r="B262" s="16" t="s">
        <v>127</v>
      </c>
      <c r="C262" s="22" t="s">
        <v>477</v>
      </c>
      <c r="D262" s="18"/>
      <c r="E262" s="23">
        <v>3</v>
      </c>
      <c r="F262" s="20" t="s">
        <v>116</v>
      </c>
      <c r="G262" s="23" t="s">
        <v>147</v>
      </c>
    </row>
    <row r="263" s="10" customFormat="1" spans="1:7">
      <c r="A263" s="16" t="s">
        <v>161</v>
      </c>
      <c r="B263" s="16" t="s">
        <v>127</v>
      </c>
      <c r="C263" s="22" t="s">
        <v>478</v>
      </c>
      <c r="D263" s="18"/>
      <c r="E263" s="23">
        <v>2</v>
      </c>
      <c r="F263" s="20" t="s">
        <v>116</v>
      </c>
      <c r="G263" s="23" t="s">
        <v>147</v>
      </c>
    </row>
    <row r="264" s="10" customFormat="1" spans="1:7">
      <c r="A264" s="16" t="s">
        <v>161</v>
      </c>
      <c r="B264" s="16" t="s">
        <v>127</v>
      </c>
      <c r="C264" s="22" t="s">
        <v>479</v>
      </c>
      <c r="D264" s="18"/>
      <c r="E264" s="23">
        <v>1</v>
      </c>
      <c r="F264" s="20" t="s">
        <v>116</v>
      </c>
      <c r="G264" s="23" t="s">
        <v>147</v>
      </c>
    </row>
    <row r="265" s="10" customFormat="1" spans="1:7">
      <c r="A265" s="16" t="s">
        <v>161</v>
      </c>
      <c r="B265" s="16" t="s">
        <v>127</v>
      </c>
      <c r="C265" s="22" t="s">
        <v>480</v>
      </c>
      <c r="D265" s="18"/>
      <c r="E265" s="23">
        <v>7</v>
      </c>
      <c r="F265" s="20" t="s">
        <v>116</v>
      </c>
      <c r="G265" s="23" t="s">
        <v>147</v>
      </c>
    </row>
    <row r="266" s="10" customFormat="1" spans="1:7">
      <c r="A266" s="16" t="s">
        <v>161</v>
      </c>
      <c r="B266" s="16" t="s">
        <v>127</v>
      </c>
      <c r="C266" s="22" t="s">
        <v>481</v>
      </c>
      <c r="D266" s="18"/>
      <c r="E266" s="23">
        <v>1</v>
      </c>
      <c r="F266" s="20" t="s">
        <v>116</v>
      </c>
      <c r="G266" s="23" t="s">
        <v>147</v>
      </c>
    </row>
    <row r="267" s="10" customFormat="1" spans="1:7">
      <c r="A267" s="16" t="s">
        <v>161</v>
      </c>
      <c r="B267" s="16" t="s">
        <v>127</v>
      </c>
      <c r="C267" s="27" t="s">
        <v>482</v>
      </c>
      <c r="D267" s="18"/>
      <c r="E267" s="23">
        <v>1</v>
      </c>
      <c r="F267" s="20" t="s">
        <v>116</v>
      </c>
      <c r="G267" s="23" t="s">
        <v>114</v>
      </c>
    </row>
    <row r="268" spans="1:18">
      <c r="A268" s="16" t="s">
        <v>161</v>
      </c>
      <c r="B268" s="16" t="s">
        <v>127</v>
      </c>
      <c r="C268" s="17" t="s">
        <v>483</v>
      </c>
      <c r="D268" s="18"/>
      <c r="E268" s="19">
        <v>1</v>
      </c>
      <c r="F268" s="25" t="s">
        <v>135</v>
      </c>
      <c r="G268" s="19" t="s">
        <v>114</v>
      </c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</row>
    <row r="269" spans="1:18">
      <c r="A269" s="16" t="s">
        <v>161</v>
      </c>
      <c r="B269" s="16" t="s">
        <v>127</v>
      </c>
      <c r="C269" s="17" t="s">
        <v>484</v>
      </c>
      <c r="D269" s="18"/>
      <c r="E269" s="19">
        <v>3</v>
      </c>
      <c r="F269" s="25" t="s">
        <v>135</v>
      </c>
      <c r="G269" s="19" t="s">
        <v>114</v>
      </c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</row>
    <row r="270" spans="1:18">
      <c r="A270" s="16" t="s">
        <v>161</v>
      </c>
      <c r="B270" s="16" t="s">
        <v>127</v>
      </c>
      <c r="C270" s="17" t="s">
        <v>485</v>
      </c>
      <c r="D270" s="18"/>
      <c r="E270" s="19">
        <v>1</v>
      </c>
      <c r="F270" s="25" t="s">
        <v>135</v>
      </c>
      <c r="G270" s="19" t="s">
        <v>114</v>
      </c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</row>
    <row r="271" spans="1:18">
      <c r="A271" s="16" t="s">
        <v>161</v>
      </c>
      <c r="B271" s="16" t="s">
        <v>127</v>
      </c>
      <c r="C271" s="17" t="s">
        <v>486</v>
      </c>
      <c r="D271" s="18"/>
      <c r="E271" s="19">
        <v>1</v>
      </c>
      <c r="F271" s="25" t="s">
        <v>135</v>
      </c>
      <c r="G271" s="19" t="s">
        <v>114</v>
      </c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</row>
    <row r="272" s="10" customFormat="1" spans="1:7">
      <c r="A272" s="16" t="s">
        <v>161</v>
      </c>
      <c r="B272" s="16" t="s">
        <v>128</v>
      </c>
      <c r="C272" s="27" t="s">
        <v>487</v>
      </c>
      <c r="D272" s="18"/>
      <c r="E272" s="23">
        <v>6</v>
      </c>
      <c r="F272" s="24" t="s">
        <v>112</v>
      </c>
      <c r="G272" s="19" t="s">
        <v>114</v>
      </c>
    </row>
    <row r="273" s="10" customFormat="1" spans="1:7">
      <c r="A273" s="16" t="s">
        <v>161</v>
      </c>
      <c r="B273" s="16" t="s">
        <v>128</v>
      </c>
      <c r="C273" s="27" t="s">
        <v>488</v>
      </c>
      <c r="D273" s="18"/>
      <c r="E273" s="23">
        <v>2</v>
      </c>
      <c r="F273" s="24" t="s">
        <v>112</v>
      </c>
      <c r="G273" s="19" t="s">
        <v>114</v>
      </c>
    </row>
    <row r="274" s="10" customFormat="1" spans="1:7">
      <c r="A274" s="16" t="s">
        <v>161</v>
      </c>
      <c r="B274" s="16" t="s">
        <v>128</v>
      </c>
      <c r="C274" s="27" t="s">
        <v>489</v>
      </c>
      <c r="D274" s="18"/>
      <c r="E274" s="23">
        <v>3</v>
      </c>
      <c r="F274" s="20" t="s">
        <v>116</v>
      </c>
      <c r="G274" s="23" t="s">
        <v>147</v>
      </c>
    </row>
    <row r="275" s="10" customFormat="1" spans="1:7">
      <c r="A275" s="16" t="s">
        <v>161</v>
      </c>
      <c r="B275" s="16" t="s">
        <v>128</v>
      </c>
      <c r="C275" s="27" t="s">
        <v>490</v>
      </c>
      <c r="D275" s="18"/>
      <c r="E275" s="23">
        <v>2</v>
      </c>
      <c r="F275" s="20" t="s">
        <v>116</v>
      </c>
      <c r="G275" s="19" t="s">
        <v>114</v>
      </c>
    </row>
    <row r="276" spans="1:18">
      <c r="A276" s="16" t="s">
        <v>161</v>
      </c>
      <c r="B276" s="16" t="s">
        <v>128</v>
      </c>
      <c r="C276" s="17" t="s">
        <v>491</v>
      </c>
      <c r="D276" s="18"/>
      <c r="E276" s="19">
        <v>1</v>
      </c>
      <c r="F276" s="20" t="s">
        <v>116</v>
      </c>
      <c r="G276" s="19" t="s">
        <v>114</v>
      </c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</row>
    <row r="277" spans="1:18">
      <c r="A277" s="16" t="s">
        <v>161</v>
      </c>
      <c r="B277" s="16" t="s">
        <v>128</v>
      </c>
      <c r="C277" s="17" t="s">
        <v>492</v>
      </c>
      <c r="D277" s="18"/>
      <c r="E277" s="19">
        <v>1</v>
      </c>
      <c r="F277" s="20" t="s">
        <v>116</v>
      </c>
      <c r="G277" s="19" t="s">
        <v>114</v>
      </c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</row>
    <row r="278" spans="1:18">
      <c r="A278" s="16" t="s">
        <v>161</v>
      </c>
      <c r="B278" s="16" t="s">
        <v>128</v>
      </c>
      <c r="C278" s="17" t="s">
        <v>493</v>
      </c>
      <c r="D278" s="18"/>
      <c r="E278" s="19">
        <v>1</v>
      </c>
      <c r="F278" s="20" t="s">
        <v>116</v>
      </c>
      <c r="G278" s="19" t="s">
        <v>114</v>
      </c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</row>
    <row r="279" spans="1:18">
      <c r="A279" s="16" t="s">
        <v>161</v>
      </c>
      <c r="B279" s="16" t="s">
        <v>128</v>
      </c>
      <c r="C279" s="17" t="s">
        <v>494</v>
      </c>
      <c r="D279" s="18"/>
      <c r="E279" s="19">
        <v>2</v>
      </c>
      <c r="F279" s="20" t="s">
        <v>116</v>
      </c>
      <c r="G279" s="19" t="s">
        <v>139</v>
      </c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</row>
    <row r="280" spans="1:18">
      <c r="A280" s="16" t="s">
        <v>161</v>
      </c>
      <c r="B280" s="16" t="s">
        <v>128</v>
      </c>
      <c r="C280" s="17" t="s">
        <v>495</v>
      </c>
      <c r="D280" s="18"/>
      <c r="E280" s="19">
        <v>2</v>
      </c>
      <c r="F280" s="25" t="s">
        <v>135</v>
      </c>
      <c r="G280" s="19" t="s">
        <v>165</v>
      </c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</row>
    <row r="281" spans="1:18">
      <c r="A281" s="16" t="s">
        <v>161</v>
      </c>
      <c r="B281" s="16" t="s">
        <v>128</v>
      </c>
      <c r="C281" s="17" t="s">
        <v>496</v>
      </c>
      <c r="D281" s="18"/>
      <c r="E281" s="19">
        <v>1</v>
      </c>
      <c r="F281" s="25" t="s">
        <v>135</v>
      </c>
      <c r="G281" s="19" t="s">
        <v>139</v>
      </c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</row>
    <row r="282" spans="1:18">
      <c r="A282" s="16" t="s">
        <v>161</v>
      </c>
      <c r="B282" s="16" t="s">
        <v>128</v>
      </c>
      <c r="C282" s="17" t="s">
        <v>497</v>
      </c>
      <c r="D282" s="18"/>
      <c r="E282" s="19">
        <v>3</v>
      </c>
      <c r="F282" s="25" t="s">
        <v>135</v>
      </c>
      <c r="G282" s="19" t="s">
        <v>139</v>
      </c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</row>
    <row r="283" spans="1:18">
      <c r="A283" s="16" t="s">
        <v>161</v>
      </c>
      <c r="B283" s="16" t="s">
        <v>128</v>
      </c>
      <c r="C283" s="17" t="s">
        <v>498</v>
      </c>
      <c r="D283" s="18"/>
      <c r="E283" s="19">
        <v>2</v>
      </c>
      <c r="F283" s="25" t="s">
        <v>135</v>
      </c>
      <c r="G283" s="19" t="s">
        <v>139</v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</row>
    <row r="284" spans="1:18">
      <c r="A284" s="16" t="s">
        <v>161</v>
      </c>
      <c r="B284" s="16" t="s">
        <v>128</v>
      </c>
      <c r="C284" s="17" t="s">
        <v>499</v>
      </c>
      <c r="D284" s="18"/>
      <c r="E284" s="19">
        <v>2</v>
      </c>
      <c r="F284" s="25" t="s">
        <v>135</v>
      </c>
      <c r="G284" s="19" t="s">
        <v>139</v>
      </c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</row>
    <row r="285" s="10" customFormat="1" spans="1:18">
      <c r="A285" s="16" t="s">
        <v>162</v>
      </c>
      <c r="B285" s="16" t="s">
        <v>179</v>
      </c>
      <c r="C285" s="17" t="s">
        <v>500</v>
      </c>
      <c r="D285" s="18"/>
      <c r="E285" s="19">
        <v>8</v>
      </c>
      <c r="F285" s="20" t="s">
        <v>116</v>
      </c>
      <c r="G285" s="19" t="s">
        <v>114</v>
      </c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</row>
    <row r="286" spans="1:18">
      <c r="A286" s="16" t="s">
        <v>162</v>
      </c>
      <c r="B286" s="16" t="s">
        <v>179</v>
      </c>
      <c r="C286" s="17" t="s">
        <v>501</v>
      </c>
      <c r="D286" s="18"/>
      <c r="E286" s="19">
        <v>6</v>
      </c>
      <c r="F286" s="20" t="s">
        <v>116</v>
      </c>
      <c r="G286" s="19" t="s">
        <v>139</v>
      </c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</row>
    <row r="287" s="10" customFormat="1" spans="1:7">
      <c r="A287" s="16" t="s">
        <v>162</v>
      </c>
      <c r="B287" s="16" t="s">
        <v>179</v>
      </c>
      <c r="C287" s="22" t="s">
        <v>502</v>
      </c>
      <c r="D287" s="18"/>
      <c r="E287" s="23">
        <v>29</v>
      </c>
      <c r="F287" s="25" t="s">
        <v>135</v>
      </c>
      <c r="G287" s="23" t="s">
        <v>147</v>
      </c>
    </row>
    <row r="288" spans="1:18">
      <c r="A288" s="16" t="s">
        <v>162</v>
      </c>
      <c r="B288" s="16" t="s">
        <v>179</v>
      </c>
      <c r="C288" s="17" t="s">
        <v>503</v>
      </c>
      <c r="D288" s="18"/>
      <c r="E288" s="19">
        <v>4</v>
      </c>
      <c r="F288" s="25" t="s">
        <v>135</v>
      </c>
      <c r="G288" s="19" t="s">
        <v>165</v>
      </c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</row>
    <row r="289" spans="1:18">
      <c r="A289" s="16" t="s">
        <v>162</v>
      </c>
      <c r="B289" s="16" t="s">
        <v>179</v>
      </c>
      <c r="C289" s="17" t="s">
        <v>504</v>
      </c>
      <c r="D289" s="18"/>
      <c r="E289" s="19">
        <v>2</v>
      </c>
      <c r="F289" s="25" t="s">
        <v>135</v>
      </c>
      <c r="G289" s="19" t="s">
        <v>114</v>
      </c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</row>
    <row r="290" spans="1:18">
      <c r="A290" s="16" t="s">
        <v>162</v>
      </c>
      <c r="B290" s="16" t="s">
        <v>179</v>
      </c>
      <c r="C290" s="17" t="s">
        <v>505</v>
      </c>
      <c r="D290" s="18"/>
      <c r="E290" s="19">
        <v>2</v>
      </c>
      <c r="F290" s="25" t="s">
        <v>135</v>
      </c>
      <c r="G290" s="19" t="s">
        <v>114</v>
      </c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</row>
    <row r="291" spans="1:18">
      <c r="A291" s="16" t="s">
        <v>162</v>
      </c>
      <c r="B291" s="16" t="s">
        <v>179</v>
      </c>
      <c r="C291" s="17" t="s">
        <v>506</v>
      </c>
      <c r="D291" s="18"/>
      <c r="E291" s="19">
        <v>2</v>
      </c>
      <c r="F291" s="25" t="s">
        <v>135</v>
      </c>
      <c r="G291" s="19" t="s">
        <v>114</v>
      </c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</row>
    <row r="292" spans="1:18">
      <c r="A292" s="16" t="s">
        <v>162</v>
      </c>
      <c r="B292" s="16" t="s">
        <v>179</v>
      </c>
      <c r="C292" s="17" t="s">
        <v>507</v>
      </c>
      <c r="D292" s="18"/>
      <c r="E292" s="19">
        <v>2</v>
      </c>
      <c r="F292" s="25" t="s">
        <v>135</v>
      </c>
      <c r="G292" s="19" t="s">
        <v>114</v>
      </c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</row>
    <row r="293" spans="1:18">
      <c r="A293" s="16" t="s">
        <v>162</v>
      </c>
      <c r="B293" s="16" t="s">
        <v>118</v>
      </c>
      <c r="C293" s="17" t="s">
        <v>508</v>
      </c>
      <c r="D293" s="18"/>
      <c r="E293" s="19">
        <v>3</v>
      </c>
      <c r="F293" s="25" t="s">
        <v>135</v>
      </c>
      <c r="G293" s="19" t="s">
        <v>114</v>
      </c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</row>
    <row r="294" spans="1:18">
      <c r="A294" s="16" t="s">
        <v>162</v>
      </c>
      <c r="B294" s="16" t="s">
        <v>118</v>
      </c>
      <c r="C294" s="17" t="s">
        <v>509</v>
      </c>
      <c r="D294" s="18"/>
      <c r="E294" s="19">
        <v>2</v>
      </c>
      <c r="F294" s="25" t="s">
        <v>135</v>
      </c>
      <c r="G294" s="19" t="s">
        <v>114</v>
      </c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</row>
    <row r="295" s="10" customFormat="1" spans="1:18">
      <c r="A295" s="16" t="s">
        <v>162</v>
      </c>
      <c r="B295" s="16" t="s">
        <v>118</v>
      </c>
      <c r="C295" s="17" t="s">
        <v>510</v>
      </c>
      <c r="D295" s="18"/>
      <c r="E295" s="19">
        <v>4</v>
      </c>
      <c r="F295" s="25" t="s">
        <v>135</v>
      </c>
      <c r="G295" s="19" t="s">
        <v>139</v>
      </c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</row>
    <row r="296" spans="1:18">
      <c r="A296" s="16" t="s">
        <v>162</v>
      </c>
      <c r="B296" s="16" t="s">
        <v>115</v>
      </c>
      <c r="C296" s="17" t="s">
        <v>511</v>
      </c>
      <c r="D296" s="18"/>
      <c r="E296" s="19">
        <v>1</v>
      </c>
      <c r="F296" s="20" t="s">
        <v>116</v>
      </c>
      <c r="G296" s="19" t="s">
        <v>114</v>
      </c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</row>
    <row r="297" spans="1:18">
      <c r="A297" s="16" t="s">
        <v>162</v>
      </c>
      <c r="B297" s="16" t="s">
        <v>115</v>
      </c>
      <c r="C297" s="17" t="s">
        <v>512</v>
      </c>
      <c r="D297" s="18"/>
      <c r="E297" s="19">
        <v>1</v>
      </c>
      <c r="F297" s="20" t="s">
        <v>116</v>
      </c>
      <c r="G297" s="19" t="s">
        <v>114</v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</row>
    <row r="298" spans="1:18">
      <c r="A298" s="16" t="s">
        <v>162</v>
      </c>
      <c r="B298" s="16" t="s">
        <v>115</v>
      </c>
      <c r="C298" s="17" t="s">
        <v>513</v>
      </c>
      <c r="D298" s="18"/>
      <c r="E298" s="19">
        <v>1</v>
      </c>
      <c r="F298" s="20" t="s">
        <v>116</v>
      </c>
      <c r="G298" s="19" t="s">
        <v>129</v>
      </c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</row>
    <row r="299" spans="1:18">
      <c r="A299" s="16" t="s">
        <v>162</v>
      </c>
      <c r="B299" s="16" t="s">
        <v>115</v>
      </c>
      <c r="C299" s="17" t="s">
        <v>514</v>
      </c>
      <c r="D299" s="18"/>
      <c r="E299" s="19">
        <v>2</v>
      </c>
      <c r="F299" s="20" t="s">
        <v>116</v>
      </c>
      <c r="G299" s="19" t="s">
        <v>114</v>
      </c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</row>
    <row r="300" spans="1:18">
      <c r="A300" s="16" t="s">
        <v>162</v>
      </c>
      <c r="B300" s="16" t="s">
        <v>115</v>
      </c>
      <c r="C300" s="17" t="s">
        <v>515</v>
      </c>
      <c r="D300" s="18"/>
      <c r="E300" s="19">
        <v>3</v>
      </c>
      <c r="F300" s="20" t="s">
        <v>116</v>
      </c>
      <c r="G300" s="19" t="s">
        <v>134</v>
      </c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</row>
    <row r="301" spans="1:18">
      <c r="A301" s="16" t="s">
        <v>162</v>
      </c>
      <c r="B301" s="16" t="s">
        <v>115</v>
      </c>
      <c r="C301" s="17" t="s">
        <v>516</v>
      </c>
      <c r="D301" s="18"/>
      <c r="E301" s="19">
        <v>1</v>
      </c>
      <c r="F301" s="25" t="s">
        <v>135</v>
      </c>
      <c r="G301" s="19" t="s">
        <v>114</v>
      </c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</row>
    <row r="302" s="10" customFormat="1" spans="1:18">
      <c r="A302" s="16" t="s">
        <v>162</v>
      </c>
      <c r="B302" s="16" t="s">
        <v>115</v>
      </c>
      <c r="C302" s="17" t="s">
        <v>517</v>
      </c>
      <c r="D302" s="18"/>
      <c r="E302" s="19">
        <v>2</v>
      </c>
      <c r="F302" s="25" t="s">
        <v>135</v>
      </c>
      <c r="G302" s="19" t="s">
        <v>139</v>
      </c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</row>
    <row r="303" s="10" customFormat="1" spans="1:18">
      <c r="A303" s="16" t="s">
        <v>162</v>
      </c>
      <c r="B303" s="16" t="s">
        <v>125</v>
      </c>
      <c r="C303" s="17" t="s">
        <v>518</v>
      </c>
      <c r="D303" s="18"/>
      <c r="E303" s="19">
        <v>1</v>
      </c>
      <c r="F303" s="20" t="s">
        <v>116</v>
      </c>
      <c r="G303" s="19" t="s">
        <v>114</v>
      </c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</row>
    <row r="304" spans="1:18">
      <c r="A304" s="16" t="s">
        <v>162</v>
      </c>
      <c r="B304" s="16" t="s">
        <v>125</v>
      </c>
      <c r="C304" s="17" t="s">
        <v>519</v>
      </c>
      <c r="D304" s="18"/>
      <c r="E304" s="19">
        <v>1</v>
      </c>
      <c r="F304" s="20" t="s">
        <v>116</v>
      </c>
      <c r="G304" s="19" t="s">
        <v>114</v>
      </c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</row>
    <row r="305" s="10" customFormat="1" spans="1:18">
      <c r="A305" s="16" t="s">
        <v>162</v>
      </c>
      <c r="B305" s="16" t="s">
        <v>198</v>
      </c>
      <c r="C305" s="17" t="s">
        <v>520</v>
      </c>
      <c r="D305" s="18"/>
      <c r="E305" s="19">
        <v>5</v>
      </c>
      <c r="F305" s="20" t="s">
        <v>116</v>
      </c>
      <c r="G305" s="19" t="s">
        <v>114</v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</row>
    <row r="306" spans="1:18">
      <c r="A306" s="16" t="s">
        <v>162</v>
      </c>
      <c r="B306" s="16" t="s">
        <v>198</v>
      </c>
      <c r="C306" s="17" t="s">
        <v>521</v>
      </c>
      <c r="D306" s="18"/>
      <c r="E306" s="19">
        <v>2</v>
      </c>
      <c r="F306" s="20" t="s">
        <v>116</v>
      </c>
      <c r="G306" s="19" t="s">
        <v>114</v>
      </c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</row>
    <row r="307" spans="1:18">
      <c r="A307" s="16" t="s">
        <v>162</v>
      </c>
      <c r="B307" s="16" t="s">
        <v>198</v>
      </c>
      <c r="C307" s="17" t="s">
        <v>522</v>
      </c>
      <c r="D307" s="18"/>
      <c r="E307" s="19">
        <v>2</v>
      </c>
      <c r="F307" s="20" t="s">
        <v>116</v>
      </c>
      <c r="G307" s="19" t="s">
        <v>114</v>
      </c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</row>
    <row r="311" spans="1:2">
      <c r="A311" s="28"/>
      <c r="B311" s="28"/>
    </row>
    <row r="312" spans="1:2">
      <c r="A312" s="28"/>
      <c r="B312" s="28"/>
    </row>
    <row r="314" spans="1:2">
      <c r="A314" s="28"/>
      <c r="B314" s="28"/>
    </row>
    <row r="315" spans="1:2">
      <c r="A315" s="28"/>
      <c r="B315" s="28"/>
    </row>
  </sheetData>
  <sortState ref="A228:T306">
    <sortCondition ref="A228:A306"/>
    <sortCondition ref="B228:B306"/>
  </sortState>
  <conditionalFormatting sqref="D2:D307">
    <cfRule type="expression" dxfId="1" priority="2">
      <formula>D2=MAX($D2:$E2)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workbookViewId="0">
      <pane ySplit="1" topLeftCell="A2" activePane="bottomLeft" state="frozen"/>
      <selection/>
      <selection pane="bottomLeft" activeCell="E29" sqref="$A1:$XFD1048576"/>
    </sheetView>
  </sheetViews>
  <sheetFormatPr defaultColWidth="9" defaultRowHeight="14.25"/>
  <cols>
    <col min="2" max="8" width="9" style="2"/>
  </cols>
  <sheetData>
    <row r="1" s="1" customFormat="1" spans="1:21">
      <c r="A1" s="3" t="s">
        <v>523</v>
      </c>
      <c r="B1" s="4" t="s">
        <v>524</v>
      </c>
      <c r="C1" s="4"/>
      <c r="D1" s="4"/>
      <c r="E1" s="4"/>
      <c r="F1" s="4"/>
      <c r="G1" s="4"/>
      <c r="H1" s="5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8">
      <c r="A2" s="6">
        <v>1.21</v>
      </c>
      <c r="B2" s="6" t="s">
        <v>525</v>
      </c>
      <c r="C2" s="6"/>
      <c r="D2" s="6"/>
      <c r="E2" s="6"/>
      <c r="F2" s="6"/>
      <c r="G2" s="6"/>
      <c r="H2" s="6"/>
    </row>
    <row r="3" spans="1:8">
      <c r="A3" s="6">
        <v>1.3</v>
      </c>
      <c r="B3" s="6" t="s">
        <v>526</v>
      </c>
      <c r="C3" s="6"/>
      <c r="D3" s="6"/>
      <c r="E3" s="6"/>
      <c r="F3" s="6"/>
      <c r="G3" s="6"/>
      <c r="H3" s="6"/>
    </row>
    <row r="4" spans="1:8">
      <c r="A4" s="6">
        <v>1.4</v>
      </c>
      <c r="B4" s="6" t="s">
        <v>527</v>
      </c>
      <c r="C4" s="6"/>
      <c r="D4" s="6"/>
      <c r="E4" s="6"/>
      <c r="F4" s="6"/>
      <c r="G4" s="6"/>
      <c r="H4" s="6"/>
    </row>
    <row r="5" spans="1:8">
      <c r="A5" s="6">
        <v>1.41</v>
      </c>
      <c r="B5" s="6" t="s">
        <v>528</v>
      </c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 t="s">
        <v>529</v>
      </c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 t="s">
        <v>530</v>
      </c>
      <c r="C9" s="6"/>
      <c r="D9" s="6"/>
      <c r="E9" s="6"/>
      <c r="F9" s="6"/>
      <c r="G9" s="6"/>
      <c r="H9" s="6"/>
    </row>
    <row r="10" spans="1:8">
      <c r="A10" s="6"/>
      <c r="B10" s="6" t="s">
        <v>531</v>
      </c>
      <c r="C10" s="6"/>
      <c r="D10" s="6"/>
      <c r="E10" s="6"/>
      <c r="F10" s="6"/>
      <c r="G10" s="6"/>
      <c r="H10" s="6"/>
    </row>
    <row r="11" spans="1:8">
      <c r="A11" s="6">
        <v>1.42</v>
      </c>
      <c r="B11" s="6" t="s">
        <v>532</v>
      </c>
      <c r="C11" s="6"/>
      <c r="D11" s="6"/>
      <c r="E11" s="6"/>
      <c r="F11" s="6"/>
      <c r="G11" s="6"/>
      <c r="H11" s="6"/>
    </row>
    <row r="12" spans="1:8">
      <c r="A12" s="6">
        <v>1.43</v>
      </c>
      <c r="B12" s="6" t="s">
        <v>533</v>
      </c>
      <c r="C12" s="6"/>
      <c r="D12" s="6"/>
      <c r="E12" s="6"/>
      <c r="F12" s="6"/>
      <c r="G12" s="6"/>
      <c r="H12" s="6"/>
    </row>
    <row r="13" spans="1:8">
      <c r="A13" s="6">
        <v>1.5</v>
      </c>
      <c r="B13" s="6" t="s">
        <v>534</v>
      </c>
      <c r="C13" s="6"/>
      <c r="D13" s="6"/>
      <c r="E13" s="6"/>
      <c r="F13" s="6"/>
      <c r="G13" s="6"/>
      <c r="H13" s="6"/>
    </row>
    <row r="14" spans="1:8">
      <c r="A14" s="6"/>
      <c r="B14" s="6" t="s">
        <v>535</v>
      </c>
      <c r="C14" s="6"/>
      <c r="D14" s="6"/>
      <c r="E14" s="6"/>
      <c r="F14" s="6"/>
      <c r="G14" s="6"/>
      <c r="H14" s="6"/>
    </row>
    <row r="15" spans="1:8">
      <c r="A15" s="6"/>
      <c r="B15" s="6" t="s">
        <v>536</v>
      </c>
      <c r="C15" s="6"/>
      <c r="D15" s="6"/>
      <c r="E15" s="6"/>
      <c r="F15" s="6"/>
      <c r="G15" s="6"/>
      <c r="H15" s="6"/>
    </row>
    <row r="16" spans="1:8">
      <c r="A16" s="6">
        <v>1.51</v>
      </c>
      <c r="B16" s="6" t="s">
        <v>537</v>
      </c>
      <c r="C16" s="6"/>
      <c r="D16" s="6"/>
      <c r="E16" s="6"/>
      <c r="F16" s="6"/>
      <c r="G16" s="6"/>
      <c r="H16" s="6"/>
    </row>
    <row r="17" spans="1:8">
      <c r="A17" s="7">
        <v>1.52</v>
      </c>
      <c r="B17" s="6" t="s">
        <v>538</v>
      </c>
      <c r="C17" s="6"/>
      <c r="D17" s="6"/>
      <c r="E17" s="6"/>
      <c r="F17" s="6"/>
      <c r="G17" s="6"/>
      <c r="H17" s="6"/>
    </row>
  </sheetData>
  <mergeCells count="17">
    <mergeCell ref="B1:H1"/>
    <mergeCell ref="B2:H2"/>
    <mergeCell ref="B3:H3"/>
    <mergeCell ref="B4:H4"/>
    <mergeCell ref="B9:H9"/>
    <mergeCell ref="B10:H10"/>
    <mergeCell ref="B11:H11"/>
    <mergeCell ref="B12:H12"/>
    <mergeCell ref="B13:H13"/>
    <mergeCell ref="B14:H14"/>
    <mergeCell ref="B15:H15"/>
    <mergeCell ref="B16:H16"/>
    <mergeCell ref="B17:H17"/>
    <mergeCell ref="A5:A10"/>
    <mergeCell ref="A13:A15"/>
    <mergeCell ref="B5:H6"/>
    <mergeCell ref="B7:H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</vt:lpstr>
      <vt:lpstr>套装</vt:lpstr>
      <vt:lpstr>摆设</vt:lpstr>
      <vt:lpstr>更新日志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...</cp:lastModifiedBy>
  <dcterms:created xsi:type="dcterms:W3CDTF">2022-02-13T12:17:00Z</dcterms:created>
  <dcterms:modified xsi:type="dcterms:W3CDTF">2022-11-04T03:26:01Z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E895417D91D24FBE9174B56E9E54EFBA</vt:lpwstr>
  </property>
</Properties>
</file>