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434"/>
  </bookViews>
  <sheets>
    <sheet name="伤害计算" sheetId="1" r:id="rId1"/>
    <sheet name="苍古精精暴" sheetId="14" r:id="rId2"/>
    <sheet name="苍古精精精" sheetId="16" r:id="rId3"/>
    <sheet name="绿剑攻风暴" sheetId="13" r:id="rId4"/>
    <sheet name="绿剑精精暴" sheetId="15" r:id="rId5"/>
    <sheet name="怪" sheetId="3" r:id="rId6"/>
    <sheet name="人物" sheetId="2" r:id="rId7"/>
    <sheet name="圣遗物效果" sheetId="7" r:id="rId8"/>
    <sheet name="公式" sheetId="4" r:id="rId9"/>
    <sheet name="参考" sheetId="5" r:id="rId10"/>
    <sheet name="制作者信息" sheetId="17" r:id="rId11"/>
  </sheets>
  <calcPr calcId="144525"/>
</workbook>
</file>

<file path=xl/sharedStrings.xml><?xml version="1.0" encoding="utf-8"?>
<sst xmlns="http://schemas.openxmlformats.org/spreadsheetml/2006/main" count="1013" uniqueCount="216">
  <si>
    <t>枫原万叶伤害计算</t>
  </si>
  <si>
    <t>蓝色方块可填写</t>
  </si>
  <si>
    <t>配装</t>
  </si>
  <si>
    <t>精3苍古精精暴击，带班尼特</t>
  </si>
  <si>
    <r>
      <rPr>
        <b/>
        <sz val="11"/>
        <color theme="1"/>
        <rFont val="微软雅黑"/>
        <charset val="134"/>
      </rPr>
      <t>计算结果：一套EQEA+EA（平A触发扩散）（全部算短E，两个E能吃大招）（算入扩散伤害。若单通，无元素附着，需调整公式）</t>
    </r>
    <r>
      <rPr>
        <sz val="11"/>
        <color theme="1"/>
        <rFont val="微软雅黑"/>
        <charset val="134"/>
      </rPr>
      <t>（未计算万叶通过扩散触发的元素反应伤害，实际上在水雷队中由于雷水共存，万叶触发感电频率较高，可自行在下方查找剧变伤害叠加计算）</t>
    </r>
  </si>
  <si>
    <t>6命期望伤害</t>
  </si>
  <si>
    <t>1命期望伤害（不A）</t>
  </si>
  <si>
    <t>0命期望伤害（只算QEE）</t>
  </si>
  <si>
    <t>人物最终面板</t>
  </si>
  <si>
    <t>武器面板</t>
  </si>
  <si>
    <t>武器特效或其他角色提供的临时buff</t>
  </si>
  <si>
    <t>技能倍率（当前按9、12、12级填写，可修改）</t>
  </si>
  <si>
    <t>攻击力</t>
  </si>
  <si>
    <t>名称</t>
  </si>
  <si>
    <t>苍古</t>
  </si>
  <si>
    <t>攻击提升固定值（如班尼特大招）</t>
  </si>
  <si>
    <t>普攻、下落</t>
  </si>
  <si>
    <t>攻击力白值</t>
  </si>
  <si>
    <t>等级</t>
  </si>
  <si>
    <t>覆盖率</t>
  </si>
  <si>
    <t>平A一段</t>
  </si>
  <si>
    <t>元素精通</t>
  </si>
  <si>
    <t>白值</t>
  </si>
  <si>
    <t>重击伤害</t>
  </si>
  <si>
    <t>暴击率</t>
  </si>
  <si>
    <t>副词条</t>
  </si>
  <si>
    <t>体现在面板或常驻buff</t>
  </si>
  <si>
    <t>攻击提升百分比（如班尼特+苍古特效，叠加计算）</t>
  </si>
  <si>
    <t>下坠擦伤</t>
  </si>
  <si>
    <t>暴击伤害</t>
  </si>
  <si>
    <t>低空下落</t>
  </si>
  <si>
    <t>充能效率</t>
  </si>
  <si>
    <t>怪物面板</t>
  </si>
  <si>
    <t>高空下落</t>
  </si>
  <si>
    <t>（长E短E均为高空）</t>
  </si>
  <si>
    <t>风伤加成</t>
  </si>
  <si>
    <t>元素精通提升值</t>
  </si>
  <si>
    <t>风抗</t>
  </si>
  <si>
    <t>元素战技</t>
  </si>
  <si>
    <t>被动特性-为队友及自己元素增伤</t>
  </si>
  <si>
    <t>其他元素抗性（触发风4效果）</t>
  </si>
  <si>
    <t>点按上升风伤</t>
  </si>
  <si>
    <t>扩散后对应元素增伤</t>
  </si>
  <si>
    <t>计算防御区后受伤百分比（受怪物等级影响）（剧变反应不受此乘区影响）</t>
  </si>
  <si>
    <t>敌方抗性下降</t>
  </si>
  <si>
    <t>长按上升风伤</t>
  </si>
  <si>
    <t>2命大招圈内增伤</t>
  </si>
  <si>
    <t>下落攻击</t>
  </si>
  <si>
    <t>（默认风伤）</t>
  </si>
  <si>
    <t>常驻buff（武器或元素共鸣）</t>
  </si>
  <si>
    <t>下落攻击附加伤害</t>
  </si>
  <si>
    <t>（水火冰雷）</t>
  </si>
  <si>
    <t>命座特性</t>
  </si>
  <si>
    <t>增伤</t>
  </si>
  <si>
    <t>6命普攻、重击、下落增伤</t>
  </si>
  <si>
    <t>普攻、重击、下落增伤</t>
  </si>
  <si>
    <t>元素爆发</t>
  </si>
  <si>
    <t>6命+2命大招圈内</t>
  </si>
  <si>
    <t>攻击提升百分比</t>
  </si>
  <si>
    <t>斩击伤害</t>
  </si>
  <si>
    <t>攻击力提升固定值（注：如果是绿剑，直接入队看人物面板，无需填写此处；或者不入队时看面板并折算后填写此处。二选一，不要重复填写。）</t>
  </si>
  <si>
    <t>持续伤害</t>
  </si>
  <si>
    <t>（持续5次）</t>
  </si>
  <si>
    <t>附加元素伤害</t>
  </si>
  <si>
    <t>伤害乘区：攻击、倍率、增伤、抗性、防御、暴击</t>
  </si>
  <si>
    <t>过程计算器</t>
  </si>
  <si>
    <t>抗性区</t>
  </si>
  <si>
    <t>元素战技伤害</t>
  </si>
  <si>
    <t>常驻buff下暴击伤害</t>
  </si>
  <si>
    <t>常驻buff-不暴击</t>
  </si>
  <si>
    <t>常驻buff-期望</t>
  </si>
  <si>
    <t>触发所有临时buff-暴击伤害</t>
  </si>
  <si>
    <t>触发临时buff-不暴击</t>
  </si>
  <si>
    <t>算覆盖率的临时buff下期望伤害</t>
  </si>
  <si>
    <t>常驻buff下风抗</t>
  </si>
  <si>
    <t>上升风伤（短按）</t>
  </si>
  <si>
    <t>常驻风抗乘区</t>
  </si>
  <si>
    <t>上升风伤（长按）</t>
  </si>
  <si>
    <t>常驻buff下其他元素抗性</t>
  </si>
  <si>
    <t>下落攻击风伤（0命）</t>
  </si>
  <si>
    <t>常驻其他元素抗性乘区</t>
  </si>
  <si>
    <t>下落攻击风伤（6命）</t>
  </si>
  <si>
    <t>临时buff+常驻buff下风抗</t>
  </si>
  <si>
    <t>下落附加属性伤害（0命）</t>
  </si>
  <si>
    <t>临时风抗乘区</t>
  </si>
  <si>
    <t>下落附加属性伤害（6命）（吃扩散元素增伤、风4扩散、6命下落增伤等）</t>
  </si>
  <si>
    <t>临时+常驻其他元素抗性乘区</t>
  </si>
  <si>
    <t>下落风伤（6命、大招圈内）</t>
  </si>
  <si>
    <t>临时其他元素抗性乘区</t>
  </si>
  <si>
    <t>下落属性伤（6命、大招圈内）</t>
  </si>
  <si>
    <t>风抗乘区期望值</t>
  </si>
  <si>
    <t>一套E伤害-C0（算3次扩散）</t>
  </si>
  <si>
    <t>其他元素抗性乘区期望值</t>
  </si>
  <si>
    <t>一套E伤害-C6</t>
  </si>
  <si>
    <t>面板区</t>
  </si>
  <si>
    <t>一套E伤害-C6-大招圈</t>
  </si>
  <si>
    <t>精通期望值</t>
  </si>
  <si>
    <t>扩散次数：元素战技打完，单怪时该怪受到的扩散伤害次数：2，多怪时每只怪受到扩散伤害次数：4</t>
  </si>
  <si>
    <t>精通+临时buff</t>
  </si>
  <si>
    <t>攻击乘区常驻</t>
  </si>
  <si>
    <t>元素爆发伤害</t>
  </si>
  <si>
    <t>攻击乘区+临时buff</t>
  </si>
  <si>
    <t>攻击乘区期望</t>
  </si>
  <si>
    <t>持续伤害（每次）</t>
  </si>
  <si>
    <t>暴击乘区</t>
  </si>
  <si>
    <t>附加元素伤害（0命每次）</t>
  </si>
  <si>
    <t>常驻增伤乘区</t>
  </si>
  <si>
    <t>附加元素伤害（2命每次）</t>
  </si>
  <si>
    <t>风伤伤害增伤乘区</t>
  </si>
  <si>
    <t>大招打满-0命（算9次扩散）</t>
  </si>
  <si>
    <t>下落风伤-C0（含普攻，下同）</t>
  </si>
  <si>
    <t>大招打满-2命</t>
  </si>
  <si>
    <t>下落风伤-C6</t>
  </si>
  <si>
    <t>扩散次数：若按怪身上不断有附着、打满5次计算，单怪时受到的扩散次数为6，多怪时每只怪受到扩散伤害次数为12</t>
  </si>
  <si>
    <t>下落风伤-C6+大招圈</t>
  </si>
  <si>
    <t>属性伤害-无2命大招</t>
  </si>
  <si>
    <t>平A伤害</t>
  </si>
  <si>
    <t>属性伤害-2命圈内</t>
  </si>
  <si>
    <t>平A一段（6命）</t>
  </si>
  <si>
    <t>下落属性伤-C0</t>
  </si>
  <si>
    <t>平A一段（6命，大招圈内）</t>
  </si>
  <si>
    <t>下落属性伤-C6</t>
  </si>
  <si>
    <t>平A一段（6命、冰火附魔、不打反应，触发过对应元素扩散）</t>
  </si>
  <si>
    <t>下落属性伤-C6+大招圈</t>
  </si>
  <si>
    <t>平A一段（6命，大招圈内、冰火附魔、不打反应，触发过对应元素扩散）</t>
  </si>
  <si>
    <t>临时buff下增伤乘区</t>
  </si>
  <si>
    <t>平A一段+扩散-C6</t>
  </si>
  <si>
    <t>平A一段+扩散-C6大招圈</t>
  </si>
  <si>
    <t>扩散次数：风附魔状态下，平A的1、4段可触发扩散，重击未测，实战中通常可以打出一段平A，按扩散1次计算</t>
  </si>
  <si>
    <t>扩散伤害（带风4效果）</t>
  </si>
  <si>
    <t>常驻buff</t>
  </si>
  <si>
    <t>常驻+临时buff</t>
  </si>
  <si>
    <t>算覆盖率期望</t>
  </si>
  <si>
    <t>对应元素扩散伤害</t>
  </si>
  <si>
    <t>2命大招圈内扩散</t>
  </si>
  <si>
    <t>万叶触发的其他剧变元素反应伤害（依靠扩散或附魔）</t>
  </si>
  <si>
    <t>感电</t>
  </si>
  <si>
    <t>临时buff下增伤乘区-期望</t>
  </si>
  <si>
    <t>超载</t>
  </si>
  <si>
    <t>碎冰（近似值，受物抗影响）</t>
  </si>
  <si>
    <t>超导</t>
  </si>
  <si>
    <t>融化蒸发 伤害提升幅度</t>
  </si>
  <si>
    <t>精1苍古精精暴击，带班尼特</t>
  </si>
  <si>
    <t>精1苍古精精精，带班尼特</t>
  </si>
  <si>
    <t>精1绿剑攻风暴伤，带班尼特</t>
  </si>
  <si>
    <t>绿剑</t>
  </si>
  <si>
    <t>攻击提升百分比（如宗室+苍古特效，叠加计算）</t>
  </si>
  <si>
    <t>攻击力提升固定值（注：如果是绿剑，直接入队看人物面板，无需填写此处；或者不入队时看面板并折算后填写此处。二选一，勿重复填写。）</t>
  </si>
  <si>
    <t>精1绿剑精精暴伤，带班尼特</t>
  </si>
  <si>
    <t>丘丘人</t>
  </si>
  <si>
    <t>抗性</t>
  </si>
  <si>
    <t>火抗</t>
  </si>
  <si>
    <t>水抗</t>
  </si>
  <si>
    <t>雷抗</t>
  </si>
  <si>
    <t>岩抗</t>
  </si>
  <si>
    <t>冰抗</t>
  </si>
  <si>
    <t>物抗</t>
  </si>
  <si>
    <t>枫原万叶</t>
  </si>
  <si>
    <t>基础面板</t>
  </si>
  <si>
    <t>基础生命值</t>
  </si>
  <si>
    <t>基础攻击力</t>
  </si>
  <si>
    <t>基础防御力</t>
  </si>
  <si>
    <t>被动</t>
  </si>
  <si>
    <t>对应元素伤害加成</t>
  </si>
  <si>
    <t>命座2</t>
  </si>
  <si>
    <t>大招期间增加元素精通</t>
  </si>
  <si>
    <t>命座6</t>
  </si>
  <si>
    <t>技能释放后5s内，每点元素精通，提高</t>
  </si>
  <si>
    <t>普通攻击、重击、下落攻击造成的伤害</t>
  </si>
  <si>
    <t>圣遗物名称</t>
  </si>
  <si>
    <t>风4</t>
  </si>
  <si>
    <t>特效</t>
  </si>
  <si>
    <t>数值</t>
  </si>
  <si>
    <t>扩散反应加成</t>
  </si>
  <si>
    <t>说明：风4增伤和元素精通带来的剧变反应增伤在同一个乘区</t>
  </si>
  <si>
    <t>抗性降低</t>
  </si>
  <si>
    <t>其他圣遗物填写</t>
  </si>
  <si>
    <t>攻击力加成</t>
  </si>
  <si>
    <t>当前游戏版本：2.3</t>
  </si>
  <si>
    <t>元素精通加成公式：y=kx/(x+a)</t>
  </si>
  <si>
    <t>对剧变反应：k=16.0，a=2000；</t>
  </si>
  <si>
    <t>对增幅反应：k=2.78，a=1400；</t>
  </si>
  <si>
    <t>对结晶盾值：k=4.44，a=1400；</t>
  </si>
  <si>
    <t>怪物受到角色伤害百分比的公式满足：</t>
  </si>
  <si>
    <t>(L+100)/(l+L+200)</t>
  </si>
  <si>
    <t>其中l为怪物等级，L为角色等级。</t>
  </si>
  <si>
    <t>Def_c/(Def_c+5l+500)</t>
  </si>
  <si>
    <t>其中Def_c为人物的防御力，l为怪物等级。</t>
  </si>
  <si>
    <t>抗性减伤比例</t>
  </si>
  <si>
    <t>x&lt;0</t>
  </si>
  <si>
    <t>1-x/2</t>
  </si>
  <si>
    <t>0&lt;=x&lt;0.75</t>
  </si>
  <si>
    <t>1-x</t>
  </si>
  <si>
    <t>x&gt;=0.75</t>
  </si>
  <si>
    <t>1/(1+4x)</t>
  </si>
  <si>
    <t>超导 ：扩散：感电：碎冰 ： 超载</t>
  </si>
  <si>
    <t>伤害基数成长比为： 1   ：1.2  ：2.4  ：  3   ：   4</t>
  </si>
  <si>
    <t>90级0精通剧变基数约为</t>
  </si>
  <si>
    <t>扩散</t>
  </si>
  <si>
    <t>碎冰</t>
  </si>
  <si>
    <t>防御区怪物受到角色伤害百分比为：</t>
  </si>
  <si>
    <t>角色总攻击力× 普攻/ 技能倍率×</t>
  </si>
  <si>
    <t>×（1+ 伤害加成倍率）</t>
  </si>
  <si>
    <t>×（1+ 蒸发、融化反应倍率）×（1+ 蒸发、融化造成伤害提高）</t>
  </si>
  <si>
    <t>×（1+ 暴击伤害）</t>
  </si>
  <si>
    <t>×（抗性减伤 /加伤效果） ×（1- 防御力减伤比例）</t>
  </si>
  <si>
    <t>=实际伤害</t>
  </si>
  <si>
    <t>https://bbs.nga.cn/read.php?tid=27127678</t>
  </si>
  <si>
    <t>https://bbs.nga.cn/read.php?tid=23708327</t>
  </si>
  <si>
    <t>https://bbs.mihoyo.com/ys/article/2160993</t>
  </si>
  <si>
    <t>https://bbs.mihoyo.com/ys/article/6685663</t>
  </si>
  <si>
    <t>https://bbs.mihoyo.com/ys/article/2374578</t>
  </si>
  <si>
    <t>https://bbs.nga.cn/read.php?tid=29350995</t>
  </si>
  <si>
    <t>NGA账号</t>
  </si>
  <si>
    <t>zaclin</t>
  </si>
  <si>
    <t>米游社账号</t>
  </si>
</sst>
</file>

<file path=xl/styles.xml><?xml version="1.0" encoding="utf-8"?>
<styleSheet xmlns="http://schemas.openxmlformats.org/spreadsheetml/2006/main">
  <numFmts count="10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%"/>
    <numFmt numFmtId="42" formatCode="_ &quot;￥&quot;* #,##0_ ;_ &quot;￥&quot;* \-#,##0_ ;_ &quot;￥&quot;* &quot;-&quot;_ ;_ @_ "/>
    <numFmt numFmtId="178" formatCode="_ * #,##0_ ;_ * \-#,##0_ ;_ * &quot;-&quot;??_ ;_ @_ "/>
    <numFmt numFmtId="179" formatCode="0_ "/>
    <numFmt numFmtId="180" formatCode="#,##0_);[Red]\(#,##0\)"/>
    <numFmt numFmtId="181" formatCode="0_);[Red]\(0\)"/>
  </numFmts>
  <fonts count="23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微软雅黑"/>
      <charset val="134"/>
    </font>
    <font>
      <sz val="11"/>
      <color rgb="FFFFBA01"/>
      <name val="微软雅黑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1F3FF"/>
        <bgColor indexed="64"/>
      </patternFill>
    </fill>
    <fill>
      <patternFill patternType="solid">
        <fgColor rgb="FFD9F9AF"/>
        <bgColor indexed="64"/>
      </patternFill>
    </fill>
    <fill>
      <patternFill patternType="solid">
        <fgColor rgb="FFFFE8E1"/>
        <bgColor indexed="64"/>
      </patternFill>
    </fill>
    <fill>
      <patternFill patternType="solid">
        <fgColor rgb="FFFFF59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5" borderId="12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/>
    <xf numFmtId="0" fontId="2" fillId="0" borderId="0" xfId="7" applyFont="1" applyAlignment="1"/>
    <xf numFmtId="0" fontId="3" fillId="0" borderId="0" xfId="7" applyAlignment="1"/>
    <xf numFmtId="9" fontId="1" fillId="0" borderId="0" xfId="0" applyNumberFormat="1" applyFont="1" applyFill="1"/>
    <xf numFmtId="0" fontId="1" fillId="0" borderId="0" xfId="0" applyFont="1" applyFill="1" applyAlignment="1"/>
    <xf numFmtId="0" fontId="1" fillId="0" borderId="0" xfId="0" applyFont="1" applyFill="1"/>
    <xf numFmtId="0" fontId="4" fillId="0" borderId="0" xfId="0" applyFont="1"/>
    <xf numFmtId="9" fontId="1" fillId="0" borderId="0" xfId="0" applyNumberFormat="1" applyFont="1"/>
    <xf numFmtId="10" fontId="1" fillId="0" borderId="0" xfId="0" applyNumberFormat="1" applyFont="1"/>
    <xf numFmtId="177" fontId="1" fillId="0" borderId="0" xfId="6" applyNumberFormat="1" applyFont="1" applyAlignment="1"/>
    <xf numFmtId="0" fontId="1" fillId="0" borderId="1" xfId="0" applyFont="1" applyBorder="1"/>
    <xf numFmtId="0" fontId="4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178" fontId="4" fillId="3" borderId="3" xfId="2" applyNumberFormat="1" applyFont="1" applyFill="1" applyBorder="1" applyAlignment="1"/>
    <xf numFmtId="0" fontId="1" fillId="0" borderId="7" xfId="0" applyFont="1" applyBorder="1"/>
    <xf numFmtId="178" fontId="4" fillId="4" borderId="8" xfId="2" applyNumberFormat="1" applyFont="1" applyFill="1" applyBorder="1" applyAlignment="1"/>
    <xf numFmtId="178" fontId="4" fillId="4" borderId="6" xfId="2" applyNumberFormat="1" applyFont="1" applyFill="1" applyBorder="1" applyAlignment="1"/>
    <xf numFmtId="0" fontId="4" fillId="0" borderId="0" xfId="0" applyFont="1" applyBorder="1"/>
    <xf numFmtId="0" fontId="1" fillId="0" borderId="0" xfId="0" applyFont="1" applyBorder="1"/>
    <xf numFmtId="0" fontId="1" fillId="0" borderId="1" xfId="0" applyFont="1" applyFill="1" applyBorder="1" applyAlignment="1"/>
    <xf numFmtId="0" fontId="1" fillId="2" borderId="3" xfId="0" applyFont="1" applyFill="1" applyBorder="1" applyAlignment="1"/>
    <xf numFmtId="179" fontId="1" fillId="2" borderId="3" xfId="0" applyNumberFormat="1" applyFont="1" applyFill="1" applyBorder="1"/>
    <xf numFmtId="0" fontId="1" fillId="0" borderId="8" xfId="0" applyFont="1" applyFill="1" applyBorder="1" applyAlignment="1"/>
    <xf numFmtId="0" fontId="1" fillId="0" borderId="7" xfId="0" applyFont="1" applyFill="1" applyBorder="1" applyAlignment="1"/>
    <xf numFmtId="9" fontId="1" fillId="2" borderId="8" xfId="6" applyNumberFormat="1" applyFont="1" applyFill="1" applyBorder="1" applyAlignment="1"/>
    <xf numFmtId="0" fontId="1" fillId="2" borderId="8" xfId="0" applyFont="1" applyFill="1" applyBorder="1"/>
    <xf numFmtId="0" fontId="1" fillId="2" borderId="8" xfId="0" applyFont="1" applyFill="1" applyBorder="1" applyAlignment="1"/>
    <xf numFmtId="0" fontId="1" fillId="0" borderId="8" xfId="0" applyFont="1" applyBorder="1"/>
    <xf numFmtId="10" fontId="1" fillId="2" borderId="8" xfId="0" applyNumberFormat="1" applyFont="1" applyFill="1" applyBorder="1"/>
    <xf numFmtId="0" fontId="1" fillId="0" borderId="4" xfId="0" applyFont="1" applyFill="1" applyBorder="1" applyAlignment="1"/>
    <xf numFmtId="0" fontId="1" fillId="0" borderId="6" xfId="0" applyFont="1" applyFill="1" applyBorder="1" applyAlignment="1"/>
    <xf numFmtId="9" fontId="1" fillId="2" borderId="8" xfId="0" applyNumberFormat="1" applyFont="1" applyFill="1" applyBorder="1" applyAlignment="1"/>
    <xf numFmtId="0" fontId="1" fillId="0" borderId="0" xfId="0" applyFont="1" applyFill="1" applyBorder="1" applyAlignment="1"/>
    <xf numFmtId="9" fontId="1" fillId="2" borderId="6" xfId="0" applyNumberFormat="1" applyFont="1" applyFill="1" applyBorder="1"/>
    <xf numFmtId="9" fontId="1" fillId="2" borderId="8" xfId="0" applyNumberFormat="1" applyFont="1" applyFill="1" applyBorder="1"/>
    <xf numFmtId="177" fontId="1" fillId="5" borderId="3" xfId="6" applyNumberFormat="1" applyFont="1" applyFill="1" applyBorder="1" applyAlignment="1"/>
    <xf numFmtId="177" fontId="1" fillId="0" borderId="6" xfId="6" applyNumberFormat="1" applyFont="1" applyBorder="1" applyAlignment="1"/>
    <xf numFmtId="177" fontId="1" fillId="5" borderId="6" xfId="6" applyNumberFormat="1" applyFont="1" applyFill="1" applyBorder="1" applyAlignment="1"/>
    <xf numFmtId="0" fontId="4" fillId="0" borderId="0" xfId="0" applyFont="1" applyFill="1" applyBorder="1" applyAlignment="1"/>
    <xf numFmtId="9" fontId="1" fillId="2" borderId="3" xfId="0" applyNumberFormat="1" applyFont="1" applyFill="1" applyBorder="1" applyAlignment="1"/>
    <xf numFmtId="177" fontId="1" fillId="0" borderId="3" xfId="6" applyNumberFormat="1" applyFont="1" applyBorder="1" applyAlignment="1"/>
    <xf numFmtId="9" fontId="1" fillId="2" borderId="6" xfId="0" applyNumberFormat="1" applyFont="1" applyFill="1" applyBorder="1" applyAlignment="1"/>
    <xf numFmtId="9" fontId="1" fillId="2" borderId="6" xfId="6" applyNumberFormat="1" applyFont="1" applyFill="1" applyBorder="1" applyAlignment="1"/>
    <xf numFmtId="180" fontId="1" fillId="0" borderId="2" xfId="0" applyNumberFormat="1" applyFont="1" applyBorder="1"/>
    <xf numFmtId="180" fontId="1" fillId="0" borderId="2" xfId="0" applyNumberFormat="1" applyFont="1" applyFill="1" applyBorder="1"/>
    <xf numFmtId="0" fontId="1" fillId="0" borderId="3" xfId="0" applyFont="1" applyBorder="1"/>
    <xf numFmtId="180" fontId="1" fillId="0" borderId="0" xfId="0" applyNumberFormat="1" applyFont="1"/>
    <xf numFmtId="180" fontId="1" fillId="0" borderId="0" xfId="0" applyNumberFormat="1" applyFont="1" applyFill="1"/>
    <xf numFmtId="180" fontId="1" fillId="4" borderId="0" xfId="0" applyNumberFormat="1" applyFont="1" applyFill="1"/>
    <xf numFmtId="180" fontId="1" fillId="3" borderId="0" xfId="0" applyNumberFormat="1" applyFont="1" applyFill="1"/>
    <xf numFmtId="180" fontId="1" fillId="0" borderId="5" xfId="0" applyNumberFormat="1" applyFont="1" applyBorder="1"/>
    <xf numFmtId="180" fontId="1" fillId="0" borderId="5" xfId="0" applyNumberFormat="1" applyFont="1" applyFill="1" applyBorder="1"/>
    <xf numFmtId="0" fontId="1" fillId="0" borderId="5" xfId="0" applyFont="1" applyBorder="1"/>
    <xf numFmtId="0" fontId="1" fillId="0" borderId="6" xfId="0" applyFont="1" applyBorder="1"/>
    <xf numFmtId="180" fontId="1" fillId="0" borderId="6" xfId="0" applyNumberFormat="1" applyFont="1" applyBorder="1"/>
    <xf numFmtId="178" fontId="1" fillId="0" borderId="2" xfId="2" applyNumberFormat="1" applyFont="1" applyBorder="1" applyAlignment="1"/>
    <xf numFmtId="180" fontId="1" fillId="3" borderId="3" xfId="0" applyNumberFormat="1" applyFont="1" applyFill="1" applyBorder="1"/>
    <xf numFmtId="178" fontId="1" fillId="0" borderId="5" xfId="2" applyNumberFormat="1" applyFont="1" applyBorder="1" applyAlignment="1"/>
    <xf numFmtId="180" fontId="1" fillId="3" borderId="6" xfId="0" applyNumberFormat="1" applyFont="1" applyFill="1" applyBorder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0" fontId="1" fillId="2" borderId="0" xfId="0" applyNumberFormat="1" applyFont="1" applyFill="1" applyBorder="1" applyAlignment="1"/>
    <xf numFmtId="9" fontId="1" fillId="2" borderId="0" xfId="6" applyFont="1" applyFill="1" applyBorder="1" applyAlignment="1"/>
    <xf numFmtId="9" fontId="1" fillId="2" borderId="0" xfId="0" applyNumberFormat="1" applyFont="1" applyFill="1" applyBorder="1" applyAlignment="1"/>
    <xf numFmtId="10" fontId="1" fillId="2" borderId="5" xfId="0" applyNumberFormat="1" applyFont="1" applyFill="1" applyBorder="1" applyAlignment="1"/>
    <xf numFmtId="0" fontId="5" fillId="0" borderId="1" xfId="0" applyFont="1" applyBorder="1"/>
    <xf numFmtId="9" fontId="1" fillId="0" borderId="8" xfId="6" applyFont="1" applyBorder="1" applyAlignment="1"/>
    <xf numFmtId="9" fontId="1" fillId="0" borderId="0" xfId="6" applyNumberFormat="1" applyFont="1" applyFill="1" applyBorder="1" applyAlignment="1"/>
    <xf numFmtId="0" fontId="5" fillId="0" borderId="7" xfId="0" applyFont="1" applyBorder="1"/>
    <xf numFmtId="179" fontId="1" fillId="0" borderId="0" xfId="0" applyNumberFormat="1" applyFont="1"/>
    <xf numFmtId="179" fontId="1" fillId="0" borderId="8" xfId="0" applyNumberFormat="1" applyFont="1" applyBorder="1"/>
    <xf numFmtId="176" fontId="1" fillId="0" borderId="8" xfId="0" applyNumberFormat="1" applyFont="1" applyBorder="1"/>
    <xf numFmtId="178" fontId="1" fillId="0" borderId="2" xfId="2" applyNumberFormat="1" applyFont="1" applyBorder="1" applyAlignment="1"/>
    <xf numFmtId="180" fontId="1" fillId="0" borderId="3" xfId="0" applyNumberFormat="1" applyFont="1" applyBorder="1"/>
    <xf numFmtId="178" fontId="1" fillId="0" borderId="0" xfId="2" applyNumberFormat="1" applyFont="1" applyBorder="1" applyAlignment="1"/>
    <xf numFmtId="180" fontId="1" fillId="0" borderId="8" xfId="0" applyNumberFormat="1" applyFont="1" applyBorder="1"/>
    <xf numFmtId="181" fontId="1" fillId="0" borderId="0" xfId="0" applyNumberFormat="1" applyFont="1"/>
    <xf numFmtId="9" fontId="1" fillId="0" borderId="5" xfId="6" applyFont="1" applyBorder="1" applyAlignment="1"/>
    <xf numFmtId="181" fontId="1" fillId="0" borderId="5" xfId="0" applyNumberFormat="1" applyFont="1" applyBorder="1"/>
    <xf numFmtId="181" fontId="1" fillId="0" borderId="6" xfId="0" applyNumberFormat="1" applyFont="1" applyBorder="1"/>
    <xf numFmtId="177" fontId="1" fillId="2" borderId="6" xfId="0" applyNumberFormat="1" applyFont="1" applyFill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9FE3FF"/>
      <color rgb="00FFD851"/>
      <color rgb="00FFC411"/>
      <color rgb="00FFD305"/>
      <color rgb="00FFBA01"/>
      <color rgb="00FFF59B"/>
      <color rgb="00FFE8E1"/>
      <color rgb="00D9F9AF"/>
      <color rgb="00D1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6" Type="http://schemas.openxmlformats.org/officeDocument/2006/relationships/hyperlink" Target="https://bbs.nga.cn/read.php?tid=29350995" TargetMode="External"/><Relationship Id="rId5" Type="http://schemas.openxmlformats.org/officeDocument/2006/relationships/hyperlink" Target="https://bbs.mihoyo.com/ys/article/2374578" TargetMode="External"/><Relationship Id="rId4" Type="http://schemas.openxmlformats.org/officeDocument/2006/relationships/hyperlink" Target="https://bbs.mihoyo.com/ys/article/6685663" TargetMode="External"/><Relationship Id="rId3" Type="http://schemas.openxmlformats.org/officeDocument/2006/relationships/hyperlink" Target="https://bbs.mihoyo.com/ys/article/2160993" TargetMode="External"/><Relationship Id="rId2" Type="http://schemas.openxmlformats.org/officeDocument/2006/relationships/hyperlink" Target="https://bbs.nga.cn/read.php?tid=23708327" TargetMode="External"/><Relationship Id="rId1" Type="http://schemas.openxmlformats.org/officeDocument/2006/relationships/hyperlink" Target="https://bbs.nga.cn/read.php?tid=27127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tabSelected="1" workbookViewId="0">
      <selection activeCell="A1" sqref="A1"/>
    </sheetView>
  </sheetViews>
  <sheetFormatPr defaultColWidth="21.3157894736842" defaultRowHeight="15.3"/>
  <cols>
    <col min="1" max="16384" width="21.3157894736842" style="1" customWidth="1"/>
  </cols>
  <sheetData>
    <row r="1" ht="16.2" spans="1:3">
      <c r="A1" s="11" t="s">
        <v>0</v>
      </c>
      <c r="B1" s="12" t="s">
        <v>1</v>
      </c>
      <c r="C1" s="13"/>
    </row>
    <row r="2" spans="1:3">
      <c r="A2" s="14" t="s">
        <v>2</v>
      </c>
      <c r="B2" s="15" t="s">
        <v>3</v>
      </c>
      <c r="C2" s="16"/>
    </row>
    <row r="3" spans="2:2">
      <c r="B3" s="6"/>
    </row>
    <row r="4" ht="16.2" spans="1:1">
      <c r="A4" s="7" t="s">
        <v>4</v>
      </c>
    </row>
    <row r="5" ht="16.2" spans="1:2">
      <c r="A5" s="11" t="s">
        <v>5</v>
      </c>
      <c r="B5" s="17">
        <f>G40+G50+G41+G59+G41+G59</f>
        <v>329695.160373573</v>
      </c>
    </row>
    <row r="6" ht="16.2" spans="1:2">
      <c r="A6" s="18" t="s">
        <v>6</v>
      </c>
      <c r="B6" s="19">
        <f>G39+G49+G39+G39</f>
        <v>233332.742450291</v>
      </c>
    </row>
    <row r="7" ht="16.2" spans="1:2">
      <c r="A7" s="14" t="s">
        <v>7</v>
      </c>
      <c r="B7" s="20">
        <f>G49+G39+G39</f>
        <v>189897.471437985</v>
      </c>
    </row>
    <row r="9" ht="16.2" spans="1:13">
      <c r="A9" s="21" t="s">
        <v>8</v>
      </c>
      <c r="B9" s="22"/>
      <c r="D9" s="7" t="s">
        <v>9</v>
      </c>
      <c r="G9" s="7" t="s">
        <v>10</v>
      </c>
      <c r="J9" s="42" t="s">
        <v>11</v>
      </c>
      <c r="K9" s="22"/>
      <c r="L9" s="36"/>
      <c r="M9" s="22"/>
    </row>
    <row r="10" spans="1:13">
      <c r="A10" s="11" t="s">
        <v>12</v>
      </c>
      <c r="B10" s="13">
        <v>1616</v>
      </c>
      <c r="D10" s="23" t="s">
        <v>13</v>
      </c>
      <c r="E10" s="24" t="s">
        <v>14</v>
      </c>
      <c r="G10" s="11" t="s">
        <v>15</v>
      </c>
      <c r="H10" s="25">
        <f>(191+608)*1.12</f>
        <v>894.88</v>
      </c>
      <c r="J10" s="23" t="s">
        <v>16</v>
      </c>
      <c r="K10" s="63"/>
      <c r="L10" s="64"/>
      <c r="M10" s="22"/>
    </row>
    <row r="11" spans="1:13">
      <c r="A11" s="18" t="s">
        <v>17</v>
      </c>
      <c r="B11" s="26">
        <f>人物!B6+伤害计算!E12</f>
        <v>905</v>
      </c>
      <c r="D11" s="27" t="s">
        <v>18</v>
      </c>
      <c r="E11" s="26">
        <v>90</v>
      </c>
      <c r="G11" s="27" t="s">
        <v>19</v>
      </c>
      <c r="H11" s="28">
        <v>0.5</v>
      </c>
      <c r="J11" s="27" t="s">
        <v>20</v>
      </c>
      <c r="K11" s="65">
        <v>0.8263</v>
      </c>
      <c r="L11" s="26"/>
      <c r="M11" s="22"/>
    </row>
    <row r="12" spans="1:13">
      <c r="A12" s="18" t="s">
        <v>21</v>
      </c>
      <c r="B12" s="29">
        <v>729</v>
      </c>
      <c r="D12" s="27" t="s">
        <v>22</v>
      </c>
      <c r="E12" s="30">
        <v>608</v>
      </c>
      <c r="G12" s="18"/>
      <c r="H12" s="31"/>
      <c r="J12" s="27" t="s">
        <v>23</v>
      </c>
      <c r="K12" s="66">
        <f>79%+137.14%</f>
        <v>2.1614</v>
      </c>
      <c r="L12" s="26"/>
      <c r="M12" s="22"/>
    </row>
    <row r="13" spans="1:13">
      <c r="A13" s="18" t="s">
        <v>24</v>
      </c>
      <c r="B13" s="32">
        <v>0.629</v>
      </c>
      <c r="D13" s="33" t="s">
        <v>25</v>
      </c>
      <c r="E13" s="34" t="s">
        <v>26</v>
      </c>
      <c r="G13" s="27" t="s">
        <v>27</v>
      </c>
      <c r="H13" s="35">
        <v>0.5</v>
      </c>
      <c r="J13" s="27" t="s">
        <v>28</v>
      </c>
      <c r="K13" s="65">
        <v>1.5035</v>
      </c>
      <c r="L13" s="26"/>
      <c r="M13" s="22"/>
    </row>
    <row r="14" spans="1:12">
      <c r="A14" s="18" t="s">
        <v>29</v>
      </c>
      <c r="B14" s="32">
        <v>1.044</v>
      </c>
      <c r="D14" s="36"/>
      <c r="E14" s="36"/>
      <c r="G14" s="27" t="s">
        <v>19</v>
      </c>
      <c r="H14" s="28">
        <v>0.5</v>
      </c>
      <c r="J14" s="27" t="s">
        <v>30</v>
      </c>
      <c r="K14" s="65">
        <v>3.0063</v>
      </c>
      <c r="L14" s="26"/>
    </row>
    <row r="15" ht="16.2" spans="1:12">
      <c r="A15" s="18" t="s">
        <v>31</v>
      </c>
      <c r="B15" s="32">
        <v>1.473</v>
      </c>
      <c r="D15" s="21" t="s">
        <v>32</v>
      </c>
      <c r="E15" s="22"/>
      <c r="G15" s="18"/>
      <c r="H15" s="31"/>
      <c r="J15" s="27" t="s">
        <v>33</v>
      </c>
      <c r="K15" s="65">
        <v>3.755</v>
      </c>
      <c r="L15" s="26" t="s">
        <v>34</v>
      </c>
    </row>
    <row r="16" spans="1:12">
      <c r="A16" s="14" t="s">
        <v>35</v>
      </c>
      <c r="B16" s="37">
        <v>0.15</v>
      </c>
      <c r="D16" s="11" t="s">
        <v>18</v>
      </c>
      <c r="E16" s="24">
        <v>85</v>
      </c>
      <c r="G16" s="18" t="s">
        <v>36</v>
      </c>
      <c r="H16" s="29">
        <v>0</v>
      </c>
      <c r="J16" s="27"/>
      <c r="K16" s="36"/>
      <c r="L16" s="26"/>
    </row>
    <row r="17" spans="4:12">
      <c r="D17" s="18" t="s">
        <v>37</v>
      </c>
      <c r="E17" s="38">
        <v>0.1</v>
      </c>
      <c r="G17" s="27" t="s">
        <v>19</v>
      </c>
      <c r="H17" s="28">
        <v>0</v>
      </c>
      <c r="J17" s="27" t="s">
        <v>38</v>
      </c>
      <c r="K17" s="36"/>
      <c r="L17" s="26"/>
    </row>
    <row r="18" ht="16.2" spans="1:12">
      <c r="A18" s="7" t="s">
        <v>39</v>
      </c>
      <c r="D18" s="18" t="s">
        <v>40</v>
      </c>
      <c r="E18" s="38">
        <v>-0.3</v>
      </c>
      <c r="G18" s="18"/>
      <c r="H18" s="31"/>
      <c r="J18" s="27" t="s">
        <v>41</v>
      </c>
      <c r="K18" s="67">
        <v>3.84</v>
      </c>
      <c r="L18" s="26"/>
    </row>
    <row r="19" spans="1:12">
      <c r="A19" s="11" t="s">
        <v>42</v>
      </c>
      <c r="B19" s="39">
        <f>B12*0.04%</f>
        <v>0.2916</v>
      </c>
      <c r="D19" s="14" t="s">
        <v>43</v>
      </c>
      <c r="E19" s="40">
        <f>(E11+100)/(E16+E11+200)</f>
        <v>0.506666666666667</v>
      </c>
      <c r="G19" s="18" t="s">
        <v>44</v>
      </c>
      <c r="H19" s="38">
        <v>0</v>
      </c>
      <c r="J19" s="27" t="s">
        <v>45</v>
      </c>
      <c r="K19" s="65">
        <v>5.216</v>
      </c>
      <c r="L19" s="26"/>
    </row>
    <row r="20" spans="1:12">
      <c r="A20" s="14" t="s">
        <v>46</v>
      </c>
      <c r="B20" s="41">
        <f>(B12+200)*0.04%</f>
        <v>0.3716</v>
      </c>
      <c r="G20" s="27" t="s">
        <v>19</v>
      </c>
      <c r="H20" s="28">
        <v>0</v>
      </c>
      <c r="J20" s="27" t="s">
        <v>47</v>
      </c>
      <c r="K20" s="65">
        <f>K15</f>
        <v>3.755</v>
      </c>
      <c r="L20" s="26" t="s">
        <v>48</v>
      </c>
    </row>
    <row r="21" ht="16.2" spans="4:12">
      <c r="D21" s="42" t="s">
        <v>49</v>
      </c>
      <c r="E21" s="36"/>
      <c r="G21" s="18"/>
      <c r="H21" s="31"/>
      <c r="J21" s="27" t="s">
        <v>50</v>
      </c>
      <c r="K21" s="67">
        <v>2</v>
      </c>
      <c r="L21" s="26" t="s">
        <v>51</v>
      </c>
    </row>
    <row r="22" ht="16.2" spans="1:12">
      <c r="A22" s="7" t="s">
        <v>52</v>
      </c>
      <c r="D22" s="23" t="s">
        <v>53</v>
      </c>
      <c r="E22" s="43">
        <v>0.15</v>
      </c>
      <c r="G22" s="27" t="s">
        <v>53</v>
      </c>
      <c r="H22" s="35">
        <v>0</v>
      </c>
      <c r="J22" s="27"/>
      <c r="K22" s="36"/>
      <c r="L22" s="26"/>
    </row>
    <row r="23" spans="1:12">
      <c r="A23" s="11" t="s">
        <v>54</v>
      </c>
      <c r="B23" s="44">
        <f>B12*0.2%</f>
        <v>1.458</v>
      </c>
      <c r="D23" s="27" t="s">
        <v>55</v>
      </c>
      <c r="E23" s="35">
        <v>0</v>
      </c>
      <c r="G23" s="27" t="s">
        <v>19</v>
      </c>
      <c r="H23" s="28">
        <v>0</v>
      </c>
      <c r="J23" s="27" t="s">
        <v>56</v>
      </c>
      <c r="K23" s="36"/>
      <c r="L23" s="26"/>
    </row>
    <row r="24" spans="1:12">
      <c r="A24" s="14" t="s">
        <v>57</v>
      </c>
      <c r="B24" s="40">
        <f>(B12+200)*0.2%</f>
        <v>1.858</v>
      </c>
      <c r="D24" s="27" t="s">
        <v>58</v>
      </c>
      <c r="E24" s="35">
        <v>0</v>
      </c>
      <c r="G24" s="18"/>
      <c r="H24" s="31"/>
      <c r="J24" s="27" t="s">
        <v>59</v>
      </c>
      <c r="K24" s="65">
        <v>5.248</v>
      </c>
      <c r="L24" s="26"/>
    </row>
    <row r="25" spans="4:12">
      <c r="D25" s="27" t="s">
        <v>60</v>
      </c>
      <c r="E25" s="30">
        <v>0</v>
      </c>
      <c r="G25" s="27" t="s">
        <v>55</v>
      </c>
      <c r="H25" s="35">
        <v>0.24</v>
      </c>
      <c r="J25" s="27" t="s">
        <v>61</v>
      </c>
      <c r="K25" s="67">
        <v>2.4</v>
      </c>
      <c r="L25" s="26" t="s">
        <v>62</v>
      </c>
    </row>
    <row r="26" spans="4:12">
      <c r="D26" s="33" t="s">
        <v>44</v>
      </c>
      <c r="E26" s="45">
        <v>0</v>
      </c>
      <c r="G26" s="33" t="s">
        <v>19</v>
      </c>
      <c r="H26" s="46">
        <v>0.5</v>
      </c>
      <c r="J26" s="33" t="s">
        <v>63</v>
      </c>
      <c r="K26" s="68">
        <v>0.72</v>
      </c>
      <c r="L26" s="34" t="s">
        <v>51</v>
      </c>
    </row>
    <row r="28" ht="16.2" spans="1:10">
      <c r="A28" s="1" t="s">
        <v>64</v>
      </c>
      <c r="J28" s="7" t="s">
        <v>65</v>
      </c>
    </row>
    <row r="29" spans="10:11">
      <c r="J29" s="69" t="s">
        <v>66</v>
      </c>
      <c r="K29" s="49"/>
    </row>
    <row r="30" ht="16.2" spans="1:11">
      <c r="A30" s="7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73</v>
      </c>
      <c r="J30" s="18" t="s">
        <v>74</v>
      </c>
      <c r="K30" s="70">
        <f>E17-E26</f>
        <v>0.1</v>
      </c>
    </row>
    <row r="31" spans="1:11">
      <c r="A31" s="11" t="s">
        <v>75</v>
      </c>
      <c r="B31" s="47">
        <f>C31*(1+$B$14)</f>
        <v>7519.027396608</v>
      </c>
      <c r="C31" s="48">
        <f>K43*K18*K48*K31*$E$19</f>
        <v>3678.584832</v>
      </c>
      <c r="D31" s="48">
        <f>C31*$K$46</f>
        <v>6094.22320513843</v>
      </c>
      <c r="E31" s="47">
        <f t="shared" ref="E31:E38" si="0">F31*(1+$B$14)</f>
        <v>13788.2026030694</v>
      </c>
      <c r="F31" s="48">
        <f>K44*K18*K35*K58*E19</f>
        <v>6745.69598976</v>
      </c>
      <c r="G31" s="48">
        <f>K45*K18*K68*E19*K46</f>
        <v>9594.25325259448</v>
      </c>
      <c r="H31" s="49"/>
      <c r="J31" s="18" t="s">
        <v>76</v>
      </c>
      <c r="K31" s="31">
        <f t="shared" ref="K31:K35" si="1">IF(K30&lt;0,(1-K30/2),(1-K30))</f>
        <v>0.9</v>
      </c>
    </row>
    <row r="32" spans="1:11">
      <c r="A32" s="18" t="s">
        <v>77</v>
      </c>
      <c r="B32" s="50">
        <f t="shared" ref="B32:B38" si="2">C32*(1+$B$14)</f>
        <v>10213.3455470592</v>
      </c>
      <c r="C32" s="51">
        <f>K43*K19*K48*K31*$E$19</f>
        <v>4996.7443968</v>
      </c>
      <c r="D32" s="51">
        <f t="shared" ref="D32:D38" si="3">C32*$K$46</f>
        <v>8277.98652031304</v>
      </c>
      <c r="E32" s="50">
        <f t="shared" si="0"/>
        <v>18728.9752025027</v>
      </c>
      <c r="F32" s="51">
        <f>K44*K19*K58*K35*$E$19</f>
        <v>9162.903719424</v>
      </c>
      <c r="G32" s="51">
        <f>K45*K19*K68*E19*K46</f>
        <v>13032.1940014408</v>
      </c>
      <c r="H32" s="31"/>
      <c r="J32" s="18" t="s">
        <v>78</v>
      </c>
      <c r="K32" s="70">
        <f>E18-E26</f>
        <v>-0.3</v>
      </c>
    </row>
    <row r="33" spans="1:11">
      <c r="A33" s="18" t="s">
        <v>79</v>
      </c>
      <c r="B33" s="50">
        <f t="shared" si="2"/>
        <v>7352.590592256</v>
      </c>
      <c r="C33" s="51">
        <f>K43*K20*K49*K31*$E$19</f>
        <v>3597.157824</v>
      </c>
      <c r="D33" s="51">
        <f t="shared" si="3"/>
        <v>5959.32503523303</v>
      </c>
      <c r="E33" s="50">
        <f t="shared" si="0"/>
        <v>15972.1632998337</v>
      </c>
      <c r="F33" s="51">
        <f>K44*K20*K59*K35*$E$19</f>
        <v>7814.169911856</v>
      </c>
      <c r="G33" s="51">
        <f>K45*K20*K69*E19*K46</f>
        <v>10247.9001939421</v>
      </c>
      <c r="H33" s="31"/>
      <c r="J33" s="18" t="s">
        <v>80</v>
      </c>
      <c r="K33" s="31">
        <f t="shared" si="1"/>
        <v>1.15</v>
      </c>
    </row>
    <row r="34" spans="1:11">
      <c r="A34" s="18" t="s">
        <v>81</v>
      </c>
      <c r="B34" s="50">
        <f t="shared" si="2"/>
        <v>15598.803733417</v>
      </c>
      <c r="C34" s="51">
        <f>K43*K20*K50*K31*$E$19</f>
        <v>7631.50867584</v>
      </c>
      <c r="D34" s="51">
        <f t="shared" si="3"/>
        <v>12642.9372670559</v>
      </c>
      <c r="E34" s="50">
        <f t="shared" si="0"/>
        <v>31093.8607616242</v>
      </c>
      <c r="F34" s="51">
        <f>K44*K20*K60*K35*$E$19</f>
        <v>15212.2606465872</v>
      </c>
      <c r="G34" s="51">
        <f>K45*K20*K70*E19*K46</f>
        <v>20770.039970539</v>
      </c>
      <c r="H34" s="31"/>
      <c r="J34" s="18" t="s">
        <v>82</v>
      </c>
      <c r="K34" s="70">
        <f>E17-E26-H19</f>
        <v>0.1</v>
      </c>
    </row>
    <row r="35" spans="1:11">
      <c r="A35" s="18" t="s">
        <v>83</v>
      </c>
      <c r="B35" s="50">
        <f t="shared" si="2"/>
        <v>5549.03150783147</v>
      </c>
      <c r="C35" s="51">
        <f>K43*K21*K54*K33*$E$19</f>
        <v>2714.79036586667</v>
      </c>
      <c r="D35" s="51">
        <f t="shared" si="3"/>
        <v>4497.52804416253</v>
      </c>
      <c r="E35" s="50">
        <f t="shared" si="0"/>
        <v>11869.7372337606</v>
      </c>
      <c r="F35" s="51">
        <f>K44*K21*K64*K37*$E$19</f>
        <v>5807.11214958933</v>
      </c>
      <c r="G35" s="51">
        <f>K45*K21*K74*E19*K46</f>
        <v>6002.55844521296</v>
      </c>
      <c r="H35" s="31"/>
      <c r="J35" s="18" t="s">
        <v>84</v>
      </c>
      <c r="K35" s="31">
        <f t="shared" si="1"/>
        <v>0.9</v>
      </c>
    </row>
    <row r="36" spans="1:11">
      <c r="A36" s="18" t="s">
        <v>85</v>
      </c>
      <c r="B36" s="50">
        <f t="shared" si="2"/>
        <v>11161.1901776555</v>
      </c>
      <c r="C36" s="51">
        <f>K43*K21*K55*K33*$E$19</f>
        <v>5460.46486186667</v>
      </c>
      <c r="D36" s="51">
        <f t="shared" si="3"/>
        <v>9046.22108549782</v>
      </c>
      <c r="E36" s="50">
        <f t="shared" si="0"/>
        <v>22161.1721093689</v>
      </c>
      <c r="F36" s="51">
        <f>K44*K21*K65*K37*$E$19</f>
        <v>10842.0607188693</v>
      </c>
      <c r="G36" s="51">
        <f>K45*K21*K75*E19*K46</f>
        <v>11606.8938788198</v>
      </c>
      <c r="H36" s="31"/>
      <c r="J36" s="18" t="s">
        <v>86</v>
      </c>
      <c r="K36" s="70">
        <f>E18-E26-H19</f>
        <v>-0.3</v>
      </c>
    </row>
    <row r="37" spans="1:14">
      <c r="A37" s="18" t="s">
        <v>87</v>
      </c>
      <c r="B37" s="50">
        <f t="shared" si="2"/>
        <v>17861.139300265</v>
      </c>
      <c r="C37" s="51">
        <f>K43*K20*K51*K31*$E$19</f>
        <v>8738.32646784</v>
      </c>
      <c r="D37" s="51">
        <f t="shared" si="3"/>
        <v>14476.5757394353</v>
      </c>
      <c r="E37" s="50">
        <f t="shared" si="0"/>
        <v>35242.4746057369</v>
      </c>
      <c r="F37" s="51">
        <f>K44*K20*K61*K35*$E$19</f>
        <v>17241.9151691472</v>
      </c>
      <c r="G37" s="51">
        <f>K45*K20*K76*E19*K46</f>
        <v>25256.0221962816</v>
      </c>
      <c r="H37" s="31"/>
      <c r="J37" s="18" t="s">
        <v>88</v>
      </c>
      <c r="K37" s="31">
        <f>IF(K36&lt;0,(1-K36/2),(1-K36))</f>
        <v>1.15</v>
      </c>
      <c r="N37" s="36"/>
    </row>
    <row r="38" spans="1:15">
      <c r="A38" s="18" t="s">
        <v>89</v>
      </c>
      <c r="B38" s="50">
        <f t="shared" si="2"/>
        <v>13008.8144310955</v>
      </c>
      <c r="C38" s="51">
        <f>K43*K21*K56*K33*$E$19</f>
        <v>6364.39062186667</v>
      </c>
      <c r="D38" s="51">
        <f t="shared" si="3"/>
        <v>10543.7331978716</v>
      </c>
      <c r="E38" s="50">
        <f t="shared" si="0"/>
        <v>25549.2988173881</v>
      </c>
      <c r="F38" s="51">
        <f>K44*K21*K66*K37*$E$19</f>
        <v>12499.6569556693</v>
      </c>
      <c r="G38" s="51">
        <f>K45*K21*K76*E19*K46</f>
        <v>13451.9425812419</v>
      </c>
      <c r="H38" s="31"/>
      <c r="J38" s="18" t="s">
        <v>90</v>
      </c>
      <c r="K38" s="31">
        <f>K31*(1-H20)+K35*H20</f>
        <v>0.9</v>
      </c>
      <c r="N38" s="36"/>
      <c r="O38" s="36"/>
    </row>
    <row r="39" spans="1:15">
      <c r="A39" s="18" t="s">
        <v>91</v>
      </c>
      <c r="D39" s="50">
        <f>D31+D33+D35+B63*3</f>
        <v>34141.635405091</v>
      </c>
      <c r="G39" s="52">
        <f>G31+G33+G35+D63*3</f>
        <v>43435.2710123065</v>
      </c>
      <c r="H39" s="31"/>
      <c r="J39" s="18" t="s">
        <v>92</v>
      </c>
      <c r="K39" s="31">
        <f>K33*(1-H20)+K37*H20</f>
        <v>1.15</v>
      </c>
      <c r="N39" s="36"/>
      <c r="O39" s="71"/>
    </row>
    <row r="40" spans="1:11">
      <c r="A40" s="18" t="s">
        <v>93</v>
      </c>
      <c r="D40" s="51">
        <f>D31+D34+D36+B63*3</f>
        <v>45373.9406782491</v>
      </c>
      <c r="G40" s="53">
        <f>G31+G34+G36+D63*3</f>
        <v>59561.7462225103</v>
      </c>
      <c r="H40" s="31"/>
      <c r="J40" s="72" t="s">
        <v>94</v>
      </c>
      <c r="K40" s="31"/>
    </row>
    <row r="41" spans="1:11">
      <c r="A41" s="18" t="s">
        <v>95</v>
      </c>
      <c r="D41" s="51">
        <f>D31+D37+D38+B64*3</f>
        <v>51102.7970246577</v>
      </c>
      <c r="G41" s="53">
        <f>G31+G37+G38+D64*3</f>
        <v>68290.4829123303</v>
      </c>
      <c r="H41" s="31"/>
      <c r="J41" s="18" t="s">
        <v>96</v>
      </c>
      <c r="K41" s="31">
        <f>B12*(1-H17)+(B12+H16)*H17</f>
        <v>729</v>
      </c>
    </row>
    <row r="42" spans="1:11">
      <c r="A42" s="14" t="s">
        <v>97</v>
      </c>
      <c r="B42" s="54"/>
      <c r="C42" s="55"/>
      <c r="D42" s="55"/>
      <c r="E42" s="56"/>
      <c r="F42" s="55"/>
      <c r="G42" s="55"/>
      <c r="H42" s="57"/>
      <c r="J42" s="1" t="s">
        <v>98</v>
      </c>
      <c r="K42" s="1">
        <f>B12+H16</f>
        <v>729</v>
      </c>
    </row>
    <row r="43" spans="2:11">
      <c r="B43" s="50"/>
      <c r="C43" s="51"/>
      <c r="D43" s="51"/>
      <c r="F43" s="51"/>
      <c r="G43" s="51"/>
      <c r="J43" s="18" t="s">
        <v>99</v>
      </c>
      <c r="K43" s="31">
        <f>($B$10+B11*E24+E25)</f>
        <v>1616</v>
      </c>
    </row>
    <row r="44" ht="16.2" spans="1:11">
      <c r="A44" s="7" t="s">
        <v>100</v>
      </c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J44" s="1" t="s">
        <v>101</v>
      </c>
      <c r="K44" s="73">
        <f>K43+H10+H13*B11</f>
        <v>2963.38</v>
      </c>
    </row>
    <row r="45" spans="1:11">
      <c r="A45" s="11" t="s">
        <v>59</v>
      </c>
      <c r="B45" s="47">
        <f t="shared" ref="B45:B48" si="4">C45*(1+$B$14)</f>
        <v>10276.0041086976</v>
      </c>
      <c r="C45" s="48">
        <f>K43*K24*K48*K31*$E$19</f>
        <v>5027.3992704</v>
      </c>
      <c r="D45" s="48">
        <f t="shared" ref="D45:D48" si="5">C45*$K$46</f>
        <v>8328.77171368919</v>
      </c>
      <c r="E45" s="47">
        <f t="shared" ref="E45:E48" si="6">F45*(1+$B$14)</f>
        <v>18843.8768908616</v>
      </c>
      <c r="F45" s="48">
        <f>K44*K24*K35*K58*E19</f>
        <v>9219.117852672</v>
      </c>
      <c r="G45" s="48">
        <f>K45*K24*K38*K68*E19*K46</f>
        <v>11800.9315006912</v>
      </c>
      <c r="H45" s="49"/>
      <c r="J45" s="18" t="s">
        <v>102</v>
      </c>
      <c r="K45" s="74">
        <f>($B$10+B11*E24+E25+H10*H11+B11*H13*H14)</f>
        <v>2289.69</v>
      </c>
    </row>
    <row r="46" spans="1:11">
      <c r="A46" s="18" t="s">
        <v>103</v>
      </c>
      <c r="B46" s="50">
        <f t="shared" si="4"/>
        <v>4699.39212288</v>
      </c>
      <c r="C46" s="51">
        <f>K43*K25*K48*K31*$E$19</f>
        <v>2299.11552</v>
      </c>
      <c r="D46" s="51">
        <f t="shared" si="5"/>
        <v>3808.88950321152</v>
      </c>
      <c r="E46" s="50">
        <f t="shared" si="6"/>
        <v>8617.6266269184</v>
      </c>
      <c r="F46" s="51">
        <f>K44*K25*K35*K58*E19</f>
        <v>4216.0599936</v>
      </c>
      <c r="G46" s="51">
        <f>K45*K25*K38*K68*E19*K46</f>
        <v>5396.7674545844</v>
      </c>
      <c r="H46" s="31"/>
      <c r="J46" s="18" t="s">
        <v>104</v>
      </c>
      <c r="K46" s="75">
        <f>B13*B14+1</f>
        <v>1.656676</v>
      </c>
    </row>
    <row r="47" spans="1:11">
      <c r="A47" s="18" t="s">
        <v>105</v>
      </c>
      <c r="B47" s="50">
        <f t="shared" si="4"/>
        <v>1997.65134281933</v>
      </c>
      <c r="C47" s="51">
        <f>K43*K26*K52*K33*$E$19</f>
        <v>977.324531712</v>
      </c>
      <c r="D47" s="51">
        <f t="shared" si="5"/>
        <v>1619.11009589851</v>
      </c>
      <c r="E47" s="50">
        <f t="shared" si="6"/>
        <v>3663.24259671036</v>
      </c>
      <c r="F47" s="51">
        <f>K44*K26*K37*K62*E19</f>
        <v>1792.19305122816</v>
      </c>
      <c r="G47" s="51">
        <f>K45*K26*K39*K72*E19*K46</f>
        <v>2294.09665561749</v>
      </c>
      <c r="H47" s="31"/>
      <c r="J47" s="72" t="s">
        <v>106</v>
      </c>
      <c r="K47" s="31"/>
    </row>
    <row r="48" spans="1:11">
      <c r="A48" s="18" t="s">
        <v>107</v>
      </c>
      <c r="B48" s="50">
        <f t="shared" si="4"/>
        <v>2108.50879802573</v>
      </c>
      <c r="C48" s="51">
        <f>K43*K26*K53*K33*$E$19</f>
        <v>1031.560077312</v>
      </c>
      <c r="D48" s="51">
        <f t="shared" si="5"/>
        <v>1708.96082264094</v>
      </c>
      <c r="E48" s="50">
        <f t="shared" si="6"/>
        <v>3866.53019919151</v>
      </c>
      <c r="F48" s="51">
        <f>K44*K26*K37*K63*E19</f>
        <v>1891.64882543616</v>
      </c>
      <c r="G48" s="51">
        <f>K45*K26*K39*K73*E19*K46</f>
        <v>2421.4050160846</v>
      </c>
      <c r="H48" s="31"/>
      <c r="J48" s="18" t="s">
        <v>108</v>
      </c>
      <c r="K48" s="31">
        <f>(1+$B$16+E22)</f>
        <v>1.3</v>
      </c>
    </row>
    <row r="49" spans="1:11">
      <c r="A49" s="18" t="s">
        <v>109</v>
      </c>
      <c r="B49" s="50"/>
      <c r="C49" s="51"/>
      <c r="D49" s="51">
        <f>D45+D46*5+D47*5+B63*9</f>
        <v>88240.4470709103</v>
      </c>
      <c r="G49" s="52">
        <f>G45+G46*5+G47*5+D63*9</f>
        <v>103026.929413372</v>
      </c>
      <c r="H49" s="31"/>
      <c r="J49" s="18" t="s">
        <v>110</v>
      </c>
      <c r="K49" s="31">
        <f>(1+$B$16+$E$22+$E$23)</f>
        <v>1.3</v>
      </c>
    </row>
    <row r="50" spans="1:11">
      <c r="A50" s="18" t="s">
        <v>111</v>
      </c>
      <c r="B50" s="50"/>
      <c r="C50" s="51"/>
      <c r="D50" s="51">
        <f>D45+D46*5+D48*5+B64*9</f>
        <v>95882.8179895885</v>
      </c>
      <c r="G50" s="53">
        <f>G45+G46*5+G48*5+D64*9</f>
        <v>110856.588500673</v>
      </c>
      <c r="H50" s="31"/>
      <c r="J50" s="18" t="s">
        <v>112</v>
      </c>
      <c r="K50" s="31">
        <f>(1+$B$16+$E$22+$E$23+B23)</f>
        <v>2.758</v>
      </c>
    </row>
    <row r="51" spans="1:11">
      <c r="A51" s="14" t="s">
        <v>113</v>
      </c>
      <c r="B51" s="54"/>
      <c r="C51" s="55"/>
      <c r="D51" s="55"/>
      <c r="E51" s="56"/>
      <c r="F51" s="55"/>
      <c r="G51" s="55"/>
      <c r="H51" s="57"/>
      <c r="J51" s="18" t="s">
        <v>114</v>
      </c>
      <c r="K51" s="31">
        <f>(1+$B$16+$E$22+$E$23+B24)</f>
        <v>3.158</v>
      </c>
    </row>
    <row r="52" spans="2:11">
      <c r="B52" s="50"/>
      <c r="C52" s="51"/>
      <c r="D52" s="51"/>
      <c r="F52" s="51"/>
      <c r="G52" s="51"/>
      <c r="J52" s="18" t="s">
        <v>115</v>
      </c>
      <c r="K52" s="31">
        <f>(1+$E$22+B19)</f>
        <v>1.4416</v>
      </c>
    </row>
    <row r="53" ht="16.2" spans="1:11">
      <c r="A53" s="7" t="s">
        <v>116</v>
      </c>
      <c r="B53" s="1" t="s">
        <v>68</v>
      </c>
      <c r="C53" s="1" t="s">
        <v>69</v>
      </c>
      <c r="D53" s="1" t="s">
        <v>70</v>
      </c>
      <c r="E53" s="1" t="s">
        <v>71</v>
      </c>
      <c r="F53" s="1" t="s">
        <v>72</v>
      </c>
      <c r="G53" s="1" t="s">
        <v>73</v>
      </c>
      <c r="J53" s="18" t="s">
        <v>117</v>
      </c>
      <c r="K53" s="31">
        <f>(1+$E$22+B20)</f>
        <v>1.5216</v>
      </c>
    </row>
    <row r="54" spans="1:11">
      <c r="A54" s="11" t="s">
        <v>118</v>
      </c>
      <c r="B54" s="47">
        <f t="shared" ref="B54:B57" si="7">C54*(1+$B$14)</f>
        <v>3432.56764977961</v>
      </c>
      <c r="C54" s="48">
        <f>K43*K11*K50*K31*$E$19</f>
        <v>1679.3383805184</v>
      </c>
      <c r="D54" s="48">
        <f t="shared" ref="D54:D57" si="8">C54*$K$46</f>
        <v>2782.1195908837</v>
      </c>
      <c r="E54" s="47">
        <f t="shared" ref="E54:E57" si="9">F54*(1+$B$14)</f>
        <v>6842.3054986232</v>
      </c>
      <c r="F54" s="48">
        <f>K44*K11*K60*K35*$E$19</f>
        <v>3347.50758249667</v>
      </c>
      <c r="G54" s="48">
        <f>K45*K11*K70*K38*$E$19*K46</f>
        <v>4113.46354857277</v>
      </c>
      <c r="H54" s="49"/>
      <c r="J54" s="18" t="s">
        <v>119</v>
      </c>
      <c r="K54" s="31">
        <f>(1+$E$22+$E$23+B19)</f>
        <v>1.4416</v>
      </c>
    </row>
    <row r="55" spans="1:11">
      <c r="A55" s="18" t="s">
        <v>120</v>
      </c>
      <c r="B55" s="50">
        <f t="shared" si="7"/>
        <v>3930.40197172009</v>
      </c>
      <c r="C55" s="51">
        <f>K43*K11*K51*K31*$E$19</f>
        <v>1922.8972464384</v>
      </c>
      <c r="D55" s="51">
        <f t="shared" si="8"/>
        <v>3185.61771864058</v>
      </c>
      <c r="E55" s="50">
        <f t="shared" si="9"/>
        <v>7755.22150911328</v>
      </c>
      <c r="F55" s="51">
        <f>K44*K11*K61*K35*$E$19</f>
        <v>3794.13968156227</v>
      </c>
      <c r="G55" s="51">
        <f>K45*K11*K71*K38*$E$19*K46</f>
        <v>4685.17495212701</v>
      </c>
      <c r="H55" s="31"/>
      <c r="J55" s="18" t="s">
        <v>121</v>
      </c>
      <c r="K55" s="31">
        <f>(1+$E$22+$E$23+B23+B19)</f>
        <v>2.8996</v>
      </c>
    </row>
    <row r="56" spans="1:11">
      <c r="A56" s="18" t="s">
        <v>122</v>
      </c>
      <c r="B56" s="50">
        <f t="shared" si="7"/>
        <v>4611.24572189836</v>
      </c>
      <c r="C56" s="51">
        <f>K43*K11*K55*K33*$E$19</f>
        <v>2255.99105768021</v>
      </c>
      <c r="D56" s="51">
        <f t="shared" si="8"/>
        <v>3737.44624147342</v>
      </c>
      <c r="E56" s="50">
        <f t="shared" si="9"/>
        <v>9155.88825698577</v>
      </c>
      <c r="F56" s="51">
        <f>K44*K11*K65*K37*$E$19</f>
        <v>4479.39738600087</v>
      </c>
      <c r="G56" s="51">
        <f>K45*K11*K75*K39*$E$19*K46</f>
        <v>5514.69643693958</v>
      </c>
      <c r="H56" s="31"/>
      <c r="J56" s="18" t="s">
        <v>123</v>
      </c>
      <c r="K56" s="31">
        <f>(1+$E$22+$E$23+B24+B20)</f>
        <v>3.3796</v>
      </c>
    </row>
    <row r="57" spans="1:11">
      <c r="A57" s="18" t="s">
        <v>124</v>
      </c>
      <c r="B57" s="50">
        <f t="shared" si="7"/>
        <v>5374.59168220709</v>
      </c>
      <c r="C57" s="51">
        <f>K43*K11*K56*K33*$E$19</f>
        <v>2629.44798542421</v>
      </c>
      <c r="D57" s="51">
        <f t="shared" si="8"/>
        <v>4356.14337070064</v>
      </c>
      <c r="E57" s="50">
        <f t="shared" si="9"/>
        <v>10555.6928064039</v>
      </c>
      <c r="F57" s="51">
        <f>K44*K11*K66*K37*$E$19</f>
        <v>5164.23327123479</v>
      </c>
      <c r="G57" s="51">
        <f>K45*K11*K76*K39*$E$19*K46</f>
        <v>6391.32058905608</v>
      </c>
      <c r="H57" s="31"/>
      <c r="J57" s="72" t="s">
        <v>125</v>
      </c>
      <c r="K57" s="31"/>
    </row>
    <row r="58" spans="1:11">
      <c r="A58" s="18" t="s">
        <v>126</v>
      </c>
      <c r="D58" s="50">
        <f>D54+B63</f>
        <v>8645.63929773603</v>
      </c>
      <c r="G58" s="53">
        <f>G54+D63</f>
        <v>9976.9832554251</v>
      </c>
      <c r="H58" s="31"/>
      <c r="J58" s="18" t="s">
        <v>108</v>
      </c>
      <c r="K58" s="31">
        <f t="shared" ref="K58:K63" si="10">K48+$H$22</f>
        <v>1.3</v>
      </c>
    </row>
    <row r="59" spans="1:11">
      <c r="A59" s="18" t="s">
        <v>127</v>
      </c>
      <c r="D59" s="50">
        <f>D55+B64</f>
        <v>9848.37267937804</v>
      </c>
      <c r="G59" s="53">
        <f>G55+D64</f>
        <v>11347.9299128645</v>
      </c>
      <c r="H59" s="31"/>
      <c r="J59" s="18" t="s">
        <v>110</v>
      </c>
      <c r="K59" s="31">
        <f t="shared" ref="K59:K66" si="11">K49+$H$22+$H$25</f>
        <v>1.54</v>
      </c>
    </row>
    <row r="60" spans="1:11">
      <c r="A60" s="14" t="s">
        <v>128</v>
      </c>
      <c r="B60" s="54"/>
      <c r="C60" s="54"/>
      <c r="D60" s="54"/>
      <c r="E60" s="54"/>
      <c r="F60" s="54"/>
      <c r="G60" s="54"/>
      <c r="H60" s="58"/>
      <c r="J60" s="18" t="s">
        <v>112</v>
      </c>
      <c r="K60" s="31">
        <f t="shared" si="11"/>
        <v>2.998</v>
      </c>
    </row>
    <row r="61" spans="2:11">
      <c r="B61" s="50"/>
      <c r="C61" s="50"/>
      <c r="D61" s="50"/>
      <c r="E61" s="50"/>
      <c r="F61" s="50"/>
      <c r="G61" s="50"/>
      <c r="H61" s="50"/>
      <c r="J61" s="18" t="s">
        <v>114</v>
      </c>
      <c r="K61" s="31">
        <f t="shared" si="11"/>
        <v>3.398</v>
      </c>
    </row>
    <row r="62" ht="16.2" spans="1:11">
      <c r="A62" s="21" t="s">
        <v>129</v>
      </c>
      <c r="B62" s="22" t="s">
        <v>130</v>
      </c>
      <c r="C62" s="50" t="s">
        <v>131</v>
      </c>
      <c r="D62" s="50" t="s">
        <v>132</v>
      </c>
      <c r="E62" s="50"/>
      <c r="F62" s="50"/>
      <c r="G62" s="50"/>
      <c r="H62" s="50"/>
      <c r="J62" s="18" t="s">
        <v>115</v>
      </c>
      <c r="K62" s="31">
        <f t="shared" si="10"/>
        <v>1.4416</v>
      </c>
    </row>
    <row r="63" spans="1:11">
      <c r="A63" s="11" t="s">
        <v>133</v>
      </c>
      <c r="B63" s="59">
        <f>公式!B23*(1+0.6+(16*$B$12)/($B$12+2000))*K33</f>
        <v>5863.51970685233</v>
      </c>
      <c r="C63" s="47">
        <f>公式!B23*(1+0.6+(16*($B$12+H16)/(($B$12+H16)+2000))*K37)</f>
        <v>5655.19970685233</v>
      </c>
      <c r="D63" s="60">
        <f t="shared" ref="D63:D67" si="12">B63*(1-$H$20)+C63*$H$20</f>
        <v>5863.51970685233</v>
      </c>
      <c r="E63" s="50"/>
      <c r="F63" s="50"/>
      <c r="G63" s="50"/>
      <c r="H63" s="50"/>
      <c r="J63" s="18" t="s">
        <v>117</v>
      </c>
      <c r="K63" s="31">
        <f t="shared" si="10"/>
        <v>1.5216</v>
      </c>
    </row>
    <row r="64" spans="1:11">
      <c r="A64" s="14" t="s">
        <v>134</v>
      </c>
      <c r="B64" s="61">
        <f>公式!B23*(1+0.6+(16*($B$12+200))/(($B$12+200)+2000))*K33</f>
        <v>6662.75496073745</v>
      </c>
      <c r="C64" s="54">
        <f>公式!B23*(1+0.6+(16*(($B$12+H16)+200))/(($B$12+200)+2000))*K37</f>
        <v>6662.75496073745</v>
      </c>
      <c r="D64" s="62">
        <f t="shared" si="12"/>
        <v>6662.75496073745</v>
      </c>
      <c r="E64" s="50"/>
      <c r="F64" s="50"/>
      <c r="G64" s="50"/>
      <c r="H64" s="50"/>
      <c r="J64" s="18" t="s">
        <v>119</v>
      </c>
      <c r="K64" s="31">
        <f t="shared" si="11"/>
        <v>1.6816</v>
      </c>
    </row>
    <row r="65" spans="3:11">
      <c r="C65" s="50"/>
      <c r="D65" s="50"/>
      <c r="E65" s="50"/>
      <c r="F65" s="50"/>
      <c r="G65" s="50"/>
      <c r="H65" s="50"/>
      <c r="J65" s="18" t="s">
        <v>121</v>
      </c>
      <c r="K65" s="31">
        <f t="shared" si="11"/>
        <v>3.1396</v>
      </c>
    </row>
    <row r="66" ht="16.2" spans="1:11">
      <c r="A66" s="7" t="s">
        <v>135</v>
      </c>
      <c r="B66" s="22" t="s">
        <v>130</v>
      </c>
      <c r="C66" s="50" t="s">
        <v>131</v>
      </c>
      <c r="D66" s="50" t="s">
        <v>132</v>
      </c>
      <c r="E66" s="50"/>
      <c r="F66" s="50"/>
      <c r="G66" s="50"/>
      <c r="H66" s="50"/>
      <c r="J66" s="18" t="s">
        <v>123</v>
      </c>
      <c r="K66" s="31">
        <f t="shared" si="11"/>
        <v>3.6196</v>
      </c>
    </row>
    <row r="67" spans="1:11">
      <c r="A67" s="11" t="s">
        <v>136</v>
      </c>
      <c r="B67" s="76">
        <f>公式!B24*(1+0.6+(16*$B$12)/($B$12+2000))*K33</f>
        <v>11727.0394137047</v>
      </c>
      <c r="C67" s="47">
        <f>公式!B24*(1+0.6+(16*($B$12+H16))/(($B$12+H16)+2000))*K37</f>
        <v>11727.0394137047</v>
      </c>
      <c r="D67" s="77">
        <f>公式!B24*(1+0.6+(16*((B12+H16)*H17+B12*(1-H17)))/(((B12+H16)*H17+B12*(1-H17))+2000))*K39</f>
        <v>11727.0394137047</v>
      </c>
      <c r="E67" s="50"/>
      <c r="F67" s="50"/>
      <c r="G67" s="50"/>
      <c r="H67" s="50"/>
      <c r="J67" s="72" t="s">
        <v>137</v>
      </c>
      <c r="K67" s="31"/>
    </row>
    <row r="68" spans="1:11">
      <c r="A68" s="18" t="s">
        <v>138</v>
      </c>
      <c r="B68" s="78">
        <f>公式!B26*(1+0.6+(16*$B$12)/($B$12+2000))*K33</f>
        <v>19542.8139538292</v>
      </c>
      <c r="C68" s="50">
        <f>公式!B26*(1+0.6+(16*($B$12+H16))/(($B$12+H16)+2000))*K37</f>
        <v>19542.8139538292</v>
      </c>
      <c r="D68" s="79">
        <f>公式!B26*(1+0.6+(16*((B12+H16)*H17+B12*(1-H17)))/(((B12+H16)*H17+B12*(1-H17))+2000))*K39</f>
        <v>19542.8139538292</v>
      </c>
      <c r="E68" s="50"/>
      <c r="F68" s="50"/>
      <c r="G68" s="50"/>
      <c r="H68" s="50"/>
      <c r="J68" s="18" t="s">
        <v>108</v>
      </c>
      <c r="K68" s="31">
        <f t="shared" ref="K68:K73" si="13">K48+$H$22*$H$23</f>
        <v>1.3</v>
      </c>
    </row>
    <row r="69" spans="1:11">
      <c r="A69" s="18" t="s">
        <v>139</v>
      </c>
      <c r="B69" s="78">
        <f>公式!B25*(1+0.6+(16*$B$12)/($B$12+2000))*K31</f>
        <v>11472.1037742763</v>
      </c>
      <c r="C69" s="50">
        <f>公式!B25*(1+0.6+(16*($B$12+H16))/(($B$12+H16)+2000))*K35</f>
        <v>11472.1037742763</v>
      </c>
      <c r="D69" s="79">
        <f>公式!B25*(1+0.6+(16*((B12+H16)*H17+B12*(1-H17)))/(((B12+H16)*H17+B12*(1-H17))+2000))*K38</f>
        <v>11472.1037742763</v>
      </c>
      <c r="E69" s="50"/>
      <c r="F69" s="50"/>
      <c r="G69" s="50"/>
      <c r="H69" s="50"/>
      <c r="J69" s="18" t="s">
        <v>110</v>
      </c>
      <c r="K69" s="31">
        <f t="shared" ref="K69:K71" si="14">K49+$H$22*$H$23+$H$25*$H$26</f>
        <v>1.42</v>
      </c>
    </row>
    <row r="70" spans="1:11">
      <c r="A70" s="18" t="s">
        <v>140</v>
      </c>
      <c r="B70" s="78">
        <f>公式!B22*(1+0.6+(16*$B$12)/($B$12+2000))*K33</f>
        <v>4884.01468669842</v>
      </c>
      <c r="C70" s="80">
        <f>公式!B22*(1+0.6+(16*$B$12)/(($B$12+H16)+2000))*K37</f>
        <v>4884.01468669842</v>
      </c>
      <c r="D70" s="79">
        <f>公式!B22*(1+0.6+(16*((B12+H16)*H17+B12*(1-H17)))/(((B12+H16)*H17+B12*(1-H17))+2000))*K39</f>
        <v>4884.01468669842</v>
      </c>
      <c r="E70" s="80"/>
      <c r="F70" s="80"/>
      <c r="G70" s="80"/>
      <c r="H70" s="80"/>
      <c r="J70" s="18" t="s">
        <v>112</v>
      </c>
      <c r="K70" s="31">
        <f t="shared" si="14"/>
        <v>2.878</v>
      </c>
    </row>
    <row r="71" spans="1:11">
      <c r="A71" s="14" t="s">
        <v>141</v>
      </c>
      <c r="B71" s="81">
        <f>(2.78*$B$12)/($B$12+1400)</f>
        <v>0.951911695631752</v>
      </c>
      <c r="C71" s="82"/>
      <c r="D71" s="83"/>
      <c r="E71" s="80"/>
      <c r="F71" s="80"/>
      <c r="G71" s="80"/>
      <c r="H71" s="80"/>
      <c r="J71" s="18" t="s">
        <v>114</v>
      </c>
      <c r="K71" s="31">
        <f t="shared" si="14"/>
        <v>3.278</v>
      </c>
    </row>
    <row r="72" spans="10:11">
      <c r="J72" s="18" t="s">
        <v>115</v>
      </c>
      <c r="K72" s="31">
        <f t="shared" si="13"/>
        <v>1.4416</v>
      </c>
    </row>
    <row r="73" spans="10:11">
      <c r="J73" s="18" t="s">
        <v>117</v>
      </c>
      <c r="K73" s="31">
        <f t="shared" si="13"/>
        <v>1.5216</v>
      </c>
    </row>
    <row r="74" spans="10:11">
      <c r="J74" s="18" t="s">
        <v>119</v>
      </c>
      <c r="K74" s="31">
        <f t="shared" ref="K74:K76" si="15">K54+$H$22*$H$23+$H$25*$H$26</f>
        <v>1.5616</v>
      </c>
    </row>
    <row r="75" spans="10:11">
      <c r="J75" s="18" t="s">
        <v>121</v>
      </c>
      <c r="K75" s="31">
        <f t="shared" si="15"/>
        <v>3.0196</v>
      </c>
    </row>
    <row r="76" spans="3:11">
      <c r="C76" s="80"/>
      <c r="D76" s="80"/>
      <c r="E76" s="80"/>
      <c r="F76" s="80"/>
      <c r="G76" s="80"/>
      <c r="H76" s="80"/>
      <c r="J76" s="14" t="s">
        <v>123</v>
      </c>
      <c r="K76" s="57">
        <f t="shared" si="15"/>
        <v>3.4996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8" sqref="A8"/>
    </sheetView>
  </sheetViews>
  <sheetFormatPr defaultColWidth="8.8421052631579" defaultRowHeight="15.3" outlineLevelRow="5"/>
  <cols>
    <col min="1" max="16384" width="8.8421052631579" style="1"/>
  </cols>
  <sheetData>
    <row r="1" ht="14.4" spans="1:1">
      <c r="A1" s="2" t="s">
        <v>207</v>
      </c>
    </row>
    <row r="2" ht="14.4" spans="1:1">
      <c r="A2" s="2" t="s">
        <v>208</v>
      </c>
    </row>
    <row r="3" ht="14.4" spans="1:1">
      <c r="A3" s="2" t="s">
        <v>209</v>
      </c>
    </row>
    <row r="4" ht="14.4" spans="1:1">
      <c r="A4" s="2" t="s">
        <v>210</v>
      </c>
    </row>
    <row r="5" ht="14.4" spans="1:1">
      <c r="A5" s="2" t="s">
        <v>211</v>
      </c>
    </row>
    <row r="6" ht="14.4" spans="1:1">
      <c r="A6" s="3" t="s">
        <v>212</v>
      </c>
    </row>
  </sheetData>
  <hyperlinks>
    <hyperlink ref="A1" r:id="rId1" display="https://bbs.nga.cn/read.php?tid=27127678"/>
    <hyperlink ref="A2" r:id="rId2" display="https://bbs.nga.cn/read.php?tid=23708327"/>
    <hyperlink ref="A3" r:id="rId3" display="https://bbs.mihoyo.com/ys/article/2160993"/>
    <hyperlink ref="A4" r:id="rId4" display="https://bbs.mihoyo.com/ys/article/6685663"/>
    <hyperlink ref="A5" r:id="rId5" display="https://bbs.mihoyo.com/ys/article/2374578"/>
    <hyperlink ref="A6" r:id="rId6" display="https://bbs.nga.cn/read.php?tid=29350995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8.8421052631579" defaultRowHeight="15.3" outlineLevelRow="1" outlineLevelCol="1"/>
  <cols>
    <col min="1" max="1" width="13.7894736842105" style="1" customWidth="1"/>
    <col min="2" max="16384" width="8.8421052631579" style="1"/>
  </cols>
  <sheetData>
    <row r="1" spans="1:2">
      <c r="A1" s="1" t="s">
        <v>213</v>
      </c>
      <c r="B1" s="1" t="s">
        <v>214</v>
      </c>
    </row>
    <row r="2" spans="1:2">
      <c r="A2" s="1" t="s">
        <v>215</v>
      </c>
      <c r="B2" s="1" t="s">
        <v>214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workbookViewId="0">
      <selection activeCell="B5" sqref="B5"/>
    </sheetView>
  </sheetViews>
  <sheetFormatPr defaultColWidth="21.3157894736842" defaultRowHeight="15.3"/>
  <cols>
    <col min="1" max="16384" width="21.3157894736842" style="1" customWidth="1"/>
  </cols>
  <sheetData>
    <row r="1" ht="16.2" spans="1:3">
      <c r="A1" s="11" t="s">
        <v>0</v>
      </c>
      <c r="B1" s="12" t="s">
        <v>1</v>
      </c>
      <c r="C1" s="13"/>
    </row>
    <row r="2" spans="1:3">
      <c r="A2" s="14" t="s">
        <v>2</v>
      </c>
      <c r="B2" s="15" t="s">
        <v>142</v>
      </c>
      <c r="C2" s="16"/>
    </row>
    <row r="3" spans="2:2">
      <c r="B3" s="6"/>
    </row>
    <row r="4" ht="16.2" spans="1:1">
      <c r="A4" s="7" t="s">
        <v>4</v>
      </c>
    </row>
    <row r="5" ht="16.2" spans="1:2">
      <c r="A5" s="11" t="s">
        <v>5</v>
      </c>
      <c r="B5" s="17">
        <f>G40+G50+G41+G59+G41+G59</f>
        <v>319648.707560628</v>
      </c>
    </row>
    <row r="6" ht="16.2" spans="1:2">
      <c r="A6" s="18" t="s">
        <v>6</v>
      </c>
      <c r="B6" s="19">
        <f>G39+G49+G39+G39</f>
        <v>224942.569104293</v>
      </c>
    </row>
    <row r="7" ht="16.2" spans="1:2">
      <c r="A7" s="14" t="s">
        <v>7</v>
      </c>
      <c r="B7" s="20">
        <f>G49+G39+G39</f>
        <v>183355.560037101</v>
      </c>
    </row>
    <row r="9" ht="16.2" spans="1:13">
      <c r="A9" s="21" t="s">
        <v>8</v>
      </c>
      <c r="B9" s="22"/>
      <c r="D9" s="7" t="s">
        <v>9</v>
      </c>
      <c r="G9" s="7" t="s">
        <v>10</v>
      </c>
      <c r="J9" s="42" t="s">
        <v>11</v>
      </c>
      <c r="K9" s="22"/>
      <c r="L9" s="36"/>
      <c r="M9" s="22"/>
    </row>
    <row r="10" spans="1:13">
      <c r="A10" s="11" t="s">
        <v>12</v>
      </c>
      <c r="B10" s="13">
        <v>1616</v>
      </c>
      <c r="D10" s="23" t="s">
        <v>13</v>
      </c>
      <c r="E10" s="24" t="s">
        <v>14</v>
      </c>
      <c r="G10" s="11" t="s">
        <v>15</v>
      </c>
      <c r="H10" s="25">
        <f>(191+608)*1.12</f>
        <v>894.88</v>
      </c>
      <c r="J10" s="23" t="s">
        <v>16</v>
      </c>
      <c r="K10" s="63"/>
      <c r="L10" s="64"/>
      <c r="M10" s="22"/>
    </row>
    <row r="11" spans="1:13">
      <c r="A11" s="18" t="s">
        <v>17</v>
      </c>
      <c r="B11" s="26">
        <f>人物!B6+苍古精精暴!E12</f>
        <v>905</v>
      </c>
      <c r="D11" s="27" t="s">
        <v>18</v>
      </c>
      <c r="E11" s="26">
        <v>90</v>
      </c>
      <c r="G11" s="27" t="s">
        <v>19</v>
      </c>
      <c r="H11" s="28">
        <v>0.5</v>
      </c>
      <c r="J11" s="27" t="s">
        <v>20</v>
      </c>
      <c r="K11" s="65">
        <v>0.8263</v>
      </c>
      <c r="L11" s="26"/>
      <c r="M11" s="22"/>
    </row>
    <row r="12" spans="1:13">
      <c r="A12" s="18" t="s">
        <v>21</v>
      </c>
      <c r="B12" s="29">
        <v>729</v>
      </c>
      <c r="D12" s="27" t="s">
        <v>22</v>
      </c>
      <c r="E12" s="30">
        <v>608</v>
      </c>
      <c r="G12" s="18"/>
      <c r="H12" s="31"/>
      <c r="J12" s="27" t="s">
        <v>23</v>
      </c>
      <c r="K12" s="66">
        <f>79%+137.14%</f>
        <v>2.1614</v>
      </c>
      <c r="L12" s="26"/>
      <c r="M12" s="22"/>
    </row>
    <row r="13" spans="1:13">
      <c r="A13" s="18" t="s">
        <v>24</v>
      </c>
      <c r="B13" s="32">
        <v>0.629</v>
      </c>
      <c r="D13" s="33" t="s">
        <v>25</v>
      </c>
      <c r="E13" s="34" t="s">
        <v>26</v>
      </c>
      <c r="G13" s="27" t="s">
        <v>27</v>
      </c>
      <c r="H13" s="35">
        <v>0.4</v>
      </c>
      <c r="J13" s="27" t="s">
        <v>28</v>
      </c>
      <c r="K13" s="65">
        <v>1.5035</v>
      </c>
      <c r="L13" s="26"/>
      <c r="M13" s="22"/>
    </row>
    <row r="14" spans="1:12">
      <c r="A14" s="18" t="s">
        <v>29</v>
      </c>
      <c r="B14" s="32">
        <v>1.044</v>
      </c>
      <c r="D14" s="36"/>
      <c r="E14" s="36"/>
      <c r="G14" s="27" t="s">
        <v>19</v>
      </c>
      <c r="H14" s="28">
        <v>0.5</v>
      </c>
      <c r="J14" s="27" t="s">
        <v>30</v>
      </c>
      <c r="K14" s="65">
        <v>3.0063</v>
      </c>
      <c r="L14" s="26"/>
    </row>
    <row r="15" ht="16.2" spans="1:12">
      <c r="A15" s="18" t="s">
        <v>31</v>
      </c>
      <c r="B15" s="32">
        <v>1.473</v>
      </c>
      <c r="D15" s="21" t="s">
        <v>32</v>
      </c>
      <c r="E15" s="22"/>
      <c r="G15" s="18"/>
      <c r="H15" s="31"/>
      <c r="J15" s="27" t="s">
        <v>33</v>
      </c>
      <c r="K15" s="65">
        <v>3.755</v>
      </c>
      <c r="L15" s="26" t="s">
        <v>34</v>
      </c>
    </row>
    <row r="16" spans="1:12">
      <c r="A16" s="14" t="s">
        <v>35</v>
      </c>
      <c r="B16" s="37">
        <v>0.15</v>
      </c>
      <c r="D16" s="11" t="s">
        <v>18</v>
      </c>
      <c r="E16" s="24">
        <v>85</v>
      </c>
      <c r="G16" s="18" t="s">
        <v>36</v>
      </c>
      <c r="H16" s="29">
        <v>0</v>
      </c>
      <c r="J16" s="27"/>
      <c r="K16" s="36"/>
      <c r="L16" s="26"/>
    </row>
    <row r="17" spans="4:12">
      <c r="D17" s="18" t="s">
        <v>37</v>
      </c>
      <c r="E17" s="38">
        <v>0.1</v>
      </c>
      <c r="G17" s="27" t="s">
        <v>19</v>
      </c>
      <c r="H17" s="28">
        <v>0</v>
      </c>
      <c r="J17" s="27" t="s">
        <v>38</v>
      </c>
      <c r="K17" s="36"/>
      <c r="L17" s="26"/>
    </row>
    <row r="18" ht="16.2" spans="1:12">
      <c r="A18" s="7" t="s">
        <v>39</v>
      </c>
      <c r="D18" s="18" t="s">
        <v>40</v>
      </c>
      <c r="E18" s="38">
        <v>-0.3</v>
      </c>
      <c r="G18" s="18"/>
      <c r="H18" s="31"/>
      <c r="J18" s="27" t="s">
        <v>41</v>
      </c>
      <c r="K18" s="67">
        <v>3.84</v>
      </c>
      <c r="L18" s="26"/>
    </row>
    <row r="19" spans="1:12">
      <c r="A19" s="11" t="s">
        <v>42</v>
      </c>
      <c r="B19" s="39">
        <f>B12*0.04%</f>
        <v>0.2916</v>
      </c>
      <c r="D19" s="14" t="s">
        <v>43</v>
      </c>
      <c r="E19" s="40">
        <f>(E11+100)/(E16+E11+200)</f>
        <v>0.506666666666667</v>
      </c>
      <c r="G19" s="18" t="s">
        <v>44</v>
      </c>
      <c r="H19" s="38">
        <v>0</v>
      </c>
      <c r="J19" s="27" t="s">
        <v>45</v>
      </c>
      <c r="K19" s="65">
        <v>5.216</v>
      </c>
      <c r="L19" s="26"/>
    </row>
    <row r="20" spans="1:12">
      <c r="A20" s="14" t="s">
        <v>46</v>
      </c>
      <c r="B20" s="41">
        <f>(B12+200)*0.04%</f>
        <v>0.3716</v>
      </c>
      <c r="G20" s="27" t="s">
        <v>19</v>
      </c>
      <c r="H20" s="28">
        <v>0</v>
      </c>
      <c r="J20" s="27" t="s">
        <v>47</v>
      </c>
      <c r="K20" s="65">
        <f>K15</f>
        <v>3.755</v>
      </c>
      <c r="L20" s="26" t="s">
        <v>48</v>
      </c>
    </row>
    <row r="21" ht="16.2" spans="4:12">
      <c r="D21" s="42" t="s">
        <v>49</v>
      </c>
      <c r="E21" s="36"/>
      <c r="G21" s="18"/>
      <c r="H21" s="31"/>
      <c r="J21" s="27" t="s">
        <v>50</v>
      </c>
      <c r="K21" s="67">
        <v>2</v>
      </c>
      <c r="L21" s="26" t="s">
        <v>51</v>
      </c>
    </row>
    <row r="22" ht="16.2" spans="1:12">
      <c r="A22" s="7" t="s">
        <v>52</v>
      </c>
      <c r="D22" s="23" t="s">
        <v>53</v>
      </c>
      <c r="E22" s="43">
        <v>0.1</v>
      </c>
      <c r="G22" s="27" t="s">
        <v>53</v>
      </c>
      <c r="H22" s="35">
        <v>0</v>
      </c>
      <c r="J22" s="27"/>
      <c r="K22" s="36"/>
      <c r="L22" s="26"/>
    </row>
    <row r="23" spans="1:12">
      <c r="A23" s="11" t="s">
        <v>54</v>
      </c>
      <c r="B23" s="44">
        <f>B12*0.2%</f>
        <v>1.458</v>
      </c>
      <c r="D23" s="27" t="s">
        <v>55</v>
      </c>
      <c r="E23" s="35">
        <v>0</v>
      </c>
      <c r="G23" s="27" t="s">
        <v>19</v>
      </c>
      <c r="H23" s="28">
        <v>0</v>
      </c>
      <c r="J23" s="27" t="s">
        <v>56</v>
      </c>
      <c r="K23" s="36"/>
      <c r="L23" s="26"/>
    </row>
    <row r="24" spans="1:12">
      <c r="A24" s="14" t="s">
        <v>57</v>
      </c>
      <c r="B24" s="40">
        <f>(B12+200)*0.2%</f>
        <v>1.858</v>
      </c>
      <c r="D24" s="27" t="s">
        <v>58</v>
      </c>
      <c r="E24" s="35">
        <v>0</v>
      </c>
      <c r="G24" s="18"/>
      <c r="H24" s="31"/>
      <c r="J24" s="27" t="s">
        <v>59</v>
      </c>
      <c r="K24" s="65">
        <v>5.248</v>
      </c>
      <c r="L24" s="26"/>
    </row>
    <row r="25" spans="4:12">
      <c r="D25" s="27" t="s">
        <v>60</v>
      </c>
      <c r="E25" s="30">
        <v>0</v>
      </c>
      <c r="G25" s="27" t="s">
        <v>55</v>
      </c>
      <c r="H25" s="35">
        <v>0.16</v>
      </c>
      <c r="J25" s="27" t="s">
        <v>61</v>
      </c>
      <c r="K25" s="67">
        <v>2.4</v>
      </c>
      <c r="L25" s="26" t="s">
        <v>62</v>
      </c>
    </row>
    <row r="26" spans="4:12">
      <c r="D26" s="33" t="s">
        <v>44</v>
      </c>
      <c r="E26" s="45">
        <v>0</v>
      </c>
      <c r="G26" s="33" t="s">
        <v>19</v>
      </c>
      <c r="H26" s="46">
        <v>0.5</v>
      </c>
      <c r="J26" s="33" t="s">
        <v>63</v>
      </c>
      <c r="K26" s="68">
        <v>0.72</v>
      </c>
      <c r="L26" s="34" t="s">
        <v>51</v>
      </c>
    </row>
    <row r="28" ht="16.2" spans="1:10">
      <c r="A28" s="1" t="s">
        <v>64</v>
      </c>
      <c r="J28" s="7" t="s">
        <v>65</v>
      </c>
    </row>
    <row r="29" spans="10:11">
      <c r="J29" s="69" t="s">
        <v>66</v>
      </c>
      <c r="K29" s="49"/>
    </row>
    <row r="30" ht="16.2" spans="1:11">
      <c r="A30" s="7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73</v>
      </c>
      <c r="J30" s="18" t="s">
        <v>74</v>
      </c>
      <c r="K30" s="70">
        <f>E17-E26</f>
        <v>0.1</v>
      </c>
    </row>
    <row r="31" spans="1:11">
      <c r="A31" s="11" t="s">
        <v>75</v>
      </c>
      <c r="B31" s="47">
        <f t="shared" ref="B31:B38" si="0">C31*(1+$B$14)</f>
        <v>7229.8340352</v>
      </c>
      <c r="C31" s="48">
        <f>K43*K18*K48*K31*$E$19</f>
        <v>3537.1008</v>
      </c>
      <c r="D31" s="48">
        <f t="shared" ref="D31:D38" si="1">C31*$K$46</f>
        <v>5859.8300049408</v>
      </c>
      <c r="E31" s="47">
        <f t="shared" ref="E31:E38" si="2">F31*(1+$B$14)</f>
        <v>12852.998516736</v>
      </c>
      <c r="F31" s="48">
        <f>K44*K18*K35*K58*E19</f>
        <v>6288.159744</v>
      </c>
      <c r="G31" s="48">
        <f>K45*K18*K68*E19*K46</f>
        <v>9042.92963166208</v>
      </c>
      <c r="H31" s="49"/>
      <c r="J31" s="18" t="s">
        <v>76</v>
      </c>
      <c r="K31" s="31">
        <f t="shared" ref="K31:K35" si="3">IF(K30&lt;0,(1-K30/2),(1-K30))</f>
        <v>0.9</v>
      </c>
    </row>
    <row r="32" spans="1:11">
      <c r="A32" s="18" t="s">
        <v>77</v>
      </c>
      <c r="B32" s="50">
        <f t="shared" si="0"/>
        <v>9820.52456448</v>
      </c>
      <c r="C32" s="51">
        <f>K43*K19*K48*K31*$E$19</f>
        <v>4804.56192</v>
      </c>
      <c r="D32" s="51">
        <f t="shared" si="1"/>
        <v>7959.60242337792</v>
      </c>
      <c r="E32" s="50">
        <f t="shared" si="2"/>
        <v>17458.6563185664</v>
      </c>
      <c r="F32" s="51">
        <f>K44*K19*K58*K35*$E$19</f>
        <v>8541.4169856</v>
      </c>
      <c r="G32" s="51">
        <f>K45*K19*K68*E19*K46</f>
        <v>12283.3127496743</v>
      </c>
      <c r="H32" s="31"/>
      <c r="J32" s="18" t="s">
        <v>78</v>
      </c>
      <c r="K32" s="70">
        <f>E18-E26</f>
        <v>-0.3</v>
      </c>
    </row>
    <row r="33" spans="1:11">
      <c r="A33" s="18" t="s">
        <v>79</v>
      </c>
      <c r="B33" s="50">
        <f t="shared" si="0"/>
        <v>7069.7986464</v>
      </c>
      <c r="C33" s="51">
        <f>K43*K20*K49*K31*$E$19</f>
        <v>3458.8056</v>
      </c>
      <c r="D33" s="51">
        <f t="shared" si="1"/>
        <v>5730.1202261856</v>
      </c>
      <c r="E33" s="50">
        <f t="shared" si="2"/>
        <v>14177.2590201635</v>
      </c>
      <c r="F33" s="51">
        <f>K44*K20*K59*K35*$E$19</f>
        <v>6936.036702624</v>
      </c>
      <c r="G33" s="51">
        <f>K45*K20*K69*E19*K46</f>
        <v>9408.69729582608</v>
      </c>
      <c r="H33" s="31"/>
      <c r="J33" s="18" t="s">
        <v>80</v>
      </c>
      <c r="K33" s="31">
        <f t="shared" si="3"/>
        <v>1.15</v>
      </c>
    </row>
    <row r="34" spans="1:11">
      <c r="A34" s="18" t="s">
        <v>81</v>
      </c>
      <c r="B34" s="50">
        <f t="shared" si="0"/>
        <v>15316.011787561</v>
      </c>
      <c r="C34" s="51">
        <f>K43*K20*K50*K31*$E$19</f>
        <v>7493.15645184</v>
      </c>
      <c r="D34" s="51">
        <f t="shared" si="1"/>
        <v>12413.7324580085</v>
      </c>
      <c r="E34" s="50">
        <f t="shared" si="2"/>
        <v>28837.1481346304</v>
      </c>
      <c r="F34" s="51">
        <f>K44*K20*K60*K35*$E$19</f>
        <v>14108.1938036352</v>
      </c>
      <c r="G34" s="51">
        <f>K45*K20*K70*E19*K46</f>
        <v>19722.8932787693</v>
      </c>
      <c r="H34" s="31"/>
      <c r="J34" s="18" t="s">
        <v>82</v>
      </c>
      <c r="K34" s="70">
        <f>E17-E26-H19</f>
        <v>0.1</v>
      </c>
    </row>
    <row r="35" spans="1:11">
      <c r="A35" s="18" t="s">
        <v>83</v>
      </c>
      <c r="B35" s="50">
        <f t="shared" si="0"/>
        <v>5356.57064809813</v>
      </c>
      <c r="C35" s="51">
        <f>K43*K21*K54*K33*$E$19</f>
        <v>2620.63143253333</v>
      </c>
      <c r="D35" s="51">
        <f t="shared" si="1"/>
        <v>4341.53719912359</v>
      </c>
      <c r="E35" s="50">
        <f t="shared" si="2"/>
        <v>10617.6478580337</v>
      </c>
      <c r="F35" s="51">
        <f>K44*K21*K64*K37*$E$19</f>
        <v>5194.543961856</v>
      </c>
      <c r="G35" s="51">
        <f>K45*K21*K74*E19*K46</f>
        <v>5544.82301914747</v>
      </c>
      <c r="H35" s="31"/>
      <c r="J35" s="18" t="s">
        <v>84</v>
      </c>
      <c r="K35" s="31">
        <f t="shared" si="3"/>
        <v>0.9</v>
      </c>
    </row>
    <row r="36" spans="1:11">
      <c r="A36" s="18" t="s">
        <v>85</v>
      </c>
      <c r="B36" s="50">
        <f t="shared" si="0"/>
        <v>10968.7293179221</v>
      </c>
      <c r="C36" s="51">
        <f>K43*K21*K55*K33*$E$19</f>
        <v>5366.30592853333</v>
      </c>
      <c r="D36" s="51">
        <f t="shared" si="1"/>
        <v>8890.23024045889</v>
      </c>
      <c r="E36" s="50">
        <f t="shared" si="2"/>
        <v>20594.78795665</v>
      </c>
      <c r="F36" s="51">
        <f>K44*K21*K65*K37*$E$19</f>
        <v>10075.727963136</v>
      </c>
      <c r="G36" s="51">
        <f>K45*K21*K75*E19*K46</f>
        <v>11038.4027703822</v>
      </c>
      <c r="H36" s="31"/>
      <c r="J36" s="18" t="s">
        <v>86</v>
      </c>
      <c r="K36" s="70">
        <f>E18-E26-H19</f>
        <v>-0.3</v>
      </c>
    </row>
    <row r="37" spans="1:14">
      <c r="A37" s="18" t="s">
        <v>87</v>
      </c>
      <c r="B37" s="50">
        <f t="shared" si="0"/>
        <v>17578.347354409</v>
      </c>
      <c r="C37" s="51">
        <f>K43*K20*K51*K31*$E$19</f>
        <v>8599.97424384</v>
      </c>
      <c r="D37" s="51">
        <f t="shared" si="1"/>
        <v>14247.3709303879</v>
      </c>
      <c r="E37" s="50">
        <f t="shared" si="2"/>
        <v>32859.065587159</v>
      </c>
      <c r="F37" s="51">
        <f>K44*K20*K61*K35*$E$19</f>
        <v>16075.8637901952</v>
      </c>
      <c r="G37" s="51">
        <f>K45*K20*K76*E19*K46</f>
        <v>24120.2212780817</v>
      </c>
      <c r="H37" s="31"/>
      <c r="J37" s="18" t="s">
        <v>88</v>
      </c>
      <c r="K37" s="31">
        <f>IF(K36&lt;0,(1-K36/2),(1-K36))</f>
        <v>1.15</v>
      </c>
      <c r="N37" s="36"/>
    </row>
    <row r="38" spans="1:15">
      <c r="A38" s="18" t="s">
        <v>89</v>
      </c>
      <c r="B38" s="50">
        <f t="shared" si="0"/>
        <v>12816.3535713621</v>
      </c>
      <c r="C38" s="51">
        <f>K43*K21*K56*K33*$E$19</f>
        <v>6270.23168853333</v>
      </c>
      <c r="D38" s="51">
        <f t="shared" si="1"/>
        <v>10387.7423528326</v>
      </c>
      <c r="E38" s="50">
        <f t="shared" si="2"/>
        <v>23879.4431331492</v>
      </c>
      <c r="F38" s="51">
        <f>K44*K21*K66*K37*$E$19</f>
        <v>11682.702119936</v>
      </c>
      <c r="G38" s="51">
        <f>K45*K21*K76*E19*K46</f>
        <v>12846.9886967146</v>
      </c>
      <c r="H38" s="31"/>
      <c r="J38" s="18" t="s">
        <v>90</v>
      </c>
      <c r="K38" s="31">
        <f>K31*(1-H20)+K35*H20</f>
        <v>0.9</v>
      </c>
      <c r="N38" s="36"/>
      <c r="O38" s="36"/>
    </row>
    <row r="39" spans="1:15">
      <c r="A39" s="18" t="s">
        <v>91</v>
      </c>
      <c r="D39" s="50">
        <f>D31+D33+D35+B63*3</f>
        <v>33522.046550807</v>
      </c>
      <c r="G39" s="52">
        <f>G31+G33+G35+D63*3</f>
        <v>41587.0090671926</v>
      </c>
      <c r="H39" s="31"/>
      <c r="J39" s="18" t="s">
        <v>92</v>
      </c>
      <c r="K39" s="31">
        <f>K33*(1-H20)+K37*H20</f>
        <v>1.15</v>
      </c>
      <c r="N39" s="36"/>
      <c r="O39" s="71"/>
    </row>
    <row r="40" spans="1:11">
      <c r="A40" s="18" t="s">
        <v>93</v>
      </c>
      <c r="D40" s="51">
        <f>D31+D34+D36+B63*3</f>
        <v>44754.3518239652</v>
      </c>
      <c r="G40" s="53">
        <f>G31+G34+G36+D63*3</f>
        <v>57394.7848013705</v>
      </c>
      <c r="H40" s="31"/>
      <c r="J40" s="72" t="s">
        <v>94</v>
      </c>
      <c r="K40" s="31"/>
    </row>
    <row r="41" spans="1:11">
      <c r="A41" s="18" t="s">
        <v>95</v>
      </c>
      <c r="D41" s="51">
        <f>D31+D37+D38+B64*3</f>
        <v>50483.2081703737</v>
      </c>
      <c r="G41" s="53">
        <f>G31+G37+G38+D64*3</f>
        <v>65998.4044886707</v>
      </c>
      <c r="H41" s="31"/>
      <c r="J41" s="18" t="s">
        <v>96</v>
      </c>
      <c r="K41" s="31">
        <f>B12*(1-H17)+(B12+H16)*H17</f>
        <v>729</v>
      </c>
    </row>
    <row r="42" spans="1:11">
      <c r="A42" s="14" t="s">
        <v>97</v>
      </c>
      <c r="B42" s="54"/>
      <c r="C42" s="55"/>
      <c r="D42" s="55"/>
      <c r="E42" s="56"/>
      <c r="F42" s="55"/>
      <c r="G42" s="55"/>
      <c r="H42" s="57"/>
      <c r="J42" s="1" t="s">
        <v>98</v>
      </c>
      <c r="K42" s="1">
        <f>B12+H16</f>
        <v>729</v>
      </c>
    </row>
    <row r="43" spans="2:11">
      <c r="B43" s="50"/>
      <c r="C43" s="51"/>
      <c r="D43" s="51"/>
      <c r="F43" s="51"/>
      <c r="G43" s="51"/>
      <c r="J43" s="18" t="s">
        <v>99</v>
      </c>
      <c r="K43" s="31">
        <f>($B$10+B11*E24+E25)</f>
        <v>1616</v>
      </c>
    </row>
    <row r="44" ht="16.2" spans="1:11">
      <c r="A44" s="7" t="s">
        <v>100</v>
      </c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J44" s="1" t="s">
        <v>101</v>
      </c>
      <c r="K44" s="73">
        <f>K43+H10+H13*B11</f>
        <v>2872.88</v>
      </c>
    </row>
    <row r="45" spans="1:11">
      <c r="A45" s="11" t="s">
        <v>59</v>
      </c>
      <c r="B45" s="47">
        <f t="shared" ref="B45:B48" si="4">C45*(1+$B$14)</f>
        <v>9880.77318144</v>
      </c>
      <c r="C45" s="48">
        <f>K43*K24*K48*K31*$E$19</f>
        <v>4834.03776</v>
      </c>
      <c r="D45" s="48">
        <f t="shared" ref="D45:D48" si="5">C45*$K$46</f>
        <v>8008.43434008576</v>
      </c>
      <c r="E45" s="47">
        <f t="shared" ref="E45:E48" si="6">F45*(1+$B$14)</f>
        <v>17565.7646395392</v>
      </c>
      <c r="F45" s="48">
        <f>K44*K24*K35*K58*E19</f>
        <v>8593.8183168</v>
      </c>
      <c r="G45" s="48">
        <f>K45*K24*K38*K68*E19*K46</f>
        <v>11122.8034469444</v>
      </c>
      <c r="H45" s="49"/>
      <c r="J45" s="18" t="s">
        <v>102</v>
      </c>
      <c r="K45" s="74">
        <f>($B$10+B11*E24+E25+H10*H11+B11*H13*H14)</f>
        <v>2244.44</v>
      </c>
    </row>
    <row r="46" spans="1:11">
      <c r="A46" s="18" t="s">
        <v>103</v>
      </c>
      <c r="B46" s="50">
        <f t="shared" si="4"/>
        <v>4518.646272</v>
      </c>
      <c r="C46" s="51">
        <f>K43*K25*K48*K31*$E$19</f>
        <v>2210.688</v>
      </c>
      <c r="D46" s="51">
        <f t="shared" si="5"/>
        <v>3662.393753088</v>
      </c>
      <c r="E46" s="50">
        <f t="shared" si="6"/>
        <v>8033.12407296</v>
      </c>
      <c r="F46" s="51">
        <f>K44*K25*K35*K58*E19</f>
        <v>3930.09984</v>
      </c>
      <c r="G46" s="51">
        <f>K45*K25*K38*K68*E19*K46</f>
        <v>5086.64791780992</v>
      </c>
      <c r="H46" s="31"/>
      <c r="J46" s="18" t="s">
        <v>104</v>
      </c>
      <c r="K46" s="75">
        <f>B13*B14+1</f>
        <v>1.656676</v>
      </c>
    </row>
    <row r="47" spans="1:11">
      <c r="A47" s="18" t="s">
        <v>105</v>
      </c>
      <c r="B47" s="50">
        <f t="shared" si="4"/>
        <v>1928.36543331533</v>
      </c>
      <c r="C47" s="51">
        <f>K43*K26*K52*K33*$E$19</f>
        <v>943.427315712</v>
      </c>
      <c r="D47" s="51">
        <f t="shared" si="5"/>
        <v>1562.95339168449</v>
      </c>
      <c r="E47" s="50">
        <f t="shared" si="6"/>
        <v>3428.19460771222</v>
      </c>
      <c r="F47" s="51">
        <f>K44*K26*K37*K62*E19</f>
        <v>1677.19892745216</v>
      </c>
      <c r="G47" s="51">
        <f>K45*K26*K39*K72*E19*K46</f>
        <v>2170.76430101011</v>
      </c>
      <c r="H47" s="31"/>
      <c r="J47" s="72" t="s">
        <v>106</v>
      </c>
      <c r="K47" s="31"/>
    </row>
    <row r="48" spans="1:11">
      <c r="A48" s="18" t="s">
        <v>107</v>
      </c>
      <c r="B48" s="50">
        <f t="shared" si="4"/>
        <v>2039.22288852173</v>
      </c>
      <c r="C48" s="51">
        <f>K43*K26*K53*K33*$E$19</f>
        <v>997.662861312</v>
      </c>
      <c r="D48" s="51">
        <f t="shared" si="5"/>
        <v>1652.80411842692</v>
      </c>
      <c r="E48" s="50">
        <f t="shared" si="6"/>
        <v>3625.27391830217</v>
      </c>
      <c r="F48" s="51">
        <f>K44*K26*K37*K63*E19</f>
        <v>1773.61737686016</v>
      </c>
      <c r="G48" s="51">
        <f>K45*K26*K39*K73*E19*K46</f>
        <v>2295.55672992705</v>
      </c>
      <c r="H48" s="31"/>
      <c r="J48" s="18" t="s">
        <v>108</v>
      </c>
      <c r="K48" s="31">
        <f>(1+$B$16+E22)</f>
        <v>1.25</v>
      </c>
    </row>
    <row r="49" spans="1:11">
      <c r="A49" s="18" t="s">
        <v>109</v>
      </c>
      <c r="B49" s="50"/>
      <c r="C49" s="51"/>
      <c r="D49" s="51">
        <f>D45+D46*5+D47*5+B63*9</f>
        <v>86906.8474256192</v>
      </c>
      <c r="G49" s="52">
        <f>G45+G46*5+G47*5+D63*9</f>
        <v>100181.541902715</v>
      </c>
      <c r="H49" s="31"/>
      <c r="J49" s="18" t="s">
        <v>110</v>
      </c>
      <c r="K49" s="31">
        <f>(1+$B$16+$E$22+$E$23)</f>
        <v>1.25</v>
      </c>
    </row>
    <row r="50" spans="1:11">
      <c r="A50" s="18" t="s">
        <v>111</v>
      </c>
      <c r="B50" s="50"/>
      <c r="C50" s="51"/>
      <c r="D50" s="51">
        <f>D45+D46*5+D48*5+B64*9</f>
        <v>94549.2183442974</v>
      </c>
      <c r="G50" s="53">
        <f>G45+G46*5+G48*5+D64*9</f>
        <v>107998.621332266</v>
      </c>
      <c r="H50" s="31"/>
      <c r="J50" s="18" t="s">
        <v>112</v>
      </c>
      <c r="K50" s="31">
        <f>(1+$B$16+$E$22+$E$23+B23)</f>
        <v>2.708</v>
      </c>
    </row>
    <row r="51" spans="1:11">
      <c r="A51" s="14" t="s">
        <v>113</v>
      </c>
      <c r="B51" s="54"/>
      <c r="C51" s="55"/>
      <c r="D51" s="55"/>
      <c r="E51" s="56"/>
      <c r="F51" s="55"/>
      <c r="G51" s="55"/>
      <c r="H51" s="57"/>
      <c r="J51" s="18" t="s">
        <v>114</v>
      </c>
      <c r="K51" s="31">
        <f>(1+$B$16+$E$22+$E$23+B24)</f>
        <v>3.108</v>
      </c>
    </row>
    <row r="52" spans="2:11">
      <c r="B52" s="50"/>
      <c r="C52" s="51"/>
      <c r="D52" s="51"/>
      <c r="F52" s="51"/>
      <c r="G52" s="51"/>
      <c r="J52" s="18" t="s">
        <v>115</v>
      </c>
      <c r="K52" s="31">
        <f>(1+$E$22+B19)</f>
        <v>1.3916</v>
      </c>
    </row>
    <row r="53" ht="16.2" spans="1:11">
      <c r="A53" s="7" t="s">
        <v>116</v>
      </c>
      <c r="B53" s="1" t="s">
        <v>68</v>
      </c>
      <c r="C53" s="1" t="s">
        <v>69</v>
      </c>
      <c r="D53" s="1" t="s">
        <v>70</v>
      </c>
      <c r="E53" s="1" t="s">
        <v>71</v>
      </c>
      <c r="F53" s="1" t="s">
        <v>72</v>
      </c>
      <c r="G53" s="1" t="s">
        <v>73</v>
      </c>
      <c r="J53" s="18" t="s">
        <v>117</v>
      </c>
      <c r="K53" s="31">
        <f>(1+$E$22+B20)</f>
        <v>1.4716</v>
      </c>
    </row>
    <row r="54" spans="1:11">
      <c r="A54" s="11" t="s">
        <v>118</v>
      </c>
      <c r="B54" s="47">
        <f t="shared" ref="B54:B57" si="7">C54*(1+$B$14)</f>
        <v>3370.33835953705</v>
      </c>
      <c r="C54" s="48">
        <f>K43*K11*K50*K31*$E$19</f>
        <v>1648.8935222784</v>
      </c>
      <c r="D54" s="48">
        <f t="shared" ref="D54:D57" si="8">C54*$K$46</f>
        <v>2731.68232491409</v>
      </c>
      <c r="E54" s="47">
        <f t="shared" ref="E54:E57" si="9">F54*(1+$B$14)</f>
        <v>6345.70852294143</v>
      </c>
      <c r="F54" s="48">
        <f>K44*K11*K60*K35*$E$19</f>
        <v>3104.55407188915</v>
      </c>
      <c r="G54" s="48">
        <f>K45*K11*K70*K38*$E$19*K46</f>
        <v>3906.0783074893</v>
      </c>
      <c r="H54" s="49"/>
      <c r="J54" s="18" t="s">
        <v>119</v>
      </c>
      <c r="K54" s="31">
        <f>(1+$E$22+$E$23+B19)</f>
        <v>1.3916</v>
      </c>
    </row>
    <row r="55" spans="1:11">
      <c r="A55" s="18" t="s">
        <v>120</v>
      </c>
      <c r="B55" s="50">
        <f t="shared" si="7"/>
        <v>3868.17268147753</v>
      </c>
      <c r="C55" s="51">
        <f>K43*K11*K51*K31*$E$19</f>
        <v>1892.4523881984</v>
      </c>
      <c r="D55" s="51">
        <f t="shared" si="8"/>
        <v>3135.18045267097</v>
      </c>
      <c r="E55" s="50">
        <f t="shared" si="9"/>
        <v>7230.74457913967</v>
      </c>
      <c r="F55" s="51">
        <f>K44*K11*K61*K35*$E$19</f>
        <v>3537.54627159475</v>
      </c>
      <c r="G55" s="51">
        <f>K45*K11*K71*K38*$E$19*K46</f>
        <v>4466.49126408748</v>
      </c>
      <c r="H55" s="31"/>
      <c r="J55" s="18" t="s">
        <v>121</v>
      </c>
      <c r="K55" s="31">
        <f>(1+$E$22+$E$23+B23+B19)</f>
        <v>2.8496</v>
      </c>
    </row>
    <row r="56" spans="1:11">
      <c r="A56" s="18" t="s">
        <v>122</v>
      </c>
      <c r="B56" s="50">
        <f t="shared" si="7"/>
        <v>4531.73051769953</v>
      </c>
      <c r="C56" s="51">
        <f>K43*K11*K55*K33*$E$19</f>
        <v>2217.08929437355</v>
      </c>
      <c r="D56" s="51">
        <f t="shared" si="8"/>
        <v>3672.99862384559</v>
      </c>
      <c r="E56" s="50">
        <f t="shared" si="9"/>
        <v>8508.73664428994</v>
      </c>
      <c r="F56" s="51">
        <f>K44*K11*K65*K37*$E$19</f>
        <v>4162.78700796964</v>
      </c>
      <c r="G56" s="51">
        <f>K45*K11*K75*K39*$E$19*K46</f>
        <v>5244.59352027091</v>
      </c>
      <c r="H56" s="31"/>
      <c r="J56" s="18" t="s">
        <v>123</v>
      </c>
      <c r="K56" s="31">
        <f>(1+$E$22+$E$23+B24+B20)</f>
        <v>3.3296</v>
      </c>
    </row>
    <row r="57" spans="1:11">
      <c r="A57" s="18" t="s">
        <v>124</v>
      </c>
      <c r="B57" s="50">
        <f t="shared" si="7"/>
        <v>5295.07647800827</v>
      </c>
      <c r="C57" s="51">
        <f>K43*K11*K56*K33*$E$19</f>
        <v>2590.54622211755</v>
      </c>
      <c r="D57" s="51">
        <f t="shared" si="8"/>
        <v>4291.69575307281</v>
      </c>
      <c r="E57" s="50">
        <f t="shared" si="9"/>
        <v>9865.79193046059</v>
      </c>
      <c r="F57" s="51">
        <f>K44*K11*K66*K37*$E$19</f>
        <v>4826.70838085156</v>
      </c>
      <c r="G57" s="51">
        <f>K45*K11*K76*K39*$E$19*K46</f>
        <v>6103.89338705478</v>
      </c>
      <c r="H57" s="31"/>
      <c r="J57" s="72" t="s">
        <v>125</v>
      </c>
      <c r="K57" s="31"/>
    </row>
    <row r="58" spans="1:11">
      <c r="A58" s="18" t="s">
        <v>126</v>
      </c>
      <c r="D58" s="50">
        <f>D54+B63</f>
        <v>8595.20203176642</v>
      </c>
      <c r="G58" s="53">
        <f>G54+D63</f>
        <v>9769.59801434163</v>
      </c>
      <c r="H58" s="31"/>
      <c r="J58" s="18" t="s">
        <v>108</v>
      </c>
      <c r="K58" s="31">
        <f t="shared" ref="K58:K63" si="10">K48+$H$22</f>
        <v>1.25</v>
      </c>
    </row>
    <row r="59" spans="1:11">
      <c r="A59" s="18" t="s">
        <v>127</v>
      </c>
      <c r="D59" s="50">
        <f>D55+B64</f>
        <v>9797.93541340842</v>
      </c>
      <c r="G59" s="53">
        <f>G55+D64</f>
        <v>11129.2462248249</v>
      </c>
      <c r="H59" s="31"/>
      <c r="J59" s="18" t="s">
        <v>110</v>
      </c>
      <c r="K59" s="31">
        <f t="shared" ref="K59:K61" si="11">K49+$H$22+$H$25</f>
        <v>1.41</v>
      </c>
    </row>
    <row r="60" spans="1:11">
      <c r="A60" s="14" t="s">
        <v>128</v>
      </c>
      <c r="B60" s="54"/>
      <c r="C60" s="54"/>
      <c r="D60" s="54"/>
      <c r="E60" s="54"/>
      <c r="F60" s="54"/>
      <c r="G60" s="54"/>
      <c r="H60" s="58"/>
      <c r="J60" s="18" t="s">
        <v>112</v>
      </c>
      <c r="K60" s="31">
        <f t="shared" si="11"/>
        <v>2.868</v>
      </c>
    </row>
    <row r="61" spans="2:11">
      <c r="B61" s="50"/>
      <c r="C61" s="50"/>
      <c r="D61" s="50"/>
      <c r="E61" s="50"/>
      <c r="F61" s="50"/>
      <c r="G61" s="50"/>
      <c r="H61" s="50"/>
      <c r="J61" s="18" t="s">
        <v>114</v>
      </c>
      <c r="K61" s="31">
        <f t="shared" si="11"/>
        <v>3.268</v>
      </c>
    </row>
    <row r="62" ht="16.2" spans="1:11">
      <c r="A62" s="21" t="s">
        <v>129</v>
      </c>
      <c r="B62" s="22" t="s">
        <v>130</v>
      </c>
      <c r="C62" s="50" t="s">
        <v>131</v>
      </c>
      <c r="D62" s="50" t="s">
        <v>132</v>
      </c>
      <c r="E62" s="50"/>
      <c r="F62" s="50"/>
      <c r="G62" s="50"/>
      <c r="H62" s="50"/>
      <c r="J62" s="18" t="s">
        <v>115</v>
      </c>
      <c r="K62" s="31">
        <f t="shared" si="10"/>
        <v>1.3916</v>
      </c>
    </row>
    <row r="63" spans="1:11">
      <c r="A63" s="11" t="s">
        <v>133</v>
      </c>
      <c r="B63" s="59">
        <f>公式!B23*(1+0.6+(16*$B$12)/($B$12+2000))*K33</f>
        <v>5863.51970685233</v>
      </c>
      <c r="C63" s="47">
        <f>公式!B23*(1+0.6+(16*($B$12+H16)/(($B$12+H16)+2000))*K37)</f>
        <v>5655.19970685233</v>
      </c>
      <c r="D63" s="60">
        <f>B63*(1-$H$20)+C63*$H$20</f>
        <v>5863.51970685233</v>
      </c>
      <c r="E63" s="50"/>
      <c r="F63" s="50"/>
      <c r="G63" s="50"/>
      <c r="H63" s="50"/>
      <c r="J63" s="18" t="s">
        <v>117</v>
      </c>
      <c r="K63" s="31">
        <f t="shared" si="10"/>
        <v>1.4716</v>
      </c>
    </row>
    <row r="64" spans="1:11">
      <c r="A64" s="14" t="s">
        <v>134</v>
      </c>
      <c r="B64" s="61">
        <f>公式!B23*(1+0.6+(16*($B$12+200))/(($B$12+200)+2000))*K33</f>
        <v>6662.75496073745</v>
      </c>
      <c r="C64" s="54">
        <f>公式!B23*(1+0.6+(16*(($B$12+H16)+200))/(($B$12+200)+2000))*K37</f>
        <v>6662.75496073745</v>
      </c>
      <c r="D64" s="62">
        <f>B64*(1-$H$20)+C64*$H$20</f>
        <v>6662.75496073745</v>
      </c>
      <c r="E64" s="50"/>
      <c r="F64" s="50"/>
      <c r="G64" s="50"/>
      <c r="H64" s="50"/>
      <c r="J64" s="18" t="s">
        <v>119</v>
      </c>
      <c r="K64" s="31">
        <f t="shared" ref="K64:K66" si="12">K54+$H$22+$H$25</f>
        <v>1.5516</v>
      </c>
    </row>
    <row r="65" spans="3:11">
      <c r="C65" s="50"/>
      <c r="D65" s="50"/>
      <c r="E65" s="50"/>
      <c r="F65" s="50"/>
      <c r="G65" s="50"/>
      <c r="H65" s="50"/>
      <c r="J65" s="18" t="s">
        <v>121</v>
      </c>
      <c r="K65" s="31">
        <f t="shared" si="12"/>
        <v>3.0096</v>
      </c>
    </row>
    <row r="66" ht="16.2" spans="1:11">
      <c r="A66" s="7" t="s">
        <v>135</v>
      </c>
      <c r="B66" s="22" t="s">
        <v>130</v>
      </c>
      <c r="C66" s="50" t="s">
        <v>131</v>
      </c>
      <c r="D66" s="50" t="s">
        <v>132</v>
      </c>
      <c r="E66" s="50"/>
      <c r="F66" s="50"/>
      <c r="G66" s="50"/>
      <c r="H66" s="50"/>
      <c r="J66" s="18" t="s">
        <v>123</v>
      </c>
      <c r="K66" s="31">
        <f t="shared" si="12"/>
        <v>3.4896</v>
      </c>
    </row>
    <row r="67" spans="1:11">
      <c r="A67" s="11" t="s">
        <v>136</v>
      </c>
      <c r="B67" s="76">
        <f>公式!B24*(1+0.6+(16*$B$12)/($B$12+2000))*K33</f>
        <v>11727.0394137047</v>
      </c>
      <c r="C67" s="47">
        <f>公式!B24*(1+0.6+(16*($B$12+H16))/(($B$12+H16)+2000))*K37</f>
        <v>11727.0394137047</v>
      </c>
      <c r="D67" s="77">
        <f>公式!B24*(1+0.6+(16*((B12+H16)*H17+B12*(1-H17)))/(((B12+H16)*H17+B12*(1-H17))+2000))*K39</f>
        <v>11727.0394137047</v>
      </c>
      <c r="E67" s="50"/>
      <c r="F67" s="50"/>
      <c r="G67" s="50"/>
      <c r="H67" s="50"/>
      <c r="J67" s="72" t="s">
        <v>137</v>
      </c>
      <c r="K67" s="31"/>
    </row>
    <row r="68" spans="1:11">
      <c r="A68" s="18" t="s">
        <v>138</v>
      </c>
      <c r="B68" s="78">
        <f>公式!B26*(1+0.6+(16*$B$12)/($B$12+2000))*K33</f>
        <v>19542.8139538292</v>
      </c>
      <c r="C68" s="50">
        <f>公式!B26*(1+0.6+(16*($B$12+H16))/(($B$12+H16)+2000))*K37</f>
        <v>19542.8139538292</v>
      </c>
      <c r="D68" s="79">
        <f>公式!B26*(1+0.6+(16*((B12+H16)*H17+B12*(1-H17)))/(((B12+H16)*H17+B12*(1-H17))+2000))*K39</f>
        <v>19542.8139538292</v>
      </c>
      <c r="E68" s="50"/>
      <c r="F68" s="50"/>
      <c r="G68" s="50"/>
      <c r="H68" s="50"/>
      <c r="J68" s="18" t="s">
        <v>108</v>
      </c>
      <c r="K68" s="31">
        <f t="shared" ref="K68:K73" si="13">K48+$H$22*$H$23</f>
        <v>1.25</v>
      </c>
    </row>
    <row r="69" spans="1:11">
      <c r="A69" s="18" t="s">
        <v>139</v>
      </c>
      <c r="B69" s="78">
        <f>公式!B25*(1+0.6+(16*$B$12)/($B$12+2000))*K31</f>
        <v>11472.1037742763</v>
      </c>
      <c r="C69" s="50">
        <f>公式!B25*(1+0.6+(16*($B$12+H16))/(($B$12+H16)+2000))*K35</f>
        <v>11472.1037742763</v>
      </c>
      <c r="D69" s="79">
        <f>公式!B25*(1+0.6+(16*((B12+H16)*H17+B12*(1-H17)))/(((B12+H16)*H17+B12*(1-H17))+2000))*K38</f>
        <v>11472.1037742763</v>
      </c>
      <c r="E69" s="50"/>
      <c r="F69" s="50"/>
      <c r="G69" s="50"/>
      <c r="H69" s="50"/>
      <c r="J69" s="18" t="s">
        <v>110</v>
      </c>
      <c r="K69" s="31">
        <f t="shared" ref="K69:K71" si="14">K49+$H$22*$H$23+$H$25*$H$26</f>
        <v>1.33</v>
      </c>
    </row>
    <row r="70" spans="1:11">
      <c r="A70" s="18" t="s">
        <v>140</v>
      </c>
      <c r="B70" s="78">
        <f>公式!B22*(1+0.6+(16*$B$12)/($B$12+2000))*K33</f>
        <v>4884.01468669842</v>
      </c>
      <c r="C70" s="80">
        <f>公式!B22*(1+0.6+(16*$B$12)/(($B$12+H16)+2000))*K37</f>
        <v>4884.01468669842</v>
      </c>
      <c r="D70" s="79">
        <f>公式!B22*(1+0.6+(16*((B12+H16)*H17+B12*(1-H17)))/(((B12+H16)*H17+B12*(1-H17))+2000))*K39</f>
        <v>4884.01468669842</v>
      </c>
      <c r="E70" s="80"/>
      <c r="F70" s="80"/>
      <c r="G70" s="80"/>
      <c r="H70" s="80"/>
      <c r="J70" s="18" t="s">
        <v>112</v>
      </c>
      <c r="K70" s="31">
        <f t="shared" si="14"/>
        <v>2.788</v>
      </c>
    </row>
    <row r="71" spans="1:11">
      <c r="A71" s="14" t="s">
        <v>141</v>
      </c>
      <c r="B71" s="81">
        <f>(2.78*$B$12)/($B$12+1400)</f>
        <v>0.951911695631752</v>
      </c>
      <c r="C71" s="82"/>
      <c r="D71" s="83"/>
      <c r="E71" s="80"/>
      <c r="F71" s="80"/>
      <c r="G71" s="80"/>
      <c r="H71" s="80"/>
      <c r="J71" s="18" t="s">
        <v>114</v>
      </c>
      <c r="K71" s="31">
        <f t="shared" si="14"/>
        <v>3.188</v>
      </c>
    </row>
    <row r="72" spans="10:11">
      <c r="J72" s="18" t="s">
        <v>115</v>
      </c>
      <c r="K72" s="31">
        <f t="shared" si="13"/>
        <v>1.3916</v>
      </c>
    </row>
    <row r="73" spans="10:11">
      <c r="J73" s="18" t="s">
        <v>117</v>
      </c>
      <c r="K73" s="31">
        <f t="shared" si="13"/>
        <v>1.4716</v>
      </c>
    </row>
    <row r="74" spans="10:11">
      <c r="J74" s="18" t="s">
        <v>119</v>
      </c>
      <c r="K74" s="31">
        <f t="shared" ref="K74:K76" si="15">K54+$H$22*$H$23+$H$25*$H$26</f>
        <v>1.4716</v>
      </c>
    </row>
    <row r="75" spans="10:11">
      <c r="J75" s="18" t="s">
        <v>121</v>
      </c>
      <c r="K75" s="31">
        <f t="shared" si="15"/>
        <v>2.9296</v>
      </c>
    </row>
    <row r="76" spans="3:11">
      <c r="C76" s="80"/>
      <c r="D76" s="80"/>
      <c r="E76" s="80"/>
      <c r="F76" s="80"/>
      <c r="G76" s="80"/>
      <c r="H76" s="80"/>
      <c r="J76" s="14" t="s">
        <v>123</v>
      </c>
      <c r="K76" s="57">
        <f t="shared" si="15"/>
        <v>3.4096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workbookViewId="0">
      <selection activeCell="A1" sqref="A1:C20"/>
    </sheetView>
  </sheetViews>
  <sheetFormatPr defaultColWidth="21.3157894736842" defaultRowHeight="15.3"/>
  <cols>
    <col min="1" max="16384" width="21.3157894736842" style="1" customWidth="1"/>
  </cols>
  <sheetData>
    <row r="1" ht="16.2" spans="1:3">
      <c r="A1" s="11" t="s">
        <v>0</v>
      </c>
      <c r="B1" s="12" t="s">
        <v>1</v>
      </c>
      <c r="C1" s="13"/>
    </row>
    <row r="2" spans="1:3">
      <c r="A2" s="14" t="s">
        <v>2</v>
      </c>
      <c r="B2" s="15" t="s">
        <v>143</v>
      </c>
      <c r="C2" s="16"/>
    </row>
    <row r="3" spans="2:2">
      <c r="B3" s="6"/>
    </row>
    <row r="4" ht="16.2" spans="1:1">
      <c r="A4" s="7" t="s">
        <v>4</v>
      </c>
    </row>
    <row r="5" ht="16.2" spans="1:2">
      <c r="A5" s="11" t="s">
        <v>5</v>
      </c>
      <c r="B5" s="17">
        <f>G40+G50+G41+G59+G41+G59</f>
        <v>304928.368284888</v>
      </c>
    </row>
    <row r="6" ht="16.2" spans="1:2">
      <c r="A6" s="18" t="s">
        <v>6</v>
      </c>
      <c r="B6" s="19">
        <f>G39+G49+G39+G39</f>
        <v>214008.510697234</v>
      </c>
    </row>
    <row r="7" ht="16.2" spans="1:2">
      <c r="A7" s="14" t="s">
        <v>7</v>
      </c>
      <c r="B7" s="20">
        <f>G49+G39+G39</f>
        <v>175084.41418312</v>
      </c>
    </row>
    <row r="9" ht="16.2" spans="1:13">
      <c r="A9" s="21" t="s">
        <v>8</v>
      </c>
      <c r="B9" s="22"/>
      <c r="D9" s="7" t="s">
        <v>9</v>
      </c>
      <c r="G9" s="7" t="s">
        <v>10</v>
      </c>
      <c r="J9" s="42" t="s">
        <v>11</v>
      </c>
      <c r="K9" s="22"/>
      <c r="L9" s="36"/>
      <c r="M9" s="22"/>
    </row>
    <row r="10" spans="1:13">
      <c r="A10" s="11" t="s">
        <v>12</v>
      </c>
      <c r="B10" s="13">
        <v>1634</v>
      </c>
      <c r="D10" s="23" t="s">
        <v>13</v>
      </c>
      <c r="E10" s="24" t="s">
        <v>14</v>
      </c>
      <c r="G10" s="11" t="s">
        <v>15</v>
      </c>
      <c r="H10" s="25">
        <f>(191+608)*1.12</f>
        <v>894.88</v>
      </c>
      <c r="J10" s="23" t="s">
        <v>16</v>
      </c>
      <c r="K10" s="63"/>
      <c r="L10" s="64"/>
      <c r="M10" s="22"/>
    </row>
    <row r="11" spans="1:13">
      <c r="A11" s="18" t="s">
        <v>17</v>
      </c>
      <c r="B11" s="26">
        <f>人物!B6+苍古精精精!E12</f>
        <v>905</v>
      </c>
      <c r="D11" s="27" t="s">
        <v>18</v>
      </c>
      <c r="E11" s="26">
        <v>90</v>
      </c>
      <c r="G11" s="27" t="s">
        <v>19</v>
      </c>
      <c r="H11" s="28">
        <v>0.5</v>
      </c>
      <c r="J11" s="27" t="s">
        <v>20</v>
      </c>
      <c r="K11" s="65">
        <v>0.8263</v>
      </c>
      <c r="L11" s="26"/>
      <c r="M11" s="22"/>
    </row>
    <row r="12" spans="1:13">
      <c r="A12" s="18" t="s">
        <v>21</v>
      </c>
      <c r="B12" s="29">
        <v>915</v>
      </c>
      <c r="D12" s="27" t="s">
        <v>22</v>
      </c>
      <c r="E12" s="30">
        <v>608</v>
      </c>
      <c r="G12" s="18"/>
      <c r="H12" s="31"/>
      <c r="J12" s="27" t="s">
        <v>23</v>
      </c>
      <c r="K12" s="66">
        <f>79%+137.14%</f>
        <v>2.1614</v>
      </c>
      <c r="L12" s="26"/>
      <c r="M12" s="22"/>
    </row>
    <row r="13" spans="1:13">
      <c r="A13" s="18" t="s">
        <v>24</v>
      </c>
      <c r="B13" s="32">
        <v>0.318</v>
      </c>
      <c r="D13" s="33" t="s">
        <v>25</v>
      </c>
      <c r="E13" s="34" t="s">
        <v>26</v>
      </c>
      <c r="G13" s="27" t="s">
        <v>27</v>
      </c>
      <c r="H13" s="35">
        <v>0.4</v>
      </c>
      <c r="J13" s="27" t="s">
        <v>28</v>
      </c>
      <c r="K13" s="65">
        <v>1.5035</v>
      </c>
      <c r="L13" s="26"/>
      <c r="M13" s="22"/>
    </row>
    <row r="14" spans="1:12">
      <c r="A14" s="18" t="s">
        <v>29</v>
      </c>
      <c r="B14" s="32">
        <v>0.92</v>
      </c>
      <c r="D14" s="36"/>
      <c r="E14" s="36"/>
      <c r="G14" s="27" t="s">
        <v>19</v>
      </c>
      <c r="H14" s="28">
        <v>0.5</v>
      </c>
      <c r="J14" s="27" t="s">
        <v>30</v>
      </c>
      <c r="K14" s="65">
        <v>3.0063</v>
      </c>
      <c r="L14" s="26"/>
    </row>
    <row r="15" ht="16.2" spans="1:12">
      <c r="A15" s="18" t="s">
        <v>31</v>
      </c>
      <c r="B15" s="32">
        <v>1.538</v>
      </c>
      <c r="D15" s="21" t="s">
        <v>32</v>
      </c>
      <c r="E15" s="22"/>
      <c r="G15" s="18"/>
      <c r="H15" s="31"/>
      <c r="J15" s="27" t="s">
        <v>33</v>
      </c>
      <c r="K15" s="65">
        <v>3.755</v>
      </c>
      <c r="L15" s="26" t="s">
        <v>34</v>
      </c>
    </row>
    <row r="16" spans="1:12">
      <c r="A16" s="14" t="s">
        <v>35</v>
      </c>
      <c r="B16" s="37">
        <v>0.15</v>
      </c>
      <c r="D16" s="11" t="s">
        <v>18</v>
      </c>
      <c r="E16" s="24">
        <v>85</v>
      </c>
      <c r="G16" s="18" t="s">
        <v>36</v>
      </c>
      <c r="H16" s="29">
        <v>0</v>
      </c>
      <c r="J16" s="27"/>
      <c r="K16" s="36"/>
      <c r="L16" s="26"/>
    </row>
    <row r="17" spans="4:12">
      <c r="D17" s="18" t="s">
        <v>37</v>
      </c>
      <c r="E17" s="38">
        <v>0.1</v>
      </c>
      <c r="G17" s="27" t="s">
        <v>19</v>
      </c>
      <c r="H17" s="28">
        <v>0</v>
      </c>
      <c r="J17" s="27" t="s">
        <v>38</v>
      </c>
      <c r="K17" s="36"/>
      <c r="L17" s="26"/>
    </row>
    <row r="18" ht="16.2" spans="1:12">
      <c r="A18" s="7" t="s">
        <v>39</v>
      </c>
      <c r="D18" s="18" t="s">
        <v>40</v>
      </c>
      <c r="E18" s="38">
        <v>-0.3</v>
      </c>
      <c r="G18" s="18"/>
      <c r="H18" s="31"/>
      <c r="J18" s="27" t="s">
        <v>41</v>
      </c>
      <c r="K18" s="67">
        <v>3.84</v>
      </c>
      <c r="L18" s="26"/>
    </row>
    <row r="19" spans="1:12">
      <c r="A19" s="11" t="s">
        <v>42</v>
      </c>
      <c r="B19" s="39">
        <f>B12*0.04%</f>
        <v>0.366</v>
      </c>
      <c r="D19" s="14" t="s">
        <v>43</v>
      </c>
      <c r="E19" s="40">
        <f>(E11+100)/(E16+E11+200)</f>
        <v>0.506666666666667</v>
      </c>
      <c r="G19" s="18" t="s">
        <v>44</v>
      </c>
      <c r="H19" s="38">
        <v>0</v>
      </c>
      <c r="J19" s="27" t="s">
        <v>45</v>
      </c>
      <c r="K19" s="65">
        <v>5.216</v>
      </c>
      <c r="L19" s="26"/>
    </row>
    <row r="20" spans="1:12">
      <c r="A20" s="14" t="s">
        <v>46</v>
      </c>
      <c r="B20" s="41">
        <f>(B12+200)*0.04%</f>
        <v>0.446</v>
      </c>
      <c r="G20" s="27" t="s">
        <v>19</v>
      </c>
      <c r="H20" s="28">
        <v>0</v>
      </c>
      <c r="J20" s="27" t="s">
        <v>47</v>
      </c>
      <c r="K20" s="65">
        <f>K15</f>
        <v>3.755</v>
      </c>
      <c r="L20" s="26" t="s">
        <v>48</v>
      </c>
    </row>
    <row r="21" ht="16.2" spans="4:12">
      <c r="D21" s="42" t="s">
        <v>49</v>
      </c>
      <c r="E21" s="36"/>
      <c r="G21" s="18"/>
      <c r="H21" s="31"/>
      <c r="J21" s="27" t="s">
        <v>50</v>
      </c>
      <c r="K21" s="67">
        <v>2</v>
      </c>
      <c r="L21" s="26" t="s">
        <v>51</v>
      </c>
    </row>
    <row r="22" ht="16.2" spans="1:12">
      <c r="A22" s="7" t="s">
        <v>52</v>
      </c>
      <c r="D22" s="23" t="s">
        <v>53</v>
      </c>
      <c r="E22" s="43">
        <v>0.1</v>
      </c>
      <c r="G22" s="27" t="s">
        <v>53</v>
      </c>
      <c r="H22" s="35">
        <v>0</v>
      </c>
      <c r="J22" s="27"/>
      <c r="K22" s="36"/>
      <c r="L22" s="26"/>
    </row>
    <row r="23" spans="1:12">
      <c r="A23" s="11" t="s">
        <v>54</v>
      </c>
      <c r="B23" s="44">
        <f>B12*0.2%</f>
        <v>1.83</v>
      </c>
      <c r="D23" s="27" t="s">
        <v>55</v>
      </c>
      <c r="E23" s="35">
        <v>0</v>
      </c>
      <c r="G23" s="27" t="s">
        <v>19</v>
      </c>
      <c r="H23" s="28">
        <v>0</v>
      </c>
      <c r="J23" s="27" t="s">
        <v>56</v>
      </c>
      <c r="K23" s="36"/>
      <c r="L23" s="26"/>
    </row>
    <row r="24" spans="1:12">
      <c r="A24" s="14" t="s">
        <v>57</v>
      </c>
      <c r="B24" s="40">
        <f>(B12+200)*0.2%</f>
        <v>2.23</v>
      </c>
      <c r="D24" s="27" t="s">
        <v>58</v>
      </c>
      <c r="E24" s="35">
        <v>0</v>
      </c>
      <c r="G24" s="18"/>
      <c r="H24" s="31"/>
      <c r="J24" s="27" t="s">
        <v>59</v>
      </c>
      <c r="K24" s="65">
        <v>5.248</v>
      </c>
      <c r="L24" s="26"/>
    </row>
    <row r="25" spans="4:12">
      <c r="D25" s="27" t="s">
        <v>60</v>
      </c>
      <c r="E25" s="30">
        <v>0</v>
      </c>
      <c r="G25" s="27" t="s">
        <v>55</v>
      </c>
      <c r="H25" s="35">
        <v>0.16</v>
      </c>
      <c r="J25" s="27" t="s">
        <v>61</v>
      </c>
      <c r="K25" s="67">
        <v>2.4</v>
      </c>
      <c r="L25" s="26" t="s">
        <v>62</v>
      </c>
    </row>
    <row r="26" spans="4:12">
      <c r="D26" s="33" t="s">
        <v>44</v>
      </c>
      <c r="E26" s="45">
        <v>0</v>
      </c>
      <c r="G26" s="33" t="s">
        <v>19</v>
      </c>
      <c r="H26" s="46">
        <v>0.5</v>
      </c>
      <c r="J26" s="33" t="s">
        <v>63</v>
      </c>
      <c r="K26" s="68">
        <v>0.72</v>
      </c>
      <c r="L26" s="34" t="s">
        <v>51</v>
      </c>
    </row>
    <row r="28" ht="16.2" spans="1:10">
      <c r="A28" s="1" t="s">
        <v>64</v>
      </c>
      <c r="J28" s="7" t="s">
        <v>65</v>
      </c>
    </row>
    <row r="29" spans="10:11">
      <c r="J29" s="69" t="s">
        <v>66</v>
      </c>
      <c r="K29" s="49"/>
    </row>
    <row r="30" ht="16.2" spans="1:11">
      <c r="A30" s="7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73</v>
      </c>
      <c r="J30" s="18" t="s">
        <v>74</v>
      </c>
      <c r="K30" s="70">
        <f>E17-E26</f>
        <v>0.1</v>
      </c>
    </row>
    <row r="31" spans="1:11">
      <c r="A31" s="11" t="s">
        <v>75</v>
      </c>
      <c r="B31" s="47">
        <f t="shared" ref="B31:B38" si="0">C31*(1+$B$14)</f>
        <v>6866.878464</v>
      </c>
      <c r="C31" s="48">
        <f>K43*K18*K48*K31*$E$19</f>
        <v>3576.4992</v>
      </c>
      <c r="D31" s="48">
        <f t="shared" ref="D31:D38" si="1">C31*$K$46</f>
        <v>4622.839805952</v>
      </c>
      <c r="E31" s="47">
        <f t="shared" ref="E31:E38" si="2">F31*(1+$B$14)</f>
        <v>12148.91163648</v>
      </c>
      <c r="F31" s="48">
        <f>K44*K18*K35*K58*E19</f>
        <v>6327.558144</v>
      </c>
      <c r="G31" s="48">
        <f>K45*K18*K68*E19*K46</f>
        <v>7111.9935336448</v>
      </c>
      <c r="H31" s="49"/>
      <c r="J31" s="18" t="s">
        <v>76</v>
      </c>
      <c r="K31" s="31">
        <f t="shared" ref="K31:K35" si="3">IF(K30&lt;0,(1-K30/2),(1-K30))</f>
        <v>0.9</v>
      </c>
    </row>
    <row r="32" spans="1:11">
      <c r="A32" s="18" t="s">
        <v>77</v>
      </c>
      <c r="B32" s="50">
        <f t="shared" si="0"/>
        <v>9327.5099136</v>
      </c>
      <c r="C32" s="51">
        <f>K43*K19*K48*K31*$E$19</f>
        <v>4858.07808</v>
      </c>
      <c r="D32" s="51">
        <f t="shared" si="1"/>
        <v>6279.3574030848</v>
      </c>
      <c r="E32" s="50">
        <f t="shared" si="2"/>
        <v>16502.271639552</v>
      </c>
      <c r="F32" s="51">
        <f>K44*K19*K58*K35*$E$19</f>
        <v>8594.9331456</v>
      </c>
      <c r="G32" s="51">
        <f>K45*K19*K68*E19*K46</f>
        <v>9660.45788320086</v>
      </c>
      <c r="H32" s="31"/>
      <c r="J32" s="18" t="s">
        <v>78</v>
      </c>
      <c r="K32" s="70">
        <f>E18-E26</f>
        <v>-0.3</v>
      </c>
    </row>
    <row r="33" spans="1:11">
      <c r="A33" s="18" t="s">
        <v>79</v>
      </c>
      <c r="B33" s="50">
        <f t="shared" si="0"/>
        <v>6714.877248</v>
      </c>
      <c r="C33" s="51">
        <f>K43*K20*K49*K31*$E$19</f>
        <v>3497.3319</v>
      </c>
      <c r="D33" s="51">
        <f t="shared" si="1"/>
        <v>4520.511320664</v>
      </c>
      <c r="E33" s="50">
        <f t="shared" si="2"/>
        <v>13400.6291885261</v>
      </c>
      <c r="F33" s="51">
        <f>K44*K20*K59*K35*$E$19</f>
        <v>6979.494369024</v>
      </c>
      <c r="G33" s="51">
        <f>K45*K20*K69*E19*K46</f>
        <v>7399.65885542754</v>
      </c>
      <c r="H33" s="31"/>
      <c r="J33" s="18" t="s">
        <v>80</v>
      </c>
      <c r="K33" s="31">
        <f t="shared" si="3"/>
        <v>1.15</v>
      </c>
    </row>
    <row r="34" spans="1:11">
      <c r="A34" s="18" t="s">
        <v>81</v>
      </c>
      <c r="B34" s="50">
        <f t="shared" si="0"/>
        <v>16545.457539072</v>
      </c>
      <c r="C34" s="51">
        <f>K43*K20*K50*K31*$E$19</f>
        <v>8617.4258016</v>
      </c>
      <c r="D34" s="51">
        <f t="shared" si="1"/>
        <v>11138.5398941161</v>
      </c>
      <c r="E34" s="50">
        <f t="shared" si="2"/>
        <v>30792.9351566131</v>
      </c>
      <c r="F34" s="51">
        <f>K44*K20*K60*K35*$E$19</f>
        <v>16037.987060736</v>
      </c>
      <c r="G34" s="51">
        <f>K45*K20*K70*E19*K46</f>
        <v>17581.1443482339</v>
      </c>
      <c r="H34" s="31"/>
      <c r="J34" s="18" t="s">
        <v>82</v>
      </c>
      <c r="K34" s="70">
        <f>E17-E26-H19</f>
        <v>0.1</v>
      </c>
    </row>
    <row r="35" spans="1:11">
      <c r="A35" s="18" t="s">
        <v>83</v>
      </c>
      <c r="B35" s="50">
        <f t="shared" si="0"/>
        <v>5359.66222336</v>
      </c>
      <c r="C35" s="51">
        <f>K43*K21*K54*K33*$E$19</f>
        <v>2791.49074133333</v>
      </c>
      <c r="D35" s="51">
        <f t="shared" si="1"/>
        <v>3608.16927261781</v>
      </c>
      <c r="E35" s="50">
        <f t="shared" si="2"/>
        <v>10517.2453097472</v>
      </c>
      <c r="F35" s="51">
        <f>K44*K21*K64*K37*$E$19</f>
        <v>5477.73193216</v>
      </c>
      <c r="G35" s="51">
        <f>K45*K21*K74*E19*K46</f>
        <v>4581.30916792286</v>
      </c>
      <c r="H35" s="31"/>
      <c r="J35" s="18" t="s">
        <v>84</v>
      </c>
      <c r="K35" s="31">
        <f t="shared" si="3"/>
        <v>0.9</v>
      </c>
    </row>
    <row r="36" spans="1:11">
      <c r="A36" s="18" t="s">
        <v>85</v>
      </c>
      <c r="B36" s="50">
        <f t="shared" si="0"/>
        <v>12050.10006016</v>
      </c>
      <c r="C36" s="51">
        <f>K43*K21*K55*K33*$E$19</f>
        <v>6276.09378133333</v>
      </c>
      <c r="D36" s="51">
        <f t="shared" si="1"/>
        <v>8112.22777800021</v>
      </c>
      <c r="E36" s="50">
        <f t="shared" si="2"/>
        <v>22353.9974111232</v>
      </c>
      <c r="F36" s="51">
        <f>K44*K21*K65*K37*$E$19</f>
        <v>11642.70698496</v>
      </c>
      <c r="G36" s="51">
        <f>K45*K21*K75*E19*K46</f>
        <v>10004.204237327</v>
      </c>
      <c r="H36" s="31"/>
      <c r="J36" s="18" t="s">
        <v>86</v>
      </c>
      <c r="K36" s="70">
        <f>E18-E26-H19</f>
        <v>-0.3</v>
      </c>
    </row>
    <row r="37" spans="1:14">
      <c r="A37" s="18" t="s">
        <v>87</v>
      </c>
      <c r="B37" s="50">
        <f t="shared" si="0"/>
        <v>18694.218258432</v>
      </c>
      <c r="C37" s="51">
        <f>K43*K20*K51*K31*$E$19</f>
        <v>9736.5720096</v>
      </c>
      <c r="D37" s="51">
        <f t="shared" si="1"/>
        <v>12585.1035167286</v>
      </c>
      <c r="E37" s="50">
        <f t="shared" si="2"/>
        <v>34594.5320895283</v>
      </c>
      <c r="F37" s="51">
        <f>K44*K20*K61*K35*$E$19</f>
        <v>18017.985463296</v>
      </c>
      <c r="G37" s="51">
        <f>K45*K20*K76*E19*K46</f>
        <v>21453.4470274651</v>
      </c>
      <c r="H37" s="31"/>
      <c r="J37" s="18" t="s">
        <v>88</v>
      </c>
      <c r="K37" s="31">
        <f>IF(K36&lt;0,(1-K36/2),(1-K36))</f>
        <v>1.15</v>
      </c>
      <c r="N37" s="36"/>
    </row>
    <row r="38" spans="1:15">
      <c r="A38" s="18" t="s">
        <v>89</v>
      </c>
      <c r="B38" s="50">
        <f t="shared" si="0"/>
        <v>13804.96900096</v>
      </c>
      <c r="C38" s="51">
        <f>K43*K21*K56*K33*$E$19</f>
        <v>7190.08802133333</v>
      </c>
      <c r="D38" s="51">
        <f t="shared" si="1"/>
        <v>9293.62017285461</v>
      </c>
      <c r="E38" s="50">
        <f t="shared" si="2"/>
        <v>25458.7192737792</v>
      </c>
      <c r="F38" s="51">
        <f>K44*K21*K66*K37*$E$19</f>
        <v>13259.74962176</v>
      </c>
      <c r="G38" s="51">
        <f>K45*K21*K76*E19*K46</f>
        <v>11426.602944056</v>
      </c>
      <c r="H38" s="31"/>
      <c r="J38" s="18" t="s">
        <v>90</v>
      </c>
      <c r="K38" s="31">
        <f>K31*(1-H20)+K35*H20</f>
        <v>0.9</v>
      </c>
      <c r="N38" s="36"/>
      <c r="O38" s="36"/>
    </row>
    <row r="39" spans="1:15">
      <c r="A39" s="18" t="s">
        <v>91</v>
      </c>
      <c r="D39" s="50">
        <f>D31+D33+D35+B63*3</f>
        <v>32582.6553563522</v>
      </c>
      <c r="G39" s="52">
        <f>G31+G33+G35+D63*3</f>
        <v>38924.0965141136</v>
      </c>
      <c r="H39" s="31"/>
      <c r="J39" s="18" t="s">
        <v>92</v>
      </c>
      <c r="K39" s="31">
        <f>K33*(1-H20)+K37*H20</f>
        <v>1.15</v>
      </c>
      <c r="N39" s="36"/>
      <c r="O39" s="71"/>
    </row>
    <row r="40" spans="1:11">
      <c r="A40" s="18" t="s">
        <v>93</v>
      </c>
      <c r="D40" s="51">
        <f>D31+D34+D36+B63*3</f>
        <v>43704.7424351867</v>
      </c>
      <c r="G40" s="53">
        <f>G31+G34+G36+D63*3</f>
        <v>54528.477076324</v>
      </c>
      <c r="H40" s="31"/>
      <c r="J40" s="72" t="s">
        <v>94</v>
      </c>
      <c r="K40" s="31"/>
    </row>
    <row r="41" spans="1:11">
      <c r="A41" s="18" t="s">
        <v>95</v>
      </c>
      <c r="D41" s="51">
        <f>D31+D37+D38+B64*3</f>
        <v>48443.3774281195</v>
      </c>
      <c r="G41" s="53">
        <f>G31+G37+G38+D64*3</f>
        <v>61933.8574377501</v>
      </c>
      <c r="H41" s="31"/>
      <c r="J41" s="18" t="s">
        <v>96</v>
      </c>
      <c r="K41" s="31">
        <f>B12*(1-H17)+(B12+H16)*H17</f>
        <v>915</v>
      </c>
    </row>
    <row r="42" spans="1:11">
      <c r="A42" s="14" t="s">
        <v>97</v>
      </c>
      <c r="B42" s="54"/>
      <c r="C42" s="55"/>
      <c r="D42" s="55"/>
      <c r="E42" s="56"/>
      <c r="F42" s="55"/>
      <c r="G42" s="55"/>
      <c r="H42" s="57"/>
      <c r="J42" s="1" t="s">
        <v>98</v>
      </c>
      <c r="K42" s="1">
        <f>B12+H16</f>
        <v>915</v>
      </c>
    </row>
    <row r="43" spans="2:11">
      <c r="B43" s="50"/>
      <c r="C43" s="51"/>
      <c r="D43" s="51"/>
      <c r="F43" s="51"/>
      <c r="G43" s="51"/>
      <c r="J43" s="18" t="s">
        <v>99</v>
      </c>
      <c r="K43" s="31">
        <f>($B$10+B11*E24+E25)</f>
        <v>1634</v>
      </c>
    </row>
    <row r="44" ht="16.2" spans="1:11">
      <c r="A44" s="7" t="s">
        <v>100</v>
      </c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J44" s="1" t="s">
        <v>101</v>
      </c>
      <c r="K44" s="73">
        <f>K43+H10+H13*B11</f>
        <v>2890.88</v>
      </c>
    </row>
    <row r="45" spans="1:11">
      <c r="A45" s="11" t="s">
        <v>59</v>
      </c>
      <c r="B45" s="47">
        <f t="shared" ref="B45:B48" si="4">C45*(1+$B$14)</f>
        <v>9384.7339008</v>
      </c>
      <c r="C45" s="48">
        <f>K43*K24*K48*K31*$E$19</f>
        <v>4887.88224</v>
      </c>
      <c r="D45" s="48">
        <f t="shared" ref="D45:D48" si="5">C45*$K$46</f>
        <v>6317.8810681344</v>
      </c>
      <c r="E45" s="47">
        <f t="shared" ref="E45:E48" si="6">F45*(1+$B$14)</f>
        <v>16603.512569856</v>
      </c>
      <c r="F45" s="48">
        <f>K44*K24*K35*K58*E19</f>
        <v>8647.6627968</v>
      </c>
      <c r="G45" s="48">
        <f>K45*K24*K38*K68*E19*K46</f>
        <v>8747.7520463831</v>
      </c>
      <c r="H45" s="49"/>
      <c r="J45" s="18" t="s">
        <v>102</v>
      </c>
      <c r="K45" s="74">
        <f>($B$10+B11*E24+E25+H10*H11+B11*H13*H14)</f>
        <v>2262.44</v>
      </c>
    </row>
    <row r="46" spans="1:11">
      <c r="A46" s="18" t="s">
        <v>103</v>
      </c>
      <c r="B46" s="50">
        <f t="shared" si="4"/>
        <v>4291.79904</v>
      </c>
      <c r="C46" s="51">
        <f>K43*K25*K48*K31*$E$19</f>
        <v>2235.312</v>
      </c>
      <c r="D46" s="51">
        <f t="shared" si="5"/>
        <v>2889.27487872</v>
      </c>
      <c r="E46" s="50">
        <f t="shared" si="6"/>
        <v>7593.0697728</v>
      </c>
      <c r="F46" s="51">
        <f>K44*K25*K35*K58*E19</f>
        <v>3954.72384</v>
      </c>
      <c r="G46" s="51">
        <f>K45*K25*K38*K68*E19*K46</f>
        <v>4000.4963626752</v>
      </c>
      <c r="H46" s="31"/>
      <c r="J46" s="18" t="s">
        <v>104</v>
      </c>
      <c r="K46" s="75">
        <f>B13*B14+1</f>
        <v>1.29256</v>
      </c>
    </row>
    <row r="47" spans="1:11">
      <c r="A47" s="18" t="s">
        <v>105</v>
      </c>
      <c r="B47" s="50">
        <f t="shared" si="4"/>
        <v>1929.4784004096</v>
      </c>
      <c r="C47" s="51">
        <f>K43*K26*K52*K33*$E$19</f>
        <v>1004.93666688</v>
      </c>
      <c r="D47" s="51">
        <f t="shared" si="5"/>
        <v>1298.94093814241</v>
      </c>
      <c r="E47" s="50">
        <f t="shared" si="6"/>
        <v>3413.64168799027</v>
      </c>
      <c r="F47" s="51">
        <f>K44*K26*K37*K62*E19</f>
        <v>1777.9383791616</v>
      </c>
      <c r="G47" s="51">
        <f>K45*K26*K39*K72*E19*K46</f>
        <v>1798.51648475577</v>
      </c>
      <c r="H47" s="31"/>
      <c r="J47" s="72" t="s">
        <v>106</v>
      </c>
      <c r="K47" s="31"/>
    </row>
    <row r="48" spans="1:11">
      <c r="A48" s="18" t="s">
        <v>107</v>
      </c>
      <c r="B48" s="50">
        <f t="shared" si="4"/>
        <v>2034.7705368576</v>
      </c>
      <c r="C48" s="51">
        <f>K43*K26*K53*K33*$E$19</f>
        <v>1059.77632128</v>
      </c>
      <c r="D48" s="51">
        <f t="shared" si="5"/>
        <v>1369.82448183368</v>
      </c>
      <c r="E48" s="50">
        <f t="shared" si="6"/>
        <v>3599.92499974963</v>
      </c>
      <c r="F48" s="51">
        <f>K44*K26*K37*K63*E19</f>
        <v>1874.9609373696</v>
      </c>
      <c r="G48" s="51">
        <f>K45*K26*K39*K73*E19*K46</f>
        <v>1896.66199552006</v>
      </c>
      <c r="H48" s="31"/>
      <c r="J48" s="18" t="s">
        <v>108</v>
      </c>
      <c r="K48" s="31">
        <f>(1+$B$16+E22)</f>
        <v>1.25</v>
      </c>
    </row>
    <row r="49" spans="1:11">
      <c r="A49" s="18" t="s">
        <v>109</v>
      </c>
      <c r="B49" s="50"/>
      <c r="C49" s="51"/>
      <c r="D49" s="51">
        <f>D45+D46*5+D47*5+B63*9</f>
        <v>86752.3650238015</v>
      </c>
      <c r="G49" s="52">
        <f>G45+G46*5+G47*5+D63*9</f>
        <v>97236.221154893</v>
      </c>
      <c r="H49" s="31"/>
      <c r="J49" s="18" t="s">
        <v>110</v>
      </c>
      <c r="K49" s="31">
        <f>(1+$B$16+$E$22+$E$23)</f>
        <v>1.25</v>
      </c>
    </row>
    <row r="50" spans="1:11">
      <c r="A50" s="18" t="s">
        <v>111</v>
      </c>
      <c r="B50" s="50"/>
      <c r="C50" s="51"/>
      <c r="D50" s="51">
        <f>D45+D46*5+D48*5+B64*9</f>
        <v>93438.8196686556</v>
      </c>
      <c r="G50" s="53">
        <f>G45+G46*5+G48*5+D64*9</f>
        <v>104058.985635112</v>
      </c>
      <c r="H50" s="31"/>
      <c r="J50" s="18" t="s">
        <v>112</v>
      </c>
      <c r="K50" s="31">
        <f>(1+$B$16+$E$22+$E$23+B23)</f>
        <v>3.08</v>
      </c>
    </row>
    <row r="51" spans="1:11">
      <c r="A51" s="14" t="s">
        <v>113</v>
      </c>
      <c r="B51" s="54"/>
      <c r="C51" s="55"/>
      <c r="D51" s="55"/>
      <c r="E51" s="56"/>
      <c r="F51" s="55"/>
      <c r="G51" s="55"/>
      <c r="H51" s="57"/>
      <c r="J51" s="18" t="s">
        <v>114</v>
      </c>
      <c r="K51" s="31">
        <f>(1+$B$16+$E$22+$E$23+B24)</f>
        <v>3.48</v>
      </c>
    </row>
    <row r="52" spans="2:11">
      <c r="B52" s="50"/>
      <c r="C52" s="51"/>
      <c r="D52" s="51"/>
      <c r="F52" s="51"/>
      <c r="G52" s="51"/>
      <c r="J52" s="18" t="s">
        <v>115</v>
      </c>
      <c r="K52" s="31">
        <f>(1+$E$22+B19)</f>
        <v>1.466</v>
      </c>
    </row>
    <row r="53" ht="16.2" spans="1:11">
      <c r="A53" s="7" t="s">
        <v>116</v>
      </c>
      <c r="B53" s="1" t="s">
        <v>68</v>
      </c>
      <c r="C53" s="1" t="s">
        <v>69</v>
      </c>
      <c r="D53" s="1" t="s">
        <v>70</v>
      </c>
      <c r="E53" s="1" t="s">
        <v>71</v>
      </c>
      <c r="F53" s="1" t="s">
        <v>72</v>
      </c>
      <c r="G53" s="1" t="s">
        <v>73</v>
      </c>
      <c r="J53" s="18" t="s">
        <v>117</v>
      </c>
      <c r="K53" s="31">
        <f>(1+$E$22+B20)</f>
        <v>1.546</v>
      </c>
    </row>
    <row r="54" spans="1:11">
      <c r="A54" s="11" t="s">
        <v>118</v>
      </c>
      <c r="B54" s="47">
        <f t="shared" ref="B54:B57" si="7">C54*(1+$B$14)</f>
        <v>3640.88190799872</v>
      </c>
      <c r="C54" s="48">
        <f>K43*K11*K50*K31*$E$19</f>
        <v>1896.292660416</v>
      </c>
      <c r="D54" s="48">
        <f t="shared" ref="D54:D57" si="8">C54*$K$46</f>
        <v>2451.07204114731</v>
      </c>
      <c r="E54" s="47">
        <f t="shared" ref="E54:E57" si="9">F54*(1+$B$14)</f>
        <v>6776.08583752581</v>
      </c>
      <c r="F54" s="48">
        <f>K44*K11*K60*K35*$E$19</f>
        <v>3529.21137371136</v>
      </c>
      <c r="G54" s="48">
        <f>K45*K11*K70*K38*$E$19*K46</f>
        <v>3481.90935218404</v>
      </c>
      <c r="H54" s="49"/>
      <c r="J54" s="18" t="s">
        <v>119</v>
      </c>
      <c r="K54" s="31">
        <f>(1+$E$22+$E$23+B19)</f>
        <v>1.466</v>
      </c>
    </row>
    <row r="55" spans="1:11">
      <c r="A55" s="18" t="s">
        <v>120</v>
      </c>
      <c r="B55" s="50">
        <f t="shared" si="7"/>
        <v>4113.72371423232</v>
      </c>
      <c r="C55" s="51">
        <f>K43*K11*K51*K31*$E$19</f>
        <v>2142.564434496</v>
      </c>
      <c r="D55" s="51">
        <f t="shared" si="8"/>
        <v>2769.39308545215</v>
      </c>
      <c r="E55" s="50">
        <f t="shared" si="9"/>
        <v>7612.63964462776</v>
      </c>
      <c r="F55" s="51">
        <f>K44*K11*K61*K35*$E$19</f>
        <v>3964.91648157696</v>
      </c>
      <c r="G55" s="51">
        <f>K45*K11*K71*K38*$E$19*K46</f>
        <v>3922.65737144784</v>
      </c>
      <c r="H55" s="31"/>
      <c r="J55" s="18" t="s">
        <v>121</v>
      </c>
      <c r="K55" s="31">
        <f>(1+$E$22+$E$23+B23+B19)</f>
        <v>3.296</v>
      </c>
    </row>
    <row r="56" spans="1:11">
      <c r="A56" s="18" t="s">
        <v>122</v>
      </c>
      <c r="B56" s="50">
        <f t="shared" si="7"/>
        <v>4978.4988398551</v>
      </c>
      <c r="C56" s="51">
        <f>K43*K11*K55*K33*$E$19</f>
        <v>2592.96814575787</v>
      </c>
      <c r="D56" s="51">
        <f t="shared" si="8"/>
        <v>3351.56690648079</v>
      </c>
      <c r="E56" s="50">
        <f t="shared" si="9"/>
        <v>9235.55403040555</v>
      </c>
      <c r="F56" s="51">
        <f>K44*K11*K65*K37*$E$19</f>
        <v>4810.18439083623</v>
      </c>
      <c r="G56" s="51">
        <f>K45*K11*K75*K39*$E$19*K46</f>
        <v>4753.22252774941</v>
      </c>
      <c r="H56" s="31"/>
      <c r="J56" s="18" t="s">
        <v>123</v>
      </c>
      <c r="K56" s="31">
        <f>(1+$E$22+$E$23+B24+B20)</f>
        <v>3.776</v>
      </c>
    </row>
    <row r="57" spans="1:11">
      <c r="A57" s="18" t="s">
        <v>124</v>
      </c>
      <c r="B57" s="50">
        <f t="shared" si="7"/>
        <v>5703.52294274663</v>
      </c>
      <c r="C57" s="51">
        <f>K43*K11*K56*K33*$E$19</f>
        <v>2970.58486601387</v>
      </c>
      <c r="D57" s="51">
        <f t="shared" si="8"/>
        <v>3839.65917441488</v>
      </c>
      <c r="E57" s="50">
        <f t="shared" si="9"/>
        <v>10518.2698679619</v>
      </c>
      <c r="F57" s="51">
        <f>K44*K11*K66*K37*$E$19</f>
        <v>5478.26555623015</v>
      </c>
      <c r="G57" s="51">
        <f>K45*K11*K76*K39*$E$19*K46</f>
        <v>5429.03615728724</v>
      </c>
      <c r="H57" s="31"/>
      <c r="J57" s="72" t="s">
        <v>125</v>
      </c>
      <c r="K57" s="31"/>
    </row>
    <row r="58" spans="1:11">
      <c r="A58" s="18" t="s">
        <v>126</v>
      </c>
      <c r="D58" s="50">
        <f>D54+B63</f>
        <v>9061.45036018676</v>
      </c>
      <c r="G58" s="53">
        <f>G54+D63</f>
        <v>10092.2876712235</v>
      </c>
      <c r="H58" s="31"/>
      <c r="J58" s="18" t="s">
        <v>108</v>
      </c>
      <c r="K58" s="31">
        <f t="shared" ref="K58:K63" si="10">K48+$H$22</f>
        <v>1.25</v>
      </c>
    </row>
    <row r="59" spans="1:11">
      <c r="A59" s="18" t="s">
        <v>127</v>
      </c>
      <c r="D59" s="50">
        <f>D55+B64</f>
        <v>10083.3310629802</v>
      </c>
      <c r="G59" s="53">
        <f>G55+D64</f>
        <v>11236.5953489759</v>
      </c>
      <c r="H59" s="31"/>
      <c r="J59" s="18" t="s">
        <v>110</v>
      </c>
      <c r="K59" s="31">
        <f t="shared" ref="K59:K61" si="11">K49+$H$22+$H$25</f>
        <v>1.41</v>
      </c>
    </row>
    <row r="60" spans="1:11">
      <c r="A60" s="14" t="s">
        <v>128</v>
      </c>
      <c r="B60" s="54"/>
      <c r="C60" s="54"/>
      <c r="D60" s="54"/>
      <c r="E60" s="54"/>
      <c r="F60" s="54"/>
      <c r="G60" s="54"/>
      <c r="H60" s="58"/>
      <c r="J60" s="18" t="s">
        <v>112</v>
      </c>
      <c r="K60" s="31">
        <f t="shared" si="11"/>
        <v>3.24</v>
      </c>
    </row>
    <row r="61" spans="2:11">
      <c r="B61" s="50"/>
      <c r="C61" s="50"/>
      <c r="D61" s="50"/>
      <c r="E61" s="50"/>
      <c r="F61" s="50"/>
      <c r="G61" s="50"/>
      <c r="H61" s="50"/>
      <c r="J61" s="18" t="s">
        <v>114</v>
      </c>
      <c r="K61" s="31">
        <f t="shared" si="11"/>
        <v>3.64</v>
      </c>
    </row>
    <row r="62" ht="16.2" spans="1:11">
      <c r="A62" s="21" t="s">
        <v>129</v>
      </c>
      <c r="B62" s="22" t="s">
        <v>130</v>
      </c>
      <c r="C62" s="50" t="s">
        <v>131</v>
      </c>
      <c r="D62" s="50" t="s">
        <v>132</v>
      </c>
      <c r="E62" s="50"/>
      <c r="F62" s="50"/>
      <c r="G62" s="50"/>
      <c r="H62" s="50"/>
      <c r="J62" s="18" t="s">
        <v>115</v>
      </c>
      <c r="K62" s="31">
        <f t="shared" si="10"/>
        <v>1.466</v>
      </c>
    </row>
    <row r="63" spans="1:11">
      <c r="A63" s="11" t="s">
        <v>133</v>
      </c>
      <c r="B63" s="59">
        <f>公式!B23*(1+0.6+(16*$B$12)/($B$12+2000))*K33</f>
        <v>6610.37831903945</v>
      </c>
      <c r="C63" s="47">
        <f>公式!B23*(1+0.6+(16*($B$12+H16)/(($B$12+H16)+2000))*K37)</f>
        <v>6402.05831903945</v>
      </c>
      <c r="D63" s="60">
        <f>B63*(1-$H$20)+C63*$H$20</f>
        <v>6610.37831903945</v>
      </c>
      <c r="E63" s="50"/>
      <c r="F63" s="50"/>
      <c r="G63" s="50"/>
      <c r="H63" s="50"/>
      <c r="J63" s="18" t="s">
        <v>117</v>
      </c>
      <c r="K63" s="31">
        <f t="shared" si="10"/>
        <v>1.546</v>
      </c>
    </row>
    <row r="64" spans="1:11">
      <c r="A64" s="14" t="s">
        <v>134</v>
      </c>
      <c r="B64" s="61">
        <f>公式!B23*(1+0.6+(16*($B$12+200))/(($B$12+200)+2000))*K33</f>
        <v>7313.93797752809</v>
      </c>
      <c r="C64" s="54">
        <f>公式!B23*(1+0.6+(16*(($B$12+H16)+200))/(($B$12+200)+2000))*K37</f>
        <v>7313.93797752809</v>
      </c>
      <c r="D64" s="62">
        <f>B64*(1-$H$20)+C64*$H$20</f>
        <v>7313.93797752809</v>
      </c>
      <c r="E64" s="50"/>
      <c r="F64" s="50"/>
      <c r="G64" s="50"/>
      <c r="H64" s="50"/>
      <c r="J64" s="18" t="s">
        <v>119</v>
      </c>
      <c r="K64" s="31">
        <f t="shared" ref="K64:K66" si="12">K54+$H$22+$H$25</f>
        <v>1.626</v>
      </c>
    </row>
    <row r="65" spans="3:11">
      <c r="C65" s="50"/>
      <c r="D65" s="50"/>
      <c r="E65" s="50"/>
      <c r="F65" s="50"/>
      <c r="G65" s="50"/>
      <c r="H65" s="50"/>
      <c r="J65" s="18" t="s">
        <v>121</v>
      </c>
      <c r="K65" s="31">
        <f t="shared" si="12"/>
        <v>3.456</v>
      </c>
    </row>
    <row r="66" ht="16.2" spans="1:11">
      <c r="A66" s="7" t="s">
        <v>135</v>
      </c>
      <c r="B66" s="22" t="s">
        <v>130</v>
      </c>
      <c r="C66" s="50" t="s">
        <v>131</v>
      </c>
      <c r="D66" s="50" t="s">
        <v>132</v>
      </c>
      <c r="E66" s="50"/>
      <c r="F66" s="50"/>
      <c r="G66" s="50"/>
      <c r="H66" s="50"/>
      <c r="J66" s="18" t="s">
        <v>123</v>
      </c>
      <c r="K66" s="31">
        <f t="shared" si="12"/>
        <v>3.936</v>
      </c>
    </row>
    <row r="67" spans="1:11">
      <c r="A67" s="11" t="s">
        <v>136</v>
      </c>
      <c r="B67" s="76">
        <f>公式!B24*(1+0.6+(16*$B$12)/($B$12+2000))*K33</f>
        <v>13220.7566380789</v>
      </c>
      <c r="C67" s="47">
        <f>公式!B24*(1+0.6+(16*($B$12+H16))/(($B$12+H16)+2000))*K37</f>
        <v>13220.7566380789</v>
      </c>
      <c r="D67" s="77">
        <f>公式!B24*(1+0.6+(16*((B12+H16)*H17+B12*(1-H17)))/(((B12+H16)*H17+B12*(1-H17))+2000))*K39</f>
        <v>13220.7566380789</v>
      </c>
      <c r="E67" s="50"/>
      <c r="F67" s="50"/>
      <c r="G67" s="50"/>
      <c r="H67" s="50"/>
      <c r="J67" s="72" t="s">
        <v>137</v>
      </c>
      <c r="K67" s="31"/>
    </row>
    <row r="68" spans="1:11">
      <c r="A68" s="18" t="s">
        <v>138</v>
      </c>
      <c r="B68" s="78">
        <f>公式!B26*(1+0.6+(16*$B$12)/($B$12+2000))*K33</f>
        <v>22032.0558490566</v>
      </c>
      <c r="C68" s="50">
        <f>公式!B26*(1+0.6+(16*($B$12+H16))/(($B$12+H16)+2000))*K37</f>
        <v>22032.0558490566</v>
      </c>
      <c r="D68" s="79">
        <f>公式!B26*(1+0.6+(16*((B12+H16)*H17+B12*(1-H17)))/(((B12+H16)*H17+B12*(1-H17))+2000))*K39</f>
        <v>22032.0558490566</v>
      </c>
      <c r="E68" s="50"/>
      <c r="F68" s="50"/>
      <c r="G68" s="50"/>
      <c r="H68" s="50"/>
      <c r="J68" s="18" t="s">
        <v>108</v>
      </c>
      <c r="K68" s="31">
        <f t="shared" ref="K68:K73" si="13">K48+$H$22*$H$23</f>
        <v>1.25</v>
      </c>
    </row>
    <row r="69" spans="1:11">
      <c r="A69" s="18" t="s">
        <v>139</v>
      </c>
      <c r="B69" s="78">
        <f>公式!B25*(1+0.6+(16*$B$12)/($B$12+2000))*K31</f>
        <v>12933.3488850772</v>
      </c>
      <c r="C69" s="50">
        <f>公式!B25*(1+0.6+(16*($B$12+H16))/(($B$12+H16)+2000))*K35</f>
        <v>12933.3488850772</v>
      </c>
      <c r="D69" s="79">
        <f>公式!B25*(1+0.6+(16*((B12+H16)*H17+B12*(1-H17)))/(((B12+H16)*H17+B12*(1-H17))+2000))*K38</f>
        <v>12933.3488850772</v>
      </c>
      <c r="E69" s="50"/>
      <c r="F69" s="50"/>
      <c r="G69" s="50"/>
      <c r="H69" s="50"/>
      <c r="J69" s="18" t="s">
        <v>110</v>
      </c>
      <c r="K69" s="31">
        <f t="shared" ref="K69:K71" si="14">K49+$H$22*$H$23+$H$25*$H$26</f>
        <v>1.33</v>
      </c>
    </row>
    <row r="70" spans="1:11">
      <c r="A70" s="18" t="s">
        <v>140</v>
      </c>
      <c r="B70" s="78">
        <f>公式!B22*(1+0.6+(16*$B$12)/($B$12+2000))*K33</f>
        <v>5506.11005145798</v>
      </c>
      <c r="C70" s="80">
        <f>公式!B22*(1+0.6+(16*$B$12)/(($B$12+H16)+2000))*K37</f>
        <v>5506.11005145798</v>
      </c>
      <c r="D70" s="79">
        <f>公式!B22*(1+0.6+(16*((B12+H16)*H17+B12*(1-H17)))/(((B12+H16)*H17+B12*(1-H17))+2000))*K39</f>
        <v>5506.11005145798</v>
      </c>
      <c r="E70" s="80"/>
      <c r="F70" s="80"/>
      <c r="G70" s="80"/>
      <c r="H70" s="80"/>
      <c r="J70" s="18" t="s">
        <v>112</v>
      </c>
      <c r="K70" s="31">
        <f t="shared" si="14"/>
        <v>3.16</v>
      </c>
    </row>
    <row r="71" spans="1:11">
      <c r="A71" s="14" t="s">
        <v>141</v>
      </c>
      <c r="B71" s="81">
        <f>(2.78*$B$12)/($B$12+1400)</f>
        <v>1.09879049676026</v>
      </c>
      <c r="C71" s="82"/>
      <c r="D71" s="83"/>
      <c r="E71" s="80"/>
      <c r="F71" s="80"/>
      <c r="G71" s="80"/>
      <c r="H71" s="80"/>
      <c r="J71" s="18" t="s">
        <v>114</v>
      </c>
      <c r="K71" s="31">
        <f t="shared" si="14"/>
        <v>3.56</v>
      </c>
    </row>
    <row r="72" spans="10:11">
      <c r="J72" s="18" t="s">
        <v>115</v>
      </c>
      <c r="K72" s="31">
        <f t="shared" si="13"/>
        <v>1.466</v>
      </c>
    </row>
    <row r="73" spans="10:11">
      <c r="J73" s="18" t="s">
        <v>117</v>
      </c>
      <c r="K73" s="31">
        <f t="shared" si="13"/>
        <v>1.546</v>
      </c>
    </row>
    <row r="74" spans="10:11">
      <c r="J74" s="18" t="s">
        <v>119</v>
      </c>
      <c r="K74" s="31">
        <f t="shared" ref="K74:K76" si="15">K54+$H$22*$H$23+$H$25*$H$26</f>
        <v>1.546</v>
      </c>
    </row>
    <row r="75" spans="10:11">
      <c r="J75" s="18" t="s">
        <v>121</v>
      </c>
      <c r="K75" s="31">
        <f t="shared" si="15"/>
        <v>3.376</v>
      </c>
    </row>
    <row r="76" spans="3:11">
      <c r="C76" s="80"/>
      <c r="D76" s="80"/>
      <c r="E76" s="80"/>
      <c r="F76" s="80"/>
      <c r="G76" s="80"/>
      <c r="H76" s="80"/>
      <c r="J76" s="14" t="s">
        <v>123</v>
      </c>
      <c r="K76" s="57">
        <f t="shared" si="15"/>
        <v>3.856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workbookViewId="0">
      <selection activeCell="C20" sqref="A1:C20"/>
    </sheetView>
  </sheetViews>
  <sheetFormatPr defaultColWidth="21.3157894736842" defaultRowHeight="15.3"/>
  <cols>
    <col min="1" max="16384" width="21.3157894736842" style="1" customWidth="1"/>
  </cols>
  <sheetData>
    <row r="1" ht="16.2" spans="1:3">
      <c r="A1" s="11" t="s">
        <v>0</v>
      </c>
      <c r="B1" s="12" t="s">
        <v>1</v>
      </c>
      <c r="C1" s="13"/>
    </row>
    <row r="2" spans="1:3">
      <c r="A2" s="14" t="s">
        <v>2</v>
      </c>
      <c r="B2" s="15" t="s">
        <v>144</v>
      </c>
      <c r="C2" s="16"/>
    </row>
    <row r="3" spans="2:2">
      <c r="B3" s="6"/>
    </row>
    <row r="4" ht="16.2" spans="1:1">
      <c r="A4" s="7" t="s">
        <v>4</v>
      </c>
    </row>
    <row r="5" ht="16.2" spans="1:2">
      <c r="A5" s="11" t="s">
        <v>5</v>
      </c>
      <c r="B5" s="17">
        <f>G40+G50+G41+G59+G41+G59</f>
        <v>333866.800995033</v>
      </c>
    </row>
    <row r="6" ht="16.2" spans="1:2">
      <c r="A6" s="18" t="s">
        <v>6</v>
      </c>
      <c r="B6" s="19">
        <f>G39+G49+G39+G39</f>
        <v>270918.974446343</v>
      </c>
    </row>
    <row r="7" ht="16.2" spans="1:2">
      <c r="A7" s="14" t="s">
        <v>7</v>
      </c>
      <c r="B7" s="20">
        <f>G49+G39+G39</f>
        <v>218962.346895028</v>
      </c>
    </row>
    <row r="9" ht="16.2" spans="1:13">
      <c r="A9" s="21" t="s">
        <v>8</v>
      </c>
      <c r="B9" s="22"/>
      <c r="D9" s="7" t="s">
        <v>9</v>
      </c>
      <c r="G9" s="7" t="s">
        <v>10</v>
      </c>
      <c r="J9" s="42" t="s">
        <v>11</v>
      </c>
      <c r="K9" s="22"/>
      <c r="L9" s="36"/>
      <c r="M9" s="22"/>
    </row>
    <row r="10" spans="1:13">
      <c r="A10" s="11" t="s">
        <v>12</v>
      </c>
      <c r="B10" s="13">
        <v>2141</v>
      </c>
      <c r="D10" s="23" t="s">
        <v>13</v>
      </c>
      <c r="E10" s="24" t="s">
        <v>145</v>
      </c>
      <c r="G10" s="11" t="s">
        <v>15</v>
      </c>
      <c r="H10" s="25">
        <f>(191+608)*1.12</f>
        <v>894.88</v>
      </c>
      <c r="J10" s="23" t="s">
        <v>16</v>
      </c>
      <c r="K10" s="63"/>
      <c r="L10" s="64"/>
      <c r="M10" s="22"/>
    </row>
    <row r="11" spans="1:13">
      <c r="A11" s="18" t="s">
        <v>17</v>
      </c>
      <c r="B11" s="26">
        <f>人物!B6+绿剑攻风暴!E12</f>
        <v>839</v>
      </c>
      <c r="D11" s="27" t="s">
        <v>18</v>
      </c>
      <c r="E11" s="26">
        <v>90</v>
      </c>
      <c r="G11" s="27" t="s">
        <v>19</v>
      </c>
      <c r="H11" s="28">
        <v>0.5</v>
      </c>
      <c r="J11" s="27" t="s">
        <v>20</v>
      </c>
      <c r="K11" s="65">
        <v>0.8263</v>
      </c>
      <c r="L11" s="26"/>
      <c r="M11" s="22"/>
    </row>
    <row r="12" spans="1:13">
      <c r="A12" s="18" t="s">
        <v>21</v>
      </c>
      <c r="B12" s="29">
        <v>197</v>
      </c>
      <c r="D12" s="27" t="s">
        <v>22</v>
      </c>
      <c r="E12" s="30">
        <v>542</v>
      </c>
      <c r="G12" s="18"/>
      <c r="H12" s="31"/>
      <c r="J12" s="27" t="s">
        <v>23</v>
      </c>
      <c r="K12" s="66">
        <f>79%+137.14%</f>
        <v>2.1614</v>
      </c>
      <c r="L12" s="26"/>
      <c r="M12" s="22"/>
    </row>
    <row r="13" spans="1:13">
      <c r="A13" s="18" t="s">
        <v>24</v>
      </c>
      <c r="B13" s="32">
        <v>0.697</v>
      </c>
      <c r="D13" s="33" t="s">
        <v>25</v>
      </c>
      <c r="E13" s="34" t="s">
        <v>26</v>
      </c>
      <c r="G13" s="27" t="s">
        <v>146</v>
      </c>
      <c r="H13" s="35">
        <v>0.2</v>
      </c>
      <c r="J13" s="27" t="s">
        <v>28</v>
      </c>
      <c r="K13" s="65">
        <v>1.5035</v>
      </c>
      <c r="L13" s="26"/>
      <c r="M13" s="22"/>
    </row>
    <row r="14" spans="1:12">
      <c r="A14" s="18" t="s">
        <v>29</v>
      </c>
      <c r="B14" s="32">
        <v>1.713</v>
      </c>
      <c r="D14" s="36"/>
      <c r="E14" s="36"/>
      <c r="G14" s="27" t="s">
        <v>19</v>
      </c>
      <c r="H14" s="28">
        <v>0.5</v>
      </c>
      <c r="J14" s="27" t="s">
        <v>30</v>
      </c>
      <c r="K14" s="65">
        <v>3.0063</v>
      </c>
      <c r="L14" s="26"/>
    </row>
    <row r="15" ht="16.2" spans="1:12">
      <c r="A15" s="18" t="s">
        <v>31</v>
      </c>
      <c r="B15" s="32">
        <v>1.428</v>
      </c>
      <c r="D15" s="21" t="s">
        <v>32</v>
      </c>
      <c r="E15" s="22"/>
      <c r="G15" s="18"/>
      <c r="H15" s="31"/>
      <c r="J15" s="27" t="s">
        <v>33</v>
      </c>
      <c r="K15" s="65">
        <v>3.755</v>
      </c>
      <c r="L15" s="26" t="s">
        <v>34</v>
      </c>
    </row>
    <row r="16" spans="1:12">
      <c r="A16" s="14" t="s">
        <v>35</v>
      </c>
      <c r="B16" s="84">
        <v>0.616</v>
      </c>
      <c r="D16" s="11" t="s">
        <v>18</v>
      </c>
      <c r="E16" s="24">
        <v>85</v>
      </c>
      <c r="G16" s="18" t="s">
        <v>36</v>
      </c>
      <c r="H16" s="29">
        <v>0</v>
      </c>
      <c r="J16" s="27"/>
      <c r="K16" s="36"/>
      <c r="L16" s="26"/>
    </row>
    <row r="17" spans="4:12">
      <c r="D17" s="18" t="s">
        <v>37</v>
      </c>
      <c r="E17" s="38">
        <v>0.1</v>
      </c>
      <c r="G17" s="27" t="s">
        <v>19</v>
      </c>
      <c r="H17" s="28">
        <v>0</v>
      </c>
      <c r="J17" s="27" t="s">
        <v>38</v>
      </c>
      <c r="K17" s="36"/>
      <c r="L17" s="26"/>
    </row>
    <row r="18" ht="16.2" spans="1:12">
      <c r="A18" s="7" t="s">
        <v>39</v>
      </c>
      <c r="D18" s="18" t="s">
        <v>40</v>
      </c>
      <c r="E18" s="38">
        <v>-0.3</v>
      </c>
      <c r="G18" s="18"/>
      <c r="H18" s="31"/>
      <c r="J18" s="27" t="s">
        <v>41</v>
      </c>
      <c r="K18" s="67">
        <v>3.84</v>
      </c>
      <c r="L18" s="26"/>
    </row>
    <row r="19" spans="1:12">
      <c r="A19" s="11" t="s">
        <v>42</v>
      </c>
      <c r="B19" s="39">
        <f>B12*0.04%</f>
        <v>0.0788</v>
      </c>
      <c r="D19" s="14" t="s">
        <v>43</v>
      </c>
      <c r="E19" s="40">
        <f>(E11+100)/(E16+E11+200)</f>
        <v>0.506666666666667</v>
      </c>
      <c r="G19" s="18" t="s">
        <v>44</v>
      </c>
      <c r="H19" s="38">
        <v>0</v>
      </c>
      <c r="J19" s="27" t="s">
        <v>45</v>
      </c>
      <c r="K19" s="65">
        <v>5.216</v>
      </c>
      <c r="L19" s="26"/>
    </row>
    <row r="20" spans="1:12">
      <c r="A20" s="14" t="s">
        <v>46</v>
      </c>
      <c r="B20" s="41">
        <f>(B12+200)*0.04%</f>
        <v>0.1588</v>
      </c>
      <c r="G20" s="27" t="s">
        <v>19</v>
      </c>
      <c r="H20" s="28">
        <v>0</v>
      </c>
      <c r="J20" s="27" t="s">
        <v>47</v>
      </c>
      <c r="K20" s="65">
        <f>K15</f>
        <v>3.755</v>
      </c>
      <c r="L20" s="26" t="s">
        <v>48</v>
      </c>
    </row>
    <row r="21" ht="16.2" spans="4:12">
      <c r="D21" s="42" t="s">
        <v>49</v>
      </c>
      <c r="E21" s="36"/>
      <c r="G21" s="18"/>
      <c r="H21" s="31"/>
      <c r="J21" s="27" t="s">
        <v>50</v>
      </c>
      <c r="K21" s="67">
        <v>2</v>
      </c>
      <c r="L21" s="26" t="s">
        <v>51</v>
      </c>
    </row>
    <row r="22" ht="16.2" spans="1:12">
      <c r="A22" s="7" t="s">
        <v>52</v>
      </c>
      <c r="D22" s="23" t="s">
        <v>53</v>
      </c>
      <c r="E22" s="43">
        <v>0</v>
      </c>
      <c r="G22" s="27" t="s">
        <v>53</v>
      </c>
      <c r="H22" s="35">
        <v>0</v>
      </c>
      <c r="J22" s="27"/>
      <c r="K22" s="36"/>
      <c r="L22" s="26"/>
    </row>
    <row r="23" spans="1:12">
      <c r="A23" s="11" t="s">
        <v>54</v>
      </c>
      <c r="B23" s="44">
        <f>B12*0.2%</f>
        <v>0.394</v>
      </c>
      <c r="D23" s="27" t="s">
        <v>55</v>
      </c>
      <c r="E23" s="35">
        <v>0</v>
      </c>
      <c r="G23" s="27" t="s">
        <v>19</v>
      </c>
      <c r="H23" s="28">
        <v>0</v>
      </c>
      <c r="J23" s="27" t="s">
        <v>56</v>
      </c>
      <c r="K23" s="36"/>
      <c r="L23" s="26"/>
    </row>
    <row r="24" spans="1:12">
      <c r="A24" s="14" t="s">
        <v>57</v>
      </c>
      <c r="B24" s="40">
        <f>(B12+200)*0.2%</f>
        <v>0.794</v>
      </c>
      <c r="D24" s="27" t="s">
        <v>58</v>
      </c>
      <c r="E24" s="35">
        <v>0</v>
      </c>
      <c r="G24" s="18"/>
      <c r="H24" s="31"/>
      <c r="J24" s="27" t="s">
        <v>59</v>
      </c>
      <c r="K24" s="65">
        <v>5.248</v>
      </c>
      <c r="L24" s="26"/>
    </row>
    <row r="25" spans="4:12">
      <c r="D25" s="27" t="s">
        <v>147</v>
      </c>
      <c r="E25" s="30">
        <v>0</v>
      </c>
      <c r="G25" s="27" t="s">
        <v>55</v>
      </c>
      <c r="H25" s="35">
        <v>0</v>
      </c>
      <c r="J25" s="27" t="s">
        <v>61</v>
      </c>
      <c r="K25" s="67">
        <v>2.4</v>
      </c>
      <c r="L25" s="26" t="s">
        <v>62</v>
      </c>
    </row>
    <row r="26" spans="4:12">
      <c r="D26" s="33" t="s">
        <v>44</v>
      </c>
      <c r="E26" s="45">
        <v>0</v>
      </c>
      <c r="G26" s="33" t="s">
        <v>19</v>
      </c>
      <c r="H26" s="46">
        <v>0</v>
      </c>
      <c r="J26" s="33" t="s">
        <v>63</v>
      </c>
      <c r="K26" s="68">
        <v>0.72</v>
      </c>
      <c r="L26" s="34" t="s">
        <v>51</v>
      </c>
    </row>
    <row r="28" ht="16.2" spans="1:10">
      <c r="A28" s="1" t="s">
        <v>64</v>
      </c>
      <c r="J28" s="7" t="s">
        <v>65</v>
      </c>
    </row>
    <row r="29" spans="10:11">
      <c r="J29" s="69" t="s">
        <v>66</v>
      </c>
      <c r="K29" s="49"/>
    </row>
    <row r="30" ht="16.2" spans="1:11">
      <c r="A30" s="7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73</v>
      </c>
      <c r="J30" s="18" t="s">
        <v>74</v>
      </c>
      <c r="K30" s="70">
        <f>E17-E26</f>
        <v>0.1</v>
      </c>
    </row>
    <row r="31" spans="1:11">
      <c r="A31" s="11" t="s">
        <v>75</v>
      </c>
      <c r="B31" s="47">
        <f t="shared" ref="B31:B38" si="0">C31*(1+$B$14)</f>
        <v>16436.2933769011</v>
      </c>
      <c r="C31" s="48">
        <f>K43*K18*K48*K31*$E$19</f>
        <v>6058.34625024</v>
      </c>
      <c r="D31" s="48">
        <f t="shared" ref="D31:D38" si="1">C31*$K$46</f>
        <v>13291.7753975228</v>
      </c>
      <c r="E31" s="47">
        <f t="shared" ref="E31:E38" si="2">F31*(1+$B$14)</f>
        <v>24594.4065229849</v>
      </c>
      <c r="F31" s="48">
        <f>K44*K18*K35*K58*E19</f>
        <v>9065.3912727552</v>
      </c>
      <c r="G31" s="48">
        <f>K45*K18*K68*E19*K46</f>
        <v>18433.8279442712</v>
      </c>
      <c r="H31" s="49"/>
      <c r="J31" s="18" t="s">
        <v>76</v>
      </c>
      <c r="K31" s="31">
        <f t="shared" ref="K31:K35" si="3">IF(K30&lt;0,(1-K30/2),(1-K30))</f>
        <v>0.9</v>
      </c>
    </row>
    <row r="32" spans="1:11">
      <c r="A32" s="18" t="s">
        <v>77</v>
      </c>
      <c r="B32" s="50">
        <f t="shared" si="0"/>
        <v>22325.9651702907</v>
      </c>
      <c r="C32" s="51">
        <f>K43*K19*K48*K31*$E$19</f>
        <v>8229.253656576</v>
      </c>
      <c r="D32" s="51">
        <f t="shared" si="1"/>
        <v>18054.6615816351</v>
      </c>
      <c r="E32" s="50">
        <f t="shared" si="2"/>
        <v>33407.4021937211</v>
      </c>
      <c r="F32" s="51">
        <f>K44*K19*K58*K35*$E$19</f>
        <v>12313.8231454925</v>
      </c>
      <c r="G32" s="51">
        <f>K45*K19*K68*E19*K46</f>
        <v>25039.282957635</v>
      </c>
      <c r="H32" s="31"/>
      <c r="J32" s="18" t="s">
        <v>78</v>
      </c>
      <c r="K32" s="70">
        <f>E18-E26</f>
        <v>-0.3</v>
      </c>
    </row>
    <row r="33" spans="1:11">
      <c r="A33" s="18" t="s">
        <v>79</v>
      </c>
      <c r="B33" s="50">
        <f t="shared" si="0"/>
        <v>16072.4691745478</v>
      </c>
      <c r="C33" s="51">
        <f>K43*K20*K49*K31*$E$19</f>
        <v>5924.24223168</v>
      </c>
      <c r="D33" s="51">
        <f t="shared" si="1"/>
        <v>12997.5564108589</v>
      </c>
      <c r="E33" s="50">
        <f t="shared" si="2"/>
        <v>24049.9990869292</v>
      </c>
      <c r="F33" s="51">
        <f>K44*K20*K59*K35*$E$19</f>
        <v>8864.7250596864</v>
      </c>
      <c r="G33" s="51">
        <f>K45*K20*K69*E19*K46</f>
        <v>18025.7874819631</v>
      </c>
      <c r="H33" s="31"/>
      <c r="J33" s="18" t="s">
        <v>80</v>
      </c>
      <c r="K33" s="31">
        <f t="shared" si="3"/>
        <v>1.15</v>
      </c>
    </row>
    <row r="34" spans="1:11">
      <c r="A34" s="18" t="s">
        <v>81</v>
      </c>
      <c r="B34" s="50">
        <f t="shared" si="0"/>
        <v>19991.1281193324</v>
      </c>
      <c r="C34" s="51">
        <f>K43*K20*K50*K31*$E$19</f>
        <v>7368.6428748</v>
      </c>
      <c r="D34" s="51">
        <f t="shared" si="1"/>
        <v>16166.5150902391</v>
      </c>
      <c r="E34" s="50">
        <f t="shared" si="2"/>
        <v>29913.674606886</v>
      </c>
      <c r="F34" s="51">
        <f>K44*K20*K60*K35*$E$19</f>
        <v>11026.050352704</v>
      </c>
      <c r="G34" s="51">
        <f>K45*K20*K70*E19*K46</f>
        <v>22420.6886378377</v>
      </c>
      <c r="H34" s="31"/>
      <c r="J34" s="18" t="s">
        <v>82</v>
      </c>
      <c r="K34" s="70">
        <f>E17-E26-H19</f>
        <v>0.1</v>
      </c>
    </row>
    <row r="35" spans="1:11">
      <c r="A35" s="18" t="s">
        <v>83</v>
      </c>
      <c r="B35" s="50">
        <f t="shared" si="0"/>
        <v>7302.2646399328</v>
      </c>
      <c r="C35" s="51">
        <f>K43*K21*K54*K33*$E$19</f>
        <v>2691.5829856</v>
      </c>
      <c r="D35" s="51">
        <f t="shared" si="1"/>
        <v>5905.22809866996</v>
      </c>
      <c r="E35" s="50">
        <f t="shared" si="2"/>
        <v>10926.7254468285</v>
      </c>
      <c r="F35" s="51">
        <f>K44*K21*K64*K37*$E$19</f>
        <v>4027.543474688</v>
      </c>
      <c r="G35" s="51">
        <f>K45*K21*K74*E19*K46</f>
        <v>6409.34843823475</v>
      </c>
      <c r="H35" s="31"/>
      <c r="J35" s="18" t="s">
        <v>84</v>
      </c>
      <c r="K35" s="31">
        <f t="shared" si="3"/>
        <v>0.9</v>
      </c>
    </row>
    <row r="36" spans="1:11">
      <c r="A36" s="18" t="s">
        <v>85</v>
      </c>
      <c r="B36" s="50">
        <f t="shared" si="0"/>
        <v>9969.20222626347</v>
      </c>
      <c r="C36" s="51">
        <f>K43*K21*K55*K33*$E$19</f>
        <v>3674.60458026667</v>
      </c>
      <c r="D36" s="51">
        <f t="shared" si="1"/>
        <v>8061.93913952644</v>
      </c>
      <c r="E36" s="50">
        <f t="shared" si="2"/>
        <v>14917.3908399046</v>
      </c>
      <c r="F36" s="51">
        <f>K44*K21*K65*K37*$E$19</f>
        <v>5498.48538146133</v>
      </c>
      <c r="G36" s="51">
        <f>K45*K21*K75*E19*K46</f>
        <v>8750.17461979249</v>
      </c>
      <c r="H36" s="31"/>
      <c r="J36" s="18" t="s">
        <v>86</v>
      </c>
      <c r="K36" s="70">
        <f>E18-E26-H19</f>
        <v>-0.3</v>
      </c>
    </row>
    <row r="37" spans="1:14">
      <c r="A37" s="18" t="s">
        <v>87</v>
      </c>
      <c r="B37" s="50">
        <f t="shared" si="0"/>
        <v>23969.4620734284</v>
      </c>
      <c r="C37" s="51">
        <f>K43*K20*K51*K31*$E$19</f>
        <v>8835.0394668</v>
      </c>
      <c r="D37" s="51">
        <f t="shared" si="1"/>
        <v>19383.73202362</v>
      </c>
      <c r="E37" s="50">
        <f t="shared" si="2"/>
        <v>35866.644677908</v>
      </c>
      <c r="F37" s="51">
        <f>K44*K20*K61*K35*$E$19</f>
        <v>13220.289228864</v>
      </c>
      <c r="G37" s="51">
        <f>K45*K20*K76*E19*K46</f>
        <v>21782.6471502336</v>
      </c>
      <c r="H37" s="31"/>
      <c r="J37" s="18" t="s">
        <v>88</v>
      </c>
      <c r="K37" s="31">
        <f>IF(K36&lt;0,(1-K36/2),(1-K36))</f>
        <v>1.15</v>
      </c>
      <c r="N37" s="36"/>
    </row>
    <row r="38" spans="1:15">
      <c r="A38" s="18" t="s">
        <v>89</v>
      </c>
      <c r="B38" s="50">
        <f t="shared" si="0"/>
        <v>13218.2632451435</v>
      </c>
      <c r="C38" s="51">
        <f>K43*K21*K56*K33*$E$19</f>
        <v>4872.19434026667</v>
      </c>
      <c r="D38" s="51">
        <f t="shared" si="1"/>
        <v>10689.4043669658</v>
      </c>
      <c r="E38" s="50">
        <f t="shared" si="2"/>
        <v>19779.115176647</v>
      </c>
      <c r="F38" s="51">
        <f>K44*K21*K66*K37*$E$19</f>
        <v>7290.49582626133</v>
      </c>
      <c r="G38" s="51">
        <f>K45*K21*K76*E19*K46</f>
        <v>11601.9425567156</v>
      </c>
      <c r="H38" s="31"/>
      <c r="J38" s="18" t="s">
        <v>90</v>
      </c>
      <c r="K38" s="31">
        <f>K31*(1-H20)+K35*H20</f>
        <v>0.9</v>
      </c>
      <c r="N38" s="36"/>
      <c r="O38" s="36"/>
    </row>
    <row r="39" spans="1:15">
      <c r="A39" s="18" t="s">
        <v>91</v>
      </c>
      <c r="D39" s="50">
        <f>D31+D33+D35+B63*3</f>
        <v>41282.2235938973</v>
      </c>
      <c r="G39" s="52">
        <f>G31+G33+G35+D63*3</f>
        <v>51956.6275513147</v>
      </c>
      <c r="H39" s="31"/>
      <c r="J39" s="18" t="s">
        <v>92</v>
      </c>
      <c r="K39" s="31">
        <f>K33*(1-H20)+K37*H20</f>
        <v>1.15</v>
      </c>
      <c r="N39" s="36"/>
      <c r="O39" s="71"/>
    </row>
    <row r="40" spans="1:11">
      <c r="A40" s="18" t="s">
        <v>93</v>
      </c>
      <c r="D40" s="51">
        <f>D31+D34+D36+B63*3</f>
        <v>46607.893314134</v>
      </c>
      <c r="G40" s="53">
        <f>G31+G34+G36+D63*3</f>
        <v>58692.3548887471</v>
      </c>
      <c r="H40" s="31"/>
      <c r="J40" s="72" t="s">
        <v>94</v>
      </c>
      <c r="K40" s="31"/>
    </row>
    <row r="41" spans="1:11">
      <c r="A41" s="18" t="s">
        <v>95</v>
      </c>
      <c r="D41" s="51">
        <f>D31+D37+D38+B64*3</f>
        <v>56091.8993225266</v>
      </c>
      <c r="G41" s="53">
        <f>G31+G37+G38+D64*3</f>
        <v>64545.4051856384</v>
      </c>
      <c r="H41" s="31"/>
      <c r="J41" s="18" t="s">
        <v>96</v>
      </c>
      <c r="K41" s="31">
        <f>B12*(1-H17)+(B12+H16)*H17</f>
        <v>197</v>
      </c>
    </row>
    <row r="42" spans="1:11">
      <c r="A42" s="14" t="s">
        <v>97</v>
      </c>
      <c r="B42" s="54"/>
      <c r="C42" s="55"/>
      <c r="D42" s="55"/>
      <c r="E42" s="56"/>
      <c r="F42" s="55"/>
      <c r="G42" s="55"/>
      <c r="H42" s="57"/>
      <c r="J42" s="1" t="s">
        <v>98</v>
      </c>
      <c r="K42" s="1">
        <f>B12+H16</f>
        <v>197</v>
      </c>
    </row>
    <row r="43" spans="2:11">
      <c r="B43" s="50"/>
      <c r="C43" s="51"/>
      <c r="D43" s="51"/>
      <c r="F43" s="51"/>
      <c r="G43" s="51"/>
      <c r="J43" s="18" t="s">
        <v>99</v>
      </c>
      <c r="K43" s="31">
        <f>($B$10+B11*E24+E25)</f>
        <v>2141</v>
      </c>
    </row>
    <row r="44" ht="16.2" spans="1:11">
      <c r="A44" s="7" t="s">
        <v>100</v>
      </c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J44" s="1" t="s">
        <v>101</v>
      </c>
      <c r="K44" s="73">
        <f>K43+H10+H13*B11</f>
        <v>3203.68</v>
      </c>
    </row>
    <row r="45" spans="1:11">
      <c r="A45" s="11" t="s">
        <v>59</v>
      </c>
      <c r="B45" s="47">
        <f t="shared" ref="B45:B48" si="4">C45*(1+$B$14)</f>
        <v>22462.9342817649</v>
      </c>
      <c r="C45" s="48">
        <f>K43*K24*K48*K31*$E$19</f>
        <v>8279.739875328</v>
      </c>
      <c r="D45" s="48">
        <f t="shared" ref="D45:D48" si="5">C45*$K$46</f>
        <v>18165.4263766145</v>
      </c>
      <c r="E45" s="47">
        <f t="shared" ref="E45:E48" si="6">F45*(1+$B$14)</f>
        <v>33612.3555814127</v>
      </c>
      <c r="F45" s="48">
        <f>K44*K24*K35*K58*E19</f>
        <v>12389.3680727654</v>
      </c>
      <c r="G45" s="48">
        <f>K45*K24*K38*K68*E19*K46</f>
        <v>22673.6083714535</v>
      </c>
      <c r="H45" s="49"/>
      <c r="J45" s="18" t="s">
        <v>102</v>
      </c>
      <c r="K45" s="74">
        <f>($B$10+B11*E24+E25+H10*H11+B11*H13*H14)</f>
        <v>2672.34</v>
      </c>
    </row>
    <row r="46" spans="1:11">
      <c r="A46" s="18" t="s">
        <v>103</v>
      </c>
      <c r="B46" s="50">
        <f t="shared" si="4"/>
        <v>10272.6833605632</v>
      </c>
      <c r="C46" s="51">
        <f>K43*K25*K48*K31*$E$19</f>
        <v>3786.4664064</v>
      </c>
      <c r="D46" s="51">
        <f t="shared" si="5"/>
        <v>8307.35962345175</v>
      </c>
      <c r="E46" s="50">
        <f t="shared" si="6"/>
        <v>15371.5040768655</v>
      </c>
      <c r="F46" s="51">
        <f>K44*K25*K35*K58*E19</f>
        <v>5665.869545472</v>
      </c>
      <c r="G46" s="51">
        <f>K45*K25*K38*K68*E19*K46</f>
        <v>10369.0282186525</v>
      </c>
      <c r="H46" s="31"/>
      <c r="J46" s="18" t="s">
        <v>104</v>
      </c>
      <c r="K46" s="75">
        <f>B13*B14+1</f>
        <v>2.193961</v>
      </c>
    </row>
    <row r="47" spans="1:11">
      <c r="A47" s="18" t="s">
        <v>105</v>
      </c>
      <c r="B47" s="50">
        <f t="shared" si="4"/>
        <v>2628.81527037581</v>
      </c>
      <c r="C47" s="51">
        <f>K43*K26*K52*K33*$E$19</f>
        <v>968.969874816</v>
      </c>
      <c r="D47" s="51">
        <f t="shared" si="5"/>
        <v>2125.88211552119</v>
      </c>
      <c r="E47" s="50">
        <f t="shared" si="6"/>
        <v>3933.62116085828</v>
      </c>
      <c r="F47" s="51">
        <f>K44*K26*K37*K62*E19</f>
        <v>1449.91565088768</v>
      </c>
      <c r="G47" s="51">
        <f>K45*K26*K39*K72*E19*K46</f>
        <v>2653.47025342919</v>
      </c>
      <c r="H47" s="31"/>
      <c r="J47" s="72" t="s">
        <v>106</v>
      </c>
      <c r="K47" s="31"/>
    </row>
    <row r="48" spans="1:11">
      <c r="A48" s="18" t="s">
        <v>107</v>
      </c>
      <c r="B48" s="50">
        <f t="shared" si="4"/>
        <v>2823.75893150861</v>
      </c>
      <c r="C48" s="51">
        <f>K43*K26*K53*K33*$E$19</f>
        <v>1040.825260416</v>
      </c>
      <c r="D48" s="51">
        <f t="shared" si="5"/>
        <v>2283.53002916755</v>
      </c>
      <c r="E48" s="50">
        <f t="shared" si="6"/>
        <v>4225.32462106282</v>
      </c>
      <c r="F48" s="51">
        <f>K44*K26*K37*K63*E19</f>
        <v>1557.43627757568</v>
      </c>
      <c r="G48" s="51">
        <f>K45*K26*K39*K73*E19*K46</f>
        <v>2850.24224107688</v>
      </c>
      <c r="H48" s="31"/>
      <c r="J48" s="18" t="s">
        <v>108</v>
      </c>
      <c r="K48" s="31">
        <f>(1+$B$16+E22)</f>
        <v>1.616</v>
      </c>
    </row>
    <row r="49" spans="1:11">
      <c r="A49" s="18" t="s">
        <v>109</v>
      </c>
      <c r="B49" s="50"/>
      <c r="C49" s="51"/>
      <c r="D49" s="51">
        <f>D45+D46*5+D47*5+B63*9</f>
        <v>97594.6261320163</v>
      </c>
      <c r="G49" s="52">
        <f>G45+G46*5+G47*5+D63*9</f>
        <v>115049.091792399</v>
      </c>
      <c r="H49" s="31"/>
      <c r="J49" s="18" t="s">
        <v>110</v>
      </c>
      <c r="K49" s="31">
        <f>(1+$B$16+$E$22+$E$23)</f>
        <v>1.616</v>
      </c>
    </row>
    <row r="50" spans="1:11">
      <c r="A50" s="18" t="s">
        <v>111</v>
      </c>
      <c r="B50" s="50"/>
      <c r="C50" s="51"/>
      <c r="D50" s="51">
        <f>D45+D46*5+D48*5+B64*9</f>
        <v>109300.837242965</v>
      </c>
      <c r="G50" s="53">
        <f>G45+G46*5+G48*5+D64*9</f>
        <v>126950.923273355</v>
      </c>
      <c r="H50" s="31"/>
      <c r="J50" s="18" t="s">
        <v>112</v>
      </c>
      <c r="K50" s="31">
        <f>(1+$B$16+$E$22+$E$23+B23)</f>
        <v>2.01</v>
      </c>
    </row>
    <row r="51" spans="1:11">
      <c r="A51" s="14" t="s">
        <v>113</v>
      </c>
      <c r="B51" s="54"/>
      <c r="C51" s="55"/>
      <c r="D51" s="55"/>
      <c r="E51" s="56"/>
      <c r="F51" s="55"/>
      <c r="G51" s="55"/>
      <c r="H51" s="57"/>
      <c r="J51" s="18" t="s">
        <v>114</v>
      </c>
      <c r="K51" s="31">
        <f>(1+$B$16+$E$22+$E$23+B24)</f>
        <v>2.41</v>
      </c>
    </row>
    <row r="52" spans="2:11">
      <c r="B52" s="50"/>
      <c r="C52" s="51"/>
      <c r="D52" s="51"/>
      <c r="F52" s="51"/>
      <c r="G52" s="51"/>
      <c r="J52" s="18" t="s">
        <v>115</v>
      </c>
      <c r="K52" s="31">
        <f>(1+$E$22+B19)</f>
        <v>1.0788</v>
      </c>
    </row>
    <row r="53" ht="16.2" spans="1:11">
      <c r="A53" s="7" t="s">
        <v>116</v>
      </c>
      <c r="B53" s="1" t="s">
        <v>68</v>
      </c>
      <c r="C53" s="1" t="s">
        <v>69</v>
      </c>
      <c r="D53" s="1" t="s">
        <v>70</v>
      </c>
      <c r="E53" s="1" t="s">
        <v>71</v>
      </c>
      <c r="F53" s="1" t="s">
        <v>72</v>
      </c>
      <c r="G53" s="1" t="s">
        <v>73</v>
      </c>
      <c r="J53" s="18" t="s">
        <v>117</v>
      </c>
      <c r="K53" s="31">
        <f>(1+$E$22+B20)</f>
        <v>1.1588</v>
      </c>
    </row>
    <row r="54" spans="1:11">
      <c r="A54" s="11" t="s">
        <v>118</v>
      </c>
      <c r="B54" s="47">
        <f t="shared" ref="B54:B57" si="7">C54*(1+$B$14)</f>
        <v>4399.11296005443</v>
      </c>
      <c r="C54" s="48">
        <f>K43*K11*K50*K31*$E$19</f>
        <v>1621.493903448</v>
      </c>
      <c r="D54" s="48">
        <f t="shared" ref="D54:D57" si="8">C54*$K$46</f>
        <v>3557.49438590268</v>
      </c>
      <c r="E54" s="47">
        <f t="shared" ref="E54:E57" si="9">F54*(1+$B$14)</f>
        <v>6582.60168513179</v>
      </c>
      <c r="F54" s="48">
        <f>K44*K11*K60*K35*$E$19</f>
        <v>2426.31835058304</v>
      </c>
      <c r="G54" s="48">
        <f>K45*K11*K70*K38*$E$19*K46</f>
        <v>4440.3711103331</v>
      </c>
      <c r="H54" s="49"/>
      <c r="J54" s="18" t="s">
        <v>119</v>
      </c>
      <c r="K54" s="31">
        <f>(1+$E$22+$E$23+B19)</f>
        <v>1.0788</v>
      </c>
    </row>
    <row r="55" spans="1:11">
      <c r="A55" s="18" t="s">
        <v>120</v>
      </c>
      <c r="B55" s="50">
        <f t="shared" si="7"/>
        <v>5274.55832523939</v>
      </c>
      <c r="C55" s="51">
        <f>K43*K11*K51*K31*$E$19</f>
        <v>1944.179257368</v>
      </c>
      <c r="D55" s="51">
        <f t="shared" si="8"/>
        <v>4265.45346767436</v>
      </c>
      <c r="E55" s="50">
        <f t="shared" si="9"/>
        <v>7892.57216973513</v>
      </c>
      <c r="F55" s="51">
        <f>K44*K11*K61*K35*$E$19</f>
        <v>2909.16777358464</v>
      </c>
      <c r="G55" s="51">
        <f>K45*K11*K71*K38*$E$19*K46</f>
        <v>5324.02705268794</v>
      </c>
      <c r="H55" s="31"/>
      <c r="J55" s="18" t="s">
        <v>121</v>
      </c>
      <c r="K55" s="31">
        <f>(1+$E$22+$E$23+B23+B19)</f>
        <v>1.4728</v>
      </c>
    </row>
    <row r="56" spans="1:11">
      <c r="A56" s="18" t="s">
        <v>122</v>
      </c>
      <c r="B56" s="50">
        <f t="shared" si="7"/>
        <v>4118.77589978075</v>
      </c>
      <c r="C56" s="51">
        <f>K43*K11*K55*K33*$E$19</f>
        <v>1518.16288233717</v>
      </c>
      <c r="D56" s="51">
        <f t="shared" si="8"/>
        <v>3330.79015549535</v>
      </c>
      <c r="E56" s="50">
        <f t="shared" si="9"/>
        <v>6163.12002550659</v>
      </c>
      <c r="F56" s="51">
        <f>K44*K11*K65*K37*$E$19</f>
        <v>2271.69923535075</v>
      </c>
      <c r="G56" s="51">
        <f>K45*K11*K75*K39*$E$19*K46</f>
        <v>4157.40484079236</v>
      </c>
      <c r="H56" s="31"/>
      <c r="J56" s="18" t="s">
        <v>123</v>
      </c>
      <c r="K56" s="31">
        <f>(1+$E$22+$E$23+B24+B20)</f>
        <v>1.9528</v>
      </c>
    </row>
    <row r="57" spans="1:11">
      <c r="A57" s="18" t="s">
        <v>124</v>
      </c>
      <c r="B57" s="50">
        <f t="shared" si="7"/>
        <v>5461.12545973102</v>
      </c>
      <c r="C57" s="51">
        <f>K43*K11*K56*K33*$E$19</f>
        <v>2012.94709168117</v>
      </c>
      <c r="D57" s="51">
        <f t="shared" si="8"/>
        <v>4416.32741421192</v>
      </c>
      <c r="E57" s="50">
        <f t="shared" si="9"/>
        <v>8171.74143523171</v>
      </c>
      <c r="F57" s="51">
        <f>K44*K11*K66*K37*$E$19</f>
        <v>3012.06835061987</v>
      </c>
      <c r="G57" s="51">
        <f>K45*K11*K76*K39*$E$19*K46</f>
        <v>5512.34395240312</v>
      </c>
      <c r="H57" s="31"/>
      <c r="J57" s="72" t="s">
        <v>125</v>
      </c>
      <c r="K57" s="31"/>
    </row>
    <row r="58" spans="1:11">
      <c r="A58" s="18" t="s">
        <v>126</v>
      </c>
      <c r="D58" s="50">
        <f>D54+B63</f>
        <v>6586.71561485124</v>
      </c>
      <c r="G58" s="53">
        <f>G54+D63</f>
        <v>7469.59233928166</v>
      </c>
      <c r="H58" s="31"/>
      <c r="J58" s="18" t="s">
        <v>108</v>
      </c>
      <c r="K58" s="31">
        <f t="shared" ref="K58:K63" si="10">K48+$H$22</f>
        <v>1.616</v>
      </c>
    </row>
    <row r="59" spans="1:11">
      <c r="A59" s="18" t="s">
        <v>127</v>
      </c>
      <c r="D59" s="50">
        <f>D55+B64</f>
        <v>8507.7826458137</v>
      </c>
      <c r="G59" s="53">
        <f>G55+D64</f>
        <v>9566.35623082728</v>
      </c>
      <c r="H59" s="31"/>
      <c r="J59" s="18" t="s">
        <v>110</v>
      </c>
      <c r="K59" s="31">
        <f t="shared" ref="K59:K61" si="11">K49+$H$22+$H$25</f>
        <v>1.616</v>
      </c>
    </row>
    <row r="60" spans="1:11">
      <c r="A60" s="14" t="s">
        <v>128</v>
      </c>
      <c r="B60" s="54"/>
      <c r="C60" s="54"/>
      <c r="D60" s="54"/>
      <c r="E60" s="54"/>
      <c r="F60" s="54"/>
      <c r="G60" s="54"/>
      <c r="H60" s="58"/>
      <c r="J60" s="18" t="s">
        <v>112</v>
      </c>
      <c r="K60" s="31">
        <f t="shared" si="11"/>
        <v>2.01</v>
      </c>
    </row>
    <row r="61" spans="2:11">
      <c r="B61" s="50"/>
      <c r="C61" s="50"/>
      <c r="D61" s="50"/>
      <c r="E61" s="50"/>
      <c r="F61" s="50"/>
      <c r="G61" s="50"/>
      <c r="H61" s="50"/>
      <c r="J61" s="18" t="s">
        <v>114</v>
      </c>
      <c r="K61" s="31">
        <f t="shared" si="11"/>
        <v>2.41</v>
      </c>
    </row>
    <row r="62" ht="16.2" spans="1:11">
      <c r="A62" s="21" t="s">
        <v>129</v>
      </c>
      <c r="B62" s="22" t="s">
        <v>130</v>
      </c>
      <c r="C62" s="50" t="s">
        <v>131</v>
      </c>
      <c r="D62" s="50" t="s">
        <v>132</v>
      </c>
      <c r="E62" s="50"/>
      <c r="F62" s="50"/>
      <c r="G62" s="50"/>
      <c r="H62" s="50"/>
      <c r="J62" s="18" t="s">
        <v>115</v>
      </c>
      <c r="K62" s="31">
        <f t="shared" si="10"/>
        <v>1.0788</v>
      </c>
    </row>
    <row r="63" spans="1:11">
      <c r="A63" s="11" t="s">
        <v>133</v>
      </c>
      <c r="B63" s="59">
        <f>公式!B23*(1+0.6+(16*$B$12)/($B$12+2000))*K33</f>
        <v>3029.22122894857</v>
      </c>
      <c r="C63" s="47">
        <f>公式!B23*(1+0.6+(16*($B$12+H16)/(($B$12+H16)+2000))*K37)</f>
        <v>2820.90122894857</v>
      </c>
      <c r="D63" s="60">
        <f>B63*(1-$H$20)+C63*$H$20</f>
        <v>3029.22122894857</v>
      </c>
      <c r="E63" s="50"/>
      <c r="F63" s="50"/>
      <c r="G63" s="50"/>
      <c r="H63" s="50"/>
      <c r="J63" s="18" t="s">
        <v>117</v>
      </c>
      <c r="K63" s="31">
        <f t="shared" si="10"/>
        <v>1.1588</v>
      </c>
    </row>
    <row r="64" spans="1:11">
      <c r="A64" s="14" t="s">
        <v>134</v>
      </c>
      <c r="B64" s="61">
        <f>公式!B23*(1+0.6+(16*($B$12+200))/(($B$12+200)+2000))*K33</f>
        <v>4242.32917813934</v>
      </c>
      <c r="C64" s="54">
        <f>公式!B23*(1+0.6+(16*(($B$12+H16)+200))/(($B$12+200)+2000))*K37</f>
        <v>4242.32917813934</v>
      </c>
      <c r="D64" s="62">
        <f>B64*(1-$H$20)+C64*$H$20</f>
        <v>4242.32917813934</v>
      </c>
      <c r="E64" s="50"/>
      <c r="F64" s="50"/>
      <c r="G64" s="50"/>
      <c r="H64" s="50"/>
      <c r="J64" s="18" t="s">
        <v>119</v>
      </c>
      <c r="K64" s="31">
        <f t="shared" ref="K64:K66" si="12">K54+$H$22+$H$25</f>
        <v>1.0788</v>
      </c>
    </row>
    <row r="65" spans="3:11">
      <c r="C65" s="50"/>
      <c r="D65" s="50"/>
      <c r="E65" s="50"/>
      <c r="F65" s="50"/>
      <c r="G65" s="50"/>
      <c r="H65" s="50"/>
      <c r="J65" s="18" t="s">
        <v>121</v>
      </c>
      <c r="K65" s="31">
        <f t="shared" si="12"/>
        <v>1.4728</v>
      </c>
    </row>
    <row r="66" ht="16.2" spans="1:11">
      <c r="A66" s="7" t="s">
        <v>135</v>
      </c>
      <c r="B66" s="22" t="s">
        <v>130</v>
      </c>
      <c r="C66" s="50" t="s">
        <v>131</v>
      </c>
      <c r="D66" s="50" t="s">
        <v>132</v>
      </c>
      <c r="E66" s="50"/>
      <c r="F66" s="50"/>
      <c r="G66" s="50"/>
      <c r="H66" s="50"/>
      <c r="J66" s="18" t="s">
        <v>123</v>
      </c>
      <c r="K66" s="31">
        <f t="shared" si="12"/>
        <v>1.9528</v>
      </c>
    </row>
    <row r="67" spans="1:11">
      <c r="A67" s="11" t="s">
        <v>136</v>
      </c>
      <c r="B67" s="76">
        <f>公式!B24*(1+0.6+(16*$B$12)/($B$12+2000))*K33</f>
        <v>6058.44245789713</v>
      </c>
      <c r="C67" s="47">
        <f>公式!B24*(1+0.6+(16*($B$12+H16))/(($B$12+H16)+2000))*K37</f>
        <v>6058.44245789713</v>
      </c>
      <c r="D67" s="77">
        <f>公式!B24*(1+0.6+(16*((B12+H16)*H17+B12*(1-H17)))/(((B12+H16)*H17+B12*(1-H17))+2000))*K39</f>
        <v>6058.44245789713</v>
      </c>
      <c r="E67" s="50"/>
      <c r="F67" s="50"/>
      <c r="G67" s="50"/>
      <c r="H67" s="50"/>
      <c r="J67" s="72" t="s">
        <v>137</v>
      </c>
      <c r="K67" s="31"/>
    </row>
    <row r="68" spans="1:11">
      <c r="A68" s="18" t="s">
        <v>138</v>
      </c>
      <c r="B68" s="78">
        <f>公式!B26*(1+0.6+(16*$B$12)/($B$12+2000))*K33</f>
        <v>10096.2408010924</v>
      </c>
      <c r="C68" s="50">
        <f>公式!B26*(1+0.6+(16*($B$12+H16))/(($B$12+H16)+2000))*K37</f>
        <v>10096.2408010924</v>
      </c>
      <c r="D68" s="79">
        <f>公式!B26*(1+0.6+(16*((B12+H16)*H17+B12*(1-H17)))/(((B12+H16)*H17+B12*(1-H17))+2000))*K39</f>
        <v>10096.2408010924</v>
      </c>
      <c r="E68" s="50"/>
      <c r="F68" s="50"/>
      <c r="G68" s="50"/>
      <c r="H68" s="50"/>
      <c r="J68" s="18" t="s">
        <v>108</v>
      </c>
      <c r="K68" s="31">
        <f t="shared" ref="K68:K73" si="13">K48+$H$22*$H$23</f>
        <v>1.616</v>
      </c>
    </row>
    <row r="69" spans="1:11">
      <c r="A69" s="18" t="s">
        <v>139</v>
      </c>
      <c r="B69" s="78">
        <f>公式!B25*(1+0.6+(16*$B$12)/($B$12+2000))*K31</f>
        <v>5926.73718707328</v>
      </c>
      <c r="C69" s="50">
        <f>公式!B25*(1+0.6+(16*($B$12+H16))/(($B$12+H16)+2000))*K35</f>
        <v>5926.73718707328</v>
      </c>
      <c r="D69" s="79">
        <f>公式!B25*(1+0.6+(16*((B12+H16)*H17+B12*(1-H17)))/(((B12+H16)*H17+B12*(1-H17))+2000))*K38</f>
        <v>5926.73718707328</v>
      </c>
      <c r="E69" s="50"/>
      <c r="F69" s="50"/>
      <c r="G69" s="50"/>
      <c r="H69" s="50"/>
      <c r="J69" s="18" t="s">
        <v>110</v>
      </c>
      <c r="K69" s="31">
        <f t="shared" ref="K69:K71" si="14">K49+$H$22*$H$23+$H$25*$H$26</f>
        <v>1.616</v>
      </c>
    </row>
    <row r="70" spans="1:11">
      <c r="A70" s="18" t="s">
        <v>140</v>
      </c>
      <c r="B70" s="78">
        <f>公式!B22*(1+0.6+(16*$B$12)/($B$12+2000))*K33</f>
        <v>2523.18772872098</v>
      </c>
      <c r="C70" s="80">
        <f>公式!B22*(1+0.6+(16*$B$12)/(($B$12+H16)+2000))*K37</f>
        <v>2523.18772872098</v>
      </c>
      <c r="D70" s="79">
        <f>公式!B22*(1+0.6+(16*((B12+H16)*H17+B12*(1-H17)))/(((B12+H16)*H17+B12*(1-H17))+2000))*K39</f>
        <v>2523.18772872098</v>
      </c>
      <c r="E70" s="80"/>
      <c r="F70" s="80"/>
      <c r="G70" s="80"/>
      <c r="H70" s="80"/>
      <c r="J70" s="18" t="s">
        <v>112</v>
      </c>
      <c r="K70" s="31">
        <f t="shared" si="14"/>
        <v>2.01</v>
      </c>
    </row>
    <row r="71" spans="1:11">
      <c r="A71" s="14" t="s">
        <v>141</v>
      </c>
      <c r="B71" s="81">
        <f>(2.78*$B$12)/($B$12+1400)</f>
        <v>0.34293049467752</v>
      </c>
      <c r="C71" s="82"/>
      <c r="D71" s="83"/>
      <c r="E71" s="80"/>
      <c r="F71" s="80"/>
      <c r="G71" s="80"/>
      <c r="H71" s="80"/>
      <c r="J71" s="18" t="s">
        <v>114</v>
      </c>
      <c r="K71" s="31">
        <f t="shared" si="14"/>
        <v>2.41</v>
      </c>
    </row>
    <row r="72" spans="10:11">
      <c r="J72" s="18" t="s">
        <v>115</v>
      </c>
      <c r="K72" s="31">
        <f t="shared" si="13"/>
        <v>1.0788</v>
      </c>
    </row>
    <row r="73" spans="10:11">
      <c r="J73" s="18" t="s">
        <v>117</v>
      </c>
      <c r="K73" s="31">
        <f t="shared" si="13"/>
        <v>1.1588</v>
      </c>
    </row>
    <row r="74" spans="10:11">
      <c r="J74" s="18" t="s">
        <v>119</v>
      </c>
      <c r="K74" s="31">
        <f t="shared" ref="K74:K76" si="15">K54+$H$22*$H$23+$H$25*$H$26</f>
        <v>1.0788</v>
      </c>
    </row>
    <row r="75" spans="10:11">
      <c r="J75" s="18" t="s">
        <v>121</v>
      </c>
      <c r="K75" s="31">
        <f t="shared" si="15"/>
        <v>1.4728</v>
      </c>
    </row>
    <row r="76" spans="3:11">
      <c r="C76" s="80"/>
      <c r="D76" s="80"/>
      <c r="E76" s="80"/>
      <c r="F76" s="80"/>
      <c r="G76" s="80"/>
      <c r="H76" s="80"/>
      <c r="J76" s="14" t="s">
        <v>123</v>
      </c>
      <c r="K76" s="57">
        <f t="shared" si="15"/>
        <v>1.9528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workbookViewId="0">
      <selection activeCell="A1" sqref="A1:C24"/>
    </sheetView>
  </sheetViews>
  <sheetFormatPr defaultColWidth="21.3157894736842" defaultRowHeight="15.3"/>
  <cols>
    <col min="1" max="16384" width="21.3157894736842" style="1" customWidth="1"/>
  </cols>
  <sheetData>
    <row r="1" ht="16.2" spans="1:3">
      <c r="A1" s="11" t="s">
        <v>0</v>
      </c>
      <c r="B1" s="12" t="s">
        <v>1</v>
      </c>
      <c r="C1" s="13"/>
    </row>
    <row r="2" spans="1:3">
      <c r="A2" s="14" t="s">
        <v>2</v>
      </c>
      <c r="B2" s="15" t="s">
        <v>148</v>
      </c>
      <c r="C2" s="16"/>
    </row>
    <row r="3" spans="2:2">
      <c r="B3" s="6"/>
    </row>
    <row r="4" ht="16.2" spans="1:1">
      <c r="A4" s="7" t="s">
        <v>4</v>
      </c>
    </row>
    <row r="5" ht="16.2" spans="1:2">
      <c r="A5" s="11" t="s">
        <v>5</v>
      </c>
      <c r="B5" s="17">
        <f>G40+G50+G41+G59+G41+G59</f>
        <v>339892.464803105</v>
      </c>
    </row>
    <row r="6" ht="16.2" spans="1:2">
      <c r="A6" s="18" t="s">
        <v>6</v>
      </c>
      <c r="B6" s="19">
        <f>G39+G49+G39+G39</f>
        <v>238590.521824032</v>
      </c>
    </row>
    <row r="7" ht="16.2" spans="1:2">
      <c r="A7" s="14" t="s">
        <v>7</v>
      </c>
      <c r="B7" s="20">
        <f>G49+G39+G39</f>
        <v>194131.755103712</v>
      </c>
    </row>
    <row r="9" ht="16.2" spans="1:13">
      <c r="A9" s="21" t="s">
        <v>8</v>
      </c>
      <c r="B9" s="22"/>
      <c r="D9" s="7" t="s">
        <v>9</v>
      </c>
      <c r="G9" s="7" t="s">
        <v>10</v>
      </c>
      <c r="J9" s="42" t="s">
        <v>11</v>
      </c>
      <c r="K9" s="22"/>
      <c r="L9" s="36"/>
      <c r="M9" s="22"/>
    </row>
    <row r="10" spans="1:13">
      <c r="A10" s="11" t="s">
        <v>12</v>
      </c>
      <c r="B10" s="13">
        <v>1780</v>
      </c>
      <c r="D10" s="23" t="s">
        <v>13</v>
      </c>
      <c r="E10" s="24" t="s">
        <v>145</v>
      </c>
      <c r="G10" s="11" t="s">
        <v>15</v>
      </c>
      <c r="H10" s="25">
        <f>(191+608)*1.12</f>
        <v>894.88</v>
      </c>
      <c r="J10" s="23" t="s">
        <v>16</v>
      </c>
      <c r="K10" s="63"/>
      <c r="L10" s="64"/>
      <c r="M10" s="22"/>
    </row>
    <row r="11" spans="1:13">
      <c r="A11" s="18" t="s">
        <v>17</v>
      </c>
      <c r="B11" s="26">
        <f>人物!B6+绿剑精精暴!E12</f>
        <v>839</v>
      </c>
      <c r="D11" s="27" t="s">
        <v>18</v>
      </c>
      <c r="E11" s="26">
        <v>90</v>
      </c>
      <c r="G11" s="27" t="s">
        <v>19</v>
      </c>
      <c r="H11" s="28">
        <v>0.5</v>
      </c>
      <c r="J11" s="27" t="s">
        <v>20</v>
      </c>
      <c r="K11" s="65">
        <v>0.8263</v>
      </c>
      <c r="L11" s="26"/>
      <c r="M11" s="22"/>
    </row>
    <row r="12" spans="1:13">
      <c r="A12" s="18" t="s">
        <v>21</v>
      </c>
      <c r="B12" s="29">
        <v>530</v>
      </c>
      <c r="D12" s="27" t="s">
        <v>22</v>
      </c>
      <c r="E12" s="30">
        <v>542</v>
      </c>
      <c r="G12" s="18"/>
      <c r="H12" s="31"/>
      <c r="J12" s="27" t="s">
        <v>23</v>
      </c>
      <c r="K12" s="66">
        <f>79%+137.14%</f>
        <v>2.1614</v>
      </c>
      <c r="L12" s="26"/>
      <c r="M12" s="22"/>
    </row>
    <row r="13" spans="1:13">
      <c r="A13" s="18" t="s">
        <v>24</v>
      </c>
      <c r="B13" s="32">
        <v>0.822</v>
      </c>
      <c r="D13" s="33" t="s">
        <v>25</v>
      </c>
      <c r="E13" s="34" t="s">
        <v>26</v>
      </c>
      <c r="G13" s="27" t="s">
        <v>146</v>
      </c>
      <c r="H13" s="35">
        <v>0.2</v>
      </c>
      <c r="J13" s="27" t="s">
        <v>28</v>
      </c>
      <c r="K13" s="65">
        <v>1.5035</v>
      </c>
      <c r="L13" s="26"/>
      <c r="M13" s="22"/>
    </row>
    <row r="14" spans="1:12">
      <c r="A14" s="18" t="s">
        <v>29</v>
      </c>
      <c r="B14" s="32">
        <v>1.542</v>
      </c>
      <c r="D14" s="36"/>
      <c r="E14" s="36"/>
      <c r="G14" s="27" t="s">
        <v>19</v>
      </c>
      <c r="H14" s="28">
        <v>0.5</v>
      </c>
      <c r="J14" s="27" t="s">
        <v>30</v>
      </c>
      <c r="K14" s="65">
        <v>3.0063</v>
      </c>
      <c r="L14" s="26"/>
    </row>
    <row r="15" ht="16.2" spans="1:12">
      <c r="A15" s="18" t="s">
        <v>31</v>
      </c>
      <c r="B15" s="32">
        <v>1.479</v>
      </c>
      <c r="D15" s="21" t="s">
        <v>32</v>
      </c>
      <c r="E15" s="22"/>
      <c r="G15" s="18"/>
      <c r="H15" s="31"/>
      <c r="J15" s="27" t="s">
        <v>33</v>
      </c>
      <c r="K15" s="65">
        <v>3.755</v>
      </c>
      <c r="L15" s="26" t="s">
        <v>34</v>
      </c>
    </row>
    <row r="16" spans="1:12">
      <c r="A16" s="14" t="s">
        <v>35</v>
      </c>
      <c r="B16" s="37">
        <v>0.15</v>
      </c>
      <c r="D16" s="11" t="s">
        <v>18</v>
      </c>
      <c r="E16" s="24">
        <v>85</v>
      </c>
      <c r="G16" s="18" t="s">
        <v>36</v>
      </c>
      <c r="H16" s="29">
        <v>0</v>
      </c>
      <c r="J16" s="27"/>
      <c r="K16" s="36"/>
      <c r="L16" s="26"/>
    </row>
    <row r="17" spans="4:12">
      <c r="D17" s="18" t="s">
        <v>37</v>
      </c>
      <c r="E17" s="38">
        <v>0.1</v>
      </c>
      <c r="G17" s="27" t="s">
        <v>19</v>
      </c>
      <c r="H17" s="28">
        <v>0</v>
      </c>
      <c r="J17" s="27" t="s">
        <v>38</v>
      </c>
      <c r="K17" s="36"/>
      <c r="L17" s="26"/>
    </row>
    <row r="18" ht="16.2" spans="1:12">
      <c r="A18" s="7" t="s">
        <v>39</v>
      </c>
      <c r="D18" s="18" t="s">
        <v>40</v>
      </c>
      <c r="E18" s="38">
        <v>-0.3</v>
      </c>
      <c r="G18" s="18"/>
      <c r="H18" s="31"/>
      <c r="J18" s="27" t="s">
        <v>41</v>
      </c>
      <c r="K18" s="67">
        <v>3.84</v>
      </c>
      <c r="L18" s="26"/>
    </row>
    <row r="19" spans="1:12">
      <c r="A19" s="11" t="s">
        <v>42</v>
      </c>
      <c r="B19" s="39">
        <f>B12*0.04%</f>
        <v>0.212</v>
      </c>
      <c r="D19" s="14" t="s">
        <v>43</v>
      </c>
      <c r="E19" s="40">
        <f>(E11+100)/(E16+E11+200)</f>
        <v>0.506666666666667</v>
      </c>
      <c r="G19" s="18" t="s">
        <v>44</v>
      </c>
      <c r="H19" s="38">
        <v>0</v>
      </c>
      <c r="J19" s="27" t="s">
        <v>45</v>
      </c>
      <c r="K19" s="65">
        <v>5.216</v>
      </c>
      <c r="L19" s="26"/>
    </row>
    <row r="20" spans="1:12">
      <c r="A20" s="14" t="s">
        <v>46</v>
      </c>
      <c r="B20" s="41">
        <f>(B12+200)*0.04%</f>
        <v>0.292</v>
      </c>
      <c r="G20" s="27" t="s">
        <v>19</v>
      </c>
      <c r="H20" s="28">
        <v>0</v>
      </c>
      <c r="J20" s="27" t="s">
        <v>47</v>
      </c>
      <c r="K20" s="65">
        <f>K15</f>
        <v>3.755</v>
      </c>
      <c r="L20" s="26" t="s">
        <v>48</v>
      </c>
    </row>
    <row r="21" ht="16.2" spans="4:12">
      <c r="D21" s="42" t="s">
        <v>49</v>
      </c>
      <c r="E21" s="36"/>
      <c r="G21" s="18"/>
      <c r="H21" s="31"/>
      <c r="J21" s="27" t="s">
        <v>50</v>
      </c>
      <c r="K21" s="67">
        <v>2</v>
      </c>
      <c r="L21" s="26" t="s">
        <v>51</v>
      </c>
    </row>
    <row r="22" ht="16.2" spans="1:12">
      <c r="A22" s="7" t="s">
        <v>52</v>
      </c>
      <c r="D22" s="23" t="s">
        <v>53</v>
      </c>
      <c r="E22" s="43">
        <v>0</v>
      </c>
      <c r="G22" s="27" t="s">
        <v>53</v>
      </c>
      <c r="H22" s="35">
        <v>0</v>
      </c>
      <c r="J22" s="27"/>
      <c r="K22" s="36"/>
      <c r="L22" s="26"/>
    </row>
    <row r="23" spans="1:12">
      <c r="A23" s="11" t="s">
        <v>54</v>
      </c>
      <c r="B23" s="44">
        <f>B12*0.2%</f>
        <v>1.06</v>
      </c>
      <c r="D23" s="27" t="s">
        <v>55</v>
      </c>
      <c r="E23" s="35">
        <v>0</v>
      </c>
      <c r="G23" s="27" t="s">
        <v>19</v>
      </c>
      <c r="H23" s="28">
        <v>0</v>
      </c>
      <c r="J23" s="27" t="s">
        <v>56</v>
      </c>
      <c r="K23" s="36"/>
      <c r="L23" s="26"/>
    </row>
    <row r="24" spans="1:12">
      <c r="A24" s="14" t="s">
        <v>57</v>
      </c>
      <c r="B24" s="40">
        <f>(B12+200)*0.2%</f>
        <v>1.46</v>
      </c>
      <c r="D24" s="27" t="s">
        <v>58</v>
      </c>
      <c r="E24" s="35">
        <v>0</v>
      </c>
      <c r="G24" s="18"/>
      <c r="H24" s="31"/>
      <c r="J24" s="27" t="s">
        <v>59</v>
      </c>
      <c r="K24" s="65">
        <v>5.248</v>
      </c>
      <c r="L24" s="26"/>
    </row>
    <row r="25" spans="4:12">
      <c r="D25" s="27" t="s">
        <v>147</v>
      </c>
      <c r="E25" s="30">
        <v>0</v>
      </c>
      <c r="G25" s="27" t="s">
        <v>55</v>
      </c>
      <c r="H25" s="35">
        <v>0</v>
      </c>
      <c r="J25" s="27" t="s">
        <v>61</v>
      </c>
      <c r="K25" s="67">
        <v>2.4</v>
      </c>
      <c r="L25" s="26" t="s">
        <v>62</v>
      </c>
    </row>
    <row r="26" spans="4:12">
      <c r="D26" s="33" t="s">
        <v>44</v>
      </c>
      <c r="E26" s="45">
        <v>0</v>
      </c>
      <c r="G26" s="33" t="s">
        <v>19</v>
      </c>
      <c r="H26" s="46">
        <v>0</v>
      </c>
      <c r="J26" s="33" t="s">
        <v>63</v>
      </c>
      <c r="K26" s="68">
        <v>0.72</v>
      </c>
      <c r="L26" s="34" t="s">
        <v>51</v>
      </c>
    </row>
    <row r="28" ht="16.2" spans="1:10">
      <c r="A28" s="1" t="s">
        <v>64</v>
      </c>
      <c r="J28" s="7" t="s">
        <v>65</v>
      </c>
    </row>
    <row r="29" spans="10:11">
      <c r="J29" s="69" t="s">
        <v>66</v>
      </c>
      <c r="K29" s="49"/>
    </row>
    <row r="30" ht="16.2" spans="1:11">
      <c r="A30" s="7" t="s">
        <v>67</v>
      </c>
      <c r="B30" s="1" t="s">
        <v>68</v>
      </c>
      <c r="C30" s="1" t="s">
        <v>69</v>
      </c>
      <c r="D30" s="1" t="s">
        <v>70</v>
      </c>
      <c r="E30" s="1" t="s">
        <v>71</v>
      </c>
      <c r="F30" s="1" t="s">
        <v>72</v>
      </c>
      <c r="G30" s="1" t="s">
        <v>73</v>
      </c>
      <c r="J30" s="18" t="s">
        <v>74</v>
      </c>
      <c r="K30" s="70">
        <f>E17-E26</f>
        <v>0.1</v>
      </c>
    </row>
    <row r="31" spans="1:11">
      <c r="A31" s="11" t="s">
        <v>75</v>
      </c>
      <c r="B31" s="47">
        <f t="shared" ref="B31:B38" si="0">C31*(1+$B$14)</f>
        <v>9111.49111296</v>
      </c>
      <c r="C31" s="48">
        <f>K43*K18*K48*K31*$E$19</f>
        <v>3584.37888</v>
      </c>
      <c r="D31" s="48">
        <f t="shared" ref="D31:D38" si="1">C31*$K$46</f>
        <v>8127.66513549312</v>
      </c>
      <c r="E31" s="47">
        <f t="shared" ref="E31:E38" si="2">F31*(1+$B$14)</f>
        <v>14551.1536837018</v>
      </c>
      <c r="F31" s="48">
        <f>K44*K18*K35*K58*E19</f>
        <v>5724.29334528</v>
      </c>
      <c r="G31" s="48">
        <f>K45*K18*K68*E19*K46</f>
        <v>11726.4653771977</v>
      </c>
      <c r="H31" s="49"/>
      <c r="J31" s="18" t="s">
        <v>76</v>
      </c>
      <c r="K31" s="31">
        <f t="shared" ref="K31:K35" si="3">IF(K30&lt;0,(1-K30/2),(1-K30))</f>
        <v>0.9</v>
      </c>
    </row>
    <row r="32" spans="1:11">
      <c r="A32" s="18" t="s">
        <v>77</v>
      </c>
      <c r="B32" s="50">
        <f t="shared" si="0"/>
        <v>12376.442095104</v>
      </c>
      <c r="C32" s="51">
        <f>K43*K19*K48*K31*$E$19</f>
        <v>4868.781312</v>
      </c>
      <c r="D32" s="51">
        <f t="shared" si="1"/>
        <v>11040.0784757115</v>
      </c>
      <c r="E32" s="50">
        <f t="shared" si="2"/>
        <v>19765.3170870282</v>
      </c>
      <c r="F32" s="51">
        <f>K44*K19*K58*K35*$E$19</f>
        <v>7775.498460672</v>
      </c>
      <c r="G32" s="51">
        <f>K45*K19*K68*E19*K46</f>
        <v>15928.4488040268</v>
      </c>
      <c r="H32" s="31"/>
      <c r="J32" s="18" t="s">
        <v>78</v>
      </c>
      <c r="K32" s="70">
        <f>E18-E26</f>
        <v>-0.3</v>
      </c>
    </row>
    <row r="33" spans="1:11">
      <c r="A33" s="18" t="s">
        <v>79</v>
      </c>
      <c r="B33" s="50">
        <f t="shared" si="0"/>
        <v>8909.80446072</v>
      </c>
      <c r="C33" s="51">
        <f>K43*K20*K49*K31*$E$19</f>
        <v>3505.03716</v>
      </c>
      <c r="D33" s="51">
        <f t="shared" si="1"/>
        <v>7947.75588119184</v>
      </c>
      <c r="E33" s="50">
        <f t="shared" si="2"/>
        <v>14229.0578339323</v>
      </c>
      <c r="F33" s="51">
        <f>K44*K20*K59*K35*$E$19</f>
        <v>5597.58372696</v>
      </c>
      <c r="G33" s="51">
        <f>K45*K20*K69*E19*K46</f>
        <v>11466.8951800462</v>
      </c>
      <c r="H33" s="31"/>
      <c r="J33" s="18" t="s">
        <v>80</v>
      </c>
      <c r="K33" s="31">
        <f t="shared" si="3"/>
        <v>1.15</v>
      </c>
    </row>
    <row r="34" spans="1:11">
      <c r="A34" s="18" t="s">
        <v>81</v>
      </c>
      <c r="B34" s="50">
        <f t="shared" si="0"/>
        <v>17122.319876688</v>
      </c>
      <c r="C34" s="51">
        <f>K43*K20*K50*K31*$E$19</f>
        <v>6735.767064</v>
      </c>
      <c r="D34" s="51">
        <f t="shared" si="1"/>
        <v>15273.5134760295</v>
      </c>
      <c r="E34" s="50">
        <f t="shared" si="2"/>
        <v>27344.5372286873</v>
      </c>
      <c r="F34" s="51">
        <f>K44*K20*K60*K35*$E$19</f>
        <v>10757.095683984</v>
      </c>
      <c r="G34" s="51">
        <f>K45*K20*K70*E19*K46</f>
        <v>22036.3811720887</v>
      </c>
      <c r="H34" s="31"/>
      <c r="J34" s="18" t="s">
        <v>82</v>
      </c>
      <c r="K34" s="70">
        <f>E17-E26-H19</f>
        <v>0.1</v>
      </c>
    </row>
    <row r="35" spans="1:11">
      <c r="A35" s="18" t="s">
        <v>83</v>
      </c>
      <c r="B35" s="50">
        <f t="shared" si="0"/>
        <v>6390.69862784</v>
      </c>
      <c r="C35" s="51">
        <f>K43*K21*K54*K33*$E$19</f>
        <v>2514.04352</v>
      </c>
      <c r="D35" s="51">
        <f t="shared" si="1"/>
        <v>5700.65401864448</v>
      </c>
      <c r="E35" s="50">
        <f t="shared" si="2"/>
        <v>10206.017514263</v>
      </c>
      <c r="F35" s="51">
        <f>K44*K21*K64*K37*$E$19</f>
        <v>4014.95574912</v>
      </c>
      <c r="G35" s="51">
        <f>K45*K21*K74*E19*K46</f>
        <v>6436.80979944003</v>
      </c>
      <c r="H35" s="31"/>
      <c r="J35" s="18" t="s">
        <v>84</v>
      </c>
      <c r="K35" s="31">
        <f t="shared" si="3"/>
        <v>0.9</v>
      </c>
    </row>
    <row r="36" spans="1:11">
      <c r="A36" s="18" t="s">
        <v>85</v>
      </c>
      <c r="B36" s="50">
        <f t="shared" si="0"/>
        <v>11979.9235003733</v>
      </c>
      <c r="C36" s="51">
        <f>K43*K21*K55*K33*$E$19</f>
        <v>4712.79445333333</v>
      </c>
      <c r="D36" s="51">
        <f t="shared" si="1"/>
        <v>10686.3745300002</v>
      </c>
      <c r="E36" s="50">
        <f t="shared" si="2"/>
        <v>19132.0724359782</v>
      </c>
      <c r="F36" s="51">
        <f>K44*K21*K65*K37*$E$19</f>
        <v>7526.38569472</v>
      </c>
      <c r="G36" s="51">
        <f>K45*K21*K75*E19*K46</f>
        <v>12066.3629243628</v>
      </c>
      <c r="H36" s="31"/>
      <c r="J36" s="18" t="s">
        <v>86</v>
      </c>
      <c r="K36" s="70">
        <f>E18-E26-H19</f>
        <v>-0.3</v>
      </c>
    </row>
    <row r="37" spans="1:14">
      <c r="A37" s="18" t="s">
        <v>87</v>
      </c>
      <c r="B37" s="50">
        <f t="shared" si="0"/>
        <v>20221.382297808</v>
      </c>
      <c r="C37" s="51">
        <f>K43*K20*K51*K31*$E$19</f>
        <v>7954.910424</v>
      </c>
      <c r="D37" s="51">
        <f t="shared" si="1"/>
        <v>18037.9503042702</v>
      </c>
      <c r="E37" s="50">
        <f t="shared" si="2"/>
        <v>32293.774736142</v>
      </c>
      <c r="F37" s="51">
        <f>K44*K20*K61*K35*$E$19</f>
        <v>12704.081328144</v>
      </c>
      <c r="G37" s="51">
        <f>K45*K20*K76*E19*K46</f>
        <v>27440.7787265105</v>
      </c>
      <c r="H37" s="31"/>
      <c r="J37" s="18" t="s">
        <v>88</v>
      </c>
      <c r="K37" s="31">
        <f>IF(K36&lt;0,(1-K36/2),(1-K36))</f>
        <v>1.15</v>
      </c>
      <c r="N37" s="36"/>
    </row>
    <row r="38" spans="1:15">
      <c r="A38" s="18" t="s">
        <v>89</v>
      </c>
      <c r="B38" s="50">
        <f t="shared" si="0"/>
        <v>14510.8932539733</v>
      </c>
      <c r="C38" s="51">
        <f>K43*K21*K56*K33*$E$19</f>
        <v>5708.45525333333</v>
      </c>
      <c r="D38" s="51">
        <f t="shared" si="1"/>
        <v>12944.0592898594</v>
      </c>
      <c r="E38" s="50">
        <f t="shared" si="2"/>
        <v>23174.0595703398</v>
      </c>
      <c r="F38" s="51">
        <f>K44*K21*K66*K37*$E$19</f>
        <v>9116.46717952</v>
      </c>
      <c r="G38" s="51">
        <f>K45*K21*K76*E19*K46</f>
        <v>14615.5945281014</v>
      </c>
      <c r="H38" s="31"/>
      <c r="J38" s="18" t="s">
        <v>90</v>
      </c>
      <c r="K38" s="31">
        <f>K31*(1-H20)+K35*H20</f>
        <v>0.9</v>
      </c>
      <c r="N38" s="36"/>
      <c r="O38" s="36"/>
    </row>
    <row r="39" spans="1:15">
      <c r="A39" s="18" t="s">
        <v>91</v>
      </c>
      <c r="D39" s="50">
        <f>D31+D33+D35+B63*3</f>
        <v>36604.6713989658</v>
      </c>
      <c r="G39" s="52">
        <f>G31+G33+G35+D63*3</f>
        <v>44458.7667203202</v>
      </c>
      <c r="H39" s="31"/>
      <c r="J39" s="18" t="s">
        <v>92</v>
      </c>
      <c r="K39" s="31">
        <f>K33*(1-H20)+K37*H20</f>
        <v>1.15</v>
      </c>
      <c r="N39" s="36"/>
      <c r="O39" s="71"/>
    </row>
    <row r="40" spans="1:11">
      <c r="A40" s="18" t="s">
        <v>93</v>
      </c>
      <c r="D40" s="51">
        <f>D31+D34+D36+B63*3</f>
        <v>48916.1495051592</v>
      </c>
      <c r="G40" s="53">
        <f>G31+G34+G36+D63*3</f>
        <v>60657.8058372856</v>
      </c>
      <c r="H40" s="31"/>
      <c r="J40" s="72" t="s">
        <v>94</v>
      </c>
      <c r="K40" s="31"/>
    </row>
    <row r="41" spans="1:11">
      <c r="A41" s="18" t="s">
        <v>95</v>
      </c>
      <c r="D41" s="51">
        <f>D31+D37+D38+B64*3</f>
        <v>56713.0962680842</v>
      </c>
      <c r="G41" s="53">
        <f>G31+G37+G38+D64*3</f>
        <v>71386.2601702711</v>
      </c>
      <c r="H41" s="31"/>
      <c r="J41" s="18" t="s">
        <v>96</v>
      </c>
      <c r="K41" s="31">
        <f>B12*(1-H17)+(B12+H16)*H17</f>
        <v>530</v>
      </c>
    </row>
    <row r="42" spans="1:11">
      <c r="A42" s="14" t="s">
        <v>97</v>
      </c>
      <c r="B42" s="54"/>
      <c r="C42" s="55"/>
      <c r="D42" s="55"/>
      <c r="E42" s="56"/>
      <c r="F42" s="55"/>
      <c r="G42" s="55"/>
      <c r="H42" s="57"/>
      <c r="J42" s="1" t="s">
        <v>98</v>
      </c>
      <c r="K42" s="1">
        <f>B12+H16</f>
        <v>530</v>
      </c>
    </row>
    <row r="43" spans="2:11">
      <c r="B43" s="50"/>
      <c r="C43" s="51"/>
      <c r="D43" s="51"/>
      <c r="F43" s="51"/>
      <c r="G43" s="51"/>
      <c r="J43" s="18" t="s">
        <v>99</v>
      </c>
      <c r="K43" s="31">
        <f>($B$10+B11*E24+E25)</f>
        <v>1780</v>
      </c>
    </row>
    <row r="44" ht="16.2" spans="1:11">
      <c r="A44" s="7" t="s">
        <v>100</v>
      </c>
      <c r="B44" s="1" t="s">
        <v>68</v>
      </c>
      <c r="C44" s="1" t="s">
        <v>69</v>
      </c>
      <c r="D44" s="1" t="s">
        <v>70</v>
      </c>
      <c r="E44" s="1" t="s">
        <v>71</v>
      </c>
      <c r="F44" s="1" t="s">
        <v>72</v>
      </c>
      <c r="G44" s="1" t="s">
        <v>73</v>
      </c>
      <c r="J44" s="1" t="s">
        <v>101</v>
      </c>
      <c r="K44" s="73">
        <f>K43+H10+H13*B11</f>
        <v>2842.68</v>
      </c>
    </row>
    <row r="45" spans="1:11">
      <c r="A45" s="11" t="s">
        <v>59</v>
      </c>
      <c r="B45" s="47">
        <f t="shared" ref="B45:B48" si="4">C45*(1+$B$14)</f>
        <v>12452.371187712</v>
      </c>
      <c r="C45" s="48">
        <f>K43*K24*K48*K31*$E$19</f>
        <v>4898.651136</v>
      </c>
      <c r="D45" s="48">
        <f t="shared" ref="D45:D48" si="5">C45*$K$46</f>
        <v>11107.8090185073</v>
      </c>
      <c r="E45" s="47">
        <f t="shared" ref="E45:E48" si="6">F45*(1+$B$14)</f>
        <v>19886.5767010591</v>
      </c>
      <c r="F45" s="48">
        <f>K44*K24*K35*K58*E19</f>
        <v>7823.200905216</v>
      </c>
      <c r="G45" s="48">
        <f>K45*K24*K38*K68*E19*K46</f>
        <v>14423.5524139531</v>
      </c>
      <c r="H45" s="49"/>
      <c r="J45" s="18" t="s">
        <v>102</v>
      </c>
      <c r="K45" s="74">
        <f>($B$10+B11*E24+E25+H10*H11+B11*H13*H14)</f>
        <v>2311.34</v>
      </c>
    </row>
    <row r="46" spans="1:11">
      <c r="A46" s="18" t="s">
        <v>103</v>
      </c>
      <c r="B46" s="50">
        <f t="shared" si="4"/>
        <v>5694.6819456</v>
      </c>
      <c r="C46" s="51">
        <f>K43*K25*K48*K31*$E$19</f>
        <v>2240.2368</v>
      </c>
      <c r="D46" s="51">
        <f t="shared" si="5"/>
        <v>5079.7907096832</v>
      </c>
      <c r="E46" s="50">
        <f t="shared" si="6"/>
        <v>9094.4710523136</v>
      </c>
      <c r="F46" s="51">
        <f>K44*K25*K35*K58*E19</f>
        <v>3577.6833408</v>
      </c>
      <c r="G46" s="51">
        <f>K45*K25*K38*K68*E19*K46</f>
        <v>6596.13677467369</v>
      </c>
      <c r="H46" s="31"/>
      <c r="J46" s="18" t="s">
        <v>104</v>
      </c>
      <c r="K46" s="75">
        <f>B13*B14+1</f>
        <v>2.267524</v>
      </c>
    </row>
    <row r="47" spans="1:11">
      <c r="A47" s="18" t="s">
        <v>105</v>
      </c>
      <c r="B47" s="50">
        <f t="shared" si="4"/>
        <v>2300.6515060224</v>
      </c>
      <c r="C47" s="51">
        <f>K43*K26*K52*K33*$E$19</f>
        <v>905.0556672</v>
      </c>
      <c r="D47" s="51">
        <f t="shared" si="5"/>
        <v>2052.23544671201</v>
      </c>
      <c r="E47" s="50">
        <f t="shared" si="6"/>
        <v>3674.16630513469</v>
      </c>
      <c r="F47" s="51">
        <f>K44*K26*K37*K62*E19</f>
        <v>1445.3840696832</v>
      </c>
      <c r="G47" s="51">
        <f>K45*K26*K39*K72*E19*K46</f>
        <v>2664.83925696817</v>
      </c>
      <c r="H47" s="31"/>
      <c r="J47" s="72" t="s">
        <v>106</v>
      </c>
      <c r="K47" s="31"/>
    </row>
    <row r="48" spans="1:11">
      <c r="A48" s="18" t="s">
        <v>107</v>
      </c>
      <c r="B48" s="50">
        <f t="shared" si="4"/>
        <v>2452.5096912384</v>
      </c>
      <c r="C48" s="51">
        <f>K43*K26*K53*K33*$E$19</f>
        <v>964.7953152</v>
      </c>
      <c r="D48" s="51">
        <f t="shared" si="5"/>
        <v>2187.69653230356</v>
      </c>
      <c r="E48" s="50">
        <f t="shared" si="6"/>
        <v>3916.68553319639</v>
      </c>
      <c r="F48" s="51">
        <f>K44*K26*K37*K63*E19</f>
        <v>1540.7889587712</v>
      </c>
      <c r="G48" s="51">
        <f>K45*K26*K39*K73*E19*K46</f>
        <v>2840.73623762614</v>
      </c>
      <c r="H48" s="31"/>
      <c r="J48" s="18" t="s">
        <v>108</v>
      </c>
      <c r="K48" s="31">
        <f>(1+$B$16+E22)</f>
        <v>1.15</v>
      </c>
    </row>
    <row r="49" spans="1:11">
      <c r="A49" s="18" t="s">
        <v>109</v>
      </c>
      <c r="B49" s="50"/>
      <c r="C49" s="51"/>
      <c r="D49" s="51">
        <f>D45+D46*5+D47*5+B63*9</f>
        <v>91253.7288913924</v>
      </c>
      <c r="G49" s="52">
        <f>G45+G46*5+G47*5+D63*9</f>
        <v>105214.221663072</v>
      </c>
      <c r="H49" s="31"/>
      <c r="J49" s="18" t="s">
        <v>110</v>
      </c>
      <c r="K49" s="31">
        <f>(1+$B$16+$E$22+$E$23)</f>
        <v>1.15</v>
      </c>
    </row>
    <row r="50" spans="1:11">
      <c r="A50" s="18" t="s">
        <v>111</v>
      </c>
      <c r="B50" s="50"/>
      <c r="C50" s="51"/>
      <c r="D50" s="51">
        <f>D45+D46*5+D48*5+B64*9</f>
        <v>100255.509843826</v>
      </c>
      <c r="G50" s="53">
        <f>G45+G46*5+G48*5+D64*9</f>
        <v>114418.182090837</v>
      </c>
      <c r="H50" s="31"/>
      <c r="J50" s="18" t="s">
        <v>112</v>
      </c>
      <c r="K50" s="31">
        <f>(1+$B$16+$E$22+$E$23+B23)</f>
        <v>2.21</v>
      </c>
    </row>
    <row r="51" spans="1:11">
      <c r="A51" s="14" t="s">
        <v>113</v>
      </c>
      <c r="B51" s="54"/>
      <c r="C51" s="55"/>
      <c r="D51" s="55"/>
      <c r="E51" s="56"/>
      <c r="F51" s="55"/>
      <c r="G51" s="55"/>
      <c r="H51" s="57"/>
      <c r="J51" s="18" t="s">
        <v>114</v>
      </c>
      <c r="K51" s="31">
        <f>(1+$B$16+$E$22+$E$23+B24)</f>
        <v>2.61</v>
      </c>
    </row>
    <row r="52" spans="2:11">
      <c r="B52" s="50"/>
      <c r="C52" s="51"/>
      <c r="D52" s="51"/>
      <c r="F52" s="51"/>
      <c r="G52" s="51"/>
      <c r="J52" s="18" t="s">
        <v>115</v>
      </c>
      <c r="K52" s="31">
        <f>(1+$E$22+B19)</f>
        <v>1.212</v>
      </c>
    </row>
    <row r="53" ht="16.2" spans="1:11">
      <c r="A53" s="7" t="s">
        <v>116</v>
      </c>
      <c r="B53" s="1" t="s">
        <v>68</v>
      </c>
      <c r="C53" s="1" t="s">
        <v>69</v>
      </c>
      <c r="D53" s="1" t="s">
        <v>70</v>
      </c>
      <c r="E53" s="1" t="s">
        <v>71</v>
      </c>
      <c r="F53" s="1" t="s">
        <v>72</v>
      </c>
      <c r="G53" s="1" t="s">
        <v>73</v>
      </c>
      <c r="J53" s="18" t="s">
        <v>117</v>
      </c>
      <c r="K53" s="31">
        <f>(1+$E$22+B20)</f>
        <v>1.292</v>
      </c>
    </row>
    <row r="54" spans="1:11">
      <c r="A54" s="11" t="s">
        <v>118</v>
      </c>
      <c r="B54" s="47">
        <f t="shared" ref="B54:B57" si="7">C54*(1+$B$14)</f>
        <v>3767.82234729888</v>
      </c>
      <c r="C54" s="48">
        <f>K43*K11*K50*K31*$E$19</f>
        <v>1482.22751664</v>
      </c>
      <c r="D54" s="48">
        <f t="shared" ref="D54:D57" si="8">C54*$K$46</f>
        <v>3360.9864674416</v>
      </c>
      <c r="E54" s="47">
        <f t="shared" ref="E54:E57" si="9">F54*(1+$B$14)</f>
        <v>6017.25462371887</v>
      </c>
      <c r="F54" s="48">
        <f>K44*K11*K60*K35*$E$19</f>
        <v>2367.13399831584</v>
      </c>
      <c r="G54" s="48">
        <f>K45*K11*K70*K38*$E$19*K46</f>
        <v>4364.25980991936</v>
      </c>
      <c r="H54" s="49"/>
      <c r="J54" s="18" t="s">
        <v>119</v>
      </c>
      <c r="K54" s="31">
        <f>(1+$E$22+$E$23+B19)</f>
        <v>1.212</v>
      </c>
    </row>
    <row r="55" spans="1:11">
      <c r="A55" s="18" t="s">
        <v>120</v>
      </c>
      <c r="B55" s="50">
        <f t="shared" si="7"/>
        <v>4449.78114319008</v>
      </c>
      <c r="C55" s="51">
        <f>K43*K11*K51*K31*$E$19</f>
        <v>1750.50399024</v>
      </c>
      <c r="D55" s="51">
        <f t="shared" si="8"/>
        <v>3969.30980996497</v>
      </c>
      <c r="E55" s="50">
        <f t="shared" si="9"/>
        <v>7106.35048321549</v>
      </c>
      <c r="F55" s="51">
        <f>K44*K11*K61*K35*$E$19</f>
        <v>2795.57454099744</v>
      </c>
      <c r="G55" s="51">
        <f>K45*K11*K71*K38*$E$19*K46</f>
        <v>5154.17108773282</v>
      </c>
      <c r="H55" s="31"/>
      <c r="J55" s="18" t="s">
        <v>121</v>
      </c>
      <c r="K55" s="31">
        <f>(1+$E$22+$E$23+B23+B19)</f>
        <v>2.272</v>
      </c>
    </row>
    <row r="56" spans="1:11">
      <c r="A56" s="18" t="s">
        <v>122</v>
      </c>
      <c r="B56" s="50">
        <f t="shared" si="7"/>
        <v>4949.50539417924</v>
      </c>
      <c r="C56" s="51">
        <f>K43*K11*K55*K33*$E$19</f>
        <v>1947.09102839467</v>
      </c>
      <c r="D56" s="51">
        <f t="shared" si="8"/>
        <v>4415.07563706959</v>
      </c>
      <c r="E56" s="50">
        <f t="shared" si="9"/>
        <v>7904.41572692441</v>
      </c>
      <c r="F56" s="51">
        <f>K44*K11*K65*K37*$E$19</f>
        <v>3109.52624977357</v>
      </c>
      <c r="G56" s="51">
        <f>K45*K11*K75*K39*$E$19*K46</f>
        <v>5733.00051853058</v>
      </c>
      <c r="H56" s="31"/>
      <c r="J56" s="18" t="s">
        <v>123</v>
      </c>
      <c r="K56" s="31">
        <f>(1+$E$22+$E$23+B24+B20)</f>
        <v>2.752</v>
      </c>
    </row>
    <row r="57" spans="1:11">
      <c r="A57" s="18" t="s">
        <v>124</v>
      </c>
      <c r="B57" s="50">
        <f t="shared" si="7"/>
        <v>5995.17554787908</v>
      </c>
      <c r="C57" s="51">
        <f>K43*K11*K56*K33*$E$19</f>
        <v>2358.44828791467</v>
      </c>
      <c r="D57" s="51">
        <f t="shared" si="8"/>
        <v>5347.83809560542</v>
      </c>
      <c r="E57" s="50">
        <f t="shared" si="9"/>
        <v>9574.3627114859</v>
      </c>
      <c r="F57" s="51">
        <f>K44*K11*K66*K37*$E$19</f>
        <v>3766.46841521869</v>
      </c>
      <c r="G57" s="51">
        <f>K45*K11*K76*K39*$E$19*K46</f>
        <v>6944.19781117788</v>
      </c>
      <c r="H57" s="31"/>
      <c r="J57" s="72" t="s">
        <v>125</v>
      </c>
      <c r="K57" s="31"/>
    </row>
    <row r="58" spans="1:11">
      <c r="A58" s="18" t="s">
        <v>126</v>
      </c>
      <c r="D58" s="50">
        <f>D54+B63</f>
        <v>8303.85192198705</v>
      </c>
      <c r="G58" s="53">
        <f>G54+D63</f>
        <v>9307.12526446482</v>
      </c>
      <c r="H58" s="31"/>
      <c r="J58" s="18" t="s">
        <v>108</v>
      </c>
      <c r="K58" s="31">
        <f t="shared" ref="K58:K63" si="10">K48+$H$22</f>
        <v>1.15</v>
      </c>
    </row>
    <row r="59" spans="1:11">
      <c r="A59" s="18" t="s">
        <v>127</v>
      </c>
      <c r="D59" s="50">
        <f>D55+B64</f>
        <v>9837.11698945214</v>
      </c>
      <c r="G59" s="53">
        <f>G55+D64</f>
        <v>11021.97826722</v>
      </c>
      <c r="H59" s="31"/>
      <c r="J59" s="18" t="s">
        <v>110</v>
      </c>
      <c r="K59" s="31">
        <f t="shared" ref="K59:K61" si="11">K49+$H$22+$H$25</f>
        <v>1.15</v>
      </c>
    </row>
    <row r="60" spans="1:11">
      <c r="A60" s="14" t="s">
        <v>128</v>
      </c>
      <c r="B60" s="54"/>
      <c r="C60" s="54"/>
      <c r="D60" s="54"/>
      <c r="E60" s="54"/>
      <c r="F60" s="54"/>
      <c r="G60" s="54"/>
      <c r="H60" s="58"/>
      <c r="J60" s="18" t="s">
        <v>112</v>
      </c>
      <c r="K60" s="31">
        <f t="shared" si="11"/>
        <v>2.21</v>
      </c>
    </row>
    <row r="61" spans="2:11">
      <c r="B61" s="50"/>
      <c r="C61" s="50"/>
      <c r="D61" s="50"/>
      <c r="E61" s="50"/>
      <c r="F61" s="50"/>
      <c r="G61" s="50"/>
      <c r="H61" s="50"/>
      <c r="J61" s="18" t="s">
        <v>114</v>
      </c>
      <c r="K61" s="31">
        <f t="shared" si="11"/>
        <v>2.61</v>
      </c>
    </row>
    <row r="62" ht="16.2" spans="1:11">
      <c r="A62" s="21" t="s">
        <v>129</v>
      </c>
      <c r="B62" s="22" t="s">
        <v>130</v>
      </c>
      <c r="C62" s="50" t="s">
        <v>131</v>
      </c>
      <c r="D62" s="50" t="s">
        <v>132</v>
      </c>
      <c r="E62" s="50"/>
      <c r="F62" s="50"/>
      <c r="G62" s="50"/>
      <c r="H62" s="50"/>
      <c r="J62" s="18" t="s">
        <v>115</v>
      </c>
      <c r="K62" s="31">
        <f t="shared" si="10"/>
        <v>1.212</v>
      </c>
    </row>
    <row r="63" spans="1:11">
      <c r="A63" s="11" t="s">
        <v>133</v>
      </c>
      <c r="B63" s="59">
        <f>公式!B23*(1+0.6+(16*$B$12)/($B$12+2000))*K33</f>
        <v>4942.86545454545</v>
      </c>
      <c r="C63" s="47">
        <f>公式!B23*(1+0.6+(16*($B$12+H16)/(($B$12+H16)+2000))*K37)</f>
        <v>4734.54545454545</v>
      </c>
      <c r="D63" s="60">
        <f>B63*(1-$H$20)+C63*$H$20</f>
        <v>4942.86545454545</v>
      </c>
      <c r="E63" s="50"/>
      <c r="F63" s="50"/>
      <c r="G63" s="50"/>
      <c r="H63" s="50"/>
      <c r="J63" s="18" t="s">
        <v>117</v>
      </c>
      <c r="K63" s="31">
        <f t="shared" si="10"/>
        <v>1.292</v>
      </c>
    </row>
    <row r="64" spans="1:11">
      <c r="A64" s="14" t="s">
        <v>134</v>
      </c>
      <c r="B64" s="61">
        <f>公式!B23*(1+0.6+(16*($B$12+200))/(($B$12+200)+2000))*K33</f>
        <v>5867.80717948718</v>
      </c>
      <c r="C64" s="54">
        <f>公式!B23*(1+0.6+(16*(($B$12+H16)+200))/(($B$12+200)+2000))*K37</f>
        <v>5867.80717948718</v>
      </c>
      <c r="D64" s="62">
        <f>B64*(1-$H$20)+C64*$H$20</f>
        <v>5867.80717948718</v>
      </c>
      <c r="E64" s="50"/>
      <c r="F64" s="50"/>
      <c r="G64" s="50"/>
      <c r="H64" s="50"/>
      <c r="J64" s="18" t="s">
        <v>119</v>
      </c>
      <c r="K64" s="31">
        <f t="shared" ref="K64:K66" si="12">K54+$H$22+$H$25</f>
        <v>1.212</v>
      </c>
    </row>
    <row r="65" spans="3:11">
      <c r="C65" s="50"/>
      <c r="D65" s="50"/>
      <c r="E65" s="50"/>
      <c r="F65" s="50"/>
      <c r="G65" s="50"/>
      <c r="H65" s="50"/>
      <c r="J65" s="18" t="s">
        <v>121</v>
      </c>
      <c r="K65" s="31">
        <f t="shared" si="12"/>
        <v>2.272</v>
      </c>
    </row>
    <row r="66" ht="16.2" spans="1:11">
      <c r="A66" s="7" t="s">
        <v>135</v>
      </c>
      <c r="B66" s="22" t="s">
        <v>130</v>
      </c>
      <c r="C66" s="50" t="s">
        <v>131</v>
      </c>
      <c r="D66" s="50" t="s">
        <v>132</v>
      </c>
      <c r="E66" s="50"/>
      <c r="F66" s="50"/>
      <c r="G66" s="50"/>
      <c r="H66" s="50"/>
      <c r="J66" s="18" t="s">
        <v>123</v>
      </c>
      <c r="K66" s="31">
        <f t="shared" si="12"/>
        <v>2.752</v>
      </c>
    </row>
    <row r="67" spans="1:11">
      <c r="A67" s="11" t="s">
        <v>136</v>
      </c>
      <c r="B67" s="76">
        <f>公式!B24*(1+0.6+(16*$B$12)/($B$12+2000))*K33</f>
        <v>9885.73090909091</v>
      </c>
      <c r="C67" s="47">
        <f>公式!B24*(1+0.6+(16*($B$12+H16))/(($B$12+H16)+2000))*K37</f>
        <v>9885.73090909091</v>
      </c>
      <c r="D67" s="77">
        <f>公式!B24*(1+0.6+(16*((B12+H16)*H17+B12*(1-H17)))/(((B12+H16)*H17+B12*(1-H17))+2000))*K39</f>
        <v>9885.73090909091</v>
      </c>
      <c r="E67" s="50"/>
      <c r="F67" s="50"/>
      <c r="G67" s="50"/>
      <c r="H67" s="50"/>
      <c r="J67" s="72" t="s">
        <v>137</v>
      </c>
      <c r="K67" s="31"/>
    </row>
    <row r="68" spans="1:11">
      <c r="A68" s="18" t="s">
        <v>138</v>
      </c>
      <c r="B68" s="78">
        <f>公式!B26*(1+0.6+(16*$B$12)/($B$12+2000))*K33</f>
        <v>16474.32</v>
      </c>
      <c r="C68" s="50">
        <f>公式!B26*(1+0.6+(16*($B$12+H16))/(($B$12+H16)+2000))*K37</f>
        <v>16474.32</v>
      </c>
      <c r="D68" s="79">
        <f>公式!B26*(1+0.6+(16*((B12+H16)*H17+B12*(1-H17)))/(((B12+H16)*H17+B12*(1-H17))+2000))*K39</f>
        <v>16474.32</v>
      </c>
      <c r="E68" s="50"/>
      <c r="F68" s="50"/>
      <c r="G68" s="50"/>
      <c r="H68" s="50"/>
      <c r="J68" s="18" t="s">
        <v>108</v>
      </c>
      <c r="K68" s="31">
        <f t="shared" ref="K68:K73" si="13">K48+$H$22*$H$23</f>
        <v>1.15</v>
      </c>
    </row>
    <row r="69" spans="1:11">
      <c r="A69" s="18" t="s">
        <v>139</v>
      </c>
      <c r="B69" s="78">
        <f>公式!B25*(1+0.6+(16*$B$12)/($B$12+2000))*K31</f>
        <v>9670.82371541502</v>
      </c>
      <c r="C69" s="50">
        <f>公式!B25*(1+0.6+(16*($B$12+H16))/(($B$12+H16)+2000))*K35</f>
        <v>9670.82371541502</v>
      </c>
      <c r="D69" s="79">
        <f>公式!B25*(1+0.6+(16*((B12+H16)*H17+B12*(1-H17)))/(((B12+H16)*H17+B12*(1-H17))+2000))*K38</f>
        <v>9670.82371541502</v>
      </c>
      <c r="E69" s="50"/>
      <c r="F69" s="50"/>
      <c r="G69" s="50"/>
      <c r="H69" s="50"/>
      <c r="J69" s="18" t="s">
        <v>110</v>
      </c>
      <c r="K69" s="31">
        <f t="shared" ref="K69:K71" si="14">K49+$H$22*$H$23+$H$25*$H$26</f>
        <v>1.15</v>
      </c>
    </row>
    <row r="70" spans="1:11">
      <c r="A70" s="18" t="s">
        <v>140</v>
      </c>
      <c r="B70" s="78">
        <f>公式!B22*(1+0.6+(16*$B$12)/($B$12+2000))*K33</f>
        <v>4117.15636363636</v>
      </c>
      <c r="C70" s="80">
        <f>公式!B22*(1+0.6+(16*$B$12)/(($B$12+H16)+2000))*K37</f>
        <v>4117.15636363636</v>
      </c>
      <c r="D70" s="79">
        <f>公式!B22*(1+0.6+(16*((B12+H16)*H17+B12*(1-H17)))/(((B12+H16)*H17+B12*(1-H17))+2000))*K39</f>
        <v>4117.15636363636</v>
      </c>
      <c r="E70" s="80"/>
      <c r="F70" s="80"/>
      <c r="G70" s="80"/>
      <c r="H70" s="80"/>
      <c r="J70" s="18" t="s">
        <v>112</v>
      </c>
      <c r="K70" s="31">
        <f t="shared" si="14"/>
        <v>2.21</v>
      </c>
    </row>
    <row r="71" spans="1:11">
      <c r="A71" s="14" t="s">
        <v>141</v>
      </c>
      <c r="B71" s="81">
        <f>(2.78*$B$12)/($B$12+1400)</f>
        <v>0.763419689119171</v>
      </c>
      <c r="C71" s="82"/>
      <c r="D71" s="83"/>
      <c r="E71" s="80"/>
      <c r="F71" s="80"/>
      <c r="G71" s="80"/>
      <c r="H71" s="80"/>
      <c r="J71" s="18" t="s">
        <v>114</v>
      </c>
      <c r="K71" s="31">
        <f t="shared" si="14"/>
        <v>2.61</v>
      </c>
    </row>
    <row r="72" spans="10:11">
      <c r="J72" s="18" t="s">
        <v>115</v>
      </c>
      <c r="K72" s="31">
        <f t="shared" si="13"/>
        <v>1.212</v>
      </c>
    </row>
    <row r="73" spans="10:11">
      <c r="J73" s="18" t="s">
        <v>117</v>
      </c>
      <c r="K73" s="31">
        <f t="shared" si="13"/>
        <v>1.292</v>
      </c>
    </row>
    <row r="74" spans="10:11">
      <c r="J74" s="18" t="s">
        <v>119</v>
      </c>
      <c r="K74" s="31">
        <f t="shared" ref="K74:K76" si="15">K54+$H$22*$H$23+$H$25*$H$26</f>
        <v>1.212</v>
      </c>
    </row>
    <row r="75" spans="10:11">
      <c r="J75" s="18" t="s">
        <v>121</v>
      </c>
      <c r="K75" s="31">
        <f t="shared" si="15"/>
        <v>2.272</v>
      </c>
    </row>
    <row r="76" spans="3:11">
      <c r="C76" s="80"/>
      <c r="D76" s="80"/>
      <c r="E76" s="80"/>
      <c r="F76" s="80"/>
      <c r="G76" s="80"/>
      <c r="H76" s="80"/>
      <c r="J76" s="14" t="s">
        <v>123</v>
      </c>
      <c r="K76" s="57">
        <f t="shared" si="15"/>
        <v>2.752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" sqref="A1"/>
    </sheetView>
  </sheetViews>
  <sheetFormatPr defaultColWidth="8.8421052631579" defaultRowHeight="15.3" outlineLevelCol="1"/>
  <cols>
    <col min="1" max="1" width="14.8421052631579" style="1"/>
    <col min="2" max="16384" width="8.8421052631579" style="1"/>
  </cols>
  <sheetData>
    <row r="1" spans="1:2">
      <c r="A1" s="1" t="s">
        <v>13</v>
      </c>
      <c r="B1" s="1" t="s">
        <v>149</v>
      </c>
    </row>
    <row r="3" spans="1:1">
      <c r="A3" s="1" t="s">
        <v>150</v>
      </c>
    </row>
    <row r="4" spans="1:2">
      <c r="A4" s="1" t="s">
        <v>37</v>
      </c>
      <c r="B4" s="8">
        <v>0.1</v>
      </c>
    </row>
    <row r="5" spans="1:2">
      <c r="A5" s="1" t="s">
        <v>151</v>
      </c>
      <c r="B5" s="8">
        <v>0.1</v>
      </c>
    </row>
    <row r="6" spans="1:2">
      <c r="A6" s="1" t="s">
        <v>152</v>
      </c>
      <c r="B6" s="8">
        <v>0.1</v>
      </c>
    </row>
    <row r="7" spans="1:2">
      <c r="A7" s="1" t="s">
        <v>153</v>
      </c>
      <c r="B7" s="8">
        <v>0.1</v>
      </c>
    </row>
    <row r="8" spans="1:2">
      <c r="A8" s="1" t="s">
        <v>154</v>
      </c>
      <c r="B8" s="8">
        <v>0.1</v>
      </c>
    </row>
    <row r="9" spans="1:2">
      <c r="A9" s="1" t="s">
        <v>155</v>
      </c>
      <c r="B9" s="8">
        <v>0.1</v>
      </c>
    </row>
    <row r="10" spans="1:2">
      <c r="A10" s="1" t="s">
        <v>156</v>
      </c>
      <c r="B10" s="8">
        <v>0.1</v>
      </c>
    </row>
    <row r="12" ht="14.4" spans="1:1">
      <c r="A12"/>
    </row>
    <row r="13" ht="14.4" spans="1:1">
      <c r="A13"/>
    </row>
    <row r="15" spans="1:1">
      <c r="A15" s="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A1" sqref="A1"/>
    </sheetView>
  </sheetViews>
  <sheetFormatPr defaultColWidth="8.8421052631579" defaultRowHeight="15.3" outlineLevelCol="2"/>
  <cols>
    <col min="1" max="1" width="13.7368421052632" style="1" customWidth="1"/>
    <col min="2" max="2" width="9.63157894736842" style="1"/>
    <col min="3" max="16384" width="8.8421052631579" style="1"/>
  </cols>
  <sheetData>
    <row r="1" ht="16.2" spans="1:2">
      <c r="A1" s="7" t="s">
        <v>13</v>
      </c>
      <c r="B1" s="1" t="s">
        <v>157</v>
      </c>
    </row>
    <row r="2" ht="16.2" spans="1:2">
      <c r="A2" s="7" t="s">
        <v>18</v>
      </c>
      <c r="B2" s="1">
        <v>90</v>
      </c>
    </row>
    <row r="4" ht="16.2" spans="1:1">
      <c r="A4" s="7" t="s">
        <v>158</v>
      </c>
    </row>
    <row r="5" spans="1:2">
      <c r="A5" s="1" t="s">
        <v>159</v>
      </c>
      <c r="B5" s="1">
        <v>13348</v>
      </c>
    </row>
    <row r="6" spans="1:3">
      <c r="A6" s="1" t="s">
        <v>160</v>
      </c>
      <c r="B6" s="1">
        <v>297</v>
      </c>
      <c r="C6"/>
    </row>
    <row r="7" spans="1:2">
      <c r="A7" s="1" t="s">
        <v>161</v>
      </c>
      <c r="B7" s="1">
        <v>807</v>
      </c>
    </row>
    <row r="8" spans="1:2">
      <c r="A8" s="1" t="s">
        <v>21</v>
      </c>
      <c r="B8" s="1">
        <v>115.2</v>
      </c>
    </row>
    <row r="9" spans="1:2">
      <c r="A9" s="1" t="s">
        <v>24</v>
      </c>
      <c r="B9" s="8">
        <v>0.05</v>
      </c>
    </row>
    <row r="10" spans="1:2">
      <c r="A10" s="1" t="s">
        <v>29</v>
      </c>
      <c r="B10" s="8">
        <v>0.5</v>
      </c>
    </row>
    <row r="12" ht="16.2" spans="1:1">
      <c r="A12" s="7" t="s">
        <v>162</v>
      </c>
    </row>
    <row r="13" spans="1:3">
      <c r="A13" s="1" t="s">
        <v>53</v>
      </c>
      <c r="B13" s="9">
        <v>0.0004</v>
      </c>
      <c r="C13" s="1" t="s">
        <v>163</v>
      </c>
    </row>
    <row r="15" ht="16.2" spans="1:1">
      <c r="A15" s="7" t="s">
        <v>164</v>
      </c>
    </row>
    <row r="16" spans="1:2">
      <c r="A16" s="1" t="s">
        <v>165</v>
      </c>
      <c r="B16" s="1">
        <v>200</v>
      </c>
    </row>
    <row r="18" ht="16.2" spans="1:1">
      <c r="A18" s="7" t="s">
        <v>166</v>
      </c>
    </row>
    <row r="19" spans="1:3">
      <c r="A19" s="1" t="s">
        <v>167</v>
      </c>
      <c r="B19" s="9">
        <v>0.002</v>
      </c>
      <c r="C19" s="1" t="s">
        <v>168</v>
      </c>
    </row>
    <row r="20" ht="14.4" spans="1:3">
      <c r="A20"/>
      <c r="B20"/>
      <c r="C20"/>
    </row>
    <row r="21" ht="14.4" spans="1:3">
      <c r="A21"/>
      <c r="B21"/>
      <c r="C21"/>
    </row>
    <row r="27" ht="14.4" spans="1:3">
      <c r="A27"/>
      <c r="B27"/>
      <c r="C27"/>
    </row>
    <row r="28" ht="14.4" spans="1:3">
      <c r="A28"/>
      <c r="B28"/>
      <c r="C28"/>
    </row>
    <row r="29" ht="14.4" spans="1:3">
      <c r="A29"/>
      <c r="B29"/>
      <c r="C29"/>
    </row>
    <row r="30" ht="14.4" spans="1:3">
      <c r="A30"/>
      <c r="B30"/>
      <c r="C30"/>
    </row>
    <row r="31" ht="14.4" spans="1:3">
      <c r="A31"/>
      <c r="B31"/>
      <c r="C31"/>
    </row>
    <row r="32" ht="14.4" spans="1:3">
      <c r="A32"/>
      <c r="B32"/>
      <c r="C32"/>
    </row>
    <row r="33" ht="14.4" spans="1:3">
      <c r="A33"/>
      <c r="B33"/>
      <c r="C33"/>
    </row>
    <row r="34" ht="14.4" spans="1:3">
      <c r="A34"/>
      <c r="B34"/>
      <c r="C3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"/>
    </sheetView>
  </sheetViews>
  <sheetFormatPr defaultColWidth="8.8421052631579" defaultRowHeight="15.3" outlineLevelCol="3"/>
  <cols>
    <col min="1" max="1" width="13.7368421052632" style="1" customWidth="1"/>
    <col min="2" max="16384" width="8.8421052631579" style="1"/>
  </cols>
  <sheetData>
    <row r="1" spans="1:2">
      <c r="A1" s="1" t="s">
        <v>169</v>
      </c>
      <c r="B1" s="1" t="s">
        <v>170</v>
      </c>
    </row>
    <row r="3" spans="1:3">
      <c r="A3" s="1" t="s">
        <v>171</v>
      </c>
      <c r="B3" s="1" t="s">
        <v>172</v>
      </c>
      <c r="C3" s="1" t="s">
        <v>19</v>
      </c>
    </row>
    <row r="4" spans="1:3">
      <c r="A4" s="1" t="s">
        <v>35</v>
      </c>
      <c r="B4" s="4">
        <v>0.15</v>
      </c>
      <c r="C4" s="1">
        <v>1</v>
      </c>
    </row>
    <row r="5" spans="1:4">
      <c r="A5" s="1" t="s">
        <v>173</v>
      </c>
      <c r="B5" s="4">
        <v>0.6</v>
      </c>
      <c r="C5" s="1">
        <v>1</v>
      </c>
      <c r="D5" s="5" t="s">
        <v>174</v>
      </c>
    </row>
    <row r="6" spans="1:3">
      <c r="A6" s="1" t="s">
        <v>175</v>
      </c>
      <c r="B6" s="4">
        <v>0.4</v>
      </c>
      <c r="C6" s="1">
        <v>1</v>
      </c>
    </row>
    <row r="7" spans="2:2">
      <c r="B7" s="6"/>
    </row>
    <row r="8" spans="1:2">
      <c r="A8" s="1" t="s">
        <v>176</v>
      </c>
      <c r="B8" s="6"/>
    </row>
    <row r="9" spans="1:2">
      <c r="A9" s="1" t="s">
        <v>177</v>
      </c>
      <c r="B9" s="6">
        <v>0</v>
      </c>
    </row>
    <row r="10" spans="1:2">
      <c r="A10" s="1" t="s">
        <v>35</v>
      </c>
      <c r="B10" s="6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selection activeCell="F32" sqref="F32"/>
    </sheetView>
  </sheetViews>
  <sheetFormatPr defaultColWidth="8.8421052631579" defaultRowHeight="15.3" outlineLevelCol="1"/>
  <cols>
    <col min="1" max="1" width="17" style="1" customWidth="1"/>
    <col min="2" max="16384" width="8.8421052631579" style="1"/>
  </cols>
  <sheetData>
    <row r="1" spans="1:1">
      <c r="A1" s="1" t="s">
        <v>178</v>
      </c>
    </row>
    <row r="3" spans="1:1">
      <c r="A3" s="1" t="s">
        <v>179</v>
      </c>
    </row>
    <row r="4" spans="1:1">
      <c r="A4" s="1" t="s">
        <v>180</v>
      </c>
    </row>
    <row r="5" spans="1:1">
      <c r="A5" s="1" t="s">
        <v>181</v>
      </c>
    </row>
    <row r="6" spans="1:1">
      <c r="A6" s="1" t="s">
        <v>182</v>
      </c>
    </row>
    <row r="8" spans="1:1">
      <c r="A8" s="1" t="s">
        <v>183</v>
      </c>
    </row>
    <row r="9" spans="1:1">
      <c r="A9" s="1" t="s">
        <v>184</v>
      </c>
    </row>
    <row r="10" spans="1:1">
      <c r="A10" s="1" t="s">
        <v>185</v>
      </c>
    </row>
    <row r="11" spans="1:1">
      <c r="A11" s="1" t="s">
        <v>186</v>
      </c>
    </row>
    <row r="12" spans="1:1">
      <c r="A12" s="1" t="s">
        <v>187</v>
      </c>
    </row>
    <row r="14" spans="1:1">
      <c r="A14" s="1" t="s">
        <v>188</v>
      </c>
    </row>
    <row r="15" spans="1:2">
      <c r="A15" s="1" t="s">
        <v>189</v>
      </c>
      <c r="B15" s="1" t="s">
        <v>190</v>
      </c>
    </row>
    <row r="16" spans="1:2">
      <c r="A16" s="1" t="s">
        <v>191</v>
      </c>
      <c r="B16" s="1" t="s">
        <v>192</v>
      </c>
    </row>
    <row r="17" spans="1:2">
      <c r="A17" s="1" t="s">
        <v>193</v>
      </c>
      <c r="B17" s="1" t="s">
        <v>194</v>
      </c>
    </row>
    <row r="19" spans="1:1">
      <c r="A19" s="1" t="s">
        <v>195</v>
      </c>
    </row>
    <row r="20" spans="1:1">
      <c r="A20" s="1" t="s">
        <v>196</v>
      </c>
    </row>
    <row r="21" spans="1:1">
      <c r="A21" s="1" t="s">
        <v>197</v>
      </c>
    </row>
    <row r="22" spans="1:2">
      <c r="A22" s="1" t="s">
        <v>140</v>
      </c>
      <c r="B22" s="1">
        <v>723</v>
      </c>
    </row>
    <row r="23" spans="1:2">
      <c r="A23" s="1" t="s">
        <v>198</v>
      </c>
      <c r="B23" s="1">
        <v>868</v>
      </c>
    </row>
    <row r="24" spans="1:2">
      <c r="A24" s="1" t="s">
        <v>136</v>
      </c>
      <c r="B24" s="1">
        <v>1736</v>
      </c>
    </row>
    <row r="25" spans="1:2">
      <c r="A25" s="1" t="s">
        <v>199</v>
      </c>
      <c r="B25" s="1">
        <v>2170</v>
      </c>
    </row>
    <row r="26" spans="1:2">
      <c r="A26" s="1" t="s">
        <v>138</v>
      </c>
      <c r="B26" s="1">
        <v>2893</v>
      </c>
    </row>
    <row r="28" spans="1:1">
      <c r="A28" s="1" t="s">
        <v>200</v>
      </c>
    </row>
    <row r="29" spans="1:1">
      <c r="A29" s="1" t="s">
        <v>184</v>
      </c>
    </row>
    <row r="33" spans="1:1">
      <c r="A33" s="1" t="s">
        <v>201</v>
      </c>
    </row>
    <row r="34" spans="1:1">
      <c r="A34" s="1" t="s">
        <v>202</v>
      </c>
    </row>
    <row r="35" spans="1:1">
      <c r="A35" s="1" t="s">
        <v>203</v>
      </c>
    </row>
    <row r="36" spans="1:1">
      <c r="A36" s="1" t="s">
        <v>204</v>
      </c>
    </row>
    <row r="37" spans="1:1">
      <c r="A37" s="1" t="s">
        <v>205</v>
      </c>
    </row>
    <row r="38" spans="1:1">
      <c r="A38" s="85" t="s">
        <v>206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伤害计算</vt:lpstr>
      <vt:lpstr>苍古精精暴</vt:lpstr>
      <vt:lpstr>苍古精精精</vt:lpstr>
      <vt:lpstr>绿剑攻风暴</vt:lpstr>
      <vt:lpstr>绿剑精精暴</vt:lpstr>
      <vt:lpstr>怪</vt:lpstr>
      <vt:lpstr>人物</vt:lpstr>
      <vt:lpstr>圣遗物效果</vt:lpstr>
      <vt:lpstr>公式</vt:lpstr>
      <vt:lpstr>参考</vt:lpstr>
      <vt:lpstr>制作者信息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zaclin</cp:lastModifiedBy>
  <dcterms:created xsi:type="dcterms:W3CDTF">2021-12-05T19:53:00Z</dcterms:created>
  <dcterms:modified xsi:type="dcterms:W3CDTF">2021-12-06T09:10:59Z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7CEDCF236E1A4938B63425DEA6DD1B5F</vt:lpwstr>
  </property>
</Properties>
</file>