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U621ND\Documents\"/>
    </mc:Choice>
  </mc:AlternateContent>
  <xr:revisionPtr revIDLastSave="0" documentId="13_ncr:1_{35327CE7-6E23-4963-BBDE-486AEF6F8A40}" xr6:coauthVersionLast="36" xr6:coauthVersionMax="36" xr10:uidLastSave="{00000000-0000-0000-0000-000000000000}"/>
  <bookViews>
    <workbookView xWindow="0" yWindow="0" windowWidth="2150" windowHeight="0" xr2:uid="{00000000-000D-0000-FFFF-FFFF00000000}"/>
  </bookViews>
  <sheets>
    <sheet name="Summary" sheetId="16" r:id="rId1"/>
    <sheet name="PrivateBC_Model" sheetId="15" r:id="rId2"/>
    <sheet name="ZKP_Model" sheetId="20" r:id="rId3"/>
    <sheet name="Sensitivity Table" sheetId="21" r:id="rId4"/>
    <sheet name="Underlying" sheetId="14" r:id="rId5"/>
    <sheet name="Disclaimer" sheetId="17" r:id="rId6"/>
  </sheets>
  <definedNames>
    <definedName name="full_nodes" localSheetId="2">ZKP_Model!$D$28</definedName>
    <definedName name="full_nodes">PrivateBC_Model!$D$28</definedName>
    <definedName name="Nodes" localSheetId="0">Summary!#REF!</definedName>
    <definedName name="Nodes" localSheetId="2">#REF!</definedName>
    <definedName name="Nodes">#REF!</definedName>
    <definedName name="Nodes_2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4" i="16" l="1"/>
  <c r="E48" i="16"/>
  <c r="E84" i="16"/>
  <c r="E47" i="14" s="1"/>
  <c r="I49" i="14"/>
  <c r="I52" i="14"/>
  <c r="H49" i="14"/>
  <c r="H52" i="14"/>
  <c r="G49" i="14"/>
  <c r="G52" i="14"/>
  <c r="F49" i="14"/>
  <c r="F52" i="14"/>
  <c r="E49" i="14"/>
  <c r="E52" i="14"/>
  <c r="M90" i="16"/>
  <c r="K90" i="16"/>
  <c r="I90" i="16"/>
  <c r="G90" i="16"/>
  <c r="E90" i="16"/>
  <c r="E86" i="16"/>
  <c r="G86" i="16"/>
  <c r="I86" i="16"/>
  <c r="K86" i="16"/>
  <c r="M86" i="16"/>
  <c r="M54" i="16"/>
  <c r="I44" i="14" s="1"/>
  <c r="K54" i="16"/>
  <c r="H44" i="14" s="1"/>
  <c r="I54" i="16"/>
  <c r="G44" i="14" s="1"/>
  <c r="G54" i="16"/>
  <c r="F44" i="14" s="1"/>
  <c r="E54" i="16"/>
  <c r="E44" i="14" s="1"/>
  <c r="E50" i="16" l="1"/>
  <c r="E41" i="14" s="1"/>
  <c r="E39" i="14"/>
  <c r="E32" i="14"/>
  <c r="G6" i="21" l="1"/>
  <c r="H6" i="21"/>
  <c r="I6" i="21"/>
  <c r="J6" i="21"/>
  <c r="K6" i="21"/>
  <c r="F6" i="21"/>
  <c r="F12" i="20" l="1"/>
  <c r="G50" i="16" s="1"/>
  <c r="F41" i="14" s="1"/>
  <c r="H12" i="20" l="1"/>
  <c r="I50" i="16" s="1"/>
  <c r="G41" i="14" s="1"/>
  <c r="J12" i="20" l="1"/>
  <c r="K50" i="16" s="1"/>
  <c r="H41" i="14" s="1"/>
  <c r="H28" i="20"/>
  <c r="J28" i="20" s="1"/>
  <c r="L28" i="20" s="1"/>
  <c r="F30" i="20"/>
  <c r="H30" i="20" s="1"/>
  <c r="J30" i="20" s="1"/>
  <c r="L30" i="20" s="1"/>
  <c r="F43" i="20"/>
  <c r="H43" i="20" s="1"/>
  <c r="J43" i="20" s="1"/>
  <c r="L43" i="20" s="1"/>
  <c r="F44" i="20"/>
  <c r="H44" i="20" s="1"/>
  <c r="J44" i="20" s="1"/>
  <c r="L44" i="20" s="1"/>
  <c r="D16" i="20"/>
  <c r="F32" i="20"/>
  <c r="H32" i="20" s="1"/>
  <c r="J32" i="20" s="1"/>
  <c r="L32" i="20" s="1"/>
  <c r="D7" i="20"/>
  <c r="L12" i="20" l="1"/>
  <c r="M50" i="16" s="1"/>
  <c r="I41" i="14" s="1"/>
  <c r="F42" i="20"/>
  <c r="H42" i="20" s="1"/>
  <c r="H16" i="20" s="1"/>
  <c r="F17" i="20"/>
  <c r="F7" i="20"/>
  <c r="D17" i="20"/>
  <c r="F29" i="20"/>
  <c r="J42" i="20" l="1"/>
  <c r="L42" i="20" s="1"/>
  <c r="L16" i="20" s="1"/>
  <c r="F16" i="20"/>
  <c r="H17" i="20"/>
  <c r="H29" i="20"/>
  <c r="H7" i="20"/>
  <c r="J16" i="20" l="1"/>
  <c r="J17" i="20"/>
  <c r="L17" i="20"/>
  <c r="J29" i="20"/>
  <c r="J7" i="20"/>
  <c r="L29" i="20" l="1"/>
  <c r="L7" i="20"/>
  <c r="D15" i="14" l="1"/>
  <c r="D22" i="14"/>
  <c r="D45" i="20" s="1"/>
  <c r="C22" i="14"/>
  <c r="B22" i="14"/>
  <c r="K26" i="14"/>
  <c r="J26" i="14"/>
  <c r="K25" i="14"/>
  <c r="J25" i="14"/>
  <c r="H22" i="14"/>
  <c r="I22" i="14"/>
  <c r="J22" i="14"/>
  <c r="K22" i="14"/>
  <c r="K21" i="14"/>
  <c r="J21" i="14"/>
  <c r="I21" i="14"/>
  <c r="H21" i="14"/>
  <c r="K20" i="14"/>
  <c r="J20" i="14"/>
  <c r="K19" i="14"/>
  <c r="J19" i="14"/>
  <c r="I19" i="14"/>
  <c r="H19" i="14"/>
  <c r="K12" i="14"/>
  <c r="J12" i="14"/>
  <c r="K11" i="14"/>
  <c r="J11" i="14"/>
  <c r="I11" i="14"/>
  <c r="H11" i="14"/>
  <c r="K10" i="14"/>
  <c r="J10" i="14"/>
  <c r="I10" i="14"/>
  <c r="H10" i="14"/>
  <c r="K9" i="14"/>
  <c r="D32" i="15" s="1"/>
  <c r="F32" i="15" s="1"/>
  <c r="H32" i="15" s="1"/>
  <c r="J32" i="15" s="1"/>
  <c r="L32" i="15" s="1"/>
  <c r="J9" i="14"/>
  <c r="K17" i="14"/>
  <c r="J17" i="14"/>
  <c r="K16" i="14"/>
  <c r="J16" i="14"/>
  <c r="I16" i="14"/>
  <c r="H16" i="14"/>
  <c r="K15" i="14"/>
  <c r="J15" i="14"/>
  <c r="K14" i="14"/>
  <c r="J14" i="14"/>
  <c r="I14" i="14"/>
  <c r="H14" i="14"/>
  <c r="K8" i="14"/>
  <c r="D30" i="15" s="1"/>
  <c r="F30" i="15" s="1"/>
  <c r="J8" i="14"/>
  <c r="H7" i="14"/>
  <c r="K7" i="14"/>
  <c r="J7" i="14"/>
  <c r="I7" i="14"/>
  <c r="G26" i="14"/>
  <c r="G25" i="14"/>
  <c r="E22" i="14"/>
  <c r="F22" i="14"/>
  <c r="G22" i="14"/>
  <c r="G21" i="14"/>
  <c r="F21" i="14"/>
  <c r="E21" i="14"/>
  <c r="G20" i="14"/>
  <c r="F20" i="14"/>
  <c r="E20" i="14"/>
  <c r="G9" i="14"/>
  <c r="G10" i="14"/>
  <c r="F10" i="14"/>
  <c r="D33" i="20" s="1"/>
  <c r="E10" i="14"/>
  <c r="G15" i="14"/>
  <c r="G17" i="14"/>
  <c r="G6" i="14"/>
  <c r="F6" i="14"/>
  <c r="E6" i="14"/>
  <c r="G16" i="14"/>
  <c r="F16" i="14"/>
  <c r="D39" i="20" s="1"/>
  <c r="E16" i="14"/>
  <c r="G14" i="14"/>
  <c r="F14" i="14"/>
  <c r="D37" i="20" s="1"/>
  <c r="E14" i="14"/>
  <c r="G8" i="14"/>
  <c r="F7" i="14"/>
  <c r="E7" i="14"/>
  <c r="D45" i="15"/>
  <c r="F45" i="15" s="1"/>
  <c r="H45" i="15" s="1"/>
  <c r="J45" i="15" s="1"/>
  <c r="L45" i="15" s="1"/>
  <c r="G7" i="14"/>
  <c r="E23" i="14"/>
  <c r="F23" i="14"/>
  <c r="F19" i="14"/>
  <c r="D42" i="15" s="1"/>
  <c r="F42" i="15" s="1"/>
  <c r="E19" i="14"/>
  <c r="E12" i="14"/>
  <c r="F12" i="14"/>
  <c r="D35" i="20" s="1"/>
  <c r="F11" i="14"/>
  <c r="D34" i="20" s="1"/>
  <c r="E11" i="14"/>
  <c r="J6" i="14"/>
  <c r="K6" i="14"/>
  <c r="G19" i="14"/>
  <c r="G12" i="14"/>
  <c r="G11" i="14"/>
  <c r="D46" i="20" l="1"/>
  <c r="F46" i="20" s="1"/>
  <c r="H46" i="20" s="1"/>
  <c r="J46" i="20" s="1"/>
  <c r="L46" i="20" s="1"/>
  <c r="D43" i="15"/>
  <c r="F43" i="15" s="1"/>
  <c r="H43" i="15" s="1"/>
  <c r="J43" i="15" s="1"/>
  <c r="L43" i="15" s="1"/>
  <c r="D44" i="15"/>
  <c r="F44" i="15" s="1"/>
  <c r="H44" i="15" s="1"/>
  <c r="J44" i="15" s="1"/>
  <c r="L44" i="15" s="1"/>
  <c r="D49" i="15"/>
  <c r="F49" i="15" s="1"/>
  <c r="H49" i="15" s="1"/>
  <c r="H22" i="15" s="1"/>
  <c r="D49" i="20"/>
  <c r="D38" i="20"/>
  <c r="F38" i="20" s="1"/>
  <c r="H38" i="20" s="1"/>
  <c r="J38" i="20" s="1"/>
  <c r="L38" i="20" s="1"/>
  <c r="D39" i="15"/>
  <c r="F39" i="15" s="1"/>
  <c r="H39" i="15" s="1"/>
  <c r="J39" i="15" s="1"/>
  <c r="D29" i="15"/>
  <c r="F29" i="15" s="1"/>
  <c r="H29" i="15" s="1"/>
  <c r="J29" i="15" s="1"/>
  <c r="L29" i="15" s="1"/>
  <c r="D40" i="15"/>
  <c r="F40" i="15" s="1"/>
  <c r="H40" i="15" s="1"/>
  <c r="J40" i="15" s="1"/>
  <c r="L40" i="15" s="1"/>
  <c r="D40" i="20"/>
  <c r="F40" i="20" s="1"/>
  <c r="H40" i="20" s="1"/>
  <c r="J40" i="20" s="1"/>
  <c r="L40" i="20" s="1"/>
  <c r="D48" i="15"/>
  <c r="D21" i="15" s="1"/>
  <c r="D48" i="20"/>
  <c r="D37" i="15"/>
  <c r="F37" i="15" s="1"/>
  <c r="H37" i="15" s="1"/>
  <c r="J37" i="15" s="1"/>
  <c r="L37" i="15" s="1"/>
  <c r="F34" i="20"/>
  <c r="H34" i="20" s="1"/>
  <c r="J34" i="20" s="1"/>
  <c r="L34" i="20" s="1"/>
  <c r="D35" i="15"/>
  <c r="F35" i="15" s="1"/>
  <c r="H35" i="15" s="1"/>
  <c r="J35" i="15" s="1"/>
  <c r="F33" i="20"/>
  <c r="F39" i="20"/>
  <c r="H39" i="20" s="1"/>
  <c r="J39" i="20" s="1"/>
  <c r="L39" i="20" s="1"/>
  <c r="F37" i="20"/>
  <c r="H37" i="20" s="1"/>
  <c r="J37" i="20" s="1"/>
  <c r="L37" i="20" s="1"/>
  <c r="D38" i="15"/>
  <c r="F38" i="15" s="1"/>
  <c r="H38" i="15" s="1"/>
  <c r="J38" i="15" s="1"/>
  <c r="L38" i="15" s="1"/>
  <c r="D28" i="15"/>
  <c r="D7" i="15" s="1"/>
  <c r="D33" i="15"/>
  <c r="F33" i="15" s="1"/>
  <c r="H33" i="15" s="1"/>
  <c r="J33" i="15" s="1"/>
  <c r="L33" i="15" s="1"/>
  <c r="D34" i="15"/>
  <c r="F34" i="15" s="1"/>
  <c r="H34" i="15" s="1"/>
  <c r="J34" i="15" s="1"/>
  <c r="L34" i="15" s="1"/>
  <c r="F35" i="20"/>
  <c r="D9" i="20"/>
  <c r="D46" i="15"/>
  <c r="F46" i="15" s="1"/>
  <c r="H46" i="15" s="1"/>
  <c r="J46" i="15" s="1"/>
  <c r="L46" i="15" s="1"/>
  <c r="D16" i="15"/>
  <c r="H42" i="15"/>
  <c r="F16" i="15"/>
  <c r="H13" i="15"/>
  <c r="H30" i="15"/>
  <c r="J49" i="15" l="1"/>
  <c r="F22" i="15"/>
  <c r="D22" i="15"/>
  <c r="E36" i="14" s="1"/>
  <c r="F13" i="15"/>
  <c r="F48" i="15"/>
  <c r="H48" i="15" s="1"/>
  <c r="J48" i="15" s="1"/>
  <c r="D13" i="15"/>
  <c r="D21" i="20"/>
  <c r="F48" i="20"/>
  <c r="F49" i="20"/>
  <c r="D22" i="20"/>
  <c r="D18" i="15"/>
  <c r="D12" i="15"/>
  <c r="D8" i="15"/>
  <c r="D17" i="15"/>
  <c r="F28" i="15"/>
  <c r="H28" i="15" s="1"/>
  <c r="H9" i="15" s="1"/>
  <c r="D8" i="20"/>
  <c r="E85" i="16" s="1"/>
  <c r="E48" i="14" s="1"/>
  <c r="D9" i="15"/>
  <c r="H35" i="20"/>
  <c r="F9" i="20"/>
  <c r="H33" i="20"/>
  <c r="F8" i="20"/>
  <c r="F45" i="20"/>
  <c r="D18" i="20"/>
  <c r="E87" i="16" s="1"/>
  <c r="E50" i="14" s="1"/>
  <c r="F21" i="15"/>
  <c r="E18" i="16"/>
  <c r="J42" i="15"/>
  <c r="H16" i="15"/>
  <c r="J13" i="15"/>
  <c r="L39" i="15"/>
  <c r="L13" i="15" s="1"/>
  <c r="L49" i="15"/>
  <c r="L22" i="15" s="1"/>
  <c r="J22" i="15"/>
  <c r="L48" i="15"/>
  <c r="L21" i="15" s="1"/>
  <c r="J21" i="15"/>
  <c r="L35" i="15"/>
  <c r="J30" i="15"/>
  <c r="E88" i="16" l="1"/>
  <c r="E51" i="14" s="1"/>
  <c r="H21" i="15"/>
  <c r="H49" i="20"/>
  <c r="F22" i="20"/>
  <c r="F21" i="20"/>
  <c r="H48" i="20"/>
  <c r="J48" i="20" s="1"/>
  <c r="L48" i="20" s="1"/>
  <c r="E52" i="16"/>
  <c r="E43" i="14" s="1"/>
  <c r="G85" i="16"/>
  <c r="F48" i="14" s="1"/>
  <c r="E92" i="16"/>
  <c r="E34" i="14"/>
  <c r="G49" i="16"/>
  <c r="E49" i="16"/>
  <c r="E51" i="16"/>
  <c r="E42" i="14" s="1"/>
  <c r="E33" i="14"/>
  <c r="E15" i="16"/>
  <c r="E35" i="14"/>
  <c r="H7" i="15"/>
  <c r="E17" i="16"/>
  <c r="E16" i="16"/>
  <c r="F9" i="15"/>
  <c r="D24" i="15"/>
  <c r="H17" i="15"/>
  <c r="F18" i="15"/>
  <c r="F7" i="15"/>
  <c r="F17" i="15"/>
  <c r="F8" i="15"/>
  <c r="H8" i="15"/>
  <c r="H12" i="15"/>
  <c r="H18" i="15"/>
  <c r="F12" i="15"/>
  <c r="J28" i="15"/>
  <c r="L28" i="15" s="1"/>
  <c r="L12" i="15" s="1"/>
  <c r="D24" i="20"/>
  <c r="J33" i="20"/>
  <c r="H8" i="20"/>
  <c r="H45" i="20"/>
  <c r="F18" i="20"/>
  <c r="G87" i="16" s="1"/>
  <c r="F50" i="14" s="1"/>
  <c r="J35" i="20"/>
  <c r="H9" i="20"/>
  <c r="F36" i="14"/>
  <c r="I18" i="16"/>
  <c r="G36" i="14"/>
  <c r="G18" i="16"/>
  <c r="I36" i="14"/>
  <c r="M18" i="16"/>
  <c r="L42" i="15"/>
  <c r="L16" i="15" s="1"/>
  <c r="J16" i="15"/>
  <c r="L30" i="15"/>
  <c r="K18" i="16"/>
  <c r="H36" i="14"/>
  <c r="G52" i="16" l="1"/>
  <c r="F43" i="14" s="1"/>
  <c r="G88" i="16"/>
  <c r="F51" i="14" s="1"/>
  <c r="J49" i="20"/>
  <c r="H22" i="20"/>
  <c r="I85" i="16"/>
  <c r="G48" i="14" s="1"/>
  <c r="F34" i="14"/>
  <c r="I16" i="16"/>
  <c r="E40" i="14"/>
  <c r="E56" i="16"/>
  <c r="F40" i="14"/>
  <c r="G16" i="16"/>
  <c r="E20" i="16"/>
  <c r="I49" i="16"/>
  <c r="G51" i="16"/>
  <c r="G56" i="16" s="1"/>
  <c r="G33" i="14"/>
  <c r="L17" i="15"/>
  <c r="G35" i="14"/>
  <c r="G15" i="16"/>
  <c r="J18" i="15"/>
  <c r="J17" i="15"/>
  <c r="I15" i="16"/>
  <c r="J9" i="15"/>
  <c r="G17" i="16"/>
  <c r="J7" i="15"/>
  <c r="F33" i="14"/>
  <c r="L18" i="15"/>
  <c r="J8" i="15"/>
  <c r="L9" i="15"/>
  <c r="L8" i="15"/>
  <c r="I17" i="16"/>
  <c r="F35" i="14"/>
  <c r="J12" i="15"/>
  <c r="F24" i="15"/>
  <c r="H24" i="15"/>
  <c r="G34" i="14"/>
  <c r="L33" i="20"/>
  <c r="L8" i="20" s="1"/>
  <c r="J8" i="20"/>
  <c r="L35" i="20"/>
  <c r="L9" i="20" s="1"/>
  <c r="J9" i="20"/>
  <c r="F24" i="20"/>
  <c r="J45" i="20"/>
  <c r="H18" i="20"/>
  <c r="I87" i="16" s="1"/>
  <c r="G50" i="14" s="1"/>
  <c r="M16" i="16"/>
  <c r="I34" i="14"/>
  <c r="L7" i="15"/>
  <c r="G92" i="16" l="1"/>
  <c r="I88" i="16"/>
  <c r="G51" i="14" s="1"/>
  <c r="I52" i="16"/>
  <c r="G43" i="14" s="1"/>
  <c r="L49" i="20"/>
  <c r="L22" i="20" s="1"/>
  <c r="J22" i="20"/>
  <c r="K85" i="16"/>
  <c r="H48" i="14" s="1"/>
  <c r="M85" i="16"/>
  <c r="I48" i="14" s="1"/>
  <c r="H34" i="14"/>
  <c r="M49" i="16"/>
  <c r="K49" i="16"/>
  <c r="F42" i="14"/>
  <c r="I51" i="16"/>
  <c r="G20" i="16"/>
  <c r="I35" i="14"/>
  <c r="M17" i="16"/>
  <c r="G40" i="14"/>
  <c r="K17" i="16"/>
  <c r="K16" i="16"/>
  <c r="J24" i="15"/>
  <c r="H33" i="14"/>
  <c r="H35" i="14"/>
  <c r="I20" i="16"/>
  <c r="K15" i="16"/>
  <c r="L45" i="20"/>
  <c r="L18" i="20" s="1"/>
  <c r="M87" i="16" s="1"/>
  <c r="I50" i="14" s="1"/>
  <c r="J18" i="20"/>
  <c r="K87" i="16" s="1"/>
  <c r="H50" i="14" s="1"/>
  <c r="H40" i="14"/>
  <c r="H24" i="20"/>
  <c r="L24" i="15"/>
  <c r="M15" i="16"/>
  <c r="I33" i="14"/>
  <c r="I56" i="16" l="1"/>
  <c r="I92" i="16"/>
  <c r="K88" i="16"/>
  <c r="H51" i="14" s="1"/>
  <c r="K52" i="16"/>
  <c r="H43" i="14" s="1"/>
  <c r="M88" i="16"/>
  <c r="I51" i="14" s="1"/>
  <c r="M52" i="16"/>
  <c r="I43" i="14" s="1"/>
  <c r="I40" i="14"/>
  <c r="M20" i="16"/>
  <c r="M51" i="16"/>
  <c r="J24" i="20"/>
  <c r="K51" i="16"/>
  <c r="G42" i="14"/>
  <c r="K20" i="16"/>
  <c r="L24" i="20"/>
  <c r="K92" i="16" l="1"/>
  <c r="M56" i="16"/>
  <c r="M92" i="16"/>
  <c r="K56" i="16"/>
  <c r="B18" i="21"/>
  <c r="B11" i="21"/>
  <c r="B13" i="21" s="1"/>
  <c r="B4" i="21"/>
  <c r="B6" i="21" s="1"/>
  <c r="I42" i="14"/>
  <c r="H42" i="14"/>
  <c r="B15" i="21" l="1"/>
  <c r="B8" i="21"/>
</calcChain>
</file>

<file path=xl/sharedStrings.xml><?xml version="1.0" encoding="utf-8"?>
<sst xmlns="http://schemas.openxmlformats.org/spreadsheetml/2006/main" count="310" uniqueCount="130">
  <si>
    <t>Daily Transaction Volume</t>
  </si>
  <si>
    <t>Transaction Size</t>
  </si>
  <si>
    <t>Large - 500 bytes</t>
  </si>
  <si>
    <t>Node Hosting</t>
  </si>
  <si>
    <t>Cloud-Based</t>
  </si>
  <si>
    <t>Consensus Protocol</t>
  </si>
  <si>
    <t>Proof of Work</t>
  </si>
  <si>
    <t>Year 1</t>
  </si>
  <si>
    <t>Year 2</t>
  </si>
  <si>
    <t>Year 3</t>
  </si>
  <si>
    <t>Year 4</t>
  </si>
  <si>
    <t>Year 5</t>
  </si>
  <si>
    <t>Onboarding Costs</t>
  </si>
  <si>
    <t>Cloud Costs</t>
  </si>
  <si>
    <t>On-Going Maintenance Costs</t>
  </si>
  <si>
    <t>Monitoring Costs</t>
  </si>
  <si>
    <t>Total Costs</t>
  </si>
  <si>
    <t>Deployment</t>
  </si>
  <si>
    <t>Initial Education</t>
  </si>
  <si>
    <t>Documentation</t>
  </si>
  <si>
    <t>Cloud VM</t>
  </si>
  <si>
    <t>Cloud Storage</t>
  </si>
  <si>
    <t>Technical Support/System Administration</t>
  </si>
  <si>
    <t>Hardware Administration</t>
  </si>
  <si>
    <t>On-going Education</t>
  </si>
  <si>
    <t>Transaction Review</t>
  </si>
  <si>
    <t>Network Assessment</t>
  </si>
  <si>
    <t>Step Function - Estimated YoY Changes</t>
  </si>
  <si>
    <t>Assumptions:</t>
  </si>
  <si>
    <t>On-Premise: New Systems</t>
  </si>
  <si>
    <t>On-Premise: Existing Technology</t>
  </si>
  <si>
    <t>Full nodes</t>
  </si>
  <si>
    <t>End users</t>
  </si>
  <si>
    <t>Hardware costs per new node</t>
  </si>
  <si>
    <t>N/A</t>
  </si>
  <si>
    <t>Training hours per full node user</t>
  </si>
  <si>
    <t>Training hours per end user</t>
  </si>
  <si>
    <t>Hourly instructor cost</t>
  </si>
  <si>
    <t>Documentation costs per user</t>
  </si>
  <si>
    <t>Cloud VM per full node</t>
  </si>
  <si>
    <t>Annual cloud VM cost</t>
  </si>
  <si>
    <t>Storage capacity costs per 100GB</t>
  </si>
  <si>
    <t>Transaction storage per 100,000 transactions</t>
  </si>
  <si>
    <t>Blockchain technical support FTE</t>
  </si>
  <si>
    <t>Annual hardware admin % of initial cost</t>
  </si>
  <si>
    <t>Average lifespan of hardware (years)</t>
  </si>
  <si>
    <t>On-going education costs per user</t>
  </si>
  <si>
    <t>Annual user turnover (education)</t>
  </si>
  <si>
    <t>Costs per 100,000 transactions</t>
  </si>
  <si>
    <t>Network assessment</t>
  </si>
  <si>
    <t>Assumptions - Base Cases</t>
  </si>
  <si>
    <t>Transaction Size - Estimated Impact</t>
  </si>
  <si>
    <t>Consensus Protocol- Estimated Impact</t>
  </si>
  <si>
    <t>Cost Drivers</t>
  </si>
  <si>
    <t>Small - 150 bytes</t>
  </si>
  <si>
    <t>Medium - 250 bytes</t>
  </si>
  <si>
    <t>Proof of Stake</t>
  </si>
  <si>
    <t>Byzantine Fault Tolerance</t>
  </si>
  <si>
    <t>Proof of Authority</t>
  </si>
  <si>
    <t>Onboarding costs:</t>
  </si>
  <si>
    <t>Cloud costs:</t>
  </si>
  <si>
    <t>On-going maintenance costs:</t>
  </si>
  <si>
    <t>Monitoring costs:</t>
  </si>
  <si>
    <t>Onboarding</t>
  </si>
  <si>
    <t>Cloud</t>
  </si>
  <si>
    <t>On-Going Maintenance</t>
  </si>
  <si>
    <t>Monitoring</t>
  </si>
  <si>
    <t>Columns</t>
  </si>
  <si>
    <t>Drop-Downs:</t>
  </si>
  <si>
    <t>Paul Brody</t>
  </si>
  <si>
    <t>EY Blockchain Leader</t>
  </si>
  <si>
    <t>Arwin Holmes</t>
  </si>
  <si>
    <t>EY Blockchain Technology Operations</t>
  </si>
  <si>
    <t>Eli Wolfsohn</t>
  </si>
  <si>
    <t>EY Blockchain Sales Operations</t>
  </si>
  <si>
    <t>John Frechette</t>
  </si>
  <si>
    <t>EY Financial Services Advisory</t>
  </si>
  <si>
    <t>Luke Szumski</t>
  </si>
  <si>
    <r>
      <t xml:space="preserve">EY  </t>
    </r>
    <r>
      <rPr>
        <sz val="11"/>
        <rFont val="EYInterstate Light"/>
      </rPr>
      <t>|  Assurance | Tax | Transactions | Advisory</t>
    </r>
  </si>
  <si>
    <t>About EY</t>
  </si>
  <si>
    <t>EY is a global leader in assurance, tax, transaction and advisory</t>
  </si>
  <si>
    <t>services. The insights and quality services we deliver help build trust and</t>
  </si>
  <si>
    <t>confidence in the capital markets and in economies the world over. We</t>
  </si>
  <si>
    <t>develop outstanding leaders who team to deliver on our promises to all</t>
  </si>
  <si>
    <t>of our stakeholders. In so doing, we play a critical role in building a better</t>
  </si>
  <si>
    <t>working world for our people, for our clients and for our communities.</t>
  </si>
  <si>
    <t>EY refers to the global organization, and may refer to one or more, of</t>
  </si>
  <si>
    <t>the member firms of Ernst &amp; Young Global Limited, each of which is a</t>
  </si>
  <si>
    <t>separate legal entity. Ernst &amp; Young Global Limited, a UK company limited</t>
  </si>
  <si>
    <t>by guarantee, does not provide services to clients. For more information</t>
  </si>
  <si>
    <t>about our organization, please visit ey.com.</t>
  </si>
  <si>
    <t>© 2018 EYGM Limited. All Rights Reserved.</t>
  </si>
  <si>
    <t>ED None</t>
  </si>
  <si>
    <t>This material has been prepared for general information/discussion purposes only and is not</t>
  </si>
  <si>
    <t>intended to be relied upon as accounting, tax or other professional advice.</t>
  </si>
  <si>
    <t>Please refer to your professional advisors for specific advice.</t>
  </si>
  <si>
    <t>ey.com</t>
  </si>
  <si>
    <t>Initial Platform Build</t>
  </si>
  <si>
    <t>Table</t>
  </si>
  <si>
    <t>Private blockchain</t>
  </si>
  <si>
    <t>ZKP - future</t>
  </si>
  <si>
    <t>ZKP - current</t>
  </si>
  <si>
    <t>Tx per day</t>
  </si>
  <si>
    <t>Annual transactions</t>
  </si>
  <si>
    <t>Variable Costs</t>
  </si>
  <si>
    <t>Current state of zero-knowledge proofs</t>
  </si>
  <si>
    <t>Future state of zero-knowledge proofs</t>
  </si>
  <si>
    <t>Fixed cost per transaction</t>
  </si>
  <si>
    <t>Variable cost per transaction</t>
  </si>
  <si>
    <t>Private blockchain costs</t>
  </si>
  <si>
    <t>Variable cost per transaction*</t>
  </si>
  <si>
    <t>* Assume 12 proofs computed per hour</t>
  </si>
  <si>
    <t>PrivateBC Table Data:</t>
  </si>
  <si>
    <t>Initial platform build</t>
  </si>
  <si>
    <t>Private Blockchain Cost Forecasting:</t>
  </si>
  <si>
    <t>Public vs. Private Blockchains - Scenario Analysis</t>
  </si>
  <si>
    <t>Public Blockchain (ZKP) TCO Model</t>
  </si>
  <si>
    <t>Private Blockchain TCO Model</t>
  </si>
  <si>
    <t>Direct variable transaction costs:</t>
  </si>
  <si>
    <r>
      <t xml:space="preserve">Sensitivity test </t>
    </r>
    <r>
      <rPr>
        <b/>
        <i/>
        <sz val="10"/>
        <color theme="1"/>
        <rFont val="EYInterstate Light"/>
      </rPr>
      <t>(formula)</t>
    </r>
  </si>
  <si>
    <t>Current ZKP variable costs</t>
  </si>
  <si>
    <t>Private Blockchains vs. Public Blockchains (zero-knowledge proofs [ZKPs])</t>
  </si>
  <si>
    <t>Override Step</t>
  </si>
  <si>
    <t>Future (next gen) ZKP variable costs</t>
  </si>
  <si>
    <t>Public Blockchain (ZKP) Cost Forecasting - Current State:</t>
  </si>
  <si>
    <t>Public Blockchain (ZKP) Cost Forecasting - Future State:</t>
  </si>
  <si>
    <t>ZKPs (Current State) Table Data:</t>
  </si>
  <si>
    <t>ZKPs (Future State) Table Data:</t>
  </si>
  <si>
    <t>Blockchain TCO Underlying Assumptions</t>
  </si>
  <si>
    <t>Total Cost of Ownership (TCO) - Current 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</si>
</sst>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0">
    <numFmt numFmtId="6" formatCode="&quot;$&quot;#,##0_);[Red]\(&quot;$&quot;#,##0\)"/>
    <numFmt numFmtId="8" formatCode="&quot;$&quot;#,##0.00_);[Red]\(&quot;$&quot;#,##0.00\)"/>
    <numFmt numFmtId="164" formatCode="&quot;$&quot;#,##0.0"/>
    <numFmt numFmtId="165" formatCode="&quot;$&quot;#,##0"/>
    <numFmt numFmtId="166" formatCode="\+\-\ 0%"/>
    <numFmt numFmtId="167" formatCode="\+\-\ 0&quot;BPS&quot;"/>
    <numFmt numFmtId="168" formatCode="\ 00%"/>
    <numFmt numFmtId="169" formatCode="\ 0%"/>
    <numFmt numFmtId="170" formatCode="&quot;$&quot;#,##0.00"/>
    <numFmt numFmtId="171" formatCode="&quot;$&quot;#,##0.000"/>
    <numFmt numFmtId="172" formatCode="\ \+\ 00%"/>
    <numFmt numFmtId="173" formatCode="\ \+\ 0%"/>
    <numFmt numFmtId="174" formatCode="\+0%"/>
    <numFmt numFmtId="175" formatCode="\+\-0%"/>
    <numFmt numFmtId="176" formatCode="&quot;$&quot;#,##0.0000"/>
    <numFmt numFmtId="177" formatCode="&quot;$&quot;#,##0.000_);[Red]\(&quot;$&quot;#,##0.000\)"/>
    <numFmt numFmtId="178" formatCode="0.0000"/>
    <numFmt numFmtId="179" formatCode="0.0000%"/>
    <numFmt numFmtId="180" formatCode="0.000"/>
    <numFmt numFmtId="181" formatCode="0.0%"/>
  </numFmts>
  <fonts count="31" x14ac:knownFonts="1">
    <font>
      <sz val="11"/>
      <color theme="1"/>
      <name val="Calibri"/>
      <family val="2"/>
      <scheme val="minor"/>
    </font>
    <font>
      <sz val="10"/>
      <color theme="1"/>
      <name val="EYInterstate Light"/>
    </font>
    <font>
      <sz val="11"/>
      <color theme="1"/>
      <name val="EYInterstate Light"/>
    </font>
    <font>
      <sz val="11"/>
      <name val="EYInterstate Light"/>
    </font>
    <font>
      <u/>
      <sz val="11"/>
      <color theme="1"/>
      <name val="EYInterstate Light"/>
    </font>
    <font>
      <b/>
      <sz val="11"/>
      <color theme="1"/>
      <name val="EYInterstate Light"/>
    </font>
    <font>
      <sz val="11"/>
      <color rgb="FF000000"/>
      <name val="EYInterstate Light"/>
    </font>
    <font>
      <b/>
      <sz val="14"/>
      <color theme="1"/>
      <name val="EYInterstate Light"/>
    </font>
    <font>
      <sz val="11"/>
      <color rgb="FF0000FF"/>
      <name val="EYInterstate Light"/>
    </font>
    <font>
      <u/>
      <sz val="10"/>
      <color theme="1"/>
      <name val="EYInterstate Light"/>
    </font>
    <font>
      <b/>
      <sz val="10"/>
      <color theme="1"/>
      <name val="EYInterstate Light"/>
    </font>
    <font>
      <sz val="11"/>
      <name val="Calibri"/>
      <family val="2"/>
    </font>
    <font>
      <b/>
      <sz val="10"/>
      <name val="EYInterstate Light"/>
    </font>
    <font>
      <sz val="10"/>
      <name val="EYInterstate Light"/>
    </font>
    <font>
      <sz val="10"/>
      <color theme="1"/>
      <name val="Wingdings 3"/>
      <family val="1"/>
      <charset val="2"/>
    </font>
    <font>
      <sz val="8"/>
      <color theme="1"/>
      <name val="Wingdings 3"/>
      <family val="1"/>
      <charset val="2"/>
    </font>
    <font>
      <sz val="11"/>
      <name val="Calibri"/>
      <family val="2"/>
    </font>
    <font>
      <b/>
      <sz val="11"/>
      <name val="EYInterstate Light"/>
    </font>
    <font>
      <sz val="10"/>
      <color rgb="FF000000"/>
      <name val="EYInterstate Light"/>
    </font>
    <font>
      <b/>
      <sz val="10"/>
      <color rgb="FF404040"/>
      <name val="EYInterstate Light"/>
    </font>
    <font>
      <b/>
      <sz val="10"/>
      <color rgb="FF000000"/>
      <name val="EYInterstate Light"/>
    </font>
    <font>
      <i/>
      <sz val="11"/>
      <color theme="1"/>
      <name val="EYInterstate Light"/>
    </font>
    <font>
      <b/>
      <u/>
      <sz val="11"/>
      <color theme="1"/>
      <name val="EYInterstate Light"/>
    </font>
    <font>
      <b/>
      <sz val="20"/>
      <color rgb="FFFF0000"/>
      <name val="EYInterstate Light"/>
    </font>
    <font>
      <i/>
      <u/>
      <sz val="11"/>
      <color theme="1"/>
      <name val="EYInterstate Light"/>
    </font>
    <font>
      <b/>
      <i/>
      <sz val="11"/>
      <color theme="1"/>
      <name val="EYInterstate Light"/>
    </font>
    <font>
      <b/>
      <sz val="12"/>
      <color theme="1"/>
      <name val="EYInterstate Light"/>
    </font>
    <font>
      <b/>
      <u/>
      <sz val="10"/>
      <color theme="1"/>
      <name val="EYInterstate Light"/>
    </font>
    <font>
      <i/>
      <sz val="10"/>
      <color theme="1"/>
      <name val="EYInterstate Light"/>
    </font>
    <font>
      <sz val="10"/>
      <color rgb="FF595959"/>
      <name val="EYInterstate Light"/>
    </font>
    <font>
      <b/>
      <i/>
      <sz val="10"/>
      <color theme="1"/>
      <name val="EYInterstate Light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A7"/>
        <bgColor indexed="64"/>
      </patternFill>
    </fill>
    <fill>
      <patternFill patternType="solid">
        <fgColor rgb="FFD1D1D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dotted">
        <color auto="1"/>
      </top>
      <bottom/>
      <diagonal/>
    </border>
    <border>
      <left/>
      <right/>
      <top style="dotted">
        <color auto="1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dotted">
        <color auto="1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1" fillId="0" borderId="0"/>
    <xf numFmtId="0" fontId="16" fillId="0" borderId="0"/>
  </cellStyleXfs>
  <cellXfs count="237">
    <xf numFmtId="0" fontId="0" fillId="0" borderId="0" xfId="0"/>
    <xf numFmtId="0" fontId="1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165" fontId="2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5" fillId="0" borderId="0" xfId="0" applyFont="1" applyAlignment="1">
      <alignment vertical="center"/>
    </xf>
    <xf numFmtId="165" fontId="5" fillId="0" borderId="0" xfId="0" applyNumberFormat="1" applyFont="1" applyAlignment="1">
      <alignment horizontal="center" vertical="center"/>
    </xf>
    <xf numFmtId="0" fontId="4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1" fontId="3" fillId="2" borderId="0" xfId="0" applyNumberFormat="1" applyFont="1" applyFill="1" applyAlignment="1">
      <alignment horizontal="center" vertical="center"/>
    </xf>
    <xf numFmtId="0" fontId="2" fillId="2" borderId="5" xfId="0" applyFont="1" applyFill="1" applyBorder="1" applyAlignment="1">
      <alignment vertical="center"/>
    </xf>
    <xf numFmtId="3" fontId="3" fillId="2" borderId="0" xfId="0" applyNumberFormat="1" applyFont="1" applyFill="1" applyAlignment="1">
      <alignment horizontal="center" vertical="center"/>
    </xf>
    <xf numFmtId="0" fontId="3" fillId="2" borderId="0" xfId="0" applyFont="1" applyFill="1" applyAlignment="1">
      <alignment vertical="center"/>
    </xf>
    <xf numFmtId="9" fontId="3" fillId="2" borderId="0" xfId="0" applyNumberFormat="1" applyFont="1" applyFill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165" fontId="3" fillId="0" borderId="0" xfId="0" applyNumberFormat="1" applyFont="1" applyAlignment="1">
      <alignment horizontal="center" vertical="center"/>
    </xf>
    <xf numFmtId="165" fontId="3" fillId="2" borderId="0" xfId="0" applyNumberFormat="1" applyFont="1" applyFill="1" applyAlignment="1">
      <alignment horizontal="center" vertical="center"/>
    </xf>
    <xf numFmtId="170" fontId="2" fillId="0" borderId="0" xfId="0" applyNumberFormat="1" applyFont="1" applyAlignment="1">
      <alignment vertical="center"/>
    </xf>
    <xf numFmtId="0" fontId="1" fillId="0" borderId="0" xfId="0" applyFont="1"/>
    <xf numFmtId="170" fontId="2" fillId="0" borderId="0" xfId="0" applyNumberFormat="1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165" fontId="3" fillId="2" borderId="5" xfId="0" applyNumberFormat="1" applyFont="1" applyFill="1" applyBorder="1" applyAlignment="1">
      <alignment horizontal="center" vertical="center"/>
    </xf>
    <xf numFmtId="0" fontId="3" fillId="2" borderId="5" xfId="0" applyFont="1" applyFill="1" applyBorder="1" applyAlignment="1">
      <alignment vertical="center"/>
    </xf>
    <xf numFmtId="1" fontId="3" fillId="2" borderId="0" xfId="0" applyNumberFormat="1" applyFont="1" applyFill="1" applyAlignment="1">
      <alignment vertical="center"/>
    </xf>
    <xf numFmtId="9" fontId="3" fillId="0" borderId="0" xfId="0" applyNumberFormat="1" applyFont="1" applyAlignment="1">
      <alignment horizontal="center" vertical="center"/>
    </xf>
    <xf numFmtId="9" fontId="3" fillId="0" borderId="0" xfId="0" applyNumberFormat="1" applyFont="1" applyAlignment="1">
      <alignment horizontal="center" vertical="center" wrapText="1"/>
    </xf>
    <xf numFmtId="165" fontId="3" fillId="2" borderId="0" xfId="0" applyNumberFormat="1" applyFont="1" applyFill="1" applyAlignment="1">
      <alignment vertical="center"/>
    </xf>
    <xf numFmtId="0" fontId="2" fillId="0" borderId="2" xfId="0" applyFont="1" applyBorder="1" applyAlignment="1">
      <alignment horizontal="center" vertical="center" wrapText="1"/>
    </xf>
    <xf numFmtId="0" fontId="10" fillId="0" borderId="0" xfId="0" applyFont="1" applyAlignment="1">
      <alignment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textRotation="90" wrapText="1"/>
    </xf>
    <xf numFmtId="0" fontId="1" fillId="0" borderId="10" xfId="0" applyFont="1" applyBorder="1" applyAlignment="1">
      <alignment vertical="center"/>
    </xf>
    <xf numFmtId="0" fontId="13" fillId="0" borderId="0" xfId="0" applyFont="1" applyAlignment="1">
      <alignment vertical="center"/>
    </xf>
    <xf numFmtId="0" fontId="1" fillId="0" borderId="11" xfId="0" applyFont="1" applyBorder="1" applyAlignment="1">
      <alignment vertical="center"/>
    </xf>
    <xf numFmtId="165" fontId="13" fillId="0" borderId="8" xfId="0" applyNumberFormat="1" applyFont="1" applyBorder="1" applyAlignment="1">
      <alignment horizontal="center" vertical="center"/>
    </xf>
    <xf numFmtId="0" fontId="14" fillId="0" borderId="0" xfId="0" applyFont="1" applyAlignment="1">
      <alignment vertical="center"/>
    </xf>
    <xf numFmtId="0" fontId="15" fillId="0" borderId="0" xfId="0" applyFont="1"/>
    <xf numFmtId="165" fontId="13" fillId="0" borderId="0" xfId="0" applyNumberFormat="1" applyFont="1" applyAlignment="1">
      <alignment horizontal="center" vertical="center"/>
    </xf>
    <xf numFmtId="3" fontId="13" fillId="0" borderId="0" xfId="0" applyNumberFormat="1" applyFont="1" applyAlignment="1">
      <alignment horizontal="center" vertical="center"/>
    </xf>
    <xf numFmtId="0" fontId="1" fillId="0" borderId="15" xfId="0" applyFont="1" applyBorder="1" applyAlignment="1">
      <alignment horizontal="center" vertical="center" wrapText="1"/>
    </xf>
    <xf numFmtId="0" fontId="10" fillId="0" borderId="15" xfId="0" applyFont="1" applyBorder="1" applyAlignment="1">
      <alignment horizontal="center" vertical="center" wrapText="1"/>
    </xf>
    <xf numFmtId="0" fontId="1" fillId="0" borderId="15" xfId="0" applyFont="1" applyBorder="1"/>
    <xf numFmtId="0" fontId="1" fillId="0" borderId="15" xfId="0" applyFont="1" applyBorder="1" applyAlignment="1">
      <alignment horizontal="center" vertical="center" textRotation="90" wrapText="1"/>
    </xf>
    <xf numFmtId="0" fontId="1" fillId="0" borderId="16" xfId="0" applyFont="1" applyBorder="1" applyAlignment="1">
      <alignment horizontal="center" vertical="center" textRotation="90" wrapText="1"/>
    </xf>
    <xf numFmtId="0" fontId="10" fillId="0" borderId="14" xfId="0" applyFont="1" applyBorder="1" applyAlignment="1">
      <alignment vertical="center"/>
    </xf>
    <xf numFmtId="166" fontId="1" fillId="0" borderId="15" xfId="0" applyNumberFormat="1" applyFont="1" applyBorder="1" applyAlignment="1">
      <alignment horizontal="center" vertical="center"/>
    </xf>
    <xf numFmtId="166" fontId="10" fillId="0" borderId="16" xfId="0" applyNumberFormat="1" applyFont="1" applyBorder="1" applyAlignment="1">
      <alignment horizontal="center" vertical="center"/>
    </xf>
    <xf numFmtId="165" fontId="13" fillId="0" borderId="15" xfId="0" applyNumberFormat="1" applyFont="1" applyBorder="1" applyAlignment="1">
      <alignment horizontal="center" vertical="center"/>
    </xf>
    <xf numFmtId="0" fontId="13" fillId="0" borderId="10" xfId="0" applyFont="1" applyBorder="1" applyAlignment="1">
      <alignment horizontal="left" vertical="center"/>
    </xf>
    <xf numFmtId="166" fontId="10" fillId="0" borderId="15" xfId="0" applyNumberFormat="1" applyFont="1" applyBorder="1" applyAlignment="1">
      <alignment horizontal="center" vertical="center"/>
    </xf>
    <xf numFmtId="3" fontId="1" fillId="0" borderId="15" xfId="0" applyNumberFormat="1" applyFont="1" applyBorder="1" applyAlignment="1">
      <alignment horizontal="center" vertical="center" wrapText="1"/>
    </xf>
    <xf numFmtId="1" fontId="3" fillId="2" borderId="5" xfId="0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horizontal="left" vertical="center"/>
    </xf>
    <xf numFmtId="1" fontId="2" fillId="2" borderId="0" xfId="0" applyNumberFormat="1" applyFont="1" applyFill="1" applyAlignment="1">
      <alignment vertical="center"/>
    </xf>
    <xf numFmtId="171" fontId="3" fillId="2" borderId="0" xfId="0" applyNumberFormat="1" applyFont="1" applyFill="1" applyAlignment="1">
      <alignment horizontal="center" vertical="center"/>
    </xf>
    <xf numFmtId="171" fontId="3" fillId="2" borderId="0" xfId="0" applyNumberFormat="1" applyFont="1" applyFill="1" applyAlignment="1">
      <alignment vertical="center"/>
    </xf>
    <xf numFmtId="2" fontId="3" fillId="2" borderId="5" xfId="0" applyNumberFormat="1" applyFont="1" applyFill="1" applyBorder="1" applyAlignment="1">
      <alignment horizontal="center" vertical="center"/>
    </xf>
    <xf numFmtId="2" fontId="3" fillId="2" borderId="5" xfId="0" applyNumberFormat="1" applyFont="1" applyFill="1" applyBorder="1" applyAlignment="1">
      <alignment vertical="center"/>
    </xf>
    <xf numFmtId="165" fontId="2" fillId="0" borderId="0" xfId="0" applyNumberFormat="1" applyFont="1" applyAlignment="1">
      <alignment vertical="center"/>
    </xf>
    <xf numFmtId="9" fontId="13" fillId="0" borderId="15" xfId="0" applyNumberFormat="1" applyFont="1" applyBorder="1" applyAlignment="1">
      <alignment horizontal="center" vertical="center"/>
    </xf>
    <xf numFmtId="167" fontId="12" fillId="0" borderId="15" xfId="0" applyNumberFormat="1" applyFont="1" applyBorder="1" applyAlignment="1">
      <alignment horizontal="center" vertical="center"/>
    </xf>
    <xf numFmtId="167" fontId="13" fillId="0" borderId="15" xfId="0" applyNumberFormat="1" applyFont="1" applyBorder="1" applyAlignment="1">
      <alignment horizontal="center" vertical="center"/>
    </xf>
    <xf numFmtId="167" fontId="12" fillId="0" borderId="16" xfId="0" applyNumberFormat="1" applyFont="1" applyBorder="1" applyAlignment="1">
      <alignment horizontal="center" vertical="center"/>
    </xf>
    <xf numFmtId="170" fontId="13" fillId="0" borderId="8" xfId="0" applyNumberFormat="1" applyFont="1" applyBorder="1" applyAlignment="1">
      <alignment horizontal="center" vertical="center"/>
    </xf>
    <xf numFmtId="171" fontId="13" fillId="0" borderId="8" xfId="0" applyNumberFormat="1" applyFont="1" applyBorder="1" applyAlignment="1">
      <alignment horizontal="center" vertical="center"/>
    </xf>
    <xf numFmtId="170" fontId="3" fillId="2" borderId="0" xfId="0" applyNumberFormat="1" applyFont="1" applyFill="1" applyAlignment="1">
      <alignment horizontal="center" vertical="center"/>
    </xf>
    <xf numFmtId="170" fontId="3" fillId="2" borderId="0" xfId="0" applyNumberFormat="1" applyFont="1" applyFill="1" applyAlignment="1">
      <alignment vertical="center"/>
    </xf>
    <xf numFmtId="0" fontId="1" fillId="2" borderId="0" xfId="0" applyFont="1" applyFill="1"/>
    <xf numFmtId="0" fontId="9" fillId="2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165" fontId="1" fillId="2" borderId="0" xfId="0" applyNumberFormat="1" applyFont="1" applyFill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0" fontId="1" fillId="2" borderId="5" xfId="0" applyFont="1" applyFill="1" applyBorder="1" applyAlignment="1">
      <alignment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166" fontId="1" fillId="0" borderId="0" xfId="0" applyNumberFormat="1" applyFont="1" applyAlignment="1">
      <alignment horizontal="center" vertical="center"/>
    </xf>
    <xf numFmtId="166" fontId="10" fillId="0" borderId="8" xfId="0" applyNumberFormat="1" applyFont="1" applyBorder="1" applyAlignment="1">
      <alignment horizontal="center" vertical="center"/>
    </xf>
    <xf numFmtId="169" fontId="1" fillId="0" borderId="0" xfId="0" applyNumberFormat="1" applyFont="1" applyAlignment="1">
      <alignment horizontal="center" vertical="center"/>
    </xf>
    <xf numFmtId="172" fontId="1" fillId="0" borderId="0" xfId="0" applyNumberFormat="1" applyFont="1" applyAlignment="1">
      <alignment horizontal="center" vertical="center"/>
    </xf>
    <xf numFmtId="168" fontId="1" fillId="0" borderId="0" xfId="0" applyNumberFormat="1" applyFont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173" fontId="1" fillId="0" borderId="0" xfId="0" applyNumberFormat="1" applyFont="1" applyAlignment="1">
      <alignment horizontal="center" vertical="center"/>
    </xf>
    <xf numFmtId="167" fontId="12" fillId="0" borderId="8" xfId="0" applyNumberFormat="1" applyFont="1" applyBorder="1" applyAlignment="1">
      <alignment horizontal="center" vertical="center"/>
    </xf>
    <xf numFmtId="169" fontId="1" fillId="0" borderId="11" xfId="0" applyNumberFormat="1" applyFont="1" applyBorder="1" applyAlignment="1">
      <alignment horizontal="center" vertical="center"/>
    </xf>
    <xf numFmtId="172" fontId="1" fillId="0" borderId="1" xfId="0" applyNumberFormat="1" applyFont="1" applyBorder="1" applyAlignment="1">
      <alignment horizontal="center" vertical="center"/>
    </xf>
    <xf numFmtId="166" fontId="10" fillId="0" borderId="12" xfId="0" applyNumberFormat="1" applyFont="1" applyBorder="1" applyAlignment="1">
      <alignment horizontal="center" vertical="center"/>
    </xf>
    <xf numFmtId="166" fontId="10" fillId="0" borderId="5" xfId="0" applyNumberFormat="1" applyFont="1" applyBorder="1" applyAlignment="1">
      <alignment horizontal="center" vertical="center"/>
    </xf>
    <xf numFmtId="166" fontId="10" fillId="0" borderId="0" xfId="0" applyNumberFormat="1" applyFont="1" applyAlignment="1">
      <alignment horizontal="center" vertical="center"/>
    </xf>
    <xf numFmtId="167" fontId="13" fillId="0" borderId="10" xfId="0" applyNumberFormat="1" applyFont="1" applyBorder="1" applyAlignment="1">
      <alignment horizontal="center" vertical="center"/>
    </xf>
    <xf numFmtId="167" fontId="13" fillId="0" borderId="0" xfId="0" applyNumberFormat="1" applyFont="1" applyAlignment="1">
      <alignment horizontal="center" vertical="center"/>
    </xf>
    <xf numFmtId="167" fontId="12" fillId="0" borderId="0" xfId="0" applyNumberFormat="1" applyFont="1" applyAlignment="1">
      <alignment horizontal="center" vertical="center"/>
    </xf>
    <xf numFmtId="173" fontId="1" fillId="0" borderId="11" xfId="0" applyNumberFormat="1" applyFont="1" applyBorder="1" applyAlignment="1">
      <alignment horizontal="center" vertical="center"/>
    </xf>
    <xf numFmtId="173" fontId="1" fillId="0" borderId="1" xfId="0" applyNumberFormat="1" applyFont="1" applyBorder="1" applyAlignment="1">
      <alignment horizontal="center" vertical="center"/>
    </xf>
    <xf numFmtId="166" fontId="10" fillId="0" borderId="1" xfId="0" applyNumberFormat="1" applyFont="1" applyBorder="1" applyAlignment="1">
      <alignment horizontal="center" vertical="center"/>
    </xf>
    <xf numFmtId="1" fontId="3" fillId="2" borderId="5" xfId="0" applyNumberFormat="1" applyFont="1" applyFill="1" applyBorder="1" applyAlignment="1">
      <alignment vertical="center"/>
    </xf>
    <xf numFmtId="174" fontId="3" fillId="0" borderId="0" xfId="0" applyNumberFormat="1" applyFont="1" applyAlignment="1">
      <alignment horizontal="center" vertical="center"/>
    </xf>
    <xf numFmtId="174" fontId="3" fillId="0" borderId="8" xfId="0" applyNumberFormat="1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9" fontId="2" fillId="0" borderId="8" xfId="0" applyNumberFormat="1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9" fontId="3" fillId="0" borderId="8" xfId="0" applyNumberFormat="1" applyFont="1" applyBorder="1" applyAlignment="1">
      <alignment horizontal="center" vertical="center" wrapText="1"/>
    </xf>
    <xf numFmtId="175" fontId="3" fillId="0" borderId="8" xfId="0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174" fontId="3" fillId="0" borderId="13" xfId="0" applyNumberFormat="1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2" fillId="0" borderId="13" xfId="0" applyFont="1" applyBorder="1" applyAlignment="1">
      <alignment vertical="center"/>
    </xf>
    <xf numFmtId="0" fontId="2" fillId="0" borderId="13" xfId="0" applyFont="1" applyBorder="1" applyAlignment="1">
      <alignment horizontal="center" vertical="center"/>
    </xf>
    <xf numFmtId="9" fontId="3" fillId="0" borderId="13" xfId="0" applyNumberFormat="1" applyFont="1" applyBorder="1" applyAlignment="1">
      <alignment horizontal="center" vertical="center" wrapText="1"/>
    </xf>
    <xf numFmtId="175" fontId="3" fillId="0" borderId="10" xfId="0" applyNumberFormat="1" applyFont="1" applyBorder="1" applyAlignment="1">
      <alignment horizontal="center" vertical="center"/>
    </xf>
    <xf numFmtId="175" fontId="3" fillId="0" borderId="0" xfId="0" applyNumberFormat="1" applyFont="1" applyAlignment="1">
      <alignment horizontal="center" vertical="center"/>
    </xf>
    <xf numFmtId="9" fontId="3" fillId="0" borderId="10" xfId="0" applyNumberFormat="1" applyFont="1" applyBorder="1" applyAlignment="1">
      <alignment horizontal="center" vertical="center" wrapText="1"/>
    </xf>
    <xf numFmtId="3" fontId="13" fillId="0" borderId="9" xfId="0" applyNumberFormat="1" applyFont="1" applyBorder="1" applyAlignment="1">
      <alignment horizontal="center" vertical="center"/>
    </xf>
    <xf numFmtId="4" fontId="13" fillId="0" borderId="0" xfId="0" applyNumberFormat="1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165" fontId="13" fillId="0" borderId="9" xfId="0" applyNumberFormat="1" applyFont="1" applyBorder="1" applyAlignment="1">
      <alignment horizontal="center" vertical="center"/>
    </xf>
    <xf numFmtId="1" fontId="13" fillId="0" borderId="0" xfId="0" applyNumberFormat="1" applyFont="1" applyAlignment="1">
      <alignment horizontal="center" vertical="center"/>
    </xf>
    <xf numFmtId="9" fontId="13" fillId="0" borderId="0" xfId="0" applyNumberFormat="1" applyFont="1" applyAlignment="1">
      <alignment horizontal="center" vertical="center"/>
    </xf>
    <xf numFmtId="9" fontId="13" fillId="0" borderId="8" xfId="0" applyNumberFormat="1" applyFont="1" applyBorder="1" applyAlignment="1">
      <alignment horizontal="center" vertical="center"/>
    </xf>
    <xf numFmtId="9" fontId="3" fillId="2" borderId="0" xfId="0" applyNumberFormat="1" applyFont="1" applyFill="1" applyAlignment="1">
      <alignment vertical="center"/>
    </xf>
    <xf numFmtId="4" fontId="13" fillId="0" borderId="8" xfId="0" applyNumberFormat="1" applyFont="1" applyBorder="1" applyAlignment="1">
      <alignment horizontal="center" vertical="center"/>
    </xf>
    <xf numFmtId="165" fontId="13" fillId="0" borderId="1" xfId="0" applyNumberFormat="1" applyFont="1" applyBorder="1" applyAlignment="1">
      <alignment horizontal="center" vertical="center"/>
    </xf>
    <xf numFmtId="0" fontId="1" fillId="2" borderId="6" xfId="0" applyFont="1" applyFill="1" applyBorder="1"/>
    <xf numFmtId="3" fontId="13" fillId="0" borderId="8" xfId="0" applyNumberFormat="1" applyFont="1" applyBorder="1" applyAlignment="1">
      <alignment horizontal="center" vertical="center"/>
    </xf>
    <xf numFmtId="170" fontId="3" fillId="0" borderId="0" xfId="0" applyNumberFormat="1" applyFont="1" applyAlignment="1">
      <alignment horizontal="center" vertical="center"/>
    </xf>
    <xf numFmtId="0" fontId="2" fillId="0" borderId="0" xfId="0" applyFont="1"/>
    <xf numFmtId="0" fontId="17" fillId="0" borderId="0" xfId="0" applyFont="1" applyAlignment="1">
      <alignment vertical="center"/>
    </xf>
    <xf numFmtId="0" fontId="3" fillId="0" borderId="0" xfId="0" applyFont="1"/>
    <xf numFmtId="0" fontId="17" fillId="0" borderId="0" xfId="0" applyFont="1"/>
    <xf numFmtId="0" fontId="1" fillId="0" borderId="2" xfId="0" applyFont="1" applyBorder="1" applyAlignment="1">
      <alignment vertical="center" wrapText="1"/>
    </xf>
    <xf numFmtId="6" fontId="18" fillId="6" borderId="0" xfId="0" applyNumberFormat="1" applyFont="1" applyFill="1" applyAlignment="1">
      <alignment horizontal="center" vertical="center"/>
    </xf>
    <xf numFmtId="6" fontId="2" fillId="0" borderId="0" xfId="0" applyNumberFormat="1" applyFont="1" applyAlignment="1">
      <alignment vertical="center"/>
    </xf>
    <xf numFmtId="6" fontId="18" fillId="0" borderId="0" xfId="0" applyNumberFormat="1" applyFont="1" applyAlignment="1">
      <alignment horizontal="center" vertical="center"/>
    </xf>
    <xf numFmtId="3" fontId="2" fillId="0" borderId="0" xfId="0" applyNumberFormat="1" applyFont="1" applyAlignment="1">
      <alignment vertical="center"/>
    </xf>
    <xf numFmtId="176" fontId="2" fillId="0" borderId="0" xfId="0" applyNumberFormat="1" applyFont="1" applyAlignment="1">
      <alignment vertical="center"/>
    </xf>
    <xf numFmtId="10" fontId="2" fillId="0" borderId="0" xfId="0" applyNumberFormat="1" applyFont="1" applyAlignment="1">
      <alignment vertical="center"/>
    </xf>
    <xf numFmtId="179" fontId="2" fillId="0" borderId="0" xfId="0" applyNumberFormat="1" applyFont="1" applyAlignment="1">
      <alignment vertical="center"/>
    </xf>
    <xf numFmtId="180" fontId="2" fillId="0" borderId="0" xfId="0" applyNumberFormat="1" applyFont="1" applyAlignment="1">
      <alignment vertical="center"/>
    </xf>
    <xf numFmtId="8" fontId="2" fillId="0" borderId="0" xfId="0" applyNumberFormat="1" applyFont="1" applyAlignment="1">
      <alignment horizontal="center" vertical="center"/>
    </xf>
    <xf numFmtId="0" fontId="2" fillId="0" borderId="0" xfId="0" applyFont="1" applyBorder="1" applyAlignment="1">
      <alignment vertical="center"/>
    </xf>
    <xf numFmtId="6" fontId="19" fillId="0" borderId="0" xfId="0" applyNumberFormat="1" applyFont="1" applyBorder="1" applyAlignment="1">
      <alignment horizontal="center" vertical="center" wrapText="1" readingOrder="1"/>
    </xf>
    <xf numFmtId="6" fontId="18" fillId="0" borderId="0" xfId="0" applyNumberFormat="1" applyFont="1" applyBorder="1" applyAlignment="1">
      <alignment horizontal="center" vertical="center"/>
    </xf>
    <xf numFmtId="165" fontId="5" fillId="0" borderId="0" xfId="0" applyNumberFormat="1" applyFont="1" applyAlignment="1">
      <alignment vertical="center"/>
    </xf>
    <xf numFmtId="0" fontId="21" fillId="0" borderId="0" xfId="0" applyFont="1" applyAlignment="1">
      <alignment horizontal="left" vertical="center"/>
    </xf>
    <xf numFmtId="3" fontId="2" fillId="0" borderId="0" xfId="0" applyNumberFormat="1" applyFont="1" applyAlignment="1">
      <alignment horizontal="center" vertical="center"/>
    </xf>
    <xf numFmtId="0" fontId="23" fillId="0" borderId="0" xfId="0" applyFont="1"/>
    <xf numFmtId="0" fontId="24" fillId="0" borderId="0" xfId="0" applyFont="1" applyAlignment="1">
      <alignment horizontal="center" vertical="center"/>
    </xf>
    <xf numFmtId="9" fontId="25" fillId="0" borderId="0" xfId="0" applyNumberFormat="1" applyFont="1" applyAlignment="1">
      <alignment horizontal="center" vertical="center"/>
    </xf>
    <xf numFmtId="0" fontId="22" fillId="0" borderId="0" xfId="0" applyFont="1" applyAlignment="1">
      <alignment vertical="center"/>
    </xf>
    <xf numFmtId="165" fontId="5" fillId="0" borderId="0" xfId="0" applyNumberFormat="1" applyFont="1" applyBorder="1" applyAlignment="1">
      <alignment vertical="center"/>
    </xf>
    <xf numFmtId="181" fontId="20" fillId="6" borderId="0" xfId="0" applyNumberFormat="1" applyFont="1" applyFill="1" applyBorder="1" applyAlignment="1">
      <alignment horizontal="center" vertical="center"/>
    </xf>
    <xf numFmtId="6" fontId="18" fillId="6" borderId="0" xfId="0" applyNumberFormat="1" applyFont="1" applyFill="1" applyBorder="1" applyAlignment="1">
      <alignment horizontal="center" vertical="center"/>
    </xf>
    <xf numFmtId="6" fontId="2" fillId="0" borderId="0" xfId="0" applyNumberFormat="1" applyFont="1" applyBorder="1" applyAlignment="1">
      <alignment vertical="center"/>
    </xf>
    <xf numFmtId="176" fontId="2" fillId="0" borderId="0" xfId="0" applyNumberFormat="1" applyFont="1" applyBorder="1" applyAlignment="1">
      <alignment vertical="center"/>
    </xf>
    <xf numFmtId="3" fontId="2" fillId="0" borderId="0" xfId="0" applyNumberFormat="1" applyFont="1" applyBorder="1" applyAlignment="1">
      <alignment vertical="center"/>
    </xf>
    <xf numFmtId="170" fontId="2" fillId="0" borderId="0" xfId="0" applyNumberFormat="1" applyFont="1" applyBorder="1" applyAlignment="1">
      <alignment vertical="center"/>
    </xf>
    <xf numFmtId="0" fontId="26" fillId="0" borderId="0" xfId="0" applyFont="1" applyAlignment="1">
      <alignment vertical="center"/>
    </xf>
    <xf numFmtId="0" fontId="1" fillId="7" borderId="3" xfId="0" applyFont="1" applyFill="1" applyBorder="1"/>
    <xf numFmtId="0" fontId="1" fillId="7" borderId="7" xfId="0" applyFont="1" applyFill="1" applyBorder="1"/>
    <xf numFmtId="0" fontId="27" fillId="0" borderId="0" xfId="0" applyFont="1"/>
    <xf numFmtId="178" fontId="1" fillId="0" borderId="0" xfId="0" applyNumberFormat="1" applyFont="1"/>
    <xf numFmtId="176" fontId="10" fillId="0" borderId="17" xfId="0" applyNumberFormat="1" applyFont="1" applyBorder="1"/>
    <xf numFmtId="0" fontId="10" fillId="0" borderId="2" xfId="0" applyFont="1" applyBorder="1"/>
    <xf numFmtId="0" fontId="10" fillId="0" borderId="2" xfId="0" applyFont="1" applyBorder="1" applyAlignment="1">
      <alignment horizontal="center"/>
    </xf>
    <xf numFmtId="178" fontId="10" fillId="0" borderId="0" xfId="0" applyNumberFormat="1" applyFont="1"/>
    <xf numFmtId="176" fontId="1" fillId="0" borderId="0" xfId="0" applyNumberFormat="1" applyFont="1"/>
    <xf numFmtId="3" fontId="1" fillId="0" borderId="0" xfId="0" applyNumberFormat="1" applyFont="1"/>
    <xf numFmtId="0" fontId="1" fillId="0" borderId="0" xfId="0" applyFont="1" applyBorder="1"/>
    <xf numFmtId="0" fontId="10" fillId="0" borderId="0" xfId="0" applyFont="1" applyBorder="1"/>
    <xf numFmtId="176" fontId="10" fillId="0" borderId="0" xfId="0" applyNumberFormat="1" applyFont="1" applyBorder="1"/>
    <xf numFmtId="3" fontId="1" fillId="0" borderId="0" xfId="0" applyNumberFormat="1" applyFont="1" applyBorder="1"/>
    <xf numFmtId="176" fontId="1" fillId="7" borderId="7" xfId="0" applyNumberFormat="1" applyFont="1" applyFill="1" applyBorder="1"/>
    <xf numFmtId="176" fontId="10" fillId="0" borderId="0" xfId="0" applyNumberFormat="1" applyFont="1"/>
    <xf numFmtId="0" fontId="28" fillId="0" borderId="0" xfId="0" quotePrefix="1" applyFont="1"/>
    <xf numFmtId="8" fontId="29" fillId="0" borderId="0" xfId="0" applyNumberFormat="1" applyFont="1" applyBorder="1" applyAlignment="1">
      <alignment horizontal="center" vertical="center" wrapText="1" readingOrder="1"/>
    </xf>
    <xf numFmtId="8" fontId="1" fillId="0" borderId="0" xfId="0" applyNumberFormat="1" applyFont="1" applyBorder="1"/>
    <xf numFmtId="177" fontId="1" fillId="0" borderId="0" xfId="0" applyNumberFormat="1" applyFont="1" applyBorder="1"/>
    <xf numFmtId="180" fontId="1" fillId="0" borderId="0" xfId="0" applyNumberFormat="1" applyFont="1"/>
    <xf numFmtId="169" fontId="1" fillId="0" borderId="0" xfId="0" applyNumberFormat="1" applyFont="1" applyBorder="1" applyAlignment="1">
      <alignment horizontal="center" vertical="center"/>
    </xf>
    <xf numFmtId="169" fontId="1" fillId="0" borderId="15" xfId="0" applyNumberFormat="1" applyFont="1" applyBorder="1" applyAlignment="1">
      <alignment horizontal="center" vertical="center"/>
    </xf>
    <xf numFmtId="172" fontId="1" fillId="0" borderId="15" xfId="0" applyNumberFormat="1" applyFont="1" applyBorder="1" applyAlignment="1">
      <alignment horizontal="center" vertical="center"/>
    </xf>
    <xf numFmtId="173" fontId="1" fillId="0" borderId="15" xfId="0" applyNumberFormat="1" applyFont="1" applyBorder="1" applyAlignment="1">
      <alignment horizontal="center" vertical="center"/>
    </xf>
    <xf numFmtId="169" fontId="1" fillId="0" borderId="9" xfId="0" applyNumberFormat="1" applyFont="1" applyBorder="1" applyAlignment="1">
      <alignment horizontal="center" vertical="center"/>
    </xf>
    <xf numFmtId="176" fontId="13" fillId="0" borderId="0" xfId="0" applyNumberFormat="1" applyFont="1" applyBorder="1" applyAlignment="1">
      <alignment horizontal="center" vertical="center"/>
    </xf>
    <xf numFmtId="176" fontId="13" fillId="0" borderId="9" xfId="0" applyNumberFormat="1" applyFont="1" applyBorder="1" applyAlignment="1">
      <alignment horizontal="center" vertical="center"/>
    </xf>
    <xf numFmtId="176" fontId="13" fillId="0" borderId="1" xfId="0" applyNumberFormat="1" applyFont="1" applyBorder="1" applyAlignment="1">
      <alignment horizontal="center" vertical="center"/>
    </xf>
    <xf numFmtId="169" fontId="1" fillId="0" borderId="1" xfId="0" applyNumberFormat="1" applyFont="1" applyBorder="1" applyAlignment="1">
      <alignment horizontal="center" vertical="center"/>
    </xf>
    <xf numFmtId="169" fontId="1" fillId="0" borderId="12" xfId="0" applyNumberFormat="1" applyFont="1" applyBorder="1" applyAlignment="1">
      <alignment horizontal="center" vertical="center"/>
    </xf>
    <xf numFmtId="176" fontId="13" fillId="0" borderId="12" xfId="0" applyNumberFormat="1" applyFont="1" applyBorder="1" applyAlignment="1">
      <alignment horizontal="center" vertical="center"/>
    </xf>
    <xf numFmtId="0" fontId="13" fillId="7" borderId="18" xfId="0" applyFont="1" applyFill="1" applyBorder="1"/>
    <xf numFmtId="0" fontId="13" fillId="7" borderId="17" xfId="0" applyFont="1" applyFill="1" applyBorder="1" applyAlignment="1">
      <alignment horizontal="center"/>
    </xf>
    <xf numFmtId="3" fontId="13" fillId="7" borderId="17" xfId="0" applyNumberFormat="1" applyFont="1" applyFill="1" applyBorder="1" applyAlignment="1">
      <alignment horizontal="center"/>
    </xf>
    <xf numFmtId="3" fontId="13" fillId="7" borderId="19" xfId="0" applyNumberFormat="1" applyFont="1" applyFill="1" applyBorder="1" applyAlignment="1">
      <alignment horizontal="center"/>
    </xf>
    <xf numFmtId="0" fontId="13" fillId="0" borderId="10" xfId="0" applyFont="1" applyBorder="1"/>
    <xf numFmtId="176" fontId="13" fillId="0" borderId="0" xfId="0" applyNumberFormat="1" applyFont="1" applyBorder="1" applyAlignment="1">
      <alignment horizontal="center"/>
    </xf>
    <xf numFmtId="176" fontId="13" fillId="0" borderId="8" xfId="0" applyNumberFormat="1" applyFont="1" applyBorder="1" applyAlignment="1">
      <alignment horizontal="center"/>
    </xf>
    <xf numFmtId="0" fontId="13" fillId="0" borderId="11" xfId="0" applyFont="1" applyBorder="1"/>
    <xf numFmtId="176" fontId="13" fillId="0" borderId="1" xfId="0" applyNumberFormat="1" applyFont="1" applyBorder="1" applyAlignment="1">
      <alignment horizontal="center"/>
    </xf>
    <xf numFmtId="176" fontId="13" fillId="0" borderId="12" xfId="0" applyNumberFormat="1" applyFont="1" applyBorder="1" applyAlignment="1">
      <alignment horizontal="center"/>
    </xf>
    <xf numFmtId="0" fontId="13" fillId="7" borderId="11" xfId="0" applyFont="1" applyFill="1" applyBorder="1"/>
    <xf numFmtId="3" fontId="13" fillId="7" borderId="1" xfId="0" applyNumberFormat="1" applyFont="1" applyFill="1" applyBorder="1" applyAlignment="1">
      <alignment horizontal="center"/>
    </xf>
    <xf numFmtId="3" fontId="13" fillId="7" borderId="12" xfId="0" applyNumberFormat="1" applyFont="1" applyFill="1" applyBorder="1" applyAlignment="1">
      <alignment horizontal="center"/>
    </xf>
    <xf numFmtId="0" fontId="2" fillId="0" borderId="2" xfId="0" applyFont="1" applyBorder="1" applyAlignment="1">
      <alignment horizontal="left" vertical="center"/>
    </xf>
    <xf numFmtId="0" fontId="8" fillId="0" borderId="3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8" fillId="0" borderId="3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3" fontId="8" fillId="0" borderId="3" xfId="0" applyNumberFormat="1" applyFont="1" applyBorder="1" applyAlignment="1">
      <alignment horizontal="center" vertical="center"/>
    </xf>
    <xf numFmtId="3" fontId="8" fillId="0" borderId="7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8" fillId="0" borderId="2" xfId="0" applyFont="1" applyBorder="1" applyAlignment="1">
      <alignment horizontal="center" vertical="center" wrapText="1"/>
    </xf>
    <xf numFmtId="11" fontId="2" fillId="0" borderId="3" xfId="0" applyNumberFormat="1" applyFont="1" applyBorder="1" applyAlignment="1">
      <alignment horizontal="center" vertical="center"/>
    </xf>
    <xf numFmtId="11" fontId="2" fillId="0" borderId="4" xfId="0" applyNumberFormat="1" applyFont="1" applyBorder="1" applyAlignment="1">
      <alignment horizontal="center" vertical="center"/>
    </xf>
    <xf numFmtId="11" fontId="2" fillId="0" borderId="7" xfId="0" applyNumberFormat="1" applyFont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2" defaultPivotStyle="PivotStyleLight16"/>
  <colors>
    <mruColors>
      <color rgb="FF0000FF"/>
      <color rgb="FFFFAFAF"/>
      <color rgb="FFA2E8A2"/>
      <color rgb="FFFFFFA7"/>
      <color rgb="FFE8E8E8"/>
      <color rgb="FFE2E2E2"/>
      <color rgb="FFD1D1D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EYInterstate Light" panose="02000506000000020004" pitchFamily="2" charset="0"/>
                <a:ea typeface="+mn-ea"/>
                <a:cs typeface="+mn-cs"/>
              </a:defRPr>
            </a:pPr>
            <a:r>
              <a:rPr lang="en-US"/>
              <a:t>Five Year Public Blockchain Costs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EYInterstate Light" panose="02000506000000020004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0"/>
          <c:tx>
            <c:strRef>
              <c:f>Underlying!$A$33</c:f>
              <c:strCache>
                <c:ptCount val="1"/>
                <c:pt idx="0">
                  <c:v>Onboarding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Underlying!$A$55:$A$59</c:f>
              <c:strCache>
                <c:ptCount val="5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  <c:pt idx="3">
                  <c:v>Year 4</c:v>
                </c:pt>
                <c:pt idx="4">
                  <c:v>Year 5</c:v>
                </c:pt>
              </c:strCache>
            </c:strRef>
          </c:cat>
          <c:val>
            <c:numRef>
              <c:f>Underlying!$E$33:$I$33</c:f>
              <c:numCache>
                <c:formatCode>"$"#,##0</c:formatCode>
                <c:ptCount val="5"/>
                <c:pt idx="0">
                  <c:v>98376</c:v>
                </c:pt>
                <c:pt idx="1">
                  <c:v>3867.6874999999995</c:v>
                </c:pt>
                <c:pt idx="2">
                  <c:v>3676.0244062499996</c:v>
                </c:pt>
                <c:pt idx="3">
                  <c:v>3494.6340795351562</c:v>
                </c:pt>
                <c:pt idx="4">
                  <c:v>3322.9909816556428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72-4F1E-9B16-73603455DC24}"/>
            </c:ext>
          </c:extLst>
        </c:ser>
        <c:ser>
          <c:idx val="1"/>
          <c:order val="1"/>
          <c:tx>
            <c:strRef>
              <c:f>Underlying!$A$34</c:f>
              <c:strCache>
                <c:ptCount val="1"/>
                <c:pt idx="0">
                  <c:v>Cloud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Underlying!$A$55:$A$59</c:f>
              <c:strCache>
                <c:ptCount val="5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  <c:pt idx="3">
                  <c:v>Year 4</c:v>
                </c:pt>
                <c:pt idx="4">
                  <c:v>Year 5</c:v>
                </c:pt>
              </c:strCache>
            </c:strRef>
          </c:cat>
          <c:val>
            <c:numRef>
              <c:f>Underlying!$E$34:$I$34</c:f>
              <c:numCache>
                <c:formatCode>"$"#,##0</c:formatCode>
                <c:ptCount val="5"/>
                <c:pt idx="0">
                  <c:v>22000.021599192878</c:v>
                </c:pt>
                <c:pt idx="1">
                  <c:v>18810.02119127359</c:v>
                </c:pt>
                <c:pt idx="2">
                  <c:v>16082.570824146231</c:v>
                </c:pt>
                <c:pt idx="3">
                  <c:v>13750.600743731604</c:v>
                </c:pt>
                <c:pt idx="4">
                  <c:v>11756.766310108444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72-4F1E-9B16-73603455DC24}"/>
            </c:ext>
          </c:extLst>
        </c:ser>
        <c:ser>
          <c:idx val="3"/>
          <c:order val="2"/>
          <c:tx>
            <c:strRef>
              <c:f>Underlying!$A$35</c:f>
              <c:strCache>
                <c:ptCount val="1"/>
                <c:pt idx="0">
                  <c:v>On-Going Maintenance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Underlying!$A$55:$A$59</c:f>
              <c:strCache>
                <c:ptCount val="5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  <c:pt idx="3">
                  <c:v>Year 4</c:v>
                </c:pt>
                <c:pt idx="4">
                  <c:v>Year 5</c:v>
                </c:pt>
              </c:strCache>
            </c:strRef>
          </c:cat>
          <c:val>
            <c:numRef>
              <c:f>Underlying!$E$35:$I$35</c:f>
              <c:numCache>
                <c:formatCode>"$"#,##0</c:formatCode>
                <c:ptCount val="5"/>
                <c:pt idx="0">
                  <c:v>140640</c:v>
                </c:pt>
                <c:pt idx="1">
                  <c:v>140455.5</c:v>
                </c:pt>
                <c:pt idx="2">
                  <c:v>140275.35625000001</c:v>
                </c:pt>
                <c:pt idx="3">
                  <c:v>140099.363109375</c:v>
                </c:pt>
                <c:pt idx="4">
                  <c:v>139927.32518910157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172-4F1E-9B16-73603455DC24}"/>
            </c:ext>
          </c:extLst>
        </c:ser>
        <c:ser>
          <c:idx val="4"/>
          <c:order val="3"/>
          <c:tx>
            <c:strRef>
              <c:f>Underlying!$A$36</c:f>
              <c:strCache>
                <c:ptCount val="1"/>
                <c:pt idx="0">
                  <c:v>Monitoring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Underlying!$A$55:$A$59</c:f>
              <c:strCache>
                <c:ptCount val="5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  <c:pt idx="3">
                  <c:v>Year 4</c:v>
                </c:pt>
                <c:pt idx="4">
                  <c:v>Year 5</c:v>
                </c:pt>
              </c:strCache>
            </c:strRef>
          </c:cat>
          <c:val>
            <c:numRef>
              <c:f>Underlying!$E$36:$I$36</c:f>
              <c:numCache>
                <c:formatCode>"$"#,##0</c:formatCode>
                <c:ptCount val="5"/>
                <c:pt idx="0">
                  <c:v>1710.2000000000003</c:v>
                </c:pt>
                <c:pt idx="1">
                  <c:v>1706.9150000000002</c:v>
                </c:pt>
                <c:pt idx="2">
                  <c:v>1703.7942500000001</c:v>
                </c:pt>
                <c:pt idx="3">
                  <c:v>1700.8295375000002</c:v>
                </c:pt>
                <c:pt idx="4">
                  <c:v>1698.0130606250002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172-4F1E-9B16-73603455DC24}"/>
            </c:ext>
          </c:extLst>
        </c:ser>
        <c:ser>
          <c:idx val="0"/>
          <c:order val="4"/>
          <c:tx>
            <c:strRef>
              <c:f>Underlying!$A$32</c:f>
              <c:strCache>
                <c:ptCount val="1"/>
                <c:pt idx="0">
                  <c:v>Initial platform build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Underlying!$E$32</c:f>
              <c:numCache>
                <c:formatCode>"$"#,##0</c:formatCode>
                <c:ptCount val="1"/>
                <c:pt idx="0">
                  <c:v>660000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D2-4CD7-B000-72799417CE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08307576"/>
        <c:axId val="408307184"/>
      </c:barChart>
      <c:catAx>
        <c:axId val="408307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EYInterstate Light" panose="02000506000000020004" pitchFamily="2" charset="0"/>
                <a:ea typeface="+mn-ea"/>
                <a:cs typeface="+mn-cs"/>
              </a:defRPr>
            </a:pPr>
            <a:endParaRPr lang="en-US"/>
          </a:p>
        </c:txPr>
        <c:crossAx val="408307184"/>
        <c:crosses val="autoZero"/>
        <c:auto val="1"/>
        <c:lblAlgn val="ctr"/>
        <c:lblOffset val="100"/>
        <c:noMultiLvlLbl val="0"/>
      </c:catAx>
      <c:valAx>
        <c:axId val="40830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EYInterstate Light" panose="02000506000000020004" pitchFamily="2" charset="0"/>
                <a:ea typeface="+mn-ea"/>
                <a:cs typeface="+mn-cs"/>
              </a:defRPr>
            </a:pPr>
            <a:endParaRPr lang="en-US"/>
          </a:p>
        </c:txPr>
        <c:crossAx val="408307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EYInterstate Light" panose="02000506000000020004" pitchFamily="2" charset="0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2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EYInterstate Light" panose="02000506000000020004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EYInterstate Light" panose="02000506000000020004" pitchFamily="2" charset="0"/>
                <a:ea typeface="+mn-ea"/>
                <a:cs typeface="+mn-cs"/>
              </a:defRPr>
            </a:pPr>
            <a:r>
              <a:rPr lang="en-US"/>
              <a:t>Five Year Public (Current)</a:t>
            </a:r>
            <a:r>
              <a:rPr lang="en-US" baseline="0"/>
              <a:t> </a:t>
            </a:r>
            <a:r>
              <a:rPr lang="en-US"/>
              <a:t>Blockchain Costs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EYInterstate Light" panose="02000506000000020004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0"/>
          <c:tx>
            <c:strRef>
              <c:f>Underlying!$A$33</c:f>
              <c:strCache>
                <c:ptCount val="1"/>
                <c:pt idx="0">
                  <c:v>Onboarding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Underlying!$A$55:$A$59</c:f>
              <c:strCache>
                <c:ptCount val="5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  <c:pt idx="3">
                  <c:v>Year 4</c:v>
                </c:pt>
                <c:pt idx="4">
                  <c:v>Year 5</c:v>
                </c:pt>
              </c:strCache>
            </c:strRef>
          </c:cat>
          <c:val>
            <c:numRef>
              <c:f>Underlying!$E$40:$I$40</c:f>
              <c:numCache>
                <c:formatCode>"$"#,##0</c:formatCode>
                <c:ptCount val="5"/>
                <c:pt idx="0">
                  <c:v>3380</c:v>
                </c:pt>
                <c:pt idx="1">
                  <c:v>154.70749999999998</c:v>
                </c:pt>
                <c:pt idx="2">
                  <c:v>147.04097625000006</c:v>
                </c:pt>
                <c:pt idx="3">
                  <c:v>139.78536318140655</c:v>
                </c:pt>
                <c:pt idx="4">
                  <c:v>132.91963926622532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FA-483C-BDD9-B946CCFCE5E3}"/>
            </c:ext>
          </c:extLst>
        </c:ser>
        <c:ser>
          <c:idx val="1"/>
          <c:order val="1"/>
          <c:tx>
            <c:strRef>
              <c:f>Underlying!$A$34</c:f>
              <c:strCache>
                <c:ptCount val="1"/>
                <c:pt idx="0">
                  <c:v>Cloud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Underlying!$A$55:$A$59</c:f>
              <c:strCache>
                <c:ptCount val="5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  <c:pt idx="3">
                  <c:v>Year 4</c:v>
                </c:pt>
                <c:pt idx="4">
                  <c:v>Year 5</c:v>
                </c:pt>
              </c:strCache>
            </c:strRef>
          </c:cat>
          <c:val>
            <c:numRef>
              <c:f>Underlying!$E$41:$I$41</c:f>
              <c:numCache>
                <c:formatCode>"$"#,##0</c:formatCode>
                <c:ptCount val="5"/>
                <c:pt idx="0">
                  <c:v>8799</c:v>
                </c:pt>
                <c:pt idx="1">
                  <c:v>8359.0499999999993</c:v>
                </c:pt>
                <c:pt idx="2">
                  <c:v>7941.0974999999989</c:v>
                </c:pt>
                <c:pt idx="3">
                  <c:v>7544.0426249999982</c:v>
                </c:pt>
                <c:pt idx="4">
                  <c:v>7166.8404937499981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FA-483C-BDD9-B946CCFCE5E3}"/>
            </c:ext>
          </c:extLst>
        </c:ser>
        <c:ser>
          <c:idx val="3"/>
          <c:order val="2"/>
          <c:tx>
            <c:strRef>
              <c:f>Underlying!$A$35</c:f>
              <c:strCache>
                <c:ptCount val="1"/>
                <c:pt idx="0">
                  <c:v>On-Going Maintenance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Underlying!$A$55:$A$59</c:f>
              <c:strCache>
                <c:ptCount val="5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  <c:pt idx="3">
                  <c:v>Year 4</c:v>
                </c:pt>
                <c:pt idx="4">
                  <c:v>Year 5</c:v>
                </c:pt>
              </c:strCache>
            </c:strRef>
          </c:cat>
          <c:val>
            <c:numRef>
              <c:f>Underlying!$E$42:$I$42</c:f>
              <c:numCache>
                <c:formatCode>"$"#,##0</c:formatCode>
                <c:ptCount val="5"/>
                <c:pt idx="0">
                  <c:v>1640</c:v>
                </c:pt>
                <c:pt idx="1">
                  <c:v>1635.8999999999999</c:v>
                </c:pt>
                <c:pt idx="2">
                  <c:v>1631.81025</c:v>
                </c:pt>
                <c:pt idx="3">
                  <c:v>1627.7307243750001</c:v>
                </c:pt>
                <c:pt idx="4">
                  <c:v>1623.6613975640628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FA-483C-BDD9-B946CCFCE5E3}"/>
            </c:ext>
          </c:extLst>
        </c:ser>
        <c:ser>
          <c:idx val="4"/>
          <c:order val="3"/>
          <c:tx>
            <c:strRef>
              <c:f>Underlying!$A$36</c:f>
              <c:strCache>
                <c:ptCount val="1"/>
                <c:pt idx="0">
                  <c:v>Monitoring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Underlying!$A$55:$A$59</c:f>
              <c:strCache>
                <c:ptCount val="5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  <c:pt idx="3">
                  <c:v>Year 4</c:v>
                </c:pt>
                <c:pt idx="4">
                  <c:v>Year 5</c:v>
                </c:pt>
              </c:strCache>
            </c:strRef>
          </c:cat>
          <c:val>
            <c:numRef>
              <c:f>Underlying!$E$43:$I$43</c:f>
              <c:numCache>
                <c:formatCode>"$"#,##0</c:formatCode>
                <c:ptCount val="5"/>
                <c:pt idx="0">
                  <c:v>1710.2000000000003</c:v>
                </c:pt>
                <c:pt idx="1">
                  <c:v>1706.9150000000002</c:v>
                </c:pt>
                <c:pt idx="2">
                  <c:v>1644.5000000000002</c:v>
                </c:pt>
                <c:pt idx="3">
                  <c:v>1644.5000000000002</c:v>
                </c:pt>
                <c:pt idx="4">
                  <c:v>1644.5000000000002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7FA-483C-BDD9-B946CCFCE5E3}"/>
            </c:ext>
          </c:extLst>
        </c:ser>
        <c:ser>
          <c:idx val="0"/>
          <c:order val="4"/>
          <c:tx>
            <c:strRef>
              <c:f>Underlying!$A$32</c:f>
              <c:strCache>
                <c:ptCount val="1"/>
                <c:pt idx="0">
                  <c:v>Initial platform build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Underlying!$E$39</c:f>
              <c:numCache>
                <c:formatCode>"$"#,##0</c:formatCode>
                <c:ptCount val="1"/>
                <c:pt idx="0">
                  <c:v>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7FA-483C-BDD9-B946CCFCE5E3}"/>
            </c:ext>
          </c:extLst>
        </c:ser>
        <c:ser>
          <c:idx val="5"/>
          <c:order val="5"/>
          <c:tx>
            <c:strRef>
              <c:f>Underlying!$A$44</c:f>
              <c:strCache>
                <c:ptCount val="1"/>
                <c:pt idx="0">
                  <c:v>Variable Costs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Underlying!$E$44:$I$44</c:f>
              <c:numCache>
                <c:formatCode>"$"#,##0</c:formatCode>
                <c:ptCount val="5"/>
                <c:pt idx="0">
                  <c:v>1825000</c:v>
                </c:pt>
                <c:pt idx="1">
                  <c:v>1825000</c:v>
                </c:pt>
                <c:pt idx="2">
                  <c:v>1825000</c:v>
                </c:pt>
                <c:pt idx="3">
                  <c:v>1825000</c:v>
                </c:pt>
                <c:pt idx="4">
                  <c:v>1825000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C5-48A2-9E5F-9DADB0EFA3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08303264"/>
        <c:axId val="408304440"/>
      </c:barChart>
      <c:catAx>
        <c:axId val="408303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EYInterstate Light" panose="02000506000000020004" pitchFamily="2" charset="0"/>
                <a:ea typeface="+mn-ea"/>
                <a:cs typeface="+mn-cs"/>
              </a:defRPr>
            </a:pPr>
            <a:endParaRPr lang="en-US"/>
          </a:p>
        </c:txPr>
        <c:crossAx val="408304440"/>
        <c:crosses val="autoZero"/>
        <c:auto val="1"/>
        <c:lblAlgn val="ctr"/>
        <c:lblOffset val="100"/>
        <c:noMultiLvlLbl val="0"/>
      </c:catAx>
      <c:valAx>
        <c:axId val="408304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EYInterstate Light" panose="02000506000000020004" pitchFamily="2" charset="0"/>
                <a:ea typeface="+mn-ea"/>
                <a:cs typeface="+mn-cs"/>
              </a:defRPr>
            </a:pPr>
            <a:endParaRPr lang="en-US"/>
          </a:p>
        </c:txPr>
        <c:crossAx val="408303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EYInterstate Light" panose="02000506000000020004" pitchFamily="2" charset="0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2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EYInterstate Light" panose="02000506000000020004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EYInterstate Light" panose="02000506000000020004" pitchFamily="2" charset="0"/>
                <a:ea typeface="+mn-ea"/>
                <a:cs typeface="+mn-cs"/>
              </a:defRPr>
            </a:pPr>
            <a:r>
              <a:rPr lang="en-US"/>
              <a:t>Five Year Public (Future) Blockchain Costs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EYInterstate Light" panose="02000506000000020004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0"/>
          <c:tx>
            <c:strRef>
              <c:f>Underlying!$A$33</c:f>
              <c:strCache>
                <c:ptCount val="1"/>
                <c:pt idx="0">
                  <c:v>Onboarding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Underlying!$A$55:$A$59</c:f>
              <c:strCache>
                <c:ptCount val="5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  <c:pt idx="3">
                  <c:v>Year 4</c:v>
                </c:pt>
                <c:pt idx="4">
                  <c:v>Year 5</c:v>
                </c:pt>
              </c:strCache>
            </c:strRef>
          </c:cat>
          <c:val>
            <c:numRef>
              <c:f>Underlying!$E$48:$I$48</c:f>
              <c:numCache>
                <c:formatCode>"$"#,##0</c:formatCode>
                <c:ptCount val="5"/>
                <c:pt idx="0">
                  <c:v>3380</c:v>
                </c:pt>
                <c:pt idx="1">
                  <c:v>154.70749999999998</c:v>
                </c:pt>
                <c:pt idx="2">
                  <c:v>147.04097625000006</c:v>
                </c:pt>
                <c:pt idx="3">
                  <c:v>139.78536318140655</c:v>
                </c:pt>
                <c:pt idx="4">
                  <c:v>132.91963926622532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BE-4068-9E50-7C90E33F2C05}"/>
            </c:ext>
          </c:extLst>
        </c:ser>
        <c:ser>
          <c:idx val="1"/>
          <c:order val="1"/>
          <c:tx>
            <c:strRef>
              <c:f>Underlying!$A$34</c:f>
              <c:strCache>
                <c:ptCount val="1"/>
                <c:pt idx="0">
                  <c:v>Cloud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Underlying!$A$55:$A$59</c:f>
              <c:strCache>
                <c:ptCount val="5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  <c:pt idx="3">
                  <c:v>Year 4</c:v>
                </c:pt>
                <c:pt idx="4">
                  <c:v>Year 5</c:v>
                </c:pt>
              </c:strCache>
            </c:strRef>
          </c:cat>
          <c:val>
            <c:numRef>
              <c:f>Underlying!$E$49:$I$49</c:f>
              <c:numCache>
                <c:formatCode>"$"#,##0</c:formatCode>
                <c:ptCount val="5"/>
                <c:pt idx="0">
                  <c:v>8799</c:v>
                </c:pt>
                <c:pt idx="1">
                  <c:v>8359.0499999999993</c:v>
                </c:pt>
                <c:pt idx="2">
                  <c:v>7941.0974999999989</c:v>
                </c:pt>
                <c:pt idx="3">
                  <c:v>7544.0426249999982</c:v>
                </c:pt>
                <c:pt idx="4">
                  <c:v>7166.8404937499981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BE-4068-9E50-7C90E33F2C05}"/>
            </c:ext>
          </c:extLst>
        </c:ser>
        <c:ser>
          <c:idx val="3"/>
          <c:order val="2"/>
          <c:tx>
            <c:strRef>
              <c:f>Underlying!$A$35</c:f>
              <c:strCache>
                <c:ptCount val="1"/>
                <c:pt idx="0">
                  <c:v>On-Going Maintenance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Underlying!$A$55:$A$59</c:f>
              <c:strCache>
                <c:ptCount val="5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  <c:pt idx="3">
                  <c:v>Year 4</c:v>
                </c:pt>
                <c:pt idx="4">
                  <c:v>Year 5</c:v>
                </c:pt>
              </c:strCache>
            </c:strRef>
          </c:cat>
          <c:val>
            <c:numRef>
              <c:f>Underlying!$E$50:$I$50</c:f>
              <c:numCache>
                <c:formatCode>"$"#,##0</c:formatCode>
                <c:ptCount val="5"/>
                <c:pt idx="0">
                  <c:v>1640</c:v>
                </c:pt>
                <c:pt idx="1">
                  <c:v>1635.8999999999999</c:v>
                </c:pt>
                <c:pt idx="2">
                  <c:v>1631.81025</c:v>
                </c:pt>
                <c:pt idx="3">
                  <c:v>1627.7307243750001</c:v>
                </c:pt>
                <c:pt idx="4">
                  <c:v>1623.6613975640628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2BE-4068-9E50-7C90E33F2C05}"/>
            </c:ext>
          </c:extLst>
        </c:ser>
        <c:ser>
          <c:idx val="4"/>
          <c:order val="3"/>
          <c:tx>
            <c:strRef>
              <c:f>Underlying!$A$36</c:f>
              <c:strCache>
                <c:ptCount val="1"/>
                <c:pt idx="0">
                  <c:v>Monitoring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Underlying!$A$55:$A$59</c:f>
              <c:strCache>
                <c:ptCount val="5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  <c:pt idx="3">
                  <c:v>Year 4</c:v>
                </c:pt>
                <c:pt idx="4">
                  <c:v>Year 5</c:v>
                </c:pt>
              </c:strCache>
            </c:strRef>
          </c:cat>
          <c:val>
            <c:numRef>
              <c:f>Underlying!$E$51:$I$51</c:f>
              <c:numCache>
                <c:formatCode>"$"#,##0</c:formatCode>
                <c:ptCount val="5"/>
                <c:pt idx="0">
                  <c:v>1710.2000000000003</c:v>
                </c:pt>
                <c:pt idx="1">
                  <c:v>1706.9150000000002</c:v>
                </c:pt>
                <c:pt idx="2">
                  <c:v>1644.5000000000002</c:v>
                </c:pt>
                <c:pt idx="3">
                  <c:v>1644.5000000000002</c:v>
                </c:pt>
                <c:pt idx="4">
                  <c:v>1644.5000000000002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BE-4068-9E50-7C90E33F2C05}"/>
            </c:ext>
          </c:extLst>
        </c:ser>
        <c:ser>
          <c:idx val="0"/>
          <c:order val="4"/>
          <c:tx>
            <c:strRef>
              <c:f>Underlying!$A$32</c:f>
              <c:strCache>
                <c:ptCount val="1"/>
                <c:pt idx="0">
                  <c:v>Initial platform build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Underlying!$E$47</c:f>
              <c:numCache>
                <c:formatCode>"$"#,##0</c:formatCode>
                <c:ptCount val="1"/>
                <c:pt idx="0">
                  <c:v>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2BE-4068-9E50-7C90E33F2C05}"/>
            </c:ext>
          </c:extLst>
        </c:ser>
        <c:ser>
          <c:idx val="5"/>
          <c:order val="5"/>
          <c:tx>
            <c:strRef>
              <c:f>Underlying!$A$44</c:f>
              <c:strCache>
                <c:ptCount val="1"/>
                <c:pt idx="0">
                  <c:v>Variable Costs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Underlying!$E$52:$I$52</c:f>
              <c:numCache>
                <c:formatCode>"$"#,##0</c:formatCode>
                <c:ptCount val="5"/>
                <c:pt idx="0">
                  <c:v>152095.5</c:v>
                </c:pt>
                <c:pt idx="1">
                  <c:v>152095.5</c:v>
                </c:pt>
                <c:pt idx="2">
                  <c:v>152095.5</c:v>
                </c:pt>
                <c:pt idx="3">
                  <c:v>152095.5</c:v>
                </c:pt>
                <c:pt idx="4">
                  <c:v>152095.5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2BE-4068-9E50-7C90E33F2C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08303264"/>
        <c:axId val="408304440"/>
      </c:barChart>
      <c:catAx>
        <c:axId val="408303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EYInterstate Light" panose="02000506000000020004" pitchFamily="2" charset="0"/>
                <a:ea typeface="+mn-ea"/>
                <a:cs typeface="+mn-cs"/>
              </a:defRPr>
            </a:pPr>
            <a:endParaRPr lang="en-US"/>
          </a:p>
        </c:txPr>
        <c:crossAx val="408304440"/>
        <c:crosses val="autoZero"/>
        <c:auto val="1"/>
        <c:lblAlgn val="ctr"/>
        <c:lblOffset val="100"/>
        <c:noMultiLvlLbl val="0"/>
      </c:catAx>
      <c:valAx>
        <c:axId val="408304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EYInterstate Light" panose="02000506000000020004" pitchFamily="2" charset="0"/>
                <a:ea typeface="+mn-ea"/>
                <a:cs typeface="+mn-cs"/>
              </a:defRPr>
            </a:pPr>
            <a:endParaRPr lang="en-US"/>
          </a:p>
        </c:txPr>
        <c:crossAx val="408303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EYInterstate Light" panose="02000506000000020004" pitchFamily="2" charset="0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2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EYInterstate Light" panose="02000506000000020004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EYInterstate Light" panose="02000506000000020004" pitchFamily="2" charset="0"/>
                <a:ea typeface="+mn-ea"/>
                <a:cs typeface="Arial" panose="020B0604020202020204" pitchFamily="34" charset="0"/>
              </a:defRPr>
            </a:pPr>
            <a:r>
              <a:rPr lang="en-US"/>
              <a:t>Transaction Costs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EYInterstate Light" panose="02000506000000020004" pitchFamily="2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Private blockchains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'Sensitivity Table'!$G$7:$K$7</c:f>
              <c:numCache>
                <c:formatCode>"$"#,##0.0000</c:formatCode>
                <c:ptCount val="5"/>
                <c:pt idx="0">
                  <c:v>8.5741753068216457</c:v>
                </c:pt>
                <c:pt idx="1">
                  <c:v>0.85756417207260005</c:v>
                </c:pt>
                <c:pt idx="2">
                  <c:v>0.44859454428952666</c:v>
                </c:pt>
                <c:pt idx="3">
                  <c:v>8.5903058597695606E-2</c:v>
                </c:pt>
                <c:pt idx="4">
                  <c:v>3.0209390022429084E-3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4F-4826-8CF0-DB7CC4DDF8F8}"/>
            </c:ext>
          </c:extLst>
        </c:ser>
        <c:ser>
          <c:idx val="1"/>
          <c:order val="1"/>
          <c:tx>
            <c:v>ZKP - future state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'Sensitivity Table'!$G$9:$K$9</c:f>
              <c:numCache>
                <c:formatCode>"$"#,##0.0000</c:formatCode>
                <c:ptCount val="5"/>
                <c:pt idx="0">
                  <c:v>1.0202770664989229</c:v>
                </c:pt>
                <c:pt idx="1">
                  <c:v>0.47709088664989263</c:v>
                </c:pt>
                <c:pt idx="2">
                  <c:v>0.44830277669973501</c:v>
                </c:pt>
                <c:pt idx="3">
                  <c:v>0.42277226866498957</c:v>
                </c:pt>
                <c:pt idx="4">
                  <c:v>0.41693804673327778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4F-4826-8CF0-DB7CC4DDF8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0329904"/>
        <c:axId val="600330296"/>
      </c:lineChart>
      <c:catAx>
        <c:axId val="600329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EYInterstate Light" panose="02000506000000020004" pitchFamily="2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00330296"/>
        <c:crosses val="autoZero"/>
        <c:auto val="1"/>
        <c:lblAlgn val="ctr"/>
        <c:lblOffset val="100"/>
        <c:noMultiLvlLbl val="0"/>
      </c:catAx>
      <c:valAx>
        <c:axId val="600330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EYInterstate Light" panose="02000506000000020004" pitchFamily="2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00329904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EYInterstate Light" panose="02000506000000020004" pitchFamily="2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EYInterstate Light" panose="02000506000000020004" pitchFamily="2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20</xdr:row>
      <xdr:rowOff>201705</xdr:rowOff>
    </xdr:from>
    <xdr:to>
      <xdr:col>13</xdr:col>
      <xdr:colOff>39687</xdr:colOff>
      <xdr:row>41</xdr:row>
      <xdr:rowOff>150812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56</xdr:row>
      <xdr:rowOff>201705</xdr:rowOff>
    </xdr:from>
    <xdr:to>
      <xdr:col>13</xdr:col>
      <xdr:colOff>39687</xdr:colOff>
      <xdr:row>77</xdr:row>
      <xdr:rowOff>150812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8932434-6310-41DF-A3EF-8627B122A7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92</xdr:row>
      <xdr:rowOff>201705</xdr:rowOff>
    </xdr:from>
    <xdr:to>
      <xdr:col>13</xdr:col>
      <xdr:colOff>39687</xdr:colOff>
      <xdr:row>113</xdr:row>
      <xdr:rowOff>150812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580AC61-6C27-4B5C-8CAF-1C9C6022F0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3175</xdr:colOff>
      <xdr:row>10</xdr:row>
      <xdr:rowOff>0</xdr:rowOff>
    </xdr:from>
    <xdr:to>
      <xdr:col>10</xdr:col>
      <xdr:colOff>384175</xdr:colOff>
      <xdr:row>25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94"/>
  <sheetViews>
    <sheetView showGridLines="0" tabSelected="1" zoomScale="90" zoomScaleNormal="90" workbookViewId="0">
      <selection activeCell="A3" sqref="A3"/>
    </sheetView>
  </sheetViews>
  <sheetFormatPr defaultColWidth="8.7265625" defaultRowHeight="16" x14ac:dyDescent="0.35"/>
  <cols>
    <col min="1" max="1" width="10.54296875" style="4" customWidth="1"/>
    <col min="2" max="3" width="8.7265625" style="4"/>
    <col min="4" max="4" width="8.81640625" style="4" customWidth="1"/>
    <col min="5" max="5" width="15.08984375" style="4" bestFit="1" customWidth="1"/>
    <col min="6" max="6" width="3.54296875" style="4" customWidth="1"/>
    <col min="7" max="7" width="15.08984375" style="4" bestFit="1" customWidth="1"/>
    <col min="8" max="8" width="3.54296875" style="4" customWidth="1"/>
    <col min="9" max="9" width="15.08984375" style="4" bestFit="1" customWidth="1"/>
    <col min="10" max="10" width="3.54296875" style="4" customWidth="1"/>
    <col min="11" max="11" width="15.08984375" style="4" bestFit="1" customWidth="1"/>
    <col min="12" max="12" width="3.54296875" style="4" customWidth="1"/>
    <col min="13" max="13" width="15.08984375" style="4" bestFit="1" customWidth="1"/>
    <col min="14" max="14" width="12.453125" style="4" bestFit="1" customWidth="1"/>
    <col min="15" max="15" width="11.1796875" style="4" bestFit="1" customWidth="1"/>
    <col min="16" max="16" width="10.54296875" style="4" bestFit="1" customWidth="1"/>
    <col min="17" max="17" width="12.453125" style="4" bestFit="1" customWidth="1"/>
    <col min="18" max="18" width="11.453125" style="4" bestFit="1" customWidth="1"/>
    <col min="19" max="16384" width="8.7265625" style="4"/>
  </cols>
  <sheetData>
    <row r="1" spans="1:23" ht="18" customHeight="1" x14ac:dyDescent="0.65">
      <c r="A1" s="10" t="s">
        <v>129</v>
      </c>
      <c r="H1" s="159"/>
    </row>
    <row r="2" spans="1:23" ht="18.5" customHeight="1" x14ac:dyDescent="0.65">
      <c r="A2" s="170" t="s">
        <v>121</v>
      </c>
      <c r="H2" s="159"/>
    </row>
    <row r="3" spans="1:23" ht="12" customHeight="1" x14ac:dyDescent="0.35">
      <c r="O3" s="153"/>
      <c r="P3" s="153"/>
      <c r="Q3" s="153"/>
      <c r="R3" s="153"/>
      <c r="S3" s="153"/>
      <c r="T3" s="153"/>
    </row>
    <row r="4" spans="1:23" ht="32.5" customHeight="1" x14ac:dyDescent="0.35">
      <c r="A4" s="219" t="s">
        <v>0</v>
      </c>
      <c r="B4" s="220"/>
      <c r="C4" s="221"/>
      <c r="D4" s="224">
        <v>1000</v>
      </c>
      <c r="E4" s="225"/>
      <c r="F4" s="46"/>
      <c r="O4" s="154"/>
      <c r="P4" s="154"/>
      <c r="Q4" s="154"/>
      <c r="R4" s="154"/>
      <c r="S4" s="154"/>
      <c r="T4" s="153"/>
    </row>
    <row r="5" spans="1:23" ht="32.5" customHeight="1" x14ac:dyDescent="0.2">
      <c r="A5" s="219" t="s">
        <v>1</v>
      </c>
      <c r="B5" s="220"/>
      <c r="C5" s="221"/>
      <c r="D5" s="222" t="s">
        <v>2</v>
      </c>
      <c r="E5" s="223"/>
      <c r="F5" s="47"/>
      <c r="O5" s="153"/>
      <c r="P5" s="153"/>
      <c r="Q5" s="153"/>
      <c r="R5" s="153"/>
      <c r="S5" s="153"/>
      <c r="T5" s="153"/>
    </row>
    <row r="6" spans="1:23" ht="32.5" customHeight="1" x14ac:dyDescent="0.35">
      <c r="A6" s="226" t="s">
        <v>3</v>
      </c>
      <c r="B6" s="226"/>
      <c r="C6" s="226"/>
      <c r="D6" s="227" t="s">
        <v>4</v>
      </c>
      <c r="E6" s="227"/>
      <c r="O6" s="153"/>
      <c r="P6" s="153"/>
      <c r="Q6" s="153"/>
      <c r="R6" s="155"/>
      <c r="S6" s="153"/>
      <c r="T6" s="155"/>
      <c r="V6" s="146"/>
      <c r="W6" s="146"/>
    </row>
    <row r="7" spans="1:23" ht="32.5" customHeight="1" x14ac:dyDescent="0.35">
      <c r="A7" s="216" t="s">
        <v>5</v>
      </c>
      <c r="B7" s="216"/>
      <c r="C7" s="216"/>
      <c r="D7" s="217" t="s">
        <v>58</v>
      </c>
      <c r="E7" s="218"/>
      <c r="I7" s="149"/>
      <c r="J7" s="149"/>
      <c r="K7" s="149"/>
      <c r="L7" s="149"/>
      <c r="M7" s="149"/>
      <c r="R7" s="146"/>
      <c r="T7" s="146"/>
      <c r="V7" s="146"/>
      <c r="W7" s="146"/>
    </row>
    <row r="8" spans="1:23" ht="12" customHeight="1" x14ac:dyDescent="0.35">
      <c r="A8" s="23"/>
      <c r="B8" s="23"/>
      <c r="C8" s="23"/>
      <c r="D8" s="24"/>
      <c r="R8" s="146"/>
      <c r="T8" s="146"/>
      <c r="V8" s="146"/>
      <c r="W8" s="146"/>
    </row>
    <row r="9" spans="1:23" ht="12" customHeight="1" x14ac:dyDescent="0.35">
      <c r="G9" s="27"/>
      <c r="I9" s="27"/>
      <c r="K9" s="27"/>
      <c r="M9" s="27"/>
      <c r="P9" s="146"/>
      <c r="R9" s="146"/>
      <c r="T9" s="146"/>
      <c r="V9" s="146"/>
      <c r="W9" s="146"/>
    </row>
    <row r="10" spans="1:23" x14ac:dyDescent="0.35">
      <c r="A10" s="162" t="s">
        <v>114</v>
      </c>
      <c r="O10" s="144"/>
      <c r="P10" s="146"/>
      <c r="R10" s="144"/>
    </row>
    <row r="11" spans="1:23" ht="8" customHeight="1" x14ac:dyDescent="0.35">
      <c r="A11" s="162"/>
      <c r="O11" s="144"/>
      <c r="P11" s="146"/>
      <c r="R11" s="144"/>
    </row>
    <row r="12" spans="1:23" x14ac:dyDescent="0.35">
      <c r="E12" s="2" t="s">
        <v>7</v>
      </c>
      <c r="G12" s="2" t="s">
        <v>8</v>
      </c>
      <c r="I12" s="2" t="s">
        <v>9</v>
      </c>
      <c r="K12" s="2" t="s">
        <v>10</v>
      </c>
      <c r="M12" s="2" t="s">
        <v>11</v>
      </c>
      <c r="O12" s="144"/>
      <c r="P12" s="146"/>
      <c r="R12" s="144"/>
    </row>
    <row r="13" spans="1:23" ht="5" customHeight="1" x14ac:dyDescent="0.35">
      <c r="O13" s="144"/>
      <c r="P13" s="146"/>
      <c r="R13" s="144"/>
    </row>
    <row r="14" spans="1:23" ht="16" customHeight="1" x14ac:dyDescent="0.35">
      <c r="A14" s="4" t="s">
        <v>97</v>
      </c>
      <c r="E14" s="11">
        <f>PrivateBC_Model!D6</f>
        <v>660000</v>
      </c>
      <c r="N14" s="156"/>
      <c r="O14" s="144"/>
      <c r="P14" s="146"/>
      <c r="R14" s="144"/>
    </row>
    <row r="15" spans="1:23" ht="16" customHeight="1" x14ac:dyDescent="0.35">
      <c r="A15" s="4" t="s">
        <v>12</v>
      </c>
      <c r="E15" s="11">
        <f>SUM(PrivateBC_Model!D7:D9)</f>
        <v>98376</v>
      </c>
      <c r="F15" s="11"/>
      <c r="G15" s="11">
        <f>SUM(PrivateBC_Model!F7:F9)</f>
        <v>3867.6874999999995</v>
      </c>
      <c r="H15" s="11"/>
      <c r="I15" s="11">
        <f>SUM(PrivateBC_Model!H7:H9)</f>
        <v>3676.0244062499996</v>
      </c>
      <c r="J15" s="11"/>
      <c r="K15" s="11">
        <f>SUM(PrivateBC_Model!J7:J9)</f>
        <v>3494.6340795351562</v>
      </c>
      <c r="L15" s="11"/>
      <c r="M15" s="11">
        <f>SUM(PrivateBC_Model!L7:L9)</f>
        <v>3322.9909816556428</v>
      </c>
      <c r="N15" s="156"/>
      <c r="O15" s="144"/>
      <c r="R15" s="145"/>
    </row>
    <row r="16" spans="1:23" ht="16" customHeight="1" x14ac:dyDescent="0.35">
      <c r="A16" s="4" t="s">
        <v>13</v>
      </c>
      <c r="E16" s="11">
        <f>SUM(PrivateBC_Model!D12:D13)</f>
        <v>22000.021599192878</v>
      </c>
      <c r="F16" s="11"/>
      <c r="G16" s="11">
        <f>SUM(PrivateBC_Model!F12:F13)</f>
        <v>18810.02119127359</v>
      </c>
      <c r="H16" s="11"/>
      <c r="I16" s="11">
        <f>SUM(PrivateBC_Model!H12:H13)</f>
        <v>16082.570824146231</v>
      </c>
      <c r="J16" s="11"/>
      <c r="K16" s="11">
        <f>SUM(PrivateBC_Model!J12:J13)</f>
        <v>13750.600743731604</v>
      </c>
      <c r="L16" s="11"/>
      <c r="M16" s="11">
        <f>SUM(PrivateBC_Model!L12:L13)</f>
        <v>11756.766310108444</v>
      </c>
      <c r="N16" s="156"/>
      <c r="O16" s="145"/>
    </row>
    <row r="17" spans="1:17" ht="16" customHeight="1" x14ac:dyDescent="0.35">
      <c r="A17" s="4" t="s">
        <v>14</v>
      </c>
      <c r="E17" s="11">
        <f>SUM(PrivateBC_Model!D16:D18)</f>
        <v>140640</v>
      </c>
      <c r="F17" s="11"/>
      <c r="G17" s="11">
        <f>SUM(PrivateBC_Model!F16:F18)</f>
        <v>140455.5</v>
      </c>
      <c r="H17" s="11"/>
      <c r="I17" s="11">
        <f>SUM(PrivateBC_Model!H16:H18)</f>
        <v>140275.35625000001</v>
      </c>
      <c r="J17" s="11"/>
      <c r="K17" s="11">
        <f>SUM(PrivateBC_Model!J16:J18)</f>
        <v>140099.363109375</v>
      </c>
      <c r="L17" s="11"/>
      <c r="M17" s="11">
        <f>SUM(PrivateBC_Model!L16:L18)</f>
        <v>139927.32518910157</v>
      </c>
      <c r="N17" s="156"/>
    </row>
    <row r="18" spans="1:17" ht="16" customHeight="1" x14ac:dyDescent="0.35">
      <c r="A18" s="4" t="s">
        <v>15</v>
      </c>
      <c r="E18" s="11">
        <f>SUM(PrivateBC_Model!D21:D22)</f>
        <v>1710.2000000000003</v>
      </c>
      <c r="F18" s="11"/>
      <c r="G18" s="11">
        <f>SUM(PrivateBC_Model!F21:F22)</f>
        <v>1706.9150000000002</v>
      </c>
      <c r="H18" s="11"/>
      <c r="I18" s="11">
        <f>SUM(PrivateBC_Model!H21:H22)</f>
        <v>1703.7942500000001</v>
      </c>
      <c r="J18" s="11"/>
      <c r="K18" s="11">
        <f>SUM(PrivateBC_Model!J21:J22)</f>
        <v>1700.8295375000002</v>
      </c>
      <c r="L18" s="11"/>
      <c r="M18" s="11">
        <f>SUM(PrivateBC_Model!L21:L22)</f>
        <v>1698.0130606250002</v>
      </c>
      <c r="N18" s="156"/>
      <c r="Q18" s="148"/>
    </row>
    <row r="19" spans="1:17" x14ac:dyDescent="0.35">
      <c r="E19" s="29"/>
      <c r="F19" s="11"/>
      <c r="G19" s="11"/>
      <c r="H19" s="11"/>
      <c r="I19" s="11"/>
      <c r="J19" s="11"/>
      <c r="K19" s="11"/>
      <c r="L19" s="11"/>
      <c r="M19" s="11"/>
      <c r="N19" s="156"/>
    </row>
    <row r="20" spans="1:17" x14ac:dyDescent="0.35">
      <c r="A20" s="13" t="s">
        <v>16</v>
      </c>
      <c r="B20" s="13"/>
      <c r="C20" s="13"/>
      <c r="D20" s="13"/>
      <c r="E20" s="14">
        <f>SUM(E14:E18)</f>
        <v>922726.22159919282</v>
      </c>
      <c r="F20" s="14"/>
      <c r="G20" s="14">
        <f>SUM(G15:G18)</f>
        <v>164840.12369127359</v>
      </c>
      <c r="H20" s="14"/>
      <c r="I20" s="14">
        <f>SUM(I15:I18)</f>
        <v>161737.74573039624</v>
      </c>
      <c r="J20" s="14"/>
      <c r="K20" s="14">
        <f>SUM(K15:K18)</f>
        <v>159045.42747014176</v>
      </c>
      <c r="L20" s="14"/>
      <c r="M20" s="14">
        <f>SUM(M15:M18)</f>
        <v>156705.09554149065</v>
      </c>
      <c r="N20" s="156"/>
      <c r="O20" s="27"/>
      <c r="P20" s="69"/>
      <c r="Q20" s="147"/>
    </row>
    <row r="21" spans="1:17" x14ac:dyDescent="0.35">
      <c r="I21" s="149"/>
      <c r="J21" s="149"/>
      <c r="K21" s="149"/>
      <c r="L21" s="149"/>
      <c r="M21" s="149"/>
      <c r="O21" s="27"/>
      <c r="P21" s="148"/>
    </row>
    <row r="44" spans="1:18" x14ac:dyDescent="0.35">
      <c r="A44" s="162" t="s">
        <v>124</v>
      </c>
      <c r="O44" s="144"/>
      <c r="P44" s="146"/>
      <c r="R44" s="144"/>
    </row>
    <row r="45" spans="1:18" ht="8" customHeight="1" x14ac:dyDescent="0.35">
      <c r="A45" s="162"/>
      <c r="O45" s="144"/>
      <c r="P45" s="146"/>
      <c r="R45" s="144"/>
    </row>
    <row r="46" spans="1:18" x14ac:dyDescent="0.35">
      <c r="E46" s="2" t="s">
        <v>7</v>
      </c>
      <c r="G46" s="2" t="s">
        <v>8</v>
      </c>
      <c r="I46" s="2" t="s">
        <v>9</v>
      </c>
      <c r="K46" s="2" t="s">
        <v>10</v>
      </c>
      <c r="M46" s="2" t="s">
        <v>11</v>
      </c>
      <c r="O46" s="144"/>
      <c r="P46" s="146"/>
      <c r="R46" s="144"/>
    </row>
    <row r="47" spans="1:18" ht="5" customHeight="1" x14ac:dyDescent="0.35">
      <c r="O47" s="144"/>
      <c r="P47" s="146"/>
      <c r="R47" s="144"/>
    </row>
    <row r="48" spans="1:18" ht="16" customHeight="1" x14ac:dyDescent="0.35">
      <c r="A48" s="4" t="s">
        <v>97</v>
      </c>
      <c r="D48" s="27"/>
      <c r="E48" s="11">
        <f>ZKP_Model!D6</f>
        <v>50000</v>
      </c>
      <c r="N48" s="163"/>
      <c r="O48" s="164"/>
      <c r="P48" s="155"/>
      <c r="Q48" s="153"/>
      <c r="R48" s="165"/>
    </row>
    <row r="49" spans="1:18" x14ac:dyDescent="0.35">
      <c r="A49" s="4" t="s">
        <v>12</v>
      </c>
      <c r="E49" s="11">
        <f>SUM(ZKP_Model!D7:D9)</f>
        <v>3380</v>
      </c>
      <c r="F49" s="11"/>
      <c r="G49" s="11">
        <f>SUM(ZKP_Model!F7:F9)</f>
        <v>154.70749999999998</v>
      </c>
      <c r="H49" s="11"/>
      <c r="I49" s="11">
        <f>SUM(ZKP_Model!H7:H9)</f>
        <v>147.04097625000006</v>
      </c>
      <c r="J49" s="11"/>
      <c r="K49" s="11">
        <f>SUM(ZKP_Model!J7:J9)</f>
        <v>139.78536318140655</v>
      </c>
      <c r="L49" s="11"/>
      <c r="M49" s="11">
        <f>SUM(ZKP_Model!L7:L9)</f>
        <v>132.91963926622532</v>
      </c>
      <c r="N49" s="163"/>
      <c r="O49" s="164"/>
      <c r="P49" s="153"/>
      <c r="Q49" s="153"/>
      <c r="R49" s="166"/>
    </row>
    <row r="50" spans="1:18" x14ac:dyDescent="0.35">
      <c r="A50" s="4" t="s">
        <v>13</v>
      </c>
      <c r="E50" s="11">
        <f>SUM(ZKP_Model!D12:D13)</f>
        <v>8799</v>
      </c>
      <c r="F50" s="11"/>
      <c r="G50" s="11">
        <f>SUM(ZKP_Model!F12:F13)</f>
        <v>8359.0499999999993</v>
      </c>
      <c r="H50" s="11"/>
      <c r="I50" s="11">
        <f>SUM(ZKP_Model!H12:H13)</f>
        <v>7941.0974999999989</v>
      </c>
      <c r="J50" s="11"/>
      <c r="K50" s="11">
        <f>SUM(ZKP_Model!J12:J13)</f>
        <v>7544.0426249999982</v>
      </c>
      <c r="L50" s="11"/>
      <c r="M50" s="11">
        <f>SUM(ZKP_Model!L12:L13)</f>
        <v>7166.8404937499981</v>
      </c>
      <c r="N50" s="163"/>
      <c r="O50" s="164"/>
      <c r="P50" s="153"/>
      <c r="Q50" s="153"/>
      <c r="R50" s="153"/>
    </row>
    <row r="51" spans="1:18" x14ac:dyDescent="0.35">
      <c r="A51" s="4" t="s">
        <v>14</v>
      </c>
      <c r="E51" s="11">
        <f>SUM(ZKP_Model!D16:D18)</f>
        <v>1640</v>
      </c>
      <c r="F51" s="11"/>
      <c r="G51" s="11">
        <f>SUM(ZKP_Model!F16:F18)</f>
        <v>1635.8999999999999</v>
      </c>
      <c r="H51" s="11"/>
      <c r="I51" s="11">
        <f>SUM(ZKP_Model!H16:H18)</f>
        <v>1631.81025</v>
      </c>
      <c r="J51" s="11"/>
      <c r="K51" s="11">
        <f>SUM(ZKP_Model!J16:J18)</f>
        <v>1627.7307243750001</v>
      </c>
      <c r="L51" s="11"/>
      <c r="M51" s="11">
        <f>SUM(ZKP_Model!L16:L18)</f>
        <v>1623.6613975640628</v>
      </c>
      <c r="N51" s="163"/>
      <c r="O51" s="164"/>
      <c r="P51" s="153"/>
      <c r="Q51" s="153"/>
      <c r="R51" s="153"/>
    </row>
    <row r="52" spans="1:18" x14ac:dyDescent="0.35">
      <c r="A52" s="4" t="s">
        <v>15</v>
      </c>
      <c r="E52" s="11">
        <f>SUM(ZKP_Model!D21:D22)</f>
        <v>1710.2000000000003</v>
      </c>
      <c r="F52" s="11"/>
      <c r="G52" s="11">
        <f>SUM(ZKP_Model!F21:F22)</f>
        <v>1706.9150000000002</v>
      </c>
      <c r="H52" s="11"/>
      <c r="I52" s="11">
        <f>SUM(ZKP_Model!H21:H22)</f>
        <v>1644.5000000000002</v>
      </c>
      <c r="J52" s="11"/>
      <c r="K52" s="11">
        <f>SUM(ZKP_Model!J21:J22)</f>
        <v>1644.5000000000002</v>
      </c>
      <c r="L52" s="11"/>
      <c r="M52" s="11">
        <f>SUM(ZKP_Model!L21:L22)</f>
        <v>1644.5000000000002</v>
      </c>
      <c r="N52" s="163"/>
      <c r="O52" s="164"/>
      <c r="P52" s="153"/>
      <c r="Q52" s="167"/>
      <c r="R52" s="153"/>
    </row>
    <row r="53" spans="1:18" ht="8" customHeight="1" x14ac:dyDescent="0.35">
      <c r="E53" s="29"/>
      <c r="F53" s="11"/>
      <c r="G53" s="11"/>
      <c r="H53" s="11"/>
      <c r="I53" s="11"/>
      <c r="J53" s="11"/>
      <c r="K53" s="11"/>
      <c r="L53" s="11"/>
      <c r="M53" s="11"/>
      <c r="N53" s="163"/>
      <c r="O53" s="164"/>
      <c r="P53" s="153"/>
      <c r="Q53" s="153"/>
      <c r="R53" s="153"/>
    </row>
    <row r="54" spans="1:18" x14ac:dyDescent="0.35">
      <c r="A54" s="4" t="s">
        <v>104</v>
      </c>
      <c r="E54" s="158">
        <f>Underlying!$B$28*$D$4*365</f>
        <v>1825000</v>
      </c>
      <c r="F54" s="158"/>
      <c r="G54" s="158">
        <f>Underlying!$B$28*$D$4*365</f>
        <v>1825000</v>
      </c>
      <c r="H54" s="158"/>
      <c r="I54" s="158">
        <f>Underlying!$B$28*$D$4*365</f>
        <v>1825000</v>
      </c>
      <c r="J54" s="158"/>
      <c r="K54" s="158">
        <f>Underlying!$B$28*$D$4*365</f>
        <v>1825000</v>
      </c>
      <c r="L54" s="158"/>
      <c r="M54" s="158">
        <f>Underlying!$B$28*$D$4*365</f>
        <v>1825000</v>
      </c>
      <c r="N54" s="163"/>
      <c r="O54" s="164"/>
      <c r="P54" s="153"/>
      <c r="Q54" s="153"/>
      <c r="R54" s="153"/>
    </row>
    <row r="55" spans="1:18" ht="8" customHeight="1" x14ac:dyDescent="0.35">
      <c r="E55" s="29"/>
      <c r="F55" s="11"/>
      <c r="G55" s="11"/>
      <c r="H55" s="11"/>
      <c r="I55" s="11"/>
      <c r="J55" s="11"/>
      <c r="K55" s="11"/>
      <c r="L55" s="11"/>
      <c r="M55" s="11"/>
      <c r="N55" s="163"/>
      <c r="O55" s="164"/>
      <c r="P55" s="153"/>
      <c r="Q55" s="153"/>
      <c r="R55" s="153"/>
    </row>
    <row r="56" spans="1:18" x14ac:dyDescent="0.35">
      <c r="A56" s="13" t="s">
        <v>16</v>
      </c>
      <c r="B56" s="13"/>
      <c r="C56" s="13"/>
      <c r="D56" s="13"/>
      <c r="E56" s="14">
        <f>SUM(E48:E54)</f>
        <v>1890529.2</v>
      </c>
      <c r="F56" s="14"/>
      <c r="G56" s="14">
        <f>SUM(G48:G54)</f>
        <v>1836856.5725</v>
      </c>
      <c r="H56" s="14"/>
      <c r="I56" s="14">
        <f>SUM(I48:I54)</f>
        <v>1836364.4487262501</v>
      </c>
      <c r="J56" s="14"/>
      <c r="K56" s="14">
        <f>SUM(K48:K54)</f>
        <v>1835956.0587125565</v>
      </c>
      <c r="L56" s="14"/>
      <c r="M56" s="14">
        <f>SUM(M48:M54)</f>
        <v>1835567.9215305804</v>
      </c>
      <c r="N56" s="163"/>
      <c r="O56" s="164"/>
      <c r="P56" s="153"/>
      <c r="Q56" s="168"/>
      <c r="R56" s="153"/>
    </row>
    <row r="57" spans="1:18" x14ac:dyDescent="0.35">
      <c r="N57" s="153"/>
      <c r="O57" s="169"/>
      <c r="P57" s="167"/>
      <c r="Q57" s="153"/>
      <c r="R57" s="153"/>
    </row>
    <row r="58" spans="1:18" x14ac:dyDescent="0.35">
      <c r="N58" s="153"/>
      <c r="O58" s="153"/>
      <c r="P58" s="153"/>
      <c r="Q58" s="153"/>
      <c r="R58" s="153"/>
    </row>
    <row r="80" spans="1:1" x14ac:dyDescent="0.35">
      <c r="A80" s="162" t="s">
        <v>125</v>
      </c>
    </row>
    <row r="81" spans="1:14" ht="8" customHeight="1" x14ac:dyDescent="0.35">
      <c r="A81" s="162"/>
    </row>
    <row r="82" spans="1:14" x14ac:dyDescent="0.35">
      <c r="E82" s="2" t="s">
        <v>7</v>
      </c>
      <c r="G82" s="2" t="s">
        <v>8</v>
      </c>
      <c r="I82" s="2" t="s">
        <v>9</v>
      </c>
      <c r="K82" s="2" t="s">
        <v>10</v>
      </c>
      <c r="M82" s="2" t="s">
        <v>11</v>
      </c>
    </row>
    <row r="83" spans="1:14" ht="5" customHeight="1" x14ac:dyDescent="0.35"/>
    <row r="84" spans="1:14" x14ac:dyDescent="0.35">
      <c r="A84" s="4" t="s">
        <v>97</v>
      </c>
      <c r="D84" s="27"/>
      <c r="E84" s="11">
        <f>ZKP_Model!D6</f>
        <v>50000</v>
      </c>
      <c r="N84" s="163"/>
    </row>
    <row r="85" spans="1:14" x14ac:dyDescent="0.35">
      <c r="A85" s="4" t="s">
        <v>12</v>
      </c>
      <c r="E85" s="11">
        <f>SUM(ZKP_Model!D7:D9)</f>
        <v>3380</v>
      </c>
      <c r="F85" s="11"/>
      <c r="G85" s="11">
        <f>SUM(ZKP_Model!F7:F9)</f>
        <v>154.70749999999998</v>
      </c>
      <c r="H85" s="11"/>
      <c r="I85" s="11">
        <f>SUM(ZKP_Model!H7:H9)</f>
        <v>147.04097625000006</v>
      </c>
      <c r="J85" s="11"/>
      <c r="K85" s="11">
        <f>SUM(ZKP_Model!J7:J9)</f>
        <v>139.78536318140655</v>
      </c>
      <c r="L85" s="11"/>
      <c r="M85" s="11">
        <f>SUM(ZKP_Model!L7:L9)</f>
        <v>132.91963926622532</v>
      </c>
      <c r="N85" s="163"/>
    </row>
    <row r="86" spans="1:14" x14ac:dyDescent="0.35">
      <c r="A86" s="4" t="s">
        <v>13</v>
      </c>
      <c r="E86" s="11">
        <f>SUM(ZKP_Model!D12:D13)</f>
        <v>8799</v>
      </c>
      <c r="F86" s="11"/>
      <c r="G86" s="11">
        <f>SUM(ZKP_Model!F12:F13)</f>
        <v>8359.0499999999993</v>
      </c>
      <c r="H86" s="11"/>
      <c r="I86" s="11">
        <f>SUM(ZKP_Model!H12:H13)</f>
        <v>7941.0974999999989</v>
      </c>
      <c r="J86" s="11"/>
      <c r="K86" s="11">
        <f>SUM(ZKP_Model!J12:J13)</f>
        <v>7544.0426249999982</v>
      </c>
      <c r="L86" s="11"/>
      <c r="M86" s="11">
        <f>SUM(ZKP_Model!L12:L13)</f>
        <v>7166.8404937499981</v>
      </c>
      <c r="N86" s="163"/>
    </row>
    <row r="87" spans="1:14" x14ac:dyDescent="0.35">
      <c r="A87" s="4" t="s">
        <v>14</v>
      </c>
      <c r="E87" s="11">
        <f>SUM(ZKP_Model!D16:D18)</f>
        <v>1640</v>
      </c>
      <c r="F87" s="11"/>
      <c r="G87" s="11">
        <f>SUM(ZKP_Model!F16:F18)</f>
        <v>1635.8999999999999</v>
      </c>
      <c r="H87" s="11"/>
      <c r="I87" s="11">
        <f>SUM(ZKP_Model!H16:H18)</f>
        <v>1631.81025</v>
      </c>
      <c r="J87" s="11"/>
      <c r="K87" s="11">
        <f>SUM(ZKP_Model!J16:J18)</f>
        <v>1627.7307243750001</v>
      </c>
      <c r="L87" s="11"/>
      <c r="M87" s="11">
        <f>SUM(ZKP_Model!L16:L18)</f>
        <v>1623.6613975640628</v>
      </c>
      <c r="N87" s="163"/>
    </row>
    <row r="88" spans="1:14" x14ac:dyDescent="0.35">
      <c r="A88" s="4" t="s">
        <v>15</v>
      </c>
      <c r="E88" s="11">
        <f>SUM(ZKP_Model!D21:D22)</f>
        <v>1710.2000000000003</v>
      </c>
      <c r="F88" s="11"/>
      <c r="G88" s="11">
        <f>SUM(ZKP_Model!F21:F22)</f>
        <v>1706.9150000000002</v>
      </c>
      <c r="H88" s="11"/>
      <c r="I88" s="11">
        <f>SUM(ZKP_Model!H21:H22)</f>
        <v>1644.5000000000002</v>
      </c>
      <c r="J88" s="11"/>
      <c r="K88" s="11">
        <f>SUM(ZKP_Model!J21:J22)</f>
        <v>1644.5000000000002</v>
      </c>
      <c r="L88" s="11"/>
      <c r="M88" s="11">
        <f>SUM(ZKP_Model!L21:L22)</f>
        <v>1644.5000000000002</v>
      </c>
      <c r="N88" s="163"/>
    </row>
    <row r="89" spans="1:14" ht="8" customHeight="1" x14ac:dyDescent="0.35">
      <c r="E89" s="29"/>
      <c r="F89" s="11"/>
      <c r="G89" s="11"/>
      <c r="H89" s="11"/>
      <c r="I89" s="11"/>
      <c r="J89" s="11"/>
      <c r="K89" s="11"/>
      <c r="L89" s="11"/>
      <c r="M89" s="11"/>
      <c r="N89" s="163"/>
    </row>
    <row r="90" spans="1:14" x14ac:dyDescent="0.35">
      <c r="A90" s="4" t="s">
        <v>104</v>
      </c>
      <c r="E90" s="158">
        <f>Underlying!$B$29*$D$4*365</f>
        <v>152095.5</v>
      </c>
      <c r="F90" s="158"/>
      <c r="G90" s="158">
        <f>Underlying!$B$29*$D$4*365</f>
        <v>152095.5</v>
      </c>
      <c r="H90" s="158"/>
      <c r="I90" s="158">
        <f>Underlying!$B$29*$D$4*365</f>
        <v>152095.5</v>
      </c>
      <c r="J90" s="158"/>
      <c r="K90" s="158">
        <f>Underlying!$B$29*$D$4*365</f>
        <v>152095.5</v>
      </c>
      <c r="L90" s="158"/>
      <c r="M90" s="158">
        <f>Underlying!$B$29*$D$4*365</f>
        <v>152095.5</v>
      </c>
      <c r="N90" s="163"/>
    </row>
    <row r="91" spans="1:14" ht="8" customHeight="1" x14ac:dyDescent="0.35">
      <c r="E91" s="29"/>
      <c r="F91" s="11"/>
      <c r="G91" s="11"/>
      <c r="H91" s="11"/>
      <c r="I91" s="11"/>
      <c r="J91" s="11"/>
      <c r="K91" s="11"/>
      <c r="L91" s="11"/>
      <c r="M91" s="11"/>
      <c r="N91" s="163"/>
    </row>
    <row r="92" spans="1:14" x14ac:dyDescent="0.35">
      <c r="A92" s="13" t="s">
        <v>16</v>
      </c>
      <c r="B92" s="13"/>
      <c r="C92" s="13"/>
      <c r="D92" s="13"/>
      <c r="E92" s="14">
        <f>SUM(E84:E90)</f>
        <v>217624.7</v>
      </c>
      <c r="F92" s="14"/>
      <c r="G92" s="14">
        <f>SUM(G84:G90)</f>
        <v>163952.07250000001</v>
      </c>
      <c r="H92" s="14"/>
      <c r="I92" s="14">
        <f>SUM(I84:I90)</f>
        <v>163459.94872625</v>
      </c>
      <c r="J92" s="14"/>
      <c r="K92" s="14">
        <f>SUM(K84:K90)</f>
        <v>163051.55871255641</v>
      </c>
      <c r="L92" s="14"/>
      <c r="M92" s="14">
        <f>SUM(M84:M90)</f>
        <v>162663.42153058029</v>
      </c>
      <c r="N92" s="163"/>
    </row>
    <row r="93" spans="1:14" x14ac:dyDescent="0.35">
      <c r="N93" s="153"/>
    </row>
    <row r="94" spans="1:14" x14ac:dyDescent="0.35">
      <c r="N94" s="153"/>
    </row>
  </sheetData>
  <mergeCells count="8">
    <mergeCell ref="A7:C7"/>
    <mergeCell ref="D7:E7"/>
    <mergeCell ref="A5:C5"/>
    <mergeCell ref="D5:E5"/>
    <mergeCell ref="A4:C4"/>
    <mergeCell ref="D4:E4"/>
    <mergeCell ref="A6:C6"/>
    <mergeCell ref="D6:E6"/>
  </mergeCells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0000000}">
          <x14:formula1>
            <xm:f>Underlying!$C$55:$C$57</xm:f>
          </x14:formula1>
          <xm:sqref>D5:E5</xm:sqref>
        </x14:dataValidation>
        <x14:dataValidation type="list" allowBlank="1" showInputMessage="1" showErrorMessage="1" xr:uid="{00000000-0002-0000-0000-000001000000}">
          <x14:formula1>
            <xm:f>Underlying!$D$55:$D$57</xm:f>
          </x14:formula1>
          <xm:sqref>D6:E6</xm:sqref>
        </x14:dataValidation>
        <x14:dataValidation type="list" allowBlank="1" showInputMessage="1" showErrorMessage="1" xr:uid="{00000000-0002-0000-0000-000002000000}">
          <x14:formula1>
            <xm:f>Underlying!$E$55:$E$58</xm:f>
          </x14:formula1>
          <xm:sqref>D7:E7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58"/>
  <sheetViews>
    <sheetView showGridLines="0" zoomScale="90" zoomScaleNormal="90" workbookViewId="0">
      <selection activeCell="A2" sqref="A2"/>
    </sheetView>
  </sheetViews>
  <sheetFormatPr defaultColWidth="8.81640625" defaultRowHeight="16" x14ac:dyDescent="0.35"/>
  <cols>
    <col min="1" max="1" width="14.453125" style="4" customWidth="1"/>
    <col min="2" max="2" width="15.453125" style="4" customWidth="1"/>
    <col min="3" max="3" width="14.81640625" style="4" customWidth="1"/>
    <col min="4" max="4" width="15.1796875" style="4" customWidth="1"/>
    <col min="5" max="5" width="3.1796875" style="4" customWidth="1"/>
    <col min="6" max="6" width="15.1796875" style="3" customWidth="1"/>
    <col min="7" max="7" width="3.1796875" style="4" customWidth="1"/>
    <col min="8" max="8" width="15.1796875" style="3" customWidth="1"/>
    <col min="9" max="9" width="3.1796875" style="4" customWidth="1"/>
    <col min="10" max="10" width="15.1796875" style="3" customWidth="1"/>
    <col min="11" max="11" width="3.1796875" style="4" customWidth="1"/>
    <col min="12" max="12" width="15.1796875" style="3" customWidth="1"/>
    <col min="13" max="13" width="5.1796875" style="4" customWidth="1"/>
    <col min="14" max="14" width="21.81640625" style="3" customWidth="1"/>
    <col min="15" max="16" width="21.81640625" style="4" customWidth="1"/>
    <col min="17" max="16384" width="8.81640625" style="4"/>
  </cols>
  <sheetData>
    <row r="1" spans="1:14" ht="21" x14ac:dyDescent="0.35">
      <c r="A1" s="10" t="s">
        <v>117</v>
      </c>
    </row>
    <row r="3" spans="1:14" x14ac:dyDescent="0.35">
      <c r="D3" s="2" t="s">
        <v>7</v>
      </c>
      <c r="E3" s="3"/>
      <c r="F3" s="2" t="s">
        <v>8</v>
      </c>
      <c r="G3" s="3"/>
      <c r="H3" s="2" t="s">
        <v>9</v>
      </c>
      <c r="I3" s="3"/>
      <c r="J3" s="2" t="s">
        <v>10</v>
      </c>
      <c r="K3" s="3"/>
      <c r="L3" s="2" t="s">
        <v>11</v>
      </c>
    </row>
    <row r="4" spans="1:14" ht="8.15" customHeight="1" x14ac:dyDescent="0.35">
      <c r="D4" s="3"/>
      <c r="E4" s="3"/>
      <c r="G4" s="3"/>
      <c r="I4" s="3"/>
      <c r="K4" s="3"/>
    </row>
    <row r="5" spans="1:14" x14ac:dyDescent="0.35">
      <c r="A5" s="7" t="s">
        <v>12</v>
      </c>
    </row>
    <row r="6" spans="1:14" x14ac:dyDescent="0.35">
      <c r="A6" s="4" t="s">
        <v>97</v>
      </c>
      <c r="D6" s="25">
        <v>660000</v>
      </c>
    </row>
    <row r="7" spans="1:14" x14ac:dyDescent="0.35">
      <c r="A7" s="4" t="s">
        <v>17</v>
      </c>
      <c r="D7" s="25">
        <f>full_nodes*D30</f>
        <v>0</v>
      </c>
      <c r="E7" s="69"/>
      <c r="F7" s="25">
        <f>F28*F30</f>
        <v>0</v>
      </c>
      <c r="G7" s="69"/>
      <c r="H7" s="25">
        <f>H28*H30</f>
        <v>0</v>
      </c>
      <c r="I7" s="69"/>
      <c r="J7" s="25">
        <f>J28*J30</f>
        <v>0</v>
      </c>
      <c r="K7" s="69"/>
      <c r="L7" s="25">
        <f>L28*L30</f>
        <v>0</v>
      </c>
    </row>
    <row r="8" spans="1:14" x14ac:dyDescent="0.35">
      <c r="A8" s="8" t="s">
        <v>18</v>
      </c>
      <c r="D8" s="25">
        <f>(full_nodes*D32+D29*D33)*D34</f>
        <v>95776</v>
      </c>
      <c r="E8" s="69"/>
      <c r="F8" s="25">
        <f>((F28-full_nodes)*F32+(F29-D29)*F33)*F34+F46*AVERAGE(D29:F29)</f>
        <v>3748.9374999999995</v>
      </c>
      <c r="G8" s="69"/>
      <c r="H8" s="25">
        <f>((H28-F28)*H32+(H29-F29)*H33)*H34+H46*AVERAGE(F29:H29)</f>
        <v>3557.5712812499996</v>
      </c>
      <c r="I8" s="69"/>
      <c r="J8" s="25">
        <f>((J28-H28)*J32+(J29-H29)*J33)*J34+J46*AVERAGE(H29:J29)</f>
        <v>3376.4770873476559</v>
      </c>
      <c r="K8" s="69"/>
      <c r="L8" s="25">
        <f>((L28-J28)*L32+(L29-J29)*L33)*L34+L46*AVERAGE(J29:L29)</f>
        <v>3205.1293819486114</v>
      </c>
    </row>
    <row r="9" spans="1:14" x14ac:dyDescent="0.35">
      <c r="A9" s="8" t="s">
        <v>19</v>
      </c>
      <c r="D9" s="25">
        <f>D35*(full_nodes+D29)</f>
        <v>2600</v>
      </c>
      <c r="F9" s="25">
        <f>F35*((F28+F29)-(D28+D29))</f>
        <v>118.75</v>
      </c>
      <c r="H9" s="25">
        <f>H35*((H28+H29)-(F28+F29))</f>
        <v>118.453125</v>
      </c>
      <c r="J9" s="25">
        <f>J35*((J28+J29)-(H28+H29))</f>
        <v>118.15699218750001</v>
      </c>
      <c r="L9" s="25">
        <f>L35*((L28+L29)-(J28+J29))</f>
        <v>117.86159970703153</v>
      </c>
      <c r="N9" s="152"/>
    </row>
    <row r="10" spans="1:14" ht="10" customHeight="1" x14ac:dyDescent="0.35">
      <c r="D10" s="3"/>
      <c r="E10" s="3"/>
      <c r="G10" s="3"/>
      <c r="I10" s="3"/>
      <c r="K10" s="3"/>
    </row>
    <row r="11" spans="1:14" x14ac:dyDescent="0.35">
      <c r="A11" s="7" t="s">
        <v>13</v>
      </c>
    </row>
    <row r="12" spans="1:14" x14ac:dyDescent="0.35">
      <c r="A12" s="8" t="s">
        <v>20</v>
      </c>
      <c r="D12" s="11">
        <f>full_nodes*D37*D38</f>
        <v>22000</v>
      </c>
      <c r="F12" s="11">
        <f>F28*F37*F38</f>
        <v>18810</v>
      </c>
      <c r="H12" s="11">
        <f>H28*H37*H38</f>
        <v>16082.550000000001</v>
      </c>
      <c r="J12" s="11">
        <f>J28*J37*J38</f>
        <v>13750.580249999997</v>
      </c>
      <c r="L12" s="11">
        <f>L28*L37*L38</f>
        <v>11756.746113749998</v>
      </c>
    </row>
    <row r="13" spans="1:14" x14ac:dyDescent="0.35">
      <c r="A13" s="8" t="s">
        <v>21</v>
      </c>
      <c r="D13" s="11">
        <f>Summary!$D$4*LEFT(RIGHT(Summary!$D$5,9),3)*365/1073741824/100*D39+Summary!$D$4*365*PrivateBC_Model!$D$40/100000</f>
        <v>2.1599192876815793E-2</v>
      </c>
      <c r="E13" s="69"/>
      <c r="F13" s="11">
        <f>Summary!$D$4*LEFT(RIGHT(Summary!$D$5,9),3)*365/1073741824/100*F39+Summary!$D$4*365*PrivateBC_Model!$D$40/100000</f>
        <v>2.1191273589134214E-2</v>
      </c>
      <c r="G13" s="69"/>
      <c r="H13" s="11">
        <f>Summary!$D$4*LEFT(RIGHT(Summary!$D$5,9),3)*365/1073741824/100*H39+Summary!$D$4*365*PrivateBC_Model!$D$40/100000</f>
        <v>2.0824146230220792E-2</v>
      </c>
      <c r="I13" s="69"/>
      <c r="J13" s="11">
        <f>Summary!$D$4*LEFT(RIGHT(Summary!$D$5,9),3)*365/1073741824/100*J39+Summary!$D$4*365*PrivateBC_Model!$D$40/100000</f>
        <v>2.0493731607198713E-2</v>
      </c>
      <c r="K13" s="69"/>
      <c r="L13" s="11">
        <f>Summary!$D$4*LEFT(RIGHT(Summary!$D$5,9),3)*365/1073741824/100*L39+Summary!$D$4*365*PrivateBC_Model!$D$40/100000</f>
        <v>2.0196358446478841E-2</v>
      </c>
      <c r="N13" s="29"/>
    </row>
    <row r="14" spans="1:14" ht="10" customHeight="1" x14ac:dyDescent="0.35"/>
    <row r="15" spans="1:14" x14ac:dyDescent="0.35">
      <c r="A15" s="7" t="s">
        <v>14</v>
      </c>
      <c r="D15" s="5"/>
      <c r="N15" s="29"/>
    </row>
    <row r="16" spans="1:14" x14ac:dyDescent="0.35">
      <c r="A16" s="9" t="s">
        <v>22</v>
      </c>
      <c r="D16" s="25">
        <f>D42</f>
        <v>98000</v>
      </c>
      <c r="E16" s="69"/>
      <c r="F16" s="25">
        <f>F42</f>
        <v>98000</v>
      </c>
      <c r="G16" s="69"/>
      <c r="H16" s="25">
        <f>H42</f>
        <v>98000</v>
      </c>
      <c r="I16" s="69"/>
      <c r="J16" s="25">
        <f>J42</f>
        <v>98000</v>
      </c>
      <c r="K16" s="69"/>
      <c r="L16" s="25">
        <f>L42</f>
        <v>98000</v>
      </c>
    </row>
    <row r="17" spans="1:16" x14ac:dyDescent="0.35">
      <c r="A17" s="9" t="s">
        <v>23</v>
      </c>
      <c r="D17" s="25">
        <f>D30*D43*full_nodes</f>
        <v>0</v>
      </c>
      <c r="E17" s="69"/>
      <c r="F17" s="138">
        <f>F30*F43*F28</f>
        <v>0</v>
      </c>
      <c r="G17" s="69"/>
      <c r="H17" s="138">
        <f>H30*H43*H28</f>
        <v>0</v>
      </c>
      <c r="I17" s="69"/>
      <c r="J17" s="138">
        <f>J30*J43*J28</f>
        <v>0</v>
      </c>
      <c r="K17" s="69"/>
      <c r="L17" s="138">
        <f>L30*L43*L28</f>
        <v>0</v>
      </c>
    </row>
    <row r="18" spans="1:16" x14ac:dyDescent="0.35">
      <c r="A18" s="9" t="s">
        <v>24</v>
      </c>
      <c r="D18" s="25">
        <f>(full_nodes+D29)*D45</f>
        <v>42640</v>
      </c>
      <c r="E18" s="69"/>
      <c r="F18" s="25">
        <f>(F28+F29)*F45</f>
        <v>42455.499999999993</v>
      </c>
      <c r="G18" s="69"/>
      <c r="H18" s="25">
        <f>(H28+H29)*H45</f>
        <v>42275.356249999997</v>
      </c>
      <c r="I18" s="69"/>
      <c r="J18" s="25">
        <f>(J28+J29)*J45</f>
        <v>42099.363109375001</v>
      </c>
      <c r="K18" s="69"/>
      <c r="L18" s="25">
        <f>(L28+L29)*L45</f>
        <v>41927.325189101568</v>
      </c>
      <c r="N18" s="29"/>
    </row>
    <row r="19" spans="1:16" ht="10" customHeight="1" x14ac:dyDescent="0.35">
      <c r="D19" s="5"/>
    </row>
    <row r="20" spans="1:16" x14ac:dyDescent="0.35">
      <c r="A20" s="7" t="s">
        <v>15</v>
      </c>
    </row>
    <row r="21" spans="1:16" x14ac:dyDescent="0.35">
      <c r="A21" s="8" t="s">
        <v>25</v>
      </c>
      <c r="D21" s="11">
        <f>Summary!$D$4*365/100000*PrivateBC_Model!D48</f>
        <v>65.7</v>
      </c>
      <c r="E21" s="69"/>
      <c r="F21" s="11">
        <f>Summary!$D$4*365/100000*PrivateBC_Model!F48</f>
        <v>62.414999999999992</v>
      </c>
      <c r="G21" s="69"/>
      <c r="H21" s="11">
        <f>Summary!$D$4*365/100000*PrivateBC_Model!H48</f>
        <v>59.294249999999991</v>
      </c>
      <c r="I21" s="69"/>
      <c r="J21" s="11">
        <f>Summary!$D$4*365/100000*PrivateBC_Model!J48</f>
        <v>56.329537499999986</v>
      </c>
      <c r="K21" s="69"/>
      <c r="L21" s="11">
        <f>Summary!$D$4*365/100000*PrivateBC_Model!L48</f>
        <v>53.513060624999987</v>
      </c>
    </row>
    <row r="22" spans="1:16" x14ac:dyDescent="0.35">
      <c r="A22" s="8" t="s">
        <v>26</v>
      </c>
      <c r="D22" s="11">
        <f>D49</f>
        <v>1644.5000000000002</v>
      </c>
      <c r="E22" s="69"/>
      <c r="F22" s="11">
        <f>F49</f>
        <v>1644.5000000000002</v>
      </c>
      <c r="G22" s="69"/>
      <c r="H22" s="11">
        <f>H49</f>
        <v>1644.5000000000002</v>
      </c>
      <c r="I22" s="69"/>
      <c r="J22" s="11">
        <f>J49</f>
        <v>1644.5000000000002</v>
      </c>
      <c r="K22" s="69"/>
      <c r="L22" s="11">
        <f>L49</f>
        <v>1644.5000000000002</v>
      </c>
    </row>
    <row r="23" spans="1:16" ht="8" customHeight="1" x14ac:dyDescent="0.35">
      <c r="A23" s="8"/>
      <c r="D23" s="11"/>
      <c r="E23" s="69"/>
      <c r="F23" s="11"/>
      <c r="G23" s="69"/>
      <c r="H23" s="11"/>
      <c r="I23" s="69"/>
      <c r="J23" s="11"/>
      <c r="K23" s="69"/>
      <c r="L23" s="11"/>
    </row>
    <row r="24" spans="1:16" x14ac:dyDescent="0.35">
      <c r="A24" s="13" t="s">
        <v>16</v>
      </c>
      <c r="B24" s="13"/>
      <c r="C24" s="13"/>
      <c r="D24" s="14">
        <f>SUM(D7:D23)</f>
        <v>262726.22159919288</v>
      </c>
      <c r="E24" s="13"/>
      <c r="F24" s="14">
        <f>SUM(F7:F23)</f>
        <v>164840.12369127359</v>
      </c>
      <c r="G24" s="13"/>
      <c r="H24" s="14">
        <f>SUM(H7:H23)</f>
        <v>161737.74573039621</v>
      </c>
      <c r="I24" s="13"/>
      <c r="J24" s="14">
        <f>SUM(J7:J23)</f>
        <v>159045.42747014173</v>
      </c>
      <c r="K24" s="13"/>
      <c r="L24" s="14">
        <f>SUM(L7:L23)</f>
        <v>156705.09554149065</v>
      </c>
    </row>
    <row r="25" spans="1:16" x14ac:dyDescent="0.35">
      <c r="A25" s="13"/>
      <c r="B25" s="13"/>
      <c r="C25" s="13"/>
      <c r="D25" s="14"/>
      <c r="E25" s="13"/>
      <c r="F25" s="14"/>
      <c r="G25" s="13"/>
      <c r="H25" s="14"/>
      <c r="I25" s="13"/>
      <c r="J25" s="14"/>
      <c r="K25" s="13"/>
      <c r="L25" s="14"/>
    </row>
    <row r="26" spans="1:16" x14ac:dyDescent="0.35">
      <c r="N26" s="228" t="s">
        <v>27</v>
      </c>
      <c r="O26" s="229"/>
      <c r="P26" s="230"/>
    </row>
    <row r="27" spans="1:16" ht="32" x14ac:dyDescent="0.35">
      <c r="A27" s="15" t="s">
        <v>28</v>
      </c>
      <c r="B27" s="16"/>
      <c r="C27" s="16"/>
      <c r="D27" s="16"/>
      <c r="E27" s="16"/>
      <c r="F27" s="17"/>
      <c r="G27" s="16"/>
      <c r="H27" s="17"/>
      <c r="I27" s="16"/>
      <c r="J27" s="17"/>
      <c r="K27" s="16"/>
      <c r="L27" s="17"/>
      <c r="N27" s="37" t="s">
        <v>29</v>
      </c>
      <c r="O27" s="37" t="s">
        <v>30</v>
      </c>
      <c r="P27" s="116" t="s">
        <v>4</v>
      </c>
    </row>
    <row r="28" spans="1:16" x14ac:dyDescent="0.35">
      <c r="A28" s="63" t="s">
        <v>31</v>
      </c>
      <c r="B28" s="16"/>
      <c r="C28" s="21"/>
      <c r="D28" s="18">
        <f>IFERROR(INDEX(Underlying!$A:$K,MATCH($A28,Underlying!$A:$A,0),MATCH(Summary!$D$6,Underlying!$4:$4,0))*(1+(INDEX(Underlying!$A:$K,MATCH($A28,Underlying!$A:$A,0),MATCH(Summary!$D$5,Underlying!$4:$4,0))+INDEX(Underlying!$A:$K,MATCH($A28,Underlying!$A:$A,0),MATCH(Summary!$D$7,Underlying!$4:$4,0)))),0)</f>
        <v>10</v>
      </c>
      <c r="E28" s="33"/>
      <c r="F28" s="18">
        <f>IFERROR(D28*(1+INDEX($A:$P,MATCH($A28,$A:$A,0),MATCH(Summary!$D$6,PrivateBC_Model!$A$27:$P$27,0))),D28)</f>
        <v>10</v>
      </c>
      <c r="G28" s="64"/>
      <c r="H28" s="18">
        <f>IFERROR(F28*(1+INDEX($A:$P,MATCH($A28,$A:$A,0),MATCH(Summary!$D$6,PrivateBC_Model!$A$27:$P$27,0))),F28)</f>
        <v>10</v>
      </c>
      <c r="I28" s="64"/>
      <c r="J28" s="18">
        <f>IFERROR(H28*(1+INDEX($A:$P,MATCH($A28,$A:$A,0),MATCH(Summary!$D$6,PrivateBC_Model!$A$27:$P$27,0))),H28)</f>
        <v>10</v>
      </c>
      <c r="K28" s="64"/>
      <c r="L28" s="18">
        <f>IFERROR(J28*(1+INDEX($A:$P,MATCH($A28,$A:$A,0),MATCH(Summary!$D$6,PrivateBC_Model!$A$27:$P$27,0))),J28)</f>
        <v>10</v>
      </c>
      <c r="N28" s="115">
        <v>0</v>
      </c>
      <c r="O28" s="115">
        <v>0</v>
      </c>
      <c r="P28" s="123">
        <v>0</v>
      </c>
    </row>
    <row r="29" spans="1:16" x14ac:dyDescent="0.35">
      <c r="A29" s="63" t="s">
        <v>32</v>
      </c>
      <c r="B29" s="16"/>
      <c r="C29" s="21"/>
      <c r="D29" s="18">
        <f>IFERROR(INDEX(Underlying!$A:$K,MATCH($A29,Underlying!$A:$A,0),MATCH(Summary!$D$6,Underlying!$4:$4,0))*(1+(INDEX(Underlying!$A:$K,MATCH($A29,Underlying!$A:$A,0),MATCH(Summary!$D$5,Underlying!$4:$4,0))+INDEX(Underlying!$A:$K,MATCH($A29,Underlying!$A:$A,0),MATCH(Summary!$D$7,Underlying!$4:$4,0)))),0)</f>
        <v>250</v>
      </c>
      <c r="E29" s="33"/>
      <c r="F29" s="18">
        <f>IFERROR(D29*(1+INDEX($A:$P,MATCH($A29,$A:$A,0),MATCH(Summary!$D$6,PrivateBC_Model!$A$27:$P$27,0))),D29)</f>
        <v>262.5</v>
      </c>
      <c r="G29" s="64"/>
      <c r="H29" s="18">
        <f>IFERROR(F29*(1+INDEX($A:$P,MATCH($A29,$A:$A,0),MATCH(Summary!$D$6,PrivateBC_Model!$A$27:$P$27,0))),F29)</f>
        <v>275.625</v>
      </c>
      <c r="I29" s="64"/>
      <c r="J29" s="18">
        <f>IFERROR(H29*(1+INDEX($A:$P,MATCH($A29,$A:$A,0),MATCH(Summary!$D$6,PrivateBC_Model!$A$27:$P$27,0))),H29)</f>
        <v>289.40625</v>
      </c>
      <c r="K29" s="64"/>
      <c r="L29" s="18">
        <f>IFERROR(J29*(1+INDEX($A:$P,MATCH($A29,$A:$A,0),MATCH(Summary!$D$6,PrivateBC_Model!$A$27:$P$27,0))),J29)</f>
        <v>303.87656250000003</v>
      </c>
      <c r="N29" s="110">
        <v>0.1</v>
      </c>
      <c r="O29" s="117">
        <v>0.05</v>
      </c>
      <c r="P29" s="109">
        <v>0.05</v>
      </c>
    </row>
    <row r="30" spans="1:16" x14ac:dyDescent="0.35">
      <c r="A30" s="16" t="s">
        <v>33</v>
      </c>
      <c r="B30" s="16"/>
      <c r="C30" s="16"/>
      <c r="D30" s="26">
        <f>IFERROR(INDEX(Underlying!$A:$K,MATCH($A30,Underlying!$A:$A,0),MATCH(Summary!$D$6,Underlying!$4:$4,0))*(1+(INDEX(Underlying!$A:$K,MATCH($A30,Underlying!$A:$A,0),MATCH(Summary!$D$5,Underlying!$4:$4,0))+INDEX(Underlying!$A:$K,MATCH($A30,Underlying!$A:$A,0),MATCH(Summary!$D$7,Underlying!$4:$4,0)))),0)</f>
        <v>0</v>
      </c>
      <c r="E30" s="16"/>
      <c r="F30" s="26">
        <f>IFERROR(D30*(1+INDEX($A:$P,MATCH($A30,$A:$A,0),MATCH(Summary!$D$6,PrivateBC_Model!$A$27:$P$27,0))),D30)</f>
        <v>0</v>
      </c>
      <c r="G30" s="36"/>
      <c r="H30" s="26">
        <f>IFERROR(F30*(1+INDEX($A:$P,MATCH($A30,$A:$A,0),MATCH(Summary!$D$6,PrivateBC_Model!$A$27:$P$27,0))),F30)</f>
        <v>0</v>
      </c>
      <c r="I30" s="36"/>
      <c r="J30" s="26">
        <f>IFERROR(H30*(1+INDEX($A:$P,MATCH($A30,$A:$A,0),MATCH(Summary!$D$6,PrivateBC_Model!$A$27:$P$27,0))),H30)</f>
        <v>0</v>
      </c>
      <c r="K30" s="36"/>
      <c r="L30" s="26">
        <f>IFERROR(J30*(1+INDEX($A:$P,MATCH($A30,$A:$A,0),MATCH(Summary!$D$6,PrivateBC_Model!$A$27:$P$27,0))),J30)</f>
        <v>0</v>
      </c>
      <c r="N30" s="112">
        <v>-0.1</v>
      </c>
      <c r="O30" s="118" t="s">
        <v>34</v>
      </c>
      <c r="P30" s="6" t="s">
        <v>34</v>
      </c>
    </row>
    <row r="31" spans="1:16" ht="10" customHeight="1" x14ac:dyDescent="0.35">
      <c r="A31" s="16"/>
      <c r="B31" s="16"/>
      <c r="C31" s="16"/>
      <c r="D31" s="26"/>
      <c r="E31" s="16"/>
      <c r="F31" s="26"/>
      <c r="G31" s="36"/>
      <c r="H31" s="26"/>
      <c r="I31" s="36"/>
      <c r="J31" s="26"/>
      <c r="K31" s="36"/>
      <c r="L31" s="26"/>
      <c r="N31" s="112"/>
      <c r="O31" s="118"/>
      <c r="P31" s="6"/>
    </row>
    <row r="32" spans="1:16" x14ac:dyDescent="0.35">
      <c r="A32" s="19" t="s">
        <v>35</v>
      </c>
      <c r="B32" s="19"/>
      <c r="C32" s="19"/>
      <c r="D32" s="62">
        <f>IFERROR(INDEX(Underlying!$A:$K,MATCH($A32,Underlying!$A:$A,0),MATCH(Summary!$D$6,Underlying!$4:$4,0))*(1+(INDEX(Underlying!$A:$K,MATCH($A32,Underlying!$A:$A,0),MATCH(Summary!$D$5,Underlying!$4:$4,0))+INDEX(Underlying!$A:$K,MATCH($A32,Underlying!$A:$A,0),MATCH(Summary!$D$7,Underlying!$4:$4,0)))),0)</f>
        <v>16.8</v>
      </c>
      <c r="E32" s="32"/>
      <c r="F32" s="62">
        <f>IFERROR(D32*(1+INDEX($A:$P,MATCH($A32,$A:$A,0),MATCH(Summary!$D$6,PrivateBC_Model!$A$27:$P$27,0))),D32)</f>
        <v>15.959999999999999</v>
      </c>
      <c r="G32" s="108"/>
      <c r="H32" s="62">
        <f>IFERROR(F32*(1+INDEX($A:$P,MATCH($A32,$A:$A,0),MATCH(Summary!$D$6,PrivateBC_Model!$A$27:$P$27,0))),F32)</f>
        <v>15.161999999999999</v>
      </c>
      <c r="I32" s="108"/>
      <c r="J32" s="62">
        <f>IFERROR(H32*(1+INDEX($A:$P,MATCH($A32,$A:$A,0),MATCH(Summary!$D$6,PrivateBC_Model!$A$27:$P$27,0))),H32)</f>
        <v>14.403899999999998</v>
      </c>
      <c r="K32" s="108"/>
      <c r="L32" s="62">
        <f>IFERROR(J32*(1+INDEX($A:$P,MATCH($A32,$A:$A,0),MATCH(Summary!$D$6,PrivateBC_Model!$A$27:$P$27,0))),J32)</f>
        <v>13.683704999999998</v>
      </c>
      <c r="M32" s="5"/>
      <c r="N32" s="112">
        <v>-0.1</v>
      </c>
      <c r="O32" s="121">
        <v>-0.05</v>
      </c>
      <c r="P32" s="35">
        <v>-0.05</v>
      </c>
    </row>
    <row r="33" spans="1:16" x14ac:dyDescent="0.35">
      <c r="A33" s="16" t="s">
        <v>36</v>
      </c>
      <c r="B33" s="16"/>
      <c r="C33" s="16"/>
      <c r="D33" s="18">
        <f>IFERROR(INDEX(Underlying!$A:$K,MATCH($A33,Underlying!$A:$A,0),MATCH(Summary!$D$6,Underlying!$4:$4,0))*(1+(INDEX(Underlying!$A:$K,MATCH($A33,Underlying!$A:$A,0),MATCH(Summary!$D$5,Underlying!$4:$4,0))+INDEX(Underlying!$A:$K,MATCH($A33,Underlying!$A:$A,0),MATCH(Summary!$D$7,Underlying!$4:$4,0)))),0)</f>
        <v>4</v>
      </c>
      <c r="E33" s="33"/>
      <c r="F33" s="18">
        <f>IFERROR(D33*(1+INDEX($A:$P,MATCH($A33,$A:$A,0),MATCH(Summary!$D$6,PrivateBC_Model!$A$27:$P$27,0))),D33)</f>
        <v>3.8</v>
      </c>
      <c r="G33" s="33"/>
      <c r="H33" s="18">
        <f>IFERROR(F33*(1+INDEX($A:$P,MATCH($A33,$A:$A,0),MATCH(Summary!$D$6,PrivateBC_Model!$A$27:$P$27,0))),F33)</f>
        <v>3.61</v>
      </c>
      <c r="I33" s="33"/>
      <c r="J33" s="18">
        <f>IFERROR(H33*(1+INDEX($A:$P,MATCH($A33,$A:$A,0),MATCH(Summary!$D$6,PrivateBC_Model!$A$27:$P$27,0))),H33)</f>
        <v>3.4294999999999995</v>
      </c>
      <c r="K33" s="33"/>
      <c r="L33" s="18">
        <f>IFERROR(J33*(1+INDEX($A:$P,MATCH($A33,$A:$A,0),MATCH(Summary!$D$6,PrivateBC_Model!$A$27:$P$27,0))),J33)</f>
        <v>3.2580249999999995</v>
      </c>
      <c r="M33" s="5"/>
      <c r="N33" s="112">
        <v>-0.05</v>
      </c>
      <c r="O33" s="121">
        <v>-0.05</v>
      </c>
      <c r="P33" s="35">
        <v>-0.05</v>
      </c>
    </row>
    <row r="34" spans="1:16" x14ac:dyDescent="0.35">
      <c r="A34" s="16" t="s">
        <v>37</v>
      </c>
      <c r="B34" s="16"/>
      <c r="C34" s="16"/>
      <c r="D34" s="26">
        <f>IFERROR(INDEX(Underlying!$A:$K,MATCH($A34,Underlying!$A:$A,0),MATCH(Summary!$D$6,Underlying!$4:$4,0))*(1+(INDEX(Underlying!$A:$K,MATCH($A34,Underlying!$A:$A,0),MATCH(Summary!$D$5,Underlying!$4:$4,0))+INDEX(Underlying!$A:$K,MATCH($A34,Underlying!$A:$A,0),MATCH(Summary!$D$7,Underlying!$4:$4,0)))),0)</f>
        <v>82</v>
      </c>
      <c r="E34" s="36"/>
      <c r="F34" s="26">
        <f>IFERROR(D34*(1+INDEX($A:$P,MATCH($A34,$A:$A,0),MATCH(Summary!$D$6,PrivateBC_Model!$A$27:$P$27,0))),D34)</f>
        <v>77.899999999999991</v>
      </c>
      <c r="G34" s="36"/>
      <c r="H34" s="26">
        <f>IFERROR(F34*(1+INDEX($A:$P,MATCH($A34,$A:$A,0),MATCH(Summary!$D$6,PrivateBC_Model!$A$27:$P$27,0))),F34)</f>
        <v>74.004999999999995</v>
      </c>
      <c r="I34" s="36"/>
      <c r="J34" s="26">
        <f>IFERROR(H34*(1+INDEX($A:$P,MATCH($A34,$A:$A,0),MATCH(Summary!$D$6,PrivateBC_Model!$A$27:$P$27,0))),H34)</f>
        <v>70.304749999999999</v>
      </c>
      <c r="K34" s="36"/>
      <c r="L34" s="26">
        <f>IFERROR(J34*(1+INDEX($A:$P,MATCH($A34,$A:$A,0),MATCH(Summary!$D$6,PrivateBC_Model!$A$27:$P$27,0))),J34)</f>
        <v>66.789512500000001</v>
      </c>
      <c r="M34" s="5"/>
      <c r="N34" s="112">
        <v>-0.05</v>
      </c>
      <c r="O34" s="121">
        <v>-0.05</v>
      </c>
      <c r="P34" s="35">
        <v>-0.05</v>
      </c>
    </row>
    <row r="35" spans="1:16" x14ac:dyDescent="0.35">
      <c r="A35" s="21" t="s">
        <v>38</v>
      </c>
      <c r="B35" s="21"/>
      <c r="C35" s="21"/>
      <c r="D35" s="26">
        <f>IFERROR(INDEX(Underlying!$A:$K,MATCH($A35,Underlying!$A:$A,0),MATCH(Summary!$D$6,Underlying!$4:$4,0))*(1+(INDEX(Underlying!$A:$K,MATCH($A35,Underlying!$A:$A,0),MATCH(Summary!$D$5,Underlying!$4:$4,0))+INDEX(Underlying!$A:$K,MATCH($A35,Underlying!$A:$A,0),MATCH(Summary!$D$7,Underlying!$4:$4,0)))),0)</f>
        <v>10</v>
      </c>
      <c r="E35" s="21"/>
      <c r="F35" s="26">
        <f>IFERROR(D35*(1+INDEX($A:$P,MATCH($A35,$A:$A,0),MATCH(Summary!$D$6,PrivateBC_Model!$A$27:$P$27,0))),D35)</f>
        <v>9.5</v>
      </c>
      <c r="G35" s="21"/>
      <c r="H35" s="26">
        <f>IFERROR(F35*(1+INDEX($A:$P,MATCH($A35,$A:$A,0),MATCH(Summary!$D$6,PrivateBC_Model!$A$27:$P$27,0))),F35)</f>
        <v>9.0250000000000004</v>
      </c>
      <c r="I35" s="21"/>
      <c r="J35" s="26">
        <f>IFERROR(H35*(1+INDEX($A:$P,MATCH($A35,$A:$A,0),MATCH(Summary!$D$6,PrivateBC_Model!$A$27:$P$27,0))),H35)</f>
        <v>8.5737500000000004</v>
      </c>
      <c r="K35" s="21"/>
      <c r="L35" s="26">
        <f>IFERROR(J35*(1+INDEX($A:$P,MATCH($A35,$A:$A,0),MATCH(Summary!$D$6,PrivateBC_Model!$A$27:$P$27,0))),J35)</f>
        <v>8.1450624999999999</v>
      </c>
      <c r="M35" s="5"/>
      <c r="N35" s="112">
        <v>-0.05</v>
      </c>
      <c r="O35" s="121">
        <v>-0.05</v>
      </c>
      <c r="P35" s="35">
        <v>-0.05</v>
      </c>
    </row>
    <row r="36" spans="1:16" ht="10" customHeight="1" x14ac:dyDescent="0.35">
      <c r="A36" s="16"/>
      <c r="B36" s="16"/>
      <c r="C36" s="16"/>
      <c r="D36" s="20"/>
      <c r="E36" s="21"/>
      <c r="F36" s="30"/>
      <c r="G36" s="21"/>
      <c r="H36" s="30"/>
      <c r="I36" s="21"/>
      <c r="J36" s="30"/>
      <c r="K36" s="21"/>
      <c r="L36" s="30"/>
      <c r="M36" s="5"/>
      <c r="N36" s="111"/>
      <c r="O36" s="119"/>
    </row>
    <row r="37" spans="1:16" x14ac:dyDescent="0.35">
      <c r="A37" s="19" t="s">
        <v>39</v>
      </c>
      <c r="B37" s="19"/>
      <c r="C37" s="19"/>
      <c r="D37" s="67">
        <f>IFERROR(INDEX(Underlying!$A:$K,MATCH($A37,Underlying!$A:$A,0),MATCH(Summary!$D$6,Underlying!$4:$4,0))*(1+(INDEX(Underlying!$A:$K,MATCH($A37,Underlying!$A:$A,0),MATCH(Summary!$D$5,Underlying!$4:$4,0))+INDEX(Underlying!$A:$K,MATCH($A37,Underlying!$A:$A,0),MATCH(Summary!$D$7,Underlying!$4:$4,0)))),0)</f>
        <v>1</v>
      </c>
      <c r="E37" s="68"/>
      <c r="F37" s="67">
        <f>IFERROR(D37*(1+INDEX($A:$P,MATCH($A37,$A:$A,0),MATCH(Summary!$D$6,PrivateBC_Model!$A$27:$P$27,0))),D37)</f>
        <v>0.95</v>
      </c>
      <c r="G37" s="68"/>
      <c r="H37" s="67">
        <f>IFERROR(F37*(1+INDEX($A:$P,MATCH($A37,$A:$A,0),MATCH(Summary!$D$6,PrivateBC_Model!$A$27:$P$27,0))),F37)</f>
        <v>0.90249999999999997</v>
      </c>
      <c r="I37" s="68"/>
      <c r="J37" s="67">
        <f>IFERROR(H37*(1+INDEX($A:$P,MATCH($A37,$A:$A,0),MATCH(Summary!$D$6,PrivateBC_Model!$A$27:$P$27,0))),H37)</f>
        <v>0.85737499999999989</v>
      </c>
      <c r="K37" s="68"/>
      <c r="L37" s="67">
        <f>IFERROR(J37*(1+INDEX($A:$P,MATCH($A37,$A:$A,0),MATCH(Summary!$D$6,PrivateBC_Model!$A$27:$P$27,0))),J37)</f>
        <v>0.81450624999999988</v>
      </c>
      <c r="M37" s="5"/>
      <c r="N37" s="113" t="s">
        <v>34</v>
      </c>
      <c r="O37" s="120" t="s">
        <v>34</v>
      </c>
      <c r="P37" s="34">
        <v>-0.05</v>
      </c>
    </row>
    <row r="38" spans="1:16" x14ac:dyDescent="0.35">
      <c r="A38" s="16" t="s">
        <v>40</v>
      </c>
      <c r="B38" s="16"/>
      <c r="C38" s="16"/>
      <c r="D38" s="26">
        <f>IFERROR(INDEX(Underlying!$A:$K,MATCH($A38,Underlying!$A:$A,0),MATCH(Summary!$D$6,Underlying!$4:$4,0))*(1+(INDEX(Underlying!$A:$K,MATCH($A38,Underlying!$A:$A,0),MATCH(Summary!$D$5,Underlying!$4:$4,0))+INDEX(Underlying!$A:$K,MATCH($A38,Underlying!$A:$A,0),MATCH(Summary!$D$7,Underlying!$4:$4,0)))),0)</f>
        <v>2200</v>
      </c>
      <c r="E38" s="21"/>
      <c r="F38" s="26">
        <f>IFERROR(D38*(1+INDEX($A:$P,MATCH($A38,$A:$A,0),MATCH(Summary!$D$6,PrivateBC_Model!$A$27:$P$27,0))),D38)</f>
        <v>1980</v>
      </c>
      <c r="G38" s="21"/>
      <c r="H38" s="26">
        <f>IFERROR(F38*(1+INDEX($A:$P,MATCH($A38,$A:$A,0),MATCH(Summary!$D$6,PrivateBC_Model!$A$27:$P$27,0))),F38)</f>
        <v>1782</v>
      </c>
      <c r="I38" s="21"/>
      <c r="J38" s="26">
        <f>IFERROR(H38*(1+INDEX($A:$P,MATCH($A38,$A:$A,0),MATCH(Summary!$D$6,PrivateBC_Model!$A$27:$P$27,0))),H38)</f>
        <v>1603.8</v>
      </c>
      <c r="K38" s="21"/>
      <c r="L38" s="26">
        <f>IFERROR(J38*(1+INDEX($A:$P,MATCH($A38,$A:$A,0),MATCH(Summary!$D$6,PrivateBC_Model!$A$27:$P$27,0))),J38)</f>
        <v>1443.42</v>
      </c>
      <c r="M38" s="5"/>
      <c r="N38" s="113" t="s">
        <v>34</v>
      </c>
      <c r="O38" s="120" t="s">
        <v>34</v>
      </c>
      <c r="P38" s="34">
        <v>-0.1</v>
      </c>
    </row>
    <row r="39" spans="1:16" x14ac:dyDescent="0.35">
      <c r="A39" s="16" t="s">
        <v>41</v>
      </c>
      <c r="B39" s="16"/>
      <c r="C39" s="16"/>
      <c r="D39" s="76">
        <f>IFERROR(INDEX(Underlying!$A:$K,MATCH($A39,Underlying!$A:$A,0),MATCH(Summary!$D$6,Underlying!$4:$4,0))*(1+(INDEX(Underlying!$A:$K,MATCH($A39,Underlying!$A:$A,0),MATCH(Summary!$D$5,Underlying!$4:$4,0))+INDEX(Underlying!$A:$K,MATCH($A39,Underlying!$A:$A,0),MATCH(Summary!$D$7,Underlying!$4:$4,0)))),0)</f>
        <v>2.4</v>
      </c>
      <c r="E39" s="21"/>
      <c r="F39" s="76">
        <f>IFERROR(D39*(1+INDEX($A:$P,MATCH($A39,$A:$A,0),MATCH(Summary!$D$6,PrivateBC_Model!$A$27:$P$27,0))),D39)</f>
        <v>2.16</v>
      </c>
      <c r="G39" s="77"/>
      <c r="H39" s="76">
        <f>IFERROR(F39*(1+INDEX($A:$P,MATCH($A39,$A:$A,0),MATCH(Summary!$D$6,PrivateBC_Model!$A$27:$P$27,0))),F39)</f>
        <v>1.9440000000000002</v>
      </c>
      <c r="I39" s="77"/>
      <c r="J39" s="76">
        <f>IFERROR(H39*(1+INDEX($A:$P,MATCH($A39,$A:$A,0),MATCH(Summary!$D$6,PrivateBC_Model!$A$27:$P$27,0))),H39)</f>
        <v>1.7496000000000003</v>
      </c>
      <c r="K39" s="77"/>
      <c r="L39" s="76">
        <f>IFERROR(J39*(1+INDEX($A:$P,MATCH($A39,$A:$A,0),MATCH(Summary!$D$6,PrivateBC_Model!$A$27:$P$27,0))),J39)</f>
        <v>1.5746400000000003</v>
      </c>
      <c r="M39" s="5"/>
      <c r="N39" s="113" t="s">
        <v>34</v>
      </c>
      <c r="O39" s="120" t="s">
        <v>34</v>
      </c>
      <c r="P39" s="34">
        <v>-0.1</v>
      </c>
    </row>
    <row r="40" spans="1:16" x14ac:dyDescent="0.35">
      <c r="A40" s="16" t="s">
        <v>42</v>
      </c>
      <c r="B40" s="16"/>
      <c r="C40" s="16"/>
      <c r="D40" s="65">
        <f>IFERROR(INDEX(Underlying!$A:$K,MATCH($A40,Underlying!$A:$A,0),MATCH(Summary!$D$6,Underlying!$4:$4,0))*(1+(INDEX(Underlying!$A:$K,MATCH($A40,Underlying!$A:$A,0),MATCH(Summary!$D$5,Underlying!$4:$4,0))+INDEX(Underlying!$A:$K,MATCH($A40,Underlying!$A:$A,0),MATCH(Summary!$D$7,Underlying!$4:$4,0)))),0)</f>
        <v>4.7999999999999996E-3</v>
      </c>
      <c r="E40" s="21"/>
      <c r="F40" s="65">
        <f>IFERROR(D40*(1+INDEX($A:$P,MATCH($A40,$A:$A,0),MATCH(Summary!$D$6,PrivateBC_Model!$A$27:$P$27,0))),D40)</f>
        <v>4.3200000000000001E-3</v>
      </c>
      <c r="G40" s="66"/>
      <c r="H40" s="65">
        <f>IFERROR(F40*(1+INDEX($A:$P,MATCH($A40,$A:$A,0),MATCH(Summary!$D$6,PrivateBC_Model!$A$27:$P$27,0))),F40)</f>
        <v>3.888E-3</v>
      </c>
      <c r="I40" s="66"/>
      <c r="J40" s="65">
        <f>IFERROR(H40*(1+INDEX($A:$P,MATCH($A40,$A:$A,0),MATCH(Summary!$D$6,PrivateBC_Model!$A$27:$P$27,0))),H40)</f>
        <v>3.4992000000000001E-3</v>
      </c>
      <c r="K40" s="66"/>
      <c r="L40" s="65">
        <f>IFERROR(J40*(1+INDEX($A:$P,MATCH($A40,$A:$A,0),MATCH(Summary!$D$6,PrivateBC_Model!$A$27:$P$27,0))),J40)</f>
        <v>3.14928E-3</v>
      </c>
      <c r="M40" s="5"/>
      <c r="N40" s="113" t="s">
        <v>34</v>
      </c>
      <c r="O40" s="120" t="s">
        <v>34</v>
      </c>
      <c r="P40" s="34">
        <v>-0.1</v>
      </c>
    </row>
    <row r="41" spans="1:16" ht="10" customHeight="1" x14ac:dyDescent="0.35">
      <c r="A41" s="16"/>
      <c r="B41" s="16"/>
      <c r="C41" s="16"/>
      <c r="D41" s="21"/>
      <c r="E41" s="21"/>
      <c r="F41" s="30"/>
      <c r="G41" s="21"/>
      <c r="H41" s="30"/>
      <c r="I41" s="21"/>
      <c r="J41" s="30"/>
      <c r="K41" s="21"/>
      <c r="L41" s="30"/>
      <c r="M41" s="5"/>
      <c r="N41" s="111"/>
      <c r="O41" s="119"/>
    </row>
    <row r="42" spans="1:16" x14ac:dyDescent="0.35">
      <c r="A42" s="19" t="s">
        <v>43</v>
      </c>
      <c r="B42" s="19"/>
      <c r="C42" s="19"/>
      <c r="D42" s="31">
        <f>IFERROR(INDEX(Underlying!$A:$K,MATCH($A42,Underlying!$A:$A,0),MATCH(Summary!$D$6,Underlying!$4:$4,0))*(1+(INDEX(Underlying!$A:$K,MATCH($A42,Underlying!$A:$A,0),MATCH(Summary!$D$5,Underlying!$4:$4,0))+INDEX(Underlying!$A:$K,MATCH($A42,Underlying!$A:$A,0),MATCH(Summary!$D$7,Underlying!$4:$4,0)))),0)</f>
        <v>98000</v>
      </c>
      <c r="E42" s="32"/>
      <c r="F42" s="31">
        <f>IFERROR(D42*(1+INDEX($A:$P,MATCH($A42,$A:$A,0),MATCH(Summary!$D$6,PrivateBC_Model!$A$27:$P$27,0))),D42)</f>
        <v>98000</v>
      </c>
      <c r="G42" s="32"/>
      <c r="H42" s="31">
        <f>IFERROR(F42*(1+INDEX($A:$P,MATCH($A42,$A:$A,0),MATCH(Summary!$D$6,PrivateBC_Model!$A$27:$P$27,0))),F42)</f>
        <v>98000</v>
      </c>
      <c r="I42" s="32"/>
      <c r="J42" s="31">
        <f>IFERROR(H42*(1+INDEX($A:$P,MATCH($A42,$A:$A,0),MATCH(Summary!$D$6,PrivateBC_Model!$A$27:$P$27,0))),H42)</f>
        <v>98000</v>
      </c>
      <c r="K42" s="32"/>
      <c r="L42" s="31">
        <f>IFERROR(J42*(1+INDEX($A:$P,MATCH($A42,$A:$A,0),MATCH(Summary!$D$6,PrivateBC_Model!$A$27:$P$27,0))),J42)</f>
        <v>98000</v>
      </c>
      <c r="M42" s="5"/>
      <c r="N42" s="112">
        <v>-0.05</v>
      </c>
      <c r="O42" s="122">
        <v>0</v>
      </c>
      <c r="P42" s="122">
        <v>0</v>
      </c>
    </row>
    <row r="43" spans="1:16" x14ac:dyDescent="0.35">
      <c r="A43" s="16" t="s">
        <v>44</v>
      </c>
      <c r="B43" s="16"/>
      <c r="C43" s="16"/>
      <c r="D43" s="22">
        <f>IFERROR(INDEX(Underlying!$A:$K,MATCH($A43,Underlying!$A:$A,0),MATCH(Summary!$D$6,Underlying!$4:$4,0))*(1+(INDEX(Underlying!$A:$K,MATCH($A43,Underlying!$A:$A,0),MATCH(Summary!$D$5,Underlying!$4:$4,0))+INDEX(Underlying!$A:$K,MATCH($A43,Underlying!$A:$A,0),MATCH(Summary!$D$7,Underlying!$4:$4,0)))),0)</f>
        <v>0</v>
      </c>
      <c r="E43" s="133"/>
      <c r="F43" s="22">
        <f>IFERROR(D43*(1+INDEX($A:$P,MATCH($A43,$A:$A,0),MATCH(Summary!$D$6,PrivateBC_Model!$A$27:$P$27,0))),D43)</f>
        <v>0</v>
      </c>
      <c r="G43" s="133"/>
      <c r="H43" s="22">
        <f>IFERROR(F43*(1+INDEX($A:$P,MATCH($A43,$A:$A,0),MATCH(Summary!$D$6,PrivateBC_Model!$A$27:$P$27,0))),F43)</f>
        <v>0</v>
      </c>
      <c r="I43" s="133"/>
      <c r="J43" s="22">
        <f>IFERROR(H43*(1+INDEX($A:$P,MATCH($A43,$A:$A,0),MATCH(Summary!$D$6,PrivateBC_Model!$A$27:$P$27,0))),H43)</f>
        <v>0</v>
      </c>
      <c r="K43" s="133"/>
      <c r="L43" s="22">
        <f>IFERROR(J43*(1+INDEX($A:$P,MATCH($A43,$A:$A,0),MATCH(Summary!$D$6,PrivateBC_Model!$A$27:$P$27,0))),J43)</f>
        <v>0</v>
      </c>
      <c r="M43" s="5"/>
      <c r="N43" s="112">
        <v>-0.15</v>
      </c>
      <c r="O43" s="121">
        <v>-0.05</v>
      </c>
      <c r="P43" s="3" t="s">
        <v>34</v>
      </c>
    </row>
    <row r="44" spans="1:16" x14ac:dyDescent="0.35">
      <c r="A44" s="16" t="s">
        <v>45</v>
      </c>
      <c r="B44" s="16"/>
      <c r="C44" s="16"/>
      <c r="D44" s="18">
        <f>IFERROR(INDEX(Underlying!$A:$K,MATCH($A44,Underlying!$A:$A,0),MATCH(Summary!$D$6,Underlying!$4:$4,0))*(1+(INDEX(Underlying!$A:$K,MATCH($A44,Underlying!$A:$A,0),MATCH(Summary!$D$5,Underlying!$4:$4,0))+INDEX(Underlying!$A:$K,MATCH($A44,Underlying!$A:$A,0),MATCH(Summary!$D$7,Underlying!$4:$4,0)))),0)</f>
        <v>0</v>
      </c>
      <c r="E44" s="21"/>
      <c r="F44" s="18">
        <f>IFERROR(D44*(1+INDEX($A:$P,MATCH($A44,$A:$A,0),MATCH(Summary!$D$6,PrivateBC_Model!$A$27:$P$27,0))),D44)</f>
        <v>0</v>
      </c>
      <c r="G44" s="21"/>
      <c r="H44" s="18">
        <f>IFERROR(F44*(1+INDEX($A:$P,MATCH($A44,$A:$A,0),MATCH(Summary!$D$6,PrivateBC_Model!$A$27:$P$27,0))),F44)</f>
        <v>0</v>
      </c>
      <c r="I44" s="21"/>
      <c r="J44" s="18">
        <f>IFERROR(H44*(1+INDEX($A:$P,MATCH($A44,$A:$A,0),MATCH(Summary!$D$6,PrivateBC_Model!$A$27:$P$27,0))),H44)</f>
        <v>0</v>
      </c>
      <c r="K44" s="21"/>
      <c r="L44" s="18">
        <f>IFERROR(J44*(1+INDEX($A:$P,MATCH($A44,$A:$A,0),MATCH(Summary!$D$6,PrivateBC_Model!$A$27:$P$27,0))),J44)</f>
        <v>0</v>
      </c>
      <c r="M44" s="5"/>
      <c r="N44" s="110">
        <v>0.1</v>
      </c>
      <c r="O44" s="117">
        <v>0.05</v>
      </c>
      <c r="P44" s="109">
        <v>0.05</v>
      </c>
    </row>
    <row r="45" spans="1:16" x14ac:dyDescent="0.35">
      <c r="A45" s="16" t="s">
        <v>46</v>
      </c>
      <c r="B45" s="16"/>
      <c r="C45" s="16"/>
      <c r="D45" s="26">
        <f>IFERROR(INDEX(Underlying!$A:$K,MATCH($A45,Underlying!$A:$A,0),MATCH(Summary!$D$6,Underlying!$4:$4,0))*(1+(INDEX(Underlying!$A:$K,MATCH($A45,Underlying!$A:$A,0),MATCH(Summary!$D$5,Underlying!$4:$4,0))+INDEX(Underlying!$A:$K,MATCH($A45,Underlying!$A:$A,0),MATCH(Summary!$D$7,Underlying!$4:$4,0)))),0)</f>
        <v>164</v>
      </c>
      <c r="E45" s="21"/>
      <c r="F45" s="26">
        <f>IFERROR(D45*(1+INDEX($A:$P,MATCH($A45,$A:$A,0),MATCH(Summary!$D$6,PrivateBC_Model!$A$27:$P$27,0))),D45)</f>
        <v>155.79999999999998</v>
      </c>
      <c r="G45" s="21"/>
      <c r="H45" s="26">
        <f>IFERROR(F45*(1+INDEX($A:$P,MATCH($A45,$A:$A,0),MATCH(Summary!$D$6,PrivateBC_Model!$A$27:$P$27,0))),F45)</f>
        <v>148.01</v>
      </c>
      <c r="I45" s="21"/>
      <c r="J45" s="26">
        <f>IFERROR(H45*(1+INDEX($A:$P,MATCH($A45,$A:$A,0),MATCH(Summary!$D$6,PrivateBC_Model!$A$27:$P$27,0))),H45)</f>
        <v>140.6095</v>
      </c>
      <c r="K45" s="21"/>
      <c r="L45" s="26">
        <f>IFERROR(J45*(1+INDEX($A:$P,MATCH($A45,$A:$A,0),MATCH(Summary!$D$6,PrivateBC_Model!$A$27:$P$27,0))),J45)</f>
        <v>133.579025</v>
      </c>
      <c r="M45" s="5"/>
      <c r="N45" s="112">
        <v>-0.1</v>
      </c>
      <c r="O45" s="121">
        <v>-0.05</v>
      </c>
      <c r="P45" s="35">
        <v>-0.05</v>
      </c>
    </row>
    <row r="46" spans="1:16" x14ac:dyDescent="0.35">
      <c r="A46" s="16" t="s">
        <v>47</v>
      </c>
      <c r="B46" s="16"/>
      <c r="C46" s="16"/>
      <c r="D46" s="22">
        <f>IFERROR(INDEX(Underlying!$A:$K,MATCH($A46,Underlying!$A:$A,0),MATCH(Summary!$D$6,Underlying!$4:$4,0))*(1+(INDEX(Underlying!$A:$K,MATCH($A46,Underlying!$A:$A,0),MATCH(Summary!$D$5,Underlying!$4:$4,0))+INDEX(Underlying!$A:$K,MATCH($A46,Underlying!$A:$A,0),MATCH(Summary!$D$7,Underlying!$4:$4,0)))),0)</f>
        <v>0.19</v>
      </c>
      <c r="E46" s="21"/>
      <c r="F46" s="22">
        <f>IFERROR(D46*(1+INDEX($A:$P,MATCH($A46,$A:$A,0),MATCH(Summary!$D$6,PrivateBC_Model!$A$27:$P$27,0))),D46)</f>
        <v>0.19</v>
      </c>
      <c r="G46" s="21"/>
      <c r="H46" s="22">
        <f>IFERROR(F46*(1+INDEX($A:$P,MATCH($A46,$A:$A,0),MATCH(Summary!$D$6,PrivateBC_Model!$A$27:$P$27,0))),F46)</f>
        <v>0.19</v>
      </c>
      <c r="I46" s="21"/>
      <c r="J46" s="22">
        <f>IFERROR(H46*(1+INDEX($A:$P,MATCH($A46,$A:$A,0),MATCH(Summary!$D$6,PrivateBC_Model!$A$27:$P$27,0))),H46)</f>
        <v>0.19</v>
      </c>
      <c r="K46" s="21"/>
      <c r="L46" s="22">
        <f>IFERROR(J46*(1+INDEX($A:$P,MATCH($A46,$A:$A,0),MATCH(Summary!$D$6,PrivateBC_Model!$A$27:$P$27,0))),J46)</f>
        <v>0.19</v>
      </c>
      <c r="M46" s="5"/>
      <c r="N46" s="115">
        <v>0</v>
      </c>
      <c r="O46" s="115">
        <v>0</v>
      </c>
      <c r="P46" s="123">
        <v>0</v>
      </c>
    </row>
    <row r="47" spans="1:16" ht="10" customHeight="1" x14ac:dyDescent="0.35">
      <c r="A47" s="16"/>
      <c r="B47" s="16"/>
      <c r="C47" s="16"/>
      <c r="D47" s="21"/>
      <c r="E47" s="21"/>
      <c r="F47" s="30"/>
      <c r="G47" s="21"/>
      <c r="H47" s="30"/>
      <c r="I47" s="21"/>
      <c r="J47" s="30"/>
      <c r="K47" s="21"/>
      <c r="L47" s="30"/>
      <c r="M47" s="5"/>
      <c r="N47" s="111"/>
      <c r="O47" s="119"/>
    </row>
    <row r="48" spans="1:16" x14ac:dyDescent="0.35">
      <c r="A48" s="19" t="s">
        <v>48</v>
      </c>
      <c r="B48" s="19"/>
      <c r="C48" s="19"/>
      <c r="D48" s="31">
        <f>IFERROR(INDEX(Underlying!$A:$K,MATCH($A48,Underlying!$A:$A,0),MATCH(Summary!$D$6,Underlying!$4:$4,0))*(1+(INDEX(Underlying!$A:$K,MATCH($A48,Underlying!$A:$A,0),MATCH(Summary!$D$5,Underlying!$4:$4,0))+INDEX(Underlying!$A:$K,MATCH($A48,Underlying!$A:$A,0),MATCH(Summary!$D$7,Underlying!$4:$4,0)))),0)</f>
        <v>18</v>
      </c>
      <c r="E48" s="32"/>
      <c r="F48" s="31">
        <f>IFERROR(D48*(1+INDEX($A:$P,MATCH($A48,$A:$A,0),MATCH(Summary!$D$6,PrivateBC_Model!$A$27:$P$27,0))),D48)</f>
        <v>17.099999999999998</v>
      </c>
      <c r="G48" s="32"/>
      <c r="H48" s="31">
        <f>IFERROR(F48*(1+INDEX($A:$P,MATCH($A48,$A:$A,0),MATCH(Summary!$D$6,PrivateBC_Model!$A$27:$P$27,0))),F48)</f>
        <v>16.244999999999997</v>
      </c>
      <c r="I48" s="32"/>
      <c r="J48" s="31">
        <f>IFERROR(H48*(1+INDEX($A:$P,MATCH($A48,$A:$A,0),MATCH(Summary!$D$6,PrivateBC_Model!$A$27:$P$27,0))),H48)</f>
        <v>15.432749999999997</v>
      </c>
      <c r="K48" s="32"/>
      <c r="L48" s="31">
        <f>IFERROR(J48*(1+INDEX($A:$P,MATCH($A48,$A:$A,0),MATCH(Summary!$D$6,PrivateBC_Model!$A$27:$P$27,0))),J48)</f>
        <v>14.661112499999996</v>
      </c>
      <c r="M48" s="5"/>
      <c r="N48" s="114">
        <v>-0.1</v>
      </c>
      <c r="O48" s="121">
        <v>-0.05</v>
      </c>
      <c r="P48" s="124">
        <v>-0.05</v>
      </c>
    </row>
    <row r="49" spans="1:16" x14ac:dyDescent="0.35">
      <c r="A49" s="16" t="s">
        <v>49</v>
      </c>
      <c r="B49" s="16"/>
      <c r="C49" s="16"/>
      <c r="D49" s="26">
        <f>IFERROR(INDEX(Underlying!$A:$K,MATCH($A49,Underlying!$A:$A,0),MATCH(Summary!$D$6,Underlying!$4:$4,0))*(1+(INDEX(Underlying!$A:$K,MATCH($A49,Underlying!$A:$A,0),MATCH(Summary!$D$5,Underlying!$4:$4,0))+INDEX(Underlying!$A:$K,MATCH($A49,Underlying!$A:$A,0),MATCH(Summary!$D$7,Underlying!$4:$4,0)))),0)</f>
        <v>1644.5000000000002</v>
      </c>
      <c r="E49" s="21"/>
      <c r="F49" s="26">
        <f>IFERROR(D49*(1+INDEX($A:$P,MATCH($A49,$A:$A,0),MATCH(Summary!$D$6,PrivateBC_Model!$A$27:$P$27,0))),D49)</f>
        <v>1644.5000000000002</v>
      </c>
      <c r="G49" s="21"/>
      <c r="H49" s="26">
        <f>IFERROR(F49*(1+INDEX($A:$P,MATCH($A49,$A:$A,0),MATCH(Summary!$D$6,PrivateBC_Model!$A$27:$P$27,0))),F49)</f>
        <v>1644.5000000000002</v>
      </c>
      <c r="I49" s="21"/>
      <c r="J49" s="26">
        <f>IFERROR(H49*(1+INDEX($A:$P,MATCH($A49,$A:$A,0),MATCH(Summary!$D$6,PrivateBC_Model!$A$27:$P$27,0))),H49)</f>
        <v>1644.5000000000002</v>
      </c>
      <c r="K49" s="21"/>
      <c r="L49" s="26">
        <f>IFERROR(J49*(1+INDEX($A:$P,MATCH($A49,$A:$A,0),MATCH(Summary!$D$6,PrivateBC_Model!$A$27:$P$27,0))),J49)</f>
        <v>1644.5000000000002</v>
      </c>
      <c r="M49" s="5"/>
      <c r="N49" s="114">
        <v>-0.1</v>
      </c>
      <c r="O49" s="121">
        <v>-0.05</v>
      </c>
      <c r="P49" s="124">
        <v>-0.05</v>
      </c>
    </row>
    <row r="50" spans="1:16" ht="10" customHeight="1" x14ac:dyDescent="0.35">
      <c r="N50" s="24"/>
    </row>
    <row r="51" spans="1:16" ht="10" customHeight="1" x14ac:dyDescent="0.35"/>
    <row r="58" spans="1:16" ht="10" customHeight="1" x14ac:dyDescent="0.35"/>
  </sheetData>
  <mergeCells count="1">
    <mergeCell ref="N26:P2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58"/>
  <sheetViews>
    <sheetView showGridLines="0" zoomScale="90" zoomScaleNormal="90" workbookViewId="0">
      <selection activeCell="A2" sqref="A2"/>
    </sheetView>
  </sheetViews>
  <sheetFormatPr defaultColWidth="8.81640625" defaultRowHeight="16" x14ac:dyDescent="0.35"/>
  <cols>
    <col min="1" max="1" width="14.453125" style="4" customWidth="1"/>
    <col min="2" max="2" width="15.453125" style="4" customWidth="1"/>
    <col min="3" max="3" width="14.81640625" style="4" customWidth="1"/>
    <col min="4" max="4" width="15.1796875" style="4" customWidth="1"/>
    <col min="5" max="5" width="3.1796875" style="4" customWidth="1"/>
    <col min="6" max="6" width="15.1796875" style="3" customWidth="1"/>
    <col min="7" max="7" width="3.1796875" style="4" customWidth="1"/>
    <col min="8" max="8" width="15.1796875" style="3" customWidth="1"/>
    <col min="9" max="9" width="3.1796875" style="4" customWidth="1"/>
    <col min="10" max="10" width="15.1796875" style="3" customWidth="1"/>
    <col min="11" max="11" width="3.1796875" style="4" customWidth="1"/>
    <col min="12" max="12" width="15.1796875" style="3" customWidth="1"/>
    <col min="13" max="13" width="11.1796875" style="4" customWidth="1"/>
    <col min="14" max="14" width="21.81640625" style="3" customWidth="1"/>
    <col min="15" max="16" width="21.81640625" style="4" customWidth="1"/>
    <col min="17" max="16384" width="8.81640625" style="4"/>
  </cols>
  <sheetData>
    <row r="1" spans="1:15" ht="21" x14ac:dyDescent="0.35">
      <c r="A1" s="10" t="s">
        <v>116</v>
      </c>
    </row>
    <row r="3" spans="1:15" x14ac:dyDescent="0.35">
      <c r="D3" s="2" t="s">
        <v>7</v>
      </c>
      <c r="E3" s="3"/>
      <c r="F3" s="2" t="s">
        <v>8</v>
      </c>
      <c r="G3" s="3"/>
      <c r="H3" s="2" t="s">
        <v>9</v>
      </c>
      <c r="I3" s="3"/>
      <c r="J3" s="2" t="s">
        <v>10</v>
      </c>
      <c r="K3" s="3"/>
      <c r="L3" s="2" t="s">
        <v>11</v>
      </c>
    </row>
    <row r="4" spans="1:15" ht="8.15" customHeight="1" x14ac:dyDescent="0.35">
      <c r="D4" s="3"/>
      <c r="E4" s="3"/>
      <c r="G4" s="3"/>
      <c r="I4" s="3"/>
      <c r="K4" s="3"/>
    </row>
    <row r="5" spans="1:15" x14ac:dyDescent="0.35">
      <c r="A5" s="7" t="s">
        <v>12</v>
      </c>
    </row>
    <row r="6" spans="1:15" x14ac:dyDescent="0.35">
      <c r="A6" s="4" t="s">
        <v>97</v>
      </c>
      <c r="D6" s="25">
        <v>50000</v>
      </c>
      <c r="E6" s="3"/>
      <c r="G6" s="3"/>
      <c r="I6" s="3"/>
      <c r="K6" s="3"/>
    </row>
    <row r="7" spans="1:15" x14ac:dyDescent="0.35">
      <c r="A7" s="4" t="s">
        <v>17</v>
      </c>
      <c r="D7" s="25">
        <f>full_nodes*D30</f>
        <v>0</v>
      </c>
      <c r="E7" s="69"/>
      <c r="F7" s="25">
        <f>F28*F30</f>
        <v>0</v>
      </c>
      <c r="G7" s="69"/>
      <c r="H7" s="25">
        <f>H28*H30</f>
        <v>0</v>
      </c>
      <c r="I7" s="69"/>
      <c r="J7" s="25">
        <f>J28*J30</f>
        <v>0</v>
      </c>
      <c r="K7" s="69"/>
      <c r="L7" s="25">
        <f>L28*L30</f>
        <v>0</v>
      </c>
    </row>
    <row r="8" spans="1:15" x14ac:dyDescent="0.35">
      <c r="A8" s="8" t="s">
        <v>18</v>
      </c>
      <c r="D8" s="25">
        <f>(full_nodes*D32+D29*D33)*D34</f>
        <v>3280</v>
      </c>
      <c r="E8" s="69"/>
      <c r="F8" s="25">
        <f>((F28-full_nodes)*F32+(F29-D29)*F33)*F34+F46*AVERAGE(D29:F29)</f>
        <v>149.95749999999998</v>
      </c>
      <c r="G8" s="69"/>
      <c r="H8" s="25">
        <f>((H28-F28)*H32+(H29-F29)*H33)*H34+H46*AVERAGE(F29:H29)</f>
        <v>142.30285125000006</v>
      </c>
      <c r="I8" s="69"/>
      <c r="J8" s="25">
        <f>((J28-H28)*J32+(J29-H29)*J33)*J34+J46*AVERAGE(H29:J29)</f>
        <v>135.05908349390654</v>
      </c>
      <c r="K8" s="69"/>
      <c r="L8" s="25">
        <f>((L28-J28)*L32+(L29-J29)*L33)*L34+L46*AVERAGE(J29:L29)</f>
        <v>128.20517527794408</v>
      </c>
      <c r="O8" s="151"/>
    </row>
    <row r="9" spans="1:15" x14ac:dyDescent="0.35">
      <c r="A9" s="8" t="s">
        <v>19</v>
      </c>
      <c r="D9" s="25">
        <f>D35*(full_nodes+D29)</f>
        <v>100</v>
      </c>
      <c r="F9" s="25">
        <f>F35*((F28+F29)-(D28+D29))</f>
        <v>4.75</v>
      </c>
      <c r="H9" s="25">
        <f>H35*((H28+H29)-(F28+F29))</f>
        <v>4.7381250000000037</v>
      </c>
      <c r="J9" s="25">
        <f>J35*((J28+J29)-(H28+H29))</f>
        <v>4.7262796875000115</v>
      </c>
      <c r="L9" s="25">
        <f>L35*((L28+L29)-(J28+J29))</f>
        <v>4.7144639882812474</v>
      </c>
    </row>
    <row r="10" spans="1:15" ht="10" customHeight="1" x14ac:dyDescent="0.35">
      <c r="D10" s="3"/>
      <c r="E10" s="3"/>
      <c r="G10" s="3"/>
      <c r="I10" s="3"/>
      <c r="K10" s="3"/>
      <c r="M10" s="150"/>
    </row>
    <row r="11" spans="1:15" x14ac:dyDescent="0.35">
      <c r="A11" s="7" t="s">
        <v>13</v>
      </c>
      <c r="N11" s="160" t="s">
        <v>122</v>
      </c>
    </row>
    <row r="12" spans="1:15" x14ac:dyDescent="0.35">
      <c r="A12" s="8" t="s">
        <v>20</v>
      </c>
      <c r="D12" s="25">
        <v>8799</v>
      </c>
      <c r="E12" s="5"/>
      <c r="F12" s="25">
        <f>D12*(1+$N$12)</f>
        <v>8359.0499999999993</v>
      </c>
      <c r="G12" s="5"/>
      <c r="H12" s="25">
        <f>F12*(1+$N$12)</f>
        <v>7941.0974999999989</v>
      </c>
      <c r="I12" s="5"/>
      <c r="J12" s="25">
        <f>H12*(1+$N$12)</f>
        <v>7544.0426249999982</v>
      </c>
      <c r="K12" s="5"/>
      <c r="L12" s="25">
        <f>J12*(1+$N$12)</f>
        <v>7166.8404937499981</v>
      </c>
      <c r="M12" s="149"/>
      <c r="N12" s="161">
        <v>-0.05</v>
      </c>
    </row>
    <row r="13" spans="1:15" x14ac:dyDescent="0.35">
      <c r="A13" s="8" t="s">
        <v>21</v>
      </c>
      <c r="D13" s="11">
        <v>0</v>
      </c>
      <c r="E13" s="69"/>
      <c r="F13" s="11">
        <v>0</v>
      </c>
      <c r="G13" s="69"/>
      <c r="H13" s="11">
        <v>0</v>
      </c>
      <c r="I13" s="69"/>
      <c r="J13" s="11">
        <v>0</v>
      </c>
      <c r="K13" s="69"/>
      <c r="L13" s="11">
        <v>0</v>
      </c>
      <c r="N13" s="29"/>
    </row>
    <row r="14" spans="1:15" ht="10" customHeight="1" x14ac:dyDescent="0.35"/>
    <row r="15" spans="1:15" x14ac:dyDescent="0.35">
      <c r="A15" s="7" t="s">
        <v>14</v>
      </c>
      <c r="D15" s="5"/>
      <c r="N15" s="29"/>
      <c r="O15" s="149"/>
    </row>
    <row r="16" spans="1:15" x14ac:dyDescent="0.35">
      <c r="A16" s="9" t="s">
        <v>22</v>
      </c>
      <c r="D16" s="25">
        <f>D42</f>
        <v>0</v>
      </c>
      <c r="E16" s="69"/>
      <c r="F16" s="25">
        <f>F42</f>
        <v>0</v>
      </c>
      <c r="G16" s="69"/>
      <c r="H16" s="25">
        <f>H42</f>
        <v>0</v>
      </c>
      <c r="I16" s="69"/>
      <c r="J16" s="25">
        <f>J42</f>
        <v>0</v>
      </c>
      <c r="K16" s="69"/>
      <c r="L16" s="25">
        <f>L42</f>
        <v>0</v>
      </c>
    </row>
    <row r="17" spans="1:16" x14ac:dyDescent="0.35">
      <c r="A17" s="9" t="s">
        <v>23</v>
      </c>
      <c r="D17" s="25">
        <f>D30*D43*full_nodes</f>
        <v>0</v>
      </c>
      <c r="E17" s="69"/>
      <c r="F17" s="138">
        <f>F30*F43*F28</f>
        <v>0</v>
      </c>
      <c r="G17" s="69"/>
      <c r="H17" s="138">
        <f>H30*H43*H28</f>
        <v>0</v>
      </c>
      <c r="I17" s="69"/>
      <c r="J17" s="138">
        <f>J30*J43*J28</f>
        <v>0</v>
      </c>
      <c r="K17" s="69"/>
      <c r="L17" s="138">
        <f>L30*L43*L28</f>
        <v>0</v>
      </c>
    </row>
    <row r="18" spans="1:16" x14ac:dyDescent="0.35">
      <c r="A18" s="9" t="s">
        <v>24</v>
      </c>
      <c r="D18" s="25">
        <f>(full_nodes+D29)*D45</f>
        <v>1640</v>
      </c>
      <c r="E18" s="69"/>
      <c r="F18" s="25">
        <f>(F28+F29)*F45</f>
        <v>1635.8999999999999</v>
      </c>
      <c r="G18" s="69"/>
      <c r="H18" s="25">
        <f>(H28+H29)*H45</f>
        <v>1631.81025</v>
      </c>
      <c r="I18" s="69"/>
      <c r="J18" s="25">
        <f>(J28+J29)*J45</f>
        <v>1627.7307243750001</v>
      </c>
      <c r="K18" s="69"/>
      <c r="L18" s="25">
        <f>(L28+L29)*L45</f>
        <v>1623.6613975640628</v>
      </c>
      <c r="M18" s="150"/>
      <c r="N18" s="29"/>
    </row>
    <row r="19" spans="1:16" ht="10" customHeight="1" x14ac:dyDescent="0.35">
      <c r="D19" s="5"/>
    </row>
    <row r="20" spans="1:16" x14ac:dyDescent="0.35">
      <c r="A20" s="7" t="s">
        <v>15</v>
      </c>
      <c r="H20" s="157"/>
    </row>
    <row r="21" spans="1:16" x14ac:dyDescent="0.35">
      <c r="A21" s="8" t="s">
        <v>25</v>
      </c>
      <c r="D21" s="11">
        <f>Summary!$D$4*365/100000*ZKP_Model!D48</f>
        <v>65.7</v>
      </c>
      <c r="E21" s="69"/>
      <c r="F21" s="11">
        <f>Summary!$D$4*365/100000*ZKP_Model!F48</f>
        <v>62.414999999999992</v>
      </c>
      <c r="G21" s="69"/>
      <c r="H21" s="11"/>
      <c r="I21" s="69"/>
      <c r="J21" s="11"/>
      <c r="K21" s="69"/>
      <c r="L21" s="11"/>
    </row>
    <row r="22" spans="1:16" x14ac:dyDescent="0.35">
      <c r="A22" s="8" t="s">
        <v>26</v>
      </c>
      <c r="D22" s="11">
        <f>D49</f>
        <v>1644.5000000000002</v>
      </c>
      <c r="E22" s="69"/>
      <c r="F22" s="11">
        <f>F49</f>
        <v>1644.5000000000002</v>
      </c>
      <c r="G22" s="69"/>
      <c r="H22" s="11">
        <f>H49</f>
        <v>1644.5000000000002</v>
      </c>
      <c r="I22" s="69"/>
      <c r="J22" s="11">
        <f>J49</f>
        <v>1644.5000000000002</v>
      </c>
      <c r="K22" s="69"/>
      <c r="L22" s="11">
        <f>L49</f>
        <v>1644.5000000000002</v>
      </c>
      <c r="M22" s="150"/>
    </row>
    <row r="23" spans="1:16" ht="10" customHeight="1" x14ac:dyDescent="0.35">
      <c r="F23" s="12"/>
    </row>
    <row r="24" spans="1:16" x14ac:dyDescent="0.35">
      <c r="A24" s="13" t="s">
        <v>16</v>
      </c>
      <c r="B24" s="13"/>
      <c r="C24" s="13"/>
      <c r="D24" s="14">
        <f>SUM(D6:D22)</f>
        <v>65529.2</v>
      </c>
      <c r="E24" s="13"/>
      <c r="F24" s="14">
        <f>SUM(F6:F22)</f>
        <v>11856.5725</v>
      </c>
      <c r="G24" s="13"/>
      <c r="H24" s="14">
        <f>SUM(H6:H22)</f>
        <v>11364.448726249999</v>
      </c>
      <c r="I24" s="13"/>
      <c r="J24" s="14">
        <f>SUM(J6:J22)</f>
        <v>10956.058712556405</v>
      </c>
      <c r="K24" s="13"/>
      <c r="L24" s="14">
        <f>SUM(L6:L22)</f>
        <v>10567.921530580286</v>
      </c>
    </row>
    <row r="25" spans="1:16" x14ac:dyDescent="0.35">
      <c r="A25" s="13"/>
      <c r="B25" s="13"/>
      <c r="C25" s="13"/>
      <c r="D25" s="14"/>
      <c r="E25" s="13"/>
      <c r="F25" s="14"/>
      <c r="G25" s="13"/>
      <c r="H25" s="14"/>
      <c r="I25" s="13"/>
      <c r="J25" s="14"/>
      <c r="K25" s="13"/>
      <c r="L25" s="14"/>
    </row>
    <row r="26" spans="1:16" x14ac:dyDescent="0.35">
      <c r="N26" s="228" t="s">
        <v>27</v>
      </c>
      <c r="O26" s="229"/>
      <c r="P26" s="230"/>
    </row>
    <row r="27" spans="1:16" ht="32" x14ac:dyDescent="0.35">
      <c r="A27" s="15" t="s">
        <v>28</v>
      </c>
      <c r="B27" s="16"/>
      <c r="C27" s="16"/>
      <c r="D27" s="16"/>
      <c r="E27" s="16"/>
      <c r="F27" s="17"/>
      <c r="G27" s="16"/>
      <c r="H27" s="17"/>
      <c r="I27" s="16"/>
      <c r="J27" s="17"/>
      <c r="K27" s="16"/>
      <c r="L27" s="17"/>
      <c r="N27" s="37" t="s">
        <v>29</v>
      </c>
      <c r="O27" s="37" t="s">
        <v>30</v>
      </c>
      <c r="P27" s="116" t="s">
        <v>4</v>
      </c>
    </row>
    <row r="28" spans="1:16" x14ac:dyDescent="0.35">
      <c r="A28" s="63" t="s">
        <v>31</v>
      </c>
      <c r="B28" s="16"/>
      <c r="C28" s="21"/>
      <c r="D28" s="18">
        <v>0</v>
      </c>
      <c r="E28" s="33"/>
      <c r="F28" s="18">
        <v>0</v>
      </c>
      <c r="G28" s="64"/>
      <c r="H28" s="18">
        <f>IFERROR(F28*(1+INDEX($A:$P,MATCH($A28,$A:$A,0),MATCH(Summary!$D$6,ZKP_Model!$A$27:$P$27,0))),F28)</f>
        <v>0</v>
      </c>
      <c r="I28" s="64"/>
      <c r="J28" s="18">
        <f>IFERROR(H28*(1+INDEX($A:$P,MATCH($A28,$A:$A,0),MATCH(Summary!$D$6,ZKP_Model!$A$27:$P$27,0))),H28)</f>
        <v>0</v>
      </c>
      <c r="K28" s="64"/>
      <c r="L28" s="18">
        <f>IFERROR(J28*(1+INDEX($A:$P,MATCH($A28,$A:$A,0),MATCH(Summary!$D$6,ZKP_Model!$A$27:$P$27,0))),J28)</f>
        <v>0</v>
      </c>
      <c r="N28" s="115">
        <v>0</v>
      </c>
      <c r="O28" s="115">
        <v>0</v>
      </c>
      <c r="P28" s="123">
        <v>0</v>
      </c>
    </row>
    <row r="29" spans="1:16" x14ac:dyDescent="0.35">
      <c r="A29" s="63" t="s">
        <v>32</v>
      </c>
      <c r="B29" s="16"/>
      <c r="C29" s="21"/>
      <c r="D29" s="18">
        <v>10</v>
      </c>
      <c r="E29" s="33"/>
      <c r="F29" s="18">
        <f>IFERROR(D29*(1+INDEX($A:$P,MATCH($A29,$A:$A,0),MATCH(Summary!$D$6,ZKP_Model!$A$27:$P$27,0))),D29)</f>
        <v>10.5</v>
      </c>
      <c r="G29" s="64"/>
      <c r="H29" s="18">
        <f>IFERROR(F29*(1+INDEX($A:$P,MATCH($A29,$A:$A,0),MATCH(Summary!$D$6,ZKP_Model!$A$27:$P$27,0))),F29)</f>
        <v>11.025</v>
      </c>
      <c r="I29" s="64"/>
      <c r="J29" s="18">
        <f>IFERROR(H29*(1+INDEX($A:$P,MATCH($A29,$A:$A,0),MATCH(Summary!$D$6,ZKP_Model!$A$27:$P$27,0))),H29)</f>
        <v>11.576250000000002</v>
      </c>
      <c r="K29" s="64"/>
      <c r="L29" s="18">
        <f>IFERROR(J29*(1+INDEX($A:$P,MATCH($A29,$A:$A,0),MATCH(Summary!$D$6,ZKP_Model!$A$27:$P$27,0))),J29)</f>
        <v>12.155062500000001</v>
      </c>
      <c r="N29" s="110">
        <v>0.1</v>
      </c>
      <c r="O29" s="117">
        <v>0.05</v>
      </c>
      <c r="P29" s="109">
        <v>0.05</v>
      </c>
    </row>
    <row r="30" spans="1:16" x14ac:dyDescent="0.35">
      <c r="A30" s="16" t="s">
        <v>33</v>
      </c>
      <c r="B30" s="16"/>
      <c r="C30" s="16"/>
      <c r="D30" s="26">
        <v>0</v>
      </c>
      <c r="E30" s="16"/>
      <c r="F30" s="26">
        <f>IFERROR(D30*(1+INDEX($A:$P,MATCH($A30,$A:$A,0),MATCH(Summary!$D$6,ZKP_Model!$A$27:$P$27,0))),D30)</f>
        <v>0</v>
      </c>
      <c r="G30" s="36"/>
      <c r="H30" s="26">
        <f>IFERROR(F30*(1+INDEX($A:$P,MATCH($A30,$A:$A,0),MATCH(Summary!$D$6,ZKP_Model!$A$27:$P$27,0))),F30)</f>
        <v>0</v>
      </c>
      <c r="I30" s="36"/>
      <c r="J30" s="26">
        <f>IFERROR(H30*(1+INDEX($A:$P,MATCH($A30,$A:$A,0),MATCH(Summary!$D$6,ZKP_Model!$A$27:$P$27,0))),H30)</f>
        <v>0</v>
      </c>
      <c r="K30" s="36"/>
      <c r="L30" s="26">
        <f>IFERROR(J30*(1+INDEX($A:$P,MATCH($A30,$A:$A,0),MATCH(Summary!$D$6,ZKP_Model!$A$27:$P$27,0))),J30)</f>
        <v>0</v>
      </c>
      <c r="N30" s="112">
        <v>-0.1</v>
      </c>
      <c r="O30" s="118" t="s">
        <v>34</v>
      </c>
      <c r="P30" s="6" t="s">
        <v>34</v>
      </c>
    </row>
    <row r="31" spans="1:16" ht="10" customHeight="1" x14ac:dyDescent="0.35">
      <c r="A31" s="16"/>
      <c r="B31" s="16"/>
      <c r="C31" s="16"/>
      <c r="D31" s="26"/>
      <c r="E31" s="16"/>
      <c r="F31" s="26"/>
      <c r="G31" s="36"/>
      <c r="H31" s="26"/>
      <c r="I31" s="36"/>
      <c r="J31" s="26"/>
      <c r="K31" s="36"/>
      <c r="L31" s="26"/>
      <c r="N31" s="112"/>
      <c r="O31" s="118"/>
      <c r="P31" s="6"/>
    </row>
    <row r="32" spans="1:16" x14ac:dyDescent="0.35">
      <c r="A32" s="19" t="s">
        <v>35</v>
      </c>
      <c r="B32" s="19"/>
      <c r="C32" s="19"/>
      <c r="D32" s="62">
        <v>0</v>
      </c>
      <c r="E32" s="32"/>
      <c r="F32" s="62">
        <f>IFERROR(D32*(1+INDEX($A:$P,MATCH($A32,$A:$A,0),MATCH(Summary!$D$6,ZKP_Model!$A$27:$P$27,0))),D32)</f>
        <v>0</v>
      </c>
      <c r="G32" s="108"/>
      <c r="H32" s="62">
        <f>IFERROR(F32*(1+INDEX($A:$P,MATCH($A32,$A:$A,0),MATCH(Summary!$D$6,ZKP_Model!$A$27:$P$27,0))),F32)</f>
        <v>0</v>
      </c>
      <c r="I32" s="108"/>
      <c r="J32" s="62">
        <f>IFERROR(H32*(1+INDEX($A:$P,MATCH($A32,$A:$A,0),MATCH(Summary!$D$6,ZKP_Model!$A$27:$P$27,0))),H32)</f>
        <v>0</v>
      </c>
      <c r="K32" s="108"/>
      <c r="L32" s="62">
        <f>IFERROR(J32*(1+INDEX($A:$P,MATCH($A32,$A:$A,0),MATCH(Summary!$D$6,ZKP_Model!$A$27:$P$27,0))),J32)</f>
        <v>0</v>
      </c>
      <c r="M32" s="5"/>
      <c r="N32" s="112">
        <v>-0.1</v>
      </c>
      <c r="O32" s="121">
        <v>-0.05</v>
      </c>
      <c r="P32" s="35">
        <v>-0.05</v>
      </c>
    </row>
    <row r="33" spans="1:16" x14ac:dyDescent="0.35">
      <c r="A33" s="16" t="s">
        <v>36</v>
      </c>
      <c r="B33" s="16"/>
      <c r="C33" s="16"/>
      <c r="D33" s="18">
        <f>IFERROR(INDEX(Underlying!$A:$K,MATCH($A33,Underlying!$A:$A,0),MATCH(Summary!$D$6,Underlying!$4:$4,0))*(1+(INDEX(Underlying!$A:$K,MATCH($A33,Underlying!$A:$A,0),MATCH(Summary!$D$5,Underlying!$4:$4,0))+INDEX(Underlying!$A:$K,MATCH($A33,Underlying!$A:$A,0),MATCH(Summary!$D$7,Underlying!$4:$4,0)))),0)</f>
        <v>4</v>
      </c>
      <c r="E33" s="33"/>
      <c r="F33" s="18">
        <f>IFERROR(D33*(1+INDEX($A:$P,MATCH($A33,$A:$A,0),MATCH(Summary!$D$6,ZKP_Model!$A$27:$P$27,0))),D33)</f>
        <v>3.8</v>
      </c>
      <c r="G33" s="33"/>
      <c r="H33" s="18">
        <f>IFERROR(F33*(1+INDEX($A:$P,MATCH($A33,$A:$A,0),MATCH(Summary!$D$6,ZKP_Model!$A$27:$P$27,0))),F33)</f>
        <v>3.61</v>
      </c>
      <c r="I33" s="33"/>
      <c r="J33" s="18">
        <f>IFERROR(H33*(1+INDEX($A:$P,MATCH($A33,$A:$A,0),MATCH(Summary!$D$6,ZKP_Model!$A$27:$P$27,0))),H33)</f>
        <v>3.4294999999999995</v>
      </c>
      <c r="K33" s="33"/>
      <c r="L33" s="18">
        <f>IFERROR(J33*(1+INDEX($A:$P,MATCH($A33,$A:$A,0),MATCH(Summary!$D$6,ZKP_Model!$A$27:$P$27,0))),J33)</f>
        <v>3.2580249999999995</v>
      </c>
      <c r="M33" s="5"/>
      <c r="N33" s="112">
        <v>-0.05</v>
      </c>
      <c r="O33" s="121">
        <v>-0.05</v>
      </c>
      <c r="P33" s="35">
        <v>-0.05</v>
      </c>
    </row>
    <row r="34" spans="1:16" x14ac:dyDescent="0.35">
      <c r="A34" s="16" t="s">
        <v>37</v>
      </c>
      <c r="B34" s="16"/>
      <c r="C34" s="16"/>
      <c r="D34" s="26">
        <f>IFERROR(INDEX(Underlying!$A:$K,MATCH($A34,Underlying!$A:$A,0),MATCH(Summary!$D$6,Underlying!$4:$4,0))*(1+(INDEX(Underlying!$A:$K,MATCH($A34,Underlying!$A:$A,0),MATCH(Summary!$D$5,Underlying!$4:$4,0))+INDEX(Underlying!$A:$K,MATCH($A34,Underlying!$A:$A,0),MATCH(Summary!$D$7,Underlying!$4:$4,0)))),0)</f>
        <v>82</v>
      </c>
      <c r="E34" s="36"/>
      <c r="F34" s="26">
        <f>IFERROR(D34*(1+INDEX($A:$P,MATCH($A34,$A:$A,0),MATCH(Summary!$D$6,ZKP_Model!$A$27:$P$27,0))),D34)</f>
        <v>77.899999999999991</v>
      </c>
      <c r="G34" s="36"/>
      <c r="H34" s="26">
        <f>IFERROR(F34*(1+INDEX($A:$P,MATCH($A34,$A:$A,0),MATCH(Summary!$D$6,ZKP_Model!$A$27:$P$27,0))),F34)</f>
        <v>74.004999999999995</v>
      </c>
      <c r="I34" s="36"/>
      <c r="J34" s="26">
        <f>IFERROR(H34*(1+INDEX($A:$P,MATCH($A34,$A:$A,0),MATCH(Summary!$D$6,ZKP_Model!$A$27:$P$27,0))),H34)</f>
        <v>70.304749999999999</v>
      </c>
      <c r="K34" s="36"/>
      <c r="L34" s="26">
        <f>IFERROR(J34*(1+INDEX($A:$P,MATCH($A34,$A:$A,0),MATCH(Summary!$D$6,ZKP_Model!$A$27:$P$27,0))),J34)</f>
        <v>66.789512500000001</v>
      </c>
      <c r="M34" s="5"/>
      <c r="N34" s="112">
        <v>-0.05</v>
      </c>
      <c r="O34" s="121">
        <v>-0.05</v>
      </c>
      <c r="P34" s="35">
        <v>-0.05</v>
      </c>
    </row>
    <row r="35" spans="1:16" x14ac:dyDescent="0.35">
      <c r="A35" s="21" t="s">
        <v>38</v>
      </c>
      <c r="B35" s="21"/>
      <c r="C35" s="21"/>
      <c r="D35" s="26">
        <f>IFERROR(INDEX(Underlying!$A:$K,MATCH($A35,Underlying!$A:$A,0),MATCH(Summary!$D$6,Underlying!$4:$4,0))*(1+(INDEX(Underlying!$A:$K,MATCH($A35,Underlying!$A:$A,0),MATCH(Summary!$D$5,Underlying!$4:$4,0))+INDEX(Underlying!$A:$K,MATCH($A35,Underlying!$A:$A,0),MATCH(Summary!$D$7,Underlying!$4:$4,0)))),0)</f>
        <v>10</v>
      </c>
      <c r="E35" s="21"/>
      <c r="F35" s="26">
        <f>IFERROR(D35*(1+INDEX($A:$P,MATCH($A35,$A:$A,0),MATCH(Summary!$D$6,ZKP_Model!$A$27:$P$27,0))),D35)</f>
        <v>9.5</v>
      </c>
      <c r="G35" s="21"/>
      <c r="H35" s="26">
        <f>IFERROR(F35*(1+INDEX($A:$P,MATCH($A35,$A:$A,0),MATCH(Summary!$D$6,ZKP_Model!$A$27:$P$27,0))),F35)</f>
        <v>9.0250000000000004</v>
      </c>
      <c r="I35" s="21"/>
      <c r="J35" s="26">
        <f>IFERROR(H35*(1+INDEX($A:$P,MATCH($A35,$A:$A,0),MATCH(Summary!$D$6,ZKP_Model!$A$27:$P$27,0))),H35)</f>
        <v>8.5737500000000004</v>
      </c>
      <c r="K35" s="21"/>
      <c r="L35" s="26">
        <f>IFERROR(J35*(1+INDEX($A:$P,MATCH($A35,$A:$A,0),MATCH(Summary!$D$6,ZKP_Model!$A$27:$P$27,0))),J35)</f>
        <v>8.1450624999999999</v>
      </c>
      <c r="M35" s="5"/>
      <c r="N35" s="112">
        <v>-0.05</v>
      </c>
      <c r="O35" s="121">
        <v>-0.05</v>
      </c>
      <c r="P35" s="35">
        <v>-0.05</v>
      </c>
    </row>
    <row r="36" spans="1:16" ht="10" customHeight="1" x14ac:dyDescent="0.35">
      <c r="A36" s="16"/>
      <c r="B36" s="16"/>
      <c r="C36" s="16"/>
      <c r="D36" s="20"/>
      <c r="E36" s="21"/>
      <c r="F36" s="30"/>
      <c r="G36" s="21"/>
      <c r="H36" s="30"/>
      <c r="I36" s="21"/>
      <c r="J36" s="30"/>
      <c r="K36" s="21"/>
      <c r="L36" s="30"/>
      <c r="M36" s="5"/>
      <c r="N36" s="111"/>
      <c r="O36" s="119"/>
    </row>
    <row r="37" spans="1:16" x14ac:dyDescent="0.35">
      <c r="A37" s="19" t="s">
        <v>39</v>
      </c>
      <c r="B37" s="19"/>
      <c r="C37" s="19"/>
      <c r="D37" s="67">
        <f>IFERROR(INDEX(Underlying!$A:$K,MATCH($A37,Underlying!$A:$A,0),MATCH(Summary!$D$6,Underlying!$4:$4,0))*(1+(INDEX(Underlying!$A:$K,MATCH($A37,Underlying!$A:$A,0),MATCH(Summary!$D$5,Underlying!$4:$4,0))+INDEX(Underlying!$A:$K,MATCH($A37,Underlying!$A:$A,0),MATCH(Summary!$D$7,Underlying!$4:$4,0)))),0)</f>
        <v>1</v>
      </c>
      <c r="E37" s="68"/>
      <c r="F37" s="67">
        <f>IFERROR(D37*(1+INDEX($A:$P,MATCH($A37,$A:$A,0),MATCH(Summary!$D$6,ZKP_Model!$A$27:$P$27,0))),D37)</f>
        <v>0.95</v>
      </c>
      <c r="G37" s="68"/>
      <c r="H37" s="67">
        <f>IFERROR(F37*(1+INDEX($A:$P,MATCH($A37,$A:$A,0),MATCH(Summary!$D$6,ZKP_Model!$A$27:$P$27,0))),F37)</f>
        <v>0.90249999999999997</v>
      </c>
      <c r="I37" s="68"/>
      <c r="J37" s="67">
        <f>IFERROR(H37*(1+INDEX($A:$P,MATCH($A37,$A:$A,0),MATCH(Summary!$D$6,ZKP_Model!$A$27:$P$27,0))),H37)</f>
        <v>0.85737499999999989</v>
      </c>
      <c r="K37" s="68"/>
      <c r="L37" s="67">
        <f>IFERROR(J37*(1+INDEX($A:$P,MATCH($A37,$A:$A,0),MATCH(Summary!$D$6,ZKP_Model!$A$27:$P$27,0))),J37)</f>
        <v>0.81450624999999988</v>
      </c>
      <c r="M37" s="5"/>
      <c r="N37" s="113" t="s">
        <v>34</v>
      </c>
      <c r="O37" s="120" t="s">
        <v>34</v>
      </c>
      <c r="P37" s="34">
        <v>-0.05</v>
      </c>
    </row>
    <row r="38" spans="1:16" x14ac:dyDescent="0.35">
      <c r="A38" s="16" t="s">
        <v>40</v>
      </c>
      <c r="B38" s="16"/>
      <c r="C38" s="16"/>
      <c r="D38" s="26">
        <f>IFERROR(INDEX(Underlying!$A:$K,MATCH($A38,Underlying!$A:$A,0),MATCH(Summary!$D$6,Underlying!$4:$4,0))*(1+(INDEX(Underlying!$A:$K,MATCH($A38,Underlying!$A:$A,0),MATCH(Summary!$D$5,Underlying!$4:$4,0))+INDEX(Underlying!$A:$K,MATCH($A38,Underlying!$A:$A,0),MATCH(Summary!$D$7,Underlying!$4:$4,0)))),0)</f>
        <v>2200</v>
      </c>
      <c r="E38" s="21"/>
      <c r="F38" s="26">
        <f>IFERROR(D38*(1+INDEX($A:$P,MATCH($A38,$A:$A,0),MATCH(Summary!$D$6,ZKP_Model!$A$27:$P$27,0))),D38)</f>
        <v>1980</v>
      </c>
      <c r="G38" s="21"/>
      <c r="H38" s="26">
        <f>IFERROR(F38*(1+INDEX($A:$P,MATCH($A38,$A:$A,0),MATCH(Summary!$D$6,ZKP_Model!$A$27:$P$27,0))),F38)</f>
        <v>1782</v>
      </c>
      <c r="I38" s="21"/>
      <c r="J38" s="26">
        <f>IFERROR(H38*(1+INDEX($A:$P,MATCH($A38,$A:$A,0),MATCH(Summary!$D$6,ZKP_Model!$A$27:$P$27,0))),H38)</f>
        <v>1603.8</v>
      </c>
      <c r="K38" s="21"/>
      <c r="L38" s="26">
        <f>IFERROR(J38*(1+INDEX($A:$P,MATCH($A38,$A:$A,0),MATCH(Summary!$D$6,ZKP_Model!$A$27:$P$27,0))),J38)</f>
        <v>1443.42</v>
      </c>
      <c r="M38" s="5"/>
      <c r="N38" s="113" t="s">
        <v>34</v>
      </c>
      <c r="O38" s="120" t="s">
        <v>34</v>
      </c>
      <c r="P38" s="34">
        <v>-0.1</v>
      </c>
    </row>
    <row r="39" spans="1:16" x14ac:dyDescent="0.35">
      <c r="A39" s="16" t="s">
        <v>41</v>
      </c>
      <c r="B39" s="16"/>
      <c r="C39" s="16"/>
      <c r="D39" s="76">
        <f>IFERROR(INDEX(Underlying!$A:$K,MATCH($A39,Underlying!$A:$A,0),MATCH(Summary!$D$6,Underlying!$4:$4,0))*(1+(INDEX(Underlying!$A:$K,MATCH($A39,Underlying!$A:$A,0),MATCH(Summary!$D$5,Underlying!$4:$4,0))+INDEX(Underlying!$A:$K,MATCH($A39,Underlying!$A:$A,0),MATCH(Summary!$D$7,Underlying!$4:$4,0)))),0)</f>
        <v>2.4</v>
      </c>
      <c r="E39" s="21"/>
      <c r="F39" s="76">
        <f>IFERROR(D39*(1+INDEX($A:$P,MATCH($A39,$A:$A,0),MATCH(Summary!$D$6,ZKP_Model!$A$27:$P$27,0))),D39)</f>
        <v>2.16</v>
      </c>
      <c r="G39" s="77"/>
      <c r="H39" s="76">
        <f>IFERROR(F39*(1+INDEX($A:$P,MATCH($A39,$A:$A,0),MATCH(Summary!$D$6,ZKP_Model!$A$27:$P$27,0))),F39)</f>
        <v>1.9440000000000002</v>
      </c>
      <c r="I39" s="77"/>
      <c r="J39" s="76">
        <f>IFERROR(H39*(1+INDEX($A:$P,MATCH($A39,$A:$A,0),MATCH(Summary!$D$6,ZKP_Model!$A$27:$P$27,0))),H39)</f>
        <v>1.7496000000000003</v>
      </c>
      <c r="K39" s="77"/>
      <c r="L39" s="76">
        <f>IFERROR(J39*(1+INDEX($A:$P,MATCH($A39,$A:$A,0),MATCH(Summary!$D$6,ZKP_Model!$A$27:$P$27,0))),J39)</f>
        <v>1.5746400000000003</v>
      </c>
      <c r="M39" s="5"/>
      <c r="N39" s="113" t="s">
        <v>34</v>
      </c>
      <c r="O39" s="120" t="s">
        <v>34</v>
      </c>
      <c r="P39" s="34">
        <v>-0.1</v>
      </c>
    </row>
    <row r="40" spans="1:16" x14ac:dyDescent="0.35">
      <c r="A40" s="16" t="s">
        <v>42</v>
      </c>
      <c r="B40" s="16"/>
      <c r="C40" s="16"/>
      <c r="D40" s="65">
        <f>IFERROR(INDEX(Underlying!$A:$K,MATCH($A40,Underlying!$A:$A,0),MATCH(Summary!$D$6,Underlying!$4:$4,0))*(1+(INDEX(Underlying!$A:$K,MATCH($A40,Underlying!$A:$A,0),MATCH(Summary!$D$5,Underlying!$4:$4,0))+INDEX(Underlying!$A:$K,MATCH($A40,Underlying!$A:$A,0),MATCH(Summary!$D$7,Underlying!$4:$4,0)))),0)</f>
        <v>4.7999999999999996E-3</v>
      </c>
      <c r="E40" s="21"/>
      <c r="F40" s="65">
        <f>IFERROR(D40*(1+INDEX($A:$P,MATCH($A40,$A:$A,0),MATCH(Summary!$D$6,ZKP_Model!$A$27:$P$27,0))),D40)</f>
        <v>4.3200000000000001E-3</v>
      </c>
      <c r="G40" s="66"/>
      <c r="H40" s="65">
        <f>IFERROR(F40*(1+INDEX($A:$P,MATCH($A40,$A:$A,0),MATCH(Summary!$D$6,ZKP_Model!$A$27:$P$27,0))),F40)</f>
        <v>3.888E-3</v>
      </c>
      <c r="I40" s="66"/>
      <c r="J40" s="65">
        <f>IFERROR(H40*(1+INDEX($A:$P,MATCH($A40,$A:$A,0),MATCH(Summary!$D$6,ZKP_Model!$A$27:$P$27,0))),H40)</f>
        <v>3.4992000000000001E-3</v>
      </c>
      <c r="K40" s="66"/>
      <c r="L40" s="65">
        <f>IFERROR(J40*(1+INDEX($A:$P,MATCH($A40,$A:$A,0),MATCH(Summary!$D$6,ZKP_Model!$A$27:$P$27,0))),J40)</f>
        <v>3.14928E-3</v>
      </c>
      <c r="M40" s="5"/>
      <c r="N40" s="113" t="s">
        <v>34</v>
      </c>
      <c r="O40" s="120" t="s">
        <v>34</v>
      </c>
      <c r="P40" s="34">
        <v>-0.1</v>
      </c>
    </row>
    <row r="41" spans="1:16" ht="10" customHeight="1" x14ac:dyDescent="0.35">
      <c r="A41" s="16"/>
      <c r="B41" s="16"/>
      <c r="C41" s="16"/>
      <c r="D41" s="21"/>
      <c r="E41" s="21"/>
      <c r="F41" s="30"/>
      <c r="G41" s="21"/>
      <c r="H41" s="30"/>
      <c r="I41" s="21"/>
      <c r="J41" s="30"/>
      <c r="K41" s="21"/>
      <c r="L41" s="30"/>
      <c r="M41" s="5"/>
      <c r="N41" s="111"/>
      <c r="O41" s="119"/>
    </row>
    <row r="42" spans="1:16" x14ac:dyDescent="0.35">
      <c r="A42" s="19" t="s">
        <v>43</v>
      </c>
      <c r="B42" s="19"/>
      <c r="C42" s="19"/>
      <c r="D42" s="31">
        <v>0</v>
      </c>
      <c r="E42" s="32"/>
      <c r="F42" s="31">
        <f>IFERROR(D42*(1+INDEX($A:$P,MATCH($A42,$A:$A,0),MATCH(Summary!$D$6,ZKP_Model!$A$27:$P$27,0))),D42)</f>
        <v>0</v>
      </c>
      <c r="G42" s="32"/>
      <c r="H42" s="31">
        <f>IFERROR(F42*(1+INDEX($A:$P,MATCH($A42,$A:$A,0),MATCH(Summary!$D$6,ZKP_Model!$A$27:$P$27,0))),F42)</f>
        <v>0</v>
      </c>
      <c r="I42" s="32"/>
      <c r="J42" s="31">
        <f>IFERROR(H42*(1+INDEX($A:$P,MATCH($A42,$A:$A,0),MATCH(Summary!$D$6,ZKP_Model!$A$27:$P$27,0))),H42)</f>
        <v>0</v>
      </c>
      <c r="K42" s="32"/>
      <c r="L42" s="31">
        <f>IFERROR(J42*(1+INDEX($A:$P,MATCH($A42,$A:$A,0),MATCH(Summary!$D$6,ZKP_Model!$A$27:$P$27,0))),J42)</f>
        <v>0</v>
      </c>
      <c r="M42" s="5"/>
      <c r="N42" s="112">
        <v>-0.05</v>
      </c>
      <c r="O42" s="122">
        <v>0</v>
      </c>
      <c r="P42" s="122">
        <v>0</v>
      </c>
    </row>
    <row r="43" spans="1:16" x14ac:dyDescent="0.35">
      <c r="A43" s="16" t="s">
        <v>44</v>
      </c>
      <c r="B43" s="16"/>
      <c r="C43" s="16"/>
      <c r="D43" s="22">
        <v>0</v>
      </c>
      <c r="E43" s="133"/>
      <c r="F43" s="22">
        <f>IFERROR(D43*(1+INDEX($A:$P,MATCH($A43,$A:$A,0),MATCH(Summary!$D$6,ZKP_Model!$A$27:$P$27,0))),D43)</f>
        <v>0</v>
      </c>
      <c r="G43" s="133"/>
      <c r="H43" s="22">
        <f>IFERROR(F43*(1+INDEX($A:$P,MATCH($A43,$A:$A,0),MATCH(Summary!$D$6,ZKP_Model!$A$27:$P$27,0))),F43)</f>
        <v>0</v>
      </c>
      <c r="I43" s="133"/>
      <c r="J43" s="22">
        <f>IFERROR(H43*(1+INDEX($A:$P,MATCH($A43,$A:$A,0),MATCH(Summary!$D$6,ZKP_Model!$A$27:$P$27,0))),H43)</f>
        <v>0</v>
      </c>
      <c r="K43" s="133"/>
      <c r="L43" s="22">
        <f>IFERROR(J43*(1+INDEX($A:$P,MATCH($A43,$A:$A,0),MATCH(Summary!$D$6,ZKP_Model!$A$27:$P$27,0))),J43)</f>
        <v>0</v>
      </c>
      <c r="M43" s="5"/>
      <c r="N43" s="112">
        <v>-0.15</v>
      </c>
      <c r="O43" s="121">
        <v>-0.05</v>
      </c>
      <c r="P43" s="3" t="s">
        <v>34</v>
      </c>
    </row>
    <row r="44" spans="1:16" x14ac:dyDescent="0.35">
      <c r="A44" s="16" t="s">
        <v>45</v>
      </c>
      <c r="B44" s="16"/>
      <c r="C44" s="16"/>
      <c r="D44" s="18">
        <v>0</v>
      </c>
      <c r="E44" s="21"/>
      <c r="F44" s="18">
        <f>IFERROR(D44*(1+INDEX($A:$P,MATCH($A44,$A:$A,0),MATCH(Summary!$D$6,ZKP_Model!$A$27:$P$27,0))),D44)</f>
        <v>0</v>
      </c>
      <c r="G44" s="21"/>
      <c r="H44" s="18">
        <f>IFERROR(F44*(1+INDEX($A:$P,MATCH($A44,$A:$A,0),MATCH(Summary!$D$6,ZKP_Model!$A$27:$P$27,0))),F44)</f>
        <v>0</v>
      </c>
      <c r="I44" s="21"/>
      <c r="J44" s="18">
        <f>IFERROR(H44*(1+INDEX($A:$P,MATCH($A44,$A:$A,0),MATCH(Summary!$D$6,ZKP_Model!$A$27:$P$27,0))),H44)</f>
        <v>0</v>
      </c>
      <c r="K44" s="21"/>
      <c r="L44" s="18">
        <f>IFERROR(J44*(1+INDEX($A:$P,MATCH($A44,$A:$A,0),MATCH(Summary!$D$6,ZKP_Model!$A$27:$P$27,0))),J44)</f>
        <v>0</v>
      </c>
      <c r="M44" s="5"/>
      <c r="N44" s="110">
        <v>0.1</v>
      </c>
      <c r="O44" s="117">
        <v>0.05</v>
      </c>
      <c r="P44" s="109">
        <v>0.05</v>
      </c>
    </row>
    <row r="45" spans="1:16" x14ac:dyDescent="0.35">
      <c r="A45" s="16" t="s">
        <v>46</v>
      </c>
      <c r="B45" s="16"/>
      <c r="C45" s="16"/>
      <c r="D45" s="26">
        <f>IFERROR(INDEX(Underlying!$A:$K,MATCH($A45,Underlying!$A:$A,0),MATCH(Summary!$D$6,Underlying!$4:$4,0))*(1+(INDEX(Underlying!$A:$K,MATCH($A45,Underlying!$A:$A,0),MATCH(Summary!$D$5,Underlying!$4:$4,0))+INDEX(Underlying!$A:$K,MATCH($A45,Underlying!$A:$A,0),MATCH(Summary!$D$7,Underlying!$4:$4,0)))),0)</f>
        <v>164</v>
      </c>
      <c r="E45" s="21"/>
      <c r="F45" s="26">
        <f>IFERROR(D45*(1+INDEX($A:$P,MATCH($A45,$A:$A,0),MATCH(Summary!$D$6,ZKP_Model!$A$27:$P$27,0))),D45)</f>
        <v>155.79999999999998</v>
      </c>
      <c r="G45" s="21"/>
      <c r="H45" s="26">
        <f>IFERROR(F45*(1+INDEX($A:$P,MATCH($A45,$A:$A,0),MATCH(Summary!$D$6,ZKP_Model!$A$27:$P$27,0))),F45)</f>
        <v>148.01</v>
      </c>
      <c r="I45" s="21"/>
      <c r="J45" s="26">
        <f>IFERROR(H45*(1+INDEX($A:$P,MATCH($A45,$A:$A,0),MATCH(Summary!$D$6,ZKP_Model!$A$27:$P$27,0))),H45)</f>
        <v>140.6095</v>
      </c>
      <c r="K45" s="21"/>
      <c r="L45" s="26">
        <f>IFERROR(J45*(1+INDEX($A:$P,MATCH($A45,$A:$A,0),MATCH(Summary!$D$6,ZKP_Model!$A$27:$P$27,0))),J45)</f>
        <v>133.579025</v>
      </c>
      <c r="M45" s="5"/>
      <c r="N45" s="112">
        <v>-0.1</v>
      </c>
      <c r="O45" s="121">
        <v>-0.05</v>
      </c>
      <c r="P45" s="35">
        <v>-0.05</v>
      </c>
    </row>
    <row r="46" spans="1:16" x14ac:dyDescent="0.35">
      <c r="A46" s="16" t="s">
        <v>47</v>
      </c>
      <c r="B46" s="16"/>
      <c r="C46" s="16"/>
      <c r="D46" s="22">
        <f>IFERROR(INDEX(Underlying!$A:$K,MATCH($A46,Underlying!$A:$A,0),MATCH(Summary!$D$6,Underlying!$4:$4,0))*(1+(INDEX(Underlying!$A:$K,MATCH($A46,Underlying!$A:$A,0),MATCH(Summary!$D$5,Underlying!$4:$4,0))+INDEX(Underlying!$A:$K,MATCH($A46,Underlying!$A:$A,0),MATCH(Summary!$D$7,Underlying!$4:$4,0)))),0)</f>
        <v>0.19</v>
      </c>
      <c r="E46" s="21"/>
      <c r="F46" s="22">
        <f>IFERROR(D46*(1+INDEX($A:$P,MATCH($A46,$A:$A,0),MATCH(Summary!$D$6,ZKP_Model!$A$27:$P$27,0))),D46)</f>
        <v>0.19</v>
      </c>
      <c r="G46" s="21"/>
      <c r="H46" s="22">
        <f>IFERROR(F46*(1+INDEX($A:$P,MATCH($A46,$A:$A,0),MATCH(Summary!$D$6,ZKP_Model!$A$27:$P$27,0))),F46)</f>
        <v>0.19</v>
      </c>
      <c r="I46" s="21"/>
      <c r="J46" s="22">
        <f>IFERROR(H46*(1+INDEX($A:$P,MATCH($A46,$A:$A,0),MATCH(Summary!$D$6,ZKP_Model!$A$27:$P$27,0))),H46)</f>
        <v>0.19</v>
      </c>
      <c r="K46" s="21"/>
      <c r="L46" s="22">
        <f>IFERROR(J46*(1+INDEX($A:$P,MATCH($A46,$A:$A,0),MATCH(Summary!$D$6,ZKP_Model!$A$27:$P$27,0))),J46)</f>
        <v>0.19</v>
      </c>
      <c r="M46" s="5"/>
      <c r="N46" s="115">
        <v>0</v>
      </c>
      <c r="O46" s="115">
        <v>0</v>
      </c>
      <c r="P46" s="123">
        <v>0</v>
      </c>
    </row>
    <row r="47" spans="1:16" ht="10" customHeight="1" x14ac:dyDescent="0.35">
      <c r="A47" s="16"/>
      <c r="B47" s="16"/>
      <c r="C47" s="16"/>
      <c r="D47" s="21"/>
      <c r="E47" s="21"/>
      <c r="F47" s="30"/>
      <c r="G47" s="21"/>
      <c r="H47" s="30"/>
      <c r="I47" s="21"/>
      <c r="J47" s="30"/>
      <c r="K47" s="21"/>
      <c r="L47" s="30"/>
      <c r="M47" s="5"/>
      <c r="N47" s="111"/>
      <c r="O47" s="119"/>
    </row>
    <row r="48" spans="1:16" x14ac:dyDescent="0.35">
      <c r="A48" s="19" t="s">
        <v>48</v>
      </c>
      <c r="B48" s="19"/>
      <c r="C48" s="19"/>
      <c r="D48" s="31">
        <f>IFERROR(INDEX(Underlying!$A:$K,MATCH($A48,Underlying!$A:$A,0),MATCH(Summary!$D$6,Underlying!$4:$4,0))*(1+(INDEX(Underlying!$A:$K,MATCH($A48,Underlying!$A:$A,0),MATCH(Summary!$D$5,Underlying!$4:$4,0))+INDEX(Underlying!$A:$K,MATCH($A48,Underlying!$A:$A,0),MATCH(Summary!$D$7,Underlying!$4:$4,0)))),0)</f>
        <v>18</v>
      </c>
      <c r="E48" s="32"/>
      <c r="F48" s="31">
        <f>IFERROR(D48*(1+INDEX($A:$P,MATCH($A48,$A:$A,0),MATCH(Summary!$D$6,ZKP_Model!$A$27:$P$27,0))),D48)</f>
        <v>17.099999999999998</v>
      </c>
      <c r="G48" s="32"/>
      <c r="H48" s="31">
        <f>IFERROR(F48*(1+INDEX($A:$P,MATCH($A48,$A:$A,0),MATCH(Summary!$D$6,ZKP_Model!$A$27:$P$27,0))),F48)</f>
        <v>16.244999999999997</v>
      </c>
      <c r="I48" s="32"/>
      <c r="J48" s="31">
        <f>IFERROR(H48*(1+INDEX($A:$P,MATCH($A48,$A:$A,0),MATCH(Summary!$D$6,ZKP_Model!$A$27:$P$27,0))),H48)</f>
        <v>15.432749999999997</v>
      </c>
      <c r="K48" s="32"/>
      <c r="L48" s="31">
        <f>IFERROR(J48*(1+INDEX($A:$P,MATCH($A48,$A:$A,0),MATCH(Summary!$D$6,ZKP_Model!$A$27:$P$27,0))),J48)</f>
        <v>14.661112499999996</v>
      </c>
      <c r="M48" s="5"/>
      <c r="N48" s="114">
        <v>-0.1</v>
      </c>
      <c r="O48" s="121">
        <v>-0.05</v>
      </c>
      <c r="P48" s="124">
        <v>-0.05</v>
      </c>
    </row>
    <row r="49" spans="1:16" x14ac:dyDescent="0.35">
      <c r="A49" s="16" t="s">
        <v>49</v>
      </c>
      <c r="B49" s="16"/>
      <c r="C49" s="16"/>
      <c r="D49" s="26">
        <f>IFERROR(INDEX(Underlying!$A:$K,MATCH($A49,Underlying!$A:$A,0),MATCH(Summary!$D$6,Underlying!$4:$4,0))*(1+(INDEX(Underlying!$A:$K,MATCH($A49,Underlying!$A:$A,0),MATCH(Summary!$D$5,Underlying!$4:$4,0))+INDEX(Underlying!$A:$K,MATCH($A49,Underlying!$A:$A,0),MATCH(Summary!$D$7,Underlying!$4:$4,0)))),0)</f>
        <v>1644.5000000000002</v>
      </c>
      <c r="E49" s="21"/>
      <c r="F49" s="26">
        <f>IFERROR(D49*(1+INDEX($A:$P,MATCH($A49,$A:$A,0),MATCH(Summary!$D$6,ZKP_Model!$A$27:$P$27,0))),D49)</f>
        <v>1644.5000000000002</v>
      </c>
      <c r="G49" s="21"/>
      <c r="H49" s="26">
        <f>IFERROR(F49*(1+INDEX($A:$P,MATCH($A49,$A:$A,0),MATCH(Summary!$D$6,ZKP_Model!$A$27:$P$27,0))),F49)</f>
        <v>1644.5000000000002</v>
      </c>
      <c r="I49" s="21"/>
      <c r="J49" s="26">
        <f>IFERROR(H49*(1+INDEX($A:$P,MATCH($A49,$A:$A,0),MATCH(Summary!$D$6,ZKP_Model!$A$27:$P$27,0))),H49)</f>
        <v>1644.5000000000002</v>
      </c>
      <c r="K49" s="21"/>
      <c r="L49" s="26">
        <f>IFERROR(J49*(1+INDEX($A:$P,MATCH($A49,$A:$A,0),MATCH(Summary!$D$6,ZKP_Model!$A$27:$P$27,0))),J49)</f>
        <v>1644.5000000000002</v>
      </c>
      <c r="M49" s="5"/>
      <c r="N49" s="114">
        <v>-0.1</v>
      </c>
      <c r="O49" s="121">
        <v>-0.05</v>
      </c>
      <c r="P49" s="124">
        <v>-0.05</v>
      </c>
    </row>
    <row r="50" spans="1:16" ht="10" customHeight="1" x14ac:dyDescent="0.35">
      <c r="N50" s="24"/>
    </row>
    <row r="51" spans="1:16" ht="10" customHeight="1" x14ac:dyDescent="0.35"/>
    <row r="58" spans="1:16" ht="10" customHeight="1" x14ac:dyDescent="0.35"/>
  </sheetData>
  <mergeCells count="1">
    <mergeCell ref="N26:P26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27"/>
  <sheetViews>
    <sheetView showGridLines="0" zoomScale="90" zoomScaleNormal="90" workbookViewId="0">
      <selection activeCell="A2" sqref="A2"/>
    </sheetView>
  </sheetViews>
  <sheetFormatPr defaultRowHeight="14" x14ac:dyDescent="0.35"/>
  <cols>
    <col min="1" max="1" width="26.90625" style="28" bestFit="1" customWidth="1"/>
    <col min="2" max="2" width="36.54296875" style="28" customWidth="1"/>
    <col min="3" max="4" width="8.7265625" style="28"/>
    <col min="5" max="5" width="17.7265625" style="28" bestFit="1" customWidth="1"/>
    <col min="6" max="11" width="12.6328125" style="28" customWidth="1"/>
    <col min="12" max="16384" width="8.7265625" style="28"/>
  </cols>
  <sheetData>
    <row r="1" spans="1:11" ht="21" x14ac:dyDescent="0.35">
      <c r="A1" s="10" t="s">
        <v>115</v>
      </c>
    </row>
    <row r="3" spans="1:11" x14ac:dyDescent="0.35">
      <c r="A3" s="171" t="s">
        <v>105</v>
      </c>
      <c r="B3" s="172"/>
      <c r="E3" s="173" t="s">
        <v>98</v>
      </c>
    </row>
    <row r="4" spans="1:11" x14ac:dyDescent="0.35">
      <c r="A4" s="28" t="s">
        <v>107</v>
      </c>
      <c r="B4" s="174">
        <f>AVERAGE(ZKP_Model!D24:L24)/(Summary!D4*365)</f>
        <v>6.0424219983225586E-2</v>
      </c>
    </row>
    <row r="5" spans="1:11" x14ac:dyDescent="0.35">
      <c r="A5" s="28" t="s">
        <v>108</v>
      </c>
      <c r="B5" s="174">
        <v>5.0609999999999999</v>
      </c>
      <c r="E5" s="203" t="s">
        <v>102</v>
      </c>
      <c r="F5" s="204">
        <v>25</v>
      </c>
      <c r="G5" s="204">
        <v>100</v>
      </c>
      <c r="H5" s="205">
        <v>1000</v>
      </c>
      <c r="I5" s="205">
        <v>1912</v>
      </c>
      <c r="J5" s="205">
        <v>10000</v>
      </c>
      <c r="K5" s="206">
        <v>300000</v>
      </c>
    </row>
    <row r="6" spans="1:11" x14ac:dyDescent="0.35">
      <c r="B6" s="175">
        <f>SUM(B4:B5)</f>
        <v>5.1214242199832256</v>
      </c>
      <c r="E6" s="213" t="s">
        <v>103</v>
      </c>
      <c r="F6" s="214">
        <f>F5*365</f>
        <v>9125</v>
      </c>
      <c r="G6" s="214">
        <f t="shared" ref="G6:K6" si="0">G5*365</f>
        <v>36500</v>
      </c>
      <c r="H6" s="214">
        <f t="shared" si="0"/>
        <v>365000</v>
      </c>
      <c r="I6" s="214">
        <f t="shared" si="0"/>
        <v>697880</v>
      </c>
      <c r="J6" s="214">
        <f t="shared" si="0"/>
        <v>3650000</v>
      </c>
      <c r="K6" s="215">
        <f t="shared" si="0"/>
        <v>109500000</v>
      </c>
    </row>
    <row r="7" spans="1:11" x14ac:dyDescent="0.35">
      <c r="E7" s="207" t="s">
        <v>99</v>
      </c>
      <c r="F7" s="208">
        <v>34.296212422651784</v>
      </c>
      <c r="G7" s="208">
        <v>8.5741753068216457</v>
      </c>
      <c r="H7" s="208">
        <v>0.85756417207260005</v>
      </c>
      <c r="I7" s="208">
        <v>0.44859454428952666</v>
      </c>
      <c r="J7" s="208">
        <v>8.5903058597695606E-2</v>
      </c>
      <c r="K7" s="209">
        <v>3.0209390022429084E-3</v>
      </c>
    </row>
    <row r="8" spans="1:11" x14ac:dyDescent="0.35">
      <c r="A8" s="176" t="s">
        <v>119</v>
      </c>
      <c r="B8" s="177" t="str">
        <f>IF(B6&lt;B18,"Public blockchains (ZKPs) are cheaper","Private blockchains are cheaper")</f>
        <v>Private blockchains are cheaper</v>
      </c>
      <c r="E8" s="207" t="s">
        <v>101</v>
      </c>
      <c r="F8" s="208">
        <v>7.4752309993290229</v>
      </c>
      <c r="G8" s="208">
        <v>5.6646103998322559</v>
      </c>
      <c r="H8" s="208">
        <v>5.1214242199832256</v>
      </c>
      <c r="I8" s="208">
        <v>5.0926361100330677</v>
      </c>
      <c r="J8" s="208">
        <v>5.0671056019983229</v>
      </c>
      <c r="K8" s="209">
        <v>5.0612713800666107</v>
      </c>
    </row>
    <row r="9" spans="1:11" x14ac:dyDescent="0.35">
      <c r="E9" s="210" t="s">
        <v>100</v>
      </c>
      <c r="F9" s="211">
        <v>2.8308976659956904</v>
      </c>
      <c r="G9" s="211">
        <v>1.0202770664989229</v>
      </c>
      <c r="H9" s="211">
        <v>0.47709088664989263</v>
      </c>
      <c r="I9" s="211">
        <v>0.44830277669973501</v>
      </c>
      <c r="J9" s="211">
        <v>0.42277226866498957</v>
      </c>
      <c r="K9" s="212">
        <v>0.41693804673327778</v>
      </c>
    </row>
    <row r="10" spans="1:11" x14ac:dyDescent="0.35">
      <c r="A10" s="171" t="s">
        <v>106</v>
      </c>
      <c r="B10" s="172"/>
      <c r="F10" s="174"/>
      <c r="G10" s="178"/>
      <c r="H10" s="174"/>
      <c r="I10" s="178"/>
      <c r="J10" s="174"/>
      <c r="K10" s="174"/>
    </row>
    <row r="11" spans="1:11" x14ac:dyDescent="0.35">
      <c r="A11" s="28" t="s">
        <v>107</v>
      </c>
      <c r="B11" s="179">
        <f>AVERAGE(ZKP_Model!D24:L24)/(Summary!D4*365)</f>
        <v>6.0424219983225586E-2</v>
      </c>
    </row>
    <row r="12" spans="1:11" x14ac:dyDescent="0.35">
      <c r="A12" s="28" t="s">
        <v>110</v>
      </c>
      <c r="B12" s="179">
        <v>0.41666666666666702</v>
      </c>
      <c r="E12" s="180"/>
    </row>
    <row r="13" spans="1:11" x14ac:dyDescent="0.35">
      <c r="B13" s="175">
        <f>SUM(B11:B12)</f>
        <v>0.47709088664989263</v>
      </c>
      <c r="E13" s="180"/>
      <c r="F13" s="181"/>
      <c r="G13" s="181"/>
      <c r="H13" s="181"/>
      <c r="I13" s="181"/>
    </row>
    <row r="14" spans="1:11" x14ac:dyDescent="0.35">
      <c r="E14" s="180"/>
      <c r="F14" s="181"/>
      <c r="G14" s="181"/>
      <c r="H14" s="181"/>
      <c r="I14" s="181"/>
    </row>
    <row r="15" spans="1:11" x14ac:dyDescent="0.35">
      <c r="A15" s="176" t="s">
        <v>119</v>
      </c>
      <c r="B15" s="177" t="str">
        <f>IF(B13&lt;B18,"Public blockchains (ZKPs) are cheaper","Private blockchains are cheaper")</f>
        <v>Public blockchains (ZKPs) are cheaper</v>
      </c>
      <c r="E15" s="181"/>
      <c r="F15" s="181"/>
      <c r="G15" s="181"/>
      <c r="H15" s="181"/>
      <c r="I15" s="181"/>
    </row>
    <row r="16" spans="1:11" x14ac:dyDescent="0.35">
      <c r="A16" s="182"/>
      <c r="B16" s="183"/>
      <c r="E16" s="184"/>
      <c r="F16" s="181"/>
      <c r="G16" s="181"/>
      <c r="H16" s="181"/>
      <c r="I16" s="181"/>
    </row>
    <row r="17" spans="1:10" x14ac:dyDescent="0.35">
      <c r="A17" s="171" t="s">
        <v>109</v>
      </c>
      <c r="B17" s="185"/>
      <c r="E17" s="184"/>
      <c r="F17" s="181"/>
      <c r="G17" s="181"/>
      <c r="H17" s="181"/>
      <c r="I17" s="181"/>
    </row>
    <row r="18" spans="1:10" x14ac:dyDescent="0.35">
      <c r="A18" s="28" t="s">
        <v>107</v>
      </c>
      <c r="B18" s="186">
        <f>AVERAGE(Summary!E20:M20)/(Summary!D4*365)</f>
        <v>0.85756417207260005</v>
      </c>
      <c r="E18" s="181"/>
      <c r="F18" s="181"/>
      <c r="G18" s="181"/>
      <c r="H18" s="181"/>
      <c r="I18" s="181"/>
    </row>
    <row r="20" spans="1:10" x14ac:dyDescent="0.35">
      <c r="A20" s="187" t="s">
        <v>111</v>
      </c>
      <c r="B20" s="184"/>
      <c r="D20" s="188"/>
      <c r="E20" s="189"/>
      <c r="F20" s="181"/>
    </row>
    <row r="21" spans="1:10" x14ac:dyDescent="0.35">
      <c r="D21" s="188"/>
      <c r="E21" s="189"/>
      <c r="F21" s="181"/>
    </row>
    <row r="22" spans="1:10" x14ac:dyDescent="0.35">
      <c r="D22" s="188"/>
      <c r="E22" s="189"/>
      <c r="F22" s="181"/>
    </row>
    <row r="23" spans="1:10" x14ac:dyDescent="0.35">
      <c r="D23" s="181"/>
      <c r="E23" s="190"/>
      <c r="F23" s="184"/>
    </row>
    <row r="24" spans="1:10" x14ac:dyDescent="0.35">
      <c r="D24" s="180"/>
      <c r="E24" s="180"/>
      <c r="G24" s="191"/>
    </row>
    <row r="25" spans="1:10" x14ac:dyDescent="0.35">
      <c r="D25" s="180"/>
      <c r="E25" s="180"/>
    </row>
    <row r="26" spans="1:10" x14ac:dyDescent="0.35">
      <c r="D26" s="180"/>
      <c r="E26" s="180"/>
      <c r="G26" s="181"/>
      <c r="H26" s="181"/>
      <c r="I26" s="181"/>
      <c r="J26" s="181"/>
    </row>
    <row r="27" spans="1:10" x14ac:dyDescent="0.35">
      <c r="D27" s="180"/>
      <c r="E27" s="180"/>
      <c r="G27" s="154"/>
      <c r="H27" s="154"/>
      <c r="I27" s="154"/>
      <c r="J27" s="154"/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66"/>
  <sheetViews>
    <sheetView showGridLines="0" zoomScale="90" zoomScaleNormal="90" workbookViewId="0">
      <selection activeCell="A2" sqref="A2"/>
    </sheetView>
  </sheetViews>
  <sheetFormatPr defaultColWidth="8.7265625" defaultRowHeight="24" customHeight="1" x14ac:dyDescent="0.35"/>
  <cols>
    <col min="1" max="1" width="40.54296875" style="28" customWidth="1"/>
    <col min="2" max="3" width="20.54296875" style="28" customWidth="1"/>
    <col min="4" max="4" width="18.54296875" style="28" customWidth="1"/>
    <col min="5" max="9" width="13.26953125" style="28" customWidth="1"/>
    <col min="10" max="11" width="10.54296875" style="28" customWidth="1"/>
    <col min="12" max="12" width="10.54296875" style="1" bestFit="1" customWidth="1"/>
    <col min="13" max="13" width="12.453125" style="1" bestFit="1" customWidth="1"/>
    <col min="14" max="14" width="8.7265625" style="1"/>
    <col min="15" max="16384" width="8.7265625" style="28"/>
  </cols>
  <sheetData>
    <row r="1" spans="1:11" ht="21" x14ac:dyDescent="0.35">
      <c r="A1" s="10" t="s">
        <v>128</v>
      </c>
      <c r="B1" s="38"/>
      <c r="C1" s="38"/>
    </row>
    <row r="2" spans="1:11" ht="14" x14ac:dyDescent="0.35"/>
    <row r="3" spans="1:11" ht="14" x14ac:dyDescent="0.35">
      <c r="A3" s="231" t="s">
        <v>50</v>
      </c>
      <c r="B3" s="232"/>
      <c r="C3" s="232"/>
      <c r="D3" s="233"/>
      <c r="E3" s="234" t="s">
        <v>51</v>
      </c>
      <c r="F3" s="235"/>
      <c r="G3" s="235"/>
      <c r="H3" s="234" t="s">
        <v>52</v>
      </c>
      <c r="I3" s="235"/>
      <c r="J3" s="235"/>
      <c r="K3" s="236"/>
    </row>
    <row r="4" spans="1:11" ht="123" customHeight="1" x14ac:dyDescent="0.35">
      <c r="A4" s="39" t="s">
        <v>53</v>
      </c>
      <c r="B4" s="40" t="s">
        <v>30</v>
      </c>
      <c r="C4" s="40" t="s">
        <v>29</v>
      </c>
      <c r="D4" s="40" t="s">
        <v>4</v>
      </c>
      <c r="E4" s="41" t="s">
        <v>54</v>
      </c>
      <c r="F4" s="41" t="s">
        <v>2</v>
      </c>
      <c r="G4" s="41" t="s">
        <v>55</v>
      </c>
      <c r="H4" s="41" t="s">
        <v>6</v>
      </c>
      <c r="I4" s="41" t="s">
        <v>56</v>
      </c>
      <c r="J4" s="41" t="s">
        <v>57</v>
      </c>
      <c r="K4" s="41" t="s">
        <v>58</v>
      </c>
    </row>
    <row r="5" spans="1:11" ht="24" customHeight="1" x14ac:dyDescent="0.35">
      <c r="A5" s="55" t="s">
        <v>59</v>
      </c>
      <c r="B5" s="61"/>
      <c r="C5" s="50"/>
      <c r="D5" s="51"/>
      <c r="E5" s="52"/>
      <c r="F5" s="52"/>
      <c r="G5" s="52"/>
      <c r="H5" s="53"/>
      <c r="I5" s="53"/>
      <c r="J5" s="53"/>
      <c r="K5" s="54"/>
    </row>
    <row r="6" spans="1:11" ht="24" customHeight="1" x14ac:dyDescent="0.35">
      <c r="A6" s="59" t="s">
        <v>31</v>
      </c>
      <c r="B6" s="49">
        <v>10</v>
      </c>
      <c r="C6" s="49">
        <v>10</v>
      </c>
      <c r="D6" s="125">
        <v>10</v>
      </c>
      <c r="E6" s="89">
        <f>0%</f>
        <v>0</v>
      </c>
      <c r="F6" s="89">
        <f>0%</f>
        <v>0</v>
      </c>
      <c r="G6" s="90">
        <f>0%</f>
        <v>0</v>
      </c>
      <c r="H6" s="95">
        <v>1</v>
      </c>
      <c r="I6" s="95">
        <v>0.2</v>
      </c>
      <c r="J6" s="100">
        <f>0%</f>
        <v>0</v>
      </c>
      <c r="K6" s="90">
        <f>0%</f>
        <v>0</v>
      </c>
    </row>
    <row r="7" spans="1:11" ht="24" customHeight="1" x14ac:dyDescent="0.35">
      <c r="A7" s="59" t="s">
        <v>32</v>
      </c>
      <c r="B7" s="49">
        <v>250</v>
      </c>
      <c r="C7" s="49">
        <v>250</v>
      </c>
      <c r="D7" s="137">
        <v>250</v>
      </c>
      <c r="E7" s="89">
        <f>0%</f>
        <v>0</v>
      </c>
      <c r="F7" s="89">
        <f>0%</f>
        <v>0</v>
      </c>
      <c r="G7" s="90">
        <f>0%</f>
        <v>0</v>
      </c>
      <c r="H7" s="89">
        <f>0%</f>
        <v>0</v>
      </c>
      <c r="I7" s="89">
        <f>0%</f>
        <v>0</v>
      </c>
      <c r="J7" s="101">
        <f>0%</f>
        <v>0</v>
      </c>
      <c r="K7" s="90">
        <f>0%</f>
        <v>0</v>
      </c>
    </row>
    <row r="8" spans="1:11" ht="24" customHeight="1" x14ac:dyDescent="0.35">
      <c r="A8" s="42" t="s">
        <v>33</v>
      </c>
      <c r="B8" s="48">
        <v>0</v>
      </c>
      <c r="C8" s="48">
        <v>1000</v>
      </c>
      <c r="D8" s="45">
        <v>0</v>
      </c>
      <c r="E8" s="91">
        <v>-0.15</v>
      </c>
      <c r="F8" s="92">
        <v>0.3</v>
      </c>
      <c r="G8" s="90">
        <f>0%</f>
        <v>0</v>
      </c>
      <c r="H8" s="95">
        <v>0.5</v>
      </c>
      <c r="I8" s="95">
        <v>0.1</v>
      </c>
      <c r="J8" s="101">
        <f>0%</f>
        <v>0</v>
      </c>
      <c r="K8" s="90">
        <f>0%</f>
        <v>0</v>
      </c>
    </row>
    <row r="9" spans="1:11" ht="24" customHeight="1" x14ac:dyDescent="0.35">
      <c r="A9" s="42" t="s">
        <v>35</v>
      </c>
      <c r="B9" s="127">
        <v>16</v>
      </c>
      <c r="C9" s="127">
        <v>16</v>
      </c>
      <c r="D9" s="128">
        <v>16</v>
      </c>
      <c r="E9" s="91">
        <v>-0.05</v>
      </c>
      <c r="F9" s="95">
        <v>0.05</v>
      </c>
      <c r="G9" s="90">
        <f>0%</f>
        <v>0</v>
      </c>
      <c r="H9" s="95">
        <v>0.1</v>
      </c>
      <c r="I9" s="95">
        <v>0.05</v>
      </c>
      <c r="J9" s="101">
        <f>0%</f>
        <v>0</v>
      </c>
      <c r="K9" s="90">
        <f>0%</f>
        <v>0</v>
      </c>
    </row>
    <row r="10" spans="1:11" ht="24" customHeight="1" x14ac:dyDescent="0.35">
      <c r="A10" s="1" t="s">
        <v>36</v>
      </c>
      <c r="B10" s="127">
        <v>4</v>
      </c>
      <c r="C10" s="127">
        <v>4</v>
      </c>
      <c r="D10" s="128">
        <v>4</v>
      </c>
      <c r="E10" s="89">
        <f>0%</f>
        <v>0</v>
      </c>
      <c r="F10" s="89">
        <f>0%</f>
        <v>0</v>
      </c>
      <c r="G10" s="90">
        <f>0%</f>
        <v>0</v>
      </c>
      <c r="H10" s="89">
        <f>0%</f>
        <v>0</v>
      </c>
      <c r="I10" s="89">
        <f>0%</f>
        <v>0</v>
      </c>
      <c r="J10" s="101">
        <f>0%</f>
        <v>0</v>
      </c>
      <c r="K10" s="90">
        <f>0%</f>
        <v>0</v>
      </c>
    </row>
    <row r="11" spans="1:11" ht="24" customHeight="1" x14ac:dyDescent="0.35">
      <c r="A11" s="43" t="s">
        <v>37</v>
      </c>
      <c r="B11" s="48">
        <v>82</v>
      </c>
      <c r="C11" s="48">
        <v>82</v>
      </c>
      <c r="D11" s="45">
        <v>82</v>
      </c>
      <c r="E11" s="94">
        <f>0%</f>
        <v>0</v>
      </c>
      <c r="F11" s="89">
        <f>0%</f>
        <v>0</v>
      </c>
      <c r="G11" s="90">
        <f>0%</f>
        <v>0</v>
      </c>
      <c r="H11" s="89">
        <f>0%</f>
        <v>0</v>
      </c>
      <c r="I11" s="89">
        <f>0%</f>
        <v>0</v>
      </c>
      <c r="J11" s="101">
        <f>0%</f>
        <v>0</v>
      </c>
      <c r="K11" s="90">
        <f>0%</f>
        <v>0</v>
      </c>
    </row>
    <row r="12" spans="1:11" ht="24" customHeight="1" x14ac:dyDescent="0.35">
      <c r="A12" s="42" t="s">
        <v>38</v>
      </c>
      <c r="B12" s="48">
        <v>10</v>
      </c>
      <c r="C12" s="48">
        <v>10</v>
      </c>
      <c r="D12" s="45">
        <v>10</v>
      </c>
      <c r="E12" s="94">
        <f>0%</f>
        <v>0</v>
      </c>
      <c r="F12" s="89">
        <f>0%</f>
        <v>0</v>
      </c>
      <c r="G12" s="90">
        <f>0%</f>
        <v>0</v>
      </c>
      <c r="H12" s="95">
        <v>0.1</v>
      </c>
      <c r="I12" s="95">
        <v>0.05</v>
      </c>
      <c r="J12" s="101">
        <f>0%</f>
        <v>0</v>
      </c>
      <c r="K12" s="90">
        <f>0%</f>
        <v>0</v>
      </c>
    </row>
    <row r="13" spans="1:11" ht="24" customHeight="1" x14ac:dyDescent="0.35">
      <c r="A13" s="55" t="s">
        <v>60</v>
      </c>
      <c r="B13" s="58"/>
      <c r="C13" s="58"/>
      <c r="D13" s="58"/>
      <c r="E13" s="52"/>
      <c r="F13" s="52"/>
      <c r="G13" s="60"/>
      <c r="H13" s="56"/>
      <c r="I13" s="56"/>
      <c r="J13" s="60"/>
      <c r="K13" s="57"/>
    </row>
    <row r="14" spans="1:11" ht="24" customHeight="1" x14ac:dyDescent="0.35">
      <c r="A14" s="42" t="s">
        <v>39</v>
      </c>
      <c r="B14" s="126" t="s">
        <v>34</v>
      </c>
      <c r="C14" s="126" t="s">
        <v>34</v>
      </c>
      <c r="D14" s="134">
        <v>1</v>
      </c>
      <c r="E14" s="89">
        <f>0%</f>
        <v>0</v>
      </c>
      <c r="F14" s="89">
        <f>0%</f>
        <v>0</v>
      </c>
      <c r="G14" s="90">
        <f>0%</f>
        <v>0</v>
      </c>
      <c r="H14" s="89">
        <f>0%</f>
        <v>0</v>
      </c>
      <c r="I14" s="89">
        <f>0%</f>
        <v>0</v>
      </c>
      <c r="J14" s="101">
        <f>0%</f>
        <v>0</v>
      </c>
      <c r="K14" s="90">
        <f>0%</f>
        <v>0</v>
      </c>
    </row>
    <row r="15" spans="1:11" ht="24" customHeight="1" x14ac:dyDescent="0.35">
      <c r="A15" s="42" t="s">
        <v>40</v>
      </c>
      <c r="B15" s="48" t="s">
        <v>34</v>
      </c>
      <c r="C15" s="48" t="s">
        <v>34</v>
      </c>
      <c r="D15" s="45">
        <f>20000/D6</f>
        <v>2000</v>
      </c>
      <c r="E15" s="91">
        <v>-0.05</v>
      </c>
      <c r="F15" s="92">
        <v>0.1</v>
      </c>
      <c r="G15" s="90">
        <f>0%</f>
        <v>0</v>
      </c>
      <c r="H15" s="95">
        <v>0.15</v>
      </c>
      <c r="I15" s="95">
        <v>0.1</v>
      </c>
      <c r="J15" s="101">
        <f>0%</f>
        <v>0</v>
      </c>
      <c r="K15" s="90">
        <f>0%</f>
        <v>0</v>
      </c>
    </row>
    <row r="16" spans="1:11" ht="24" customHeight="1" x14ac:dyDescent="0.35">
      <c r="A16" s="42" t="s">
        <v>41</v>
      </c>
      <c r="B16" s="48" t="s">
        <v>34</v>
      </c>
      <c r="C16" s="48" t="s">
        <v>34</v>
      </c>
      <c r="D16" s="74">
        <v>2.4</v>
      </c>
      <c r="E16" s="89">
        <f>0%</f>
        <v>0</v>
      </c>
      <c r="F16" s="89">
        <f>0%</f>
        <v>0</v>
      </c>
      <c r="G16" s="90">
        <f>0%</f>
        <v>0</v>
      </c>
      <c r="H16" s="89">
        <f>0%</f>
        <v>0</v>
      </c>
      <c r="I16" s="89">
        <f>0%</f>
        <v>0</v>
      </c>
      <c r="J16" s="101">
        <f>0%</f>
        <v>0</v>
      </c>
      <c r="K16" s="90">
        <f>0%</f>
        <v>0</v>
      </c>
    </row>
    <row r="17" spans="1:12" ht="24" customHeight="1" x14ac:dyDescent="0.35">
      <c r="A17" s="42" t="s">
        <v>42</v>
      </c>
      <c r="B17" s="48" t="s">
        <v>34</v>
      </c>
      <c r="C17" s="48" t="s">
        <v>34</v>
      </c>
      <c r="D17" s="75">
        <v>4.0000000000000001E-3</v>
      </c>
      <c r="E17" s="93">
        <v>-0.15</v>
      </c>
      <c r="F17" s="92">
        <v>0.2</v>
      </c>
      <c r="G17" s="90">
        <f>0%</f>
        <v>0</v>
      </c>
      <c r="H17" s="95">
        <v>0.1</v>
      </c>
      <c r="I17" s="95">
        <v>0.05</v>
      </c>
      <c r="J17" s="101">
        <f>0%</f>
        <v>0</v>
      </c>
      <c r="K17" s="90">
        <f>0%</f>
        <v>0</v>
      </c>
    </row>
    <row r="18" spans="1:12" ht="24" customHeight="1" x14ac:dyDescent="0.35">
      <c r="A18" s="55" t="s">
        <v>61</v>
      </c>
      <c r="B18" s="58"/>
      <c r="C18" s="58"/>
      <c r="D18" s="58"/>
      <c r="E18" s="52"/>
      <c r="F18" s="52"/>
      <c r="G18" s="60"/>
      <c r="H18" s="56"/>
      <c r="I18" s="56"/>
      <c r="J18" s="60"/>
      <c r="K18" s="57"/>
    </row>
    <row r="19" spans="1:12" ht="24" customHeight="1" x14ac:dyDescent="0.35">
      <c r="A19" s="42" t="s">
        <v>43</v>
      </c>
      <c r="B19" s="48">
        <v>98000</v>
      </c>
      <c r="C19" s="48">
        <v>98000</v>
      </c>
      <c r="D19" s="129">
        <v>98000</v>
      </c>
      <c r="E19" s="94">
        <f>0%</f>
        <v>0</v>
      </c>
      <c r="F19" s="89">
        <f>0%</f>
        <v>0</v>
      </c>
      <c r="G19" s="90">
        <f>0%</f>
        <v>0</v>
      </c>
      <c r="H19" s="89">
        <f>0%</f>
        <v>0</v>
      </c>
      <c r="I19" s="89">
        <f>0%</f>
        <v>0</v>
      </c>
      <c r="J19" s="101">
        <f>0%</f>
        <v>0</v>
      </c>
      <c r="K19" s="90">
        <f>0%</f>
        <v>0</v>
      </c>
    </row>
    <row r="20" spans="1:12" ht="24" customHeight="1" x14ac:dyDescent="0.35">
      <c r="A20" s="42" t="s">
        <v>44</v>
      </c>
      <c r="B20" s="130" t="s">
        <v>34</v>
      </c>
      <c r="C20" s="131">
        <v>0.2</v>
      </c>
      <c r="D20" s="131" t="s">
        <v>34</v>
      </c>
      <c r="E20" s="94">
        <f>0%</f>
        <v>0</v>
      </c>
      <c r="F20" s="89">
        <f>0%</f>
        <v>0</v>
      </c>
      <c r="G20" s="90">
        <f>0%</f>
        <v>0</v>
      </c>
      <c r="H20" s="95">
        <v>0.15</v>
      </c>
      <c r="I20" s="95">
        <v>0.1</v>
      </c>
      <c r="J20" s="101">
        <f>0%</f>
        <v>0</v>
      </c>
      <c r="K20" s="90">
        <f>0%</f>
        <v>0</v>
      </c>
    </row>
    <row r="21" spans="1:12" ht="24" customHeight="1" x14ac:dyDescent="0.35">
      <c r="A21" s="42" t="s">
        <v>45</v>
      </c>
      <c r="B21" s="130" t="s">
        <v>34</v>
      </c>
      <c r="C21" s="130">
        <v>3</v>
      </c>
      <c r="D21" s="130" t="s">
        <v>34</v>
      </c>
      <c r="E21" s="94">
        <f>0%</f>
        <v>0</v>
      </c>
      <c r="F21" s="89">
        <f>0%</f>
        <v>0</v>
      </c>
      <c r="G21" s="90">
        <f>0%</f>
        <v>0</v>
      </c>
      <c r="H21" s="89">
        <f>0%</f>
        <v>0</v>
      </c>
      <c r="I21" s="89">
        <f>0%</f>
        <v>0</v>
      </c>
      <c r="J21" s="101">
        <f>0%</f>
        <v>0</v>
      </c>
      <c r="K21" s="90">
        <f>0%</f>
        <v>0</v>
      </c>
    </row>
    <row r="22" spans="1:12" ht="24" customHeight="1" x14ac:dyDescent="0.35">
      <c r="A22" s="42" t="s">
        <v>46</v>
      </c>
      <c r="B22" s="48">
        <f>2*82</f>
        <v>164</v>
      </c>
      <c r="C22" s="48">
        <f>2*82</f>
        <v>164</v>
      </c>
      <c r="D22" s="48">
        <f>2*82</f>
        <v>164</v>
      </c>
      <c r="E22" s="94">
        <f>0%</f>
        <v>0</v>
      </c>
      <c r="F22" s="89">
        <f>0%</f>
        <v>0</v>
      </c>
      <c r="G22" s="90">
        <f>0%</f>
        <v>0</v>
      </c>
      <c r="H22" s="89">
        <f>0%</f>
        <v>0</v>
      </c>
      <c r="I22" s="89">
        <f>0%</f>
        <v>0</v>
      </c>
      <c r="J22" s="101">
        <f>0%</f>
        <v>0</v>
      </c>
      <c r="K22" s="90">
        <f>0%</f>
        <v>0</v>
      </c>
    </row>
    <row r="23" spans="1:12" ht="24" customHeight="1" x14ac:dyDescent="0.35">
      <c r="A23" s="42" t="s">
        <v>47</v>
      </c>
      <c r="B23" s="131">
        <v>0.19</v>
      </c>
      <c r="C23" s="131">
        <v>0.19</v>
      </c>
      <c r="D23" s="132">
        <v>0.19</v>
      </c>
      <c r="E23" s="94">
        <f>0%</f>
        <v>0</v>
      </c>
      <c r="F23" s="89">
        <f>0%</f>
        <v>0</v>
      </c>
      <c r="G23" s="96">
        <v>0</v>
      </c>
      <c r="H23" s="102">
        <v>0</v>
      </c>
      <c r="I23" s="103">
        <v>0</v>
      </c>
      <c r="J23" s="104">
        <v>0</v>
      </c>
      <c r="K23" s="96">
        <v>0</v>
      </c>
    </row>
    <row r="24" spans="1:12" ht="24" customHeight="1" x14ac:dyDescent="0.35">
      <c r="A24" s="55" t="s">
        <v>62</v>
      </c>
      <c r="B24" s="70"/>
      <c r="C24" s="70"/>
      <c r="D24" s="70"/>
      <c r="E24" s="52"/>
      <c r="F24" s="52"/>
      <c r="G24" s="71"/>
      <c r="H24" s="72"/>
      <c r="I24" s="72"/>
      <c r="J24" s="71"/>
      <c r="K24" s="73"/>
    </row>
    <row r="25" spans="1:12" ht="24" customHeight="1" x14ac:dyDescent="0.35">
      <c r="A25" s="42" t="s">
        <v>48</v>
      </c>
      <c r="B25" s="48">
        <v>15</v>
      </c>
      <c r="C25" s="48">
        <v>15</v>
      </c>
      <c r="D25" s="45">
        <v>15</v>
      </c>
      <c r="E25" s="93">
        <v>-0.1</v>
      </c>
      <c r="F25" s="92">
        <v>0.2</v>
      </c>
      <c r="G25" s="90">
        <f>0%</f>
        <v>0</v>
      </c>
      <c r="H25" s="95">
        <v>0.1</v>
      </c>
      <c r="I25" s="95">
        <v>0.05</v>
      </c>
      <c r="J25" s="101">
        <f>0%</f>
        <v>0</v>
      </c>
      <c r="K25" s="90">
        <f>0%</f>
        <v>0</v>
      </c>
    </row>
    <row r="26" spans="1:12" ht="24" customHeight="1" x14ac:dyDescent="0.35">
      <c r="A26" s="44" t="s">
        <v>49</v>
      </c>
      <c r="B26" s="135">
        <v>1495</v>
      </c>
      <c r="C26" s="135">
        <v>1495</v>
      </c>
      <c r="D26" s="135">
        <v>1495</v>
      </c>
      <c r="E26" s="97">
        <v>-0.05</v>
      </c>
      <c r="F26" s="98">
        <v>0.1</v>
      </c>
      <c r="G26" s="99">
        <f>0%</f>
        <v>0</v>
      </c>
      <c r="H26" s="105">
        <v>0.15</v>
      </c>
      <c r="I26" s="106">
        <v>0.05</v>
      </c>
      <c r="J26" s="107">
        <f>0%</f>
        <v>0</v>
      </c>
      <c r="K26" s="99">
        <f>0%</f>
        <v>0</v>
      </c>
    </row>
    <row r="27" spans="1:12" ht="24" customHeight="1" x14ac:dyDescent="0.35">
      <c r="A27" s="55" t="s">
        <v>118</v>
      </c>
      <c r="B27" s="58"/>
      <c r="C27" s="58"/>
      <c r="D27" s="58"/>
      <c r="E27" s="193"/>
      <c r="F27" s="194"/>
      <c r="G27" s="60"/>
      <c r="H27" s="195"/>
      <c r="I27" s="195"/>
      <c r="J27" s="60"/>
      <c r="K27" s="57"/>
    </row>
    <row r="28" spans="1:12" ht="24" customHeight="1" x14ac:dyDescent="0.35">
      <c r="A28" s="42" t="s">
        <v>120</v>
      </c>
      <c r="B28" s="197">
        <v>5</v>
      </c>
      <c r="C28" s="197">
        <v>5</v>
      </c>
      <c r="D28" s="198">
        <v>5</v>
      </c>
      <c r="E28" s="192" t="s">
        <v>34</v>
      </c>
      <c r="F28" s="192" t="s">
        <v>34</v>
      </c>
      <c r="G28" s="196" t="s">
        <v>34</v>
      </c>
      <c r="H28" s="192" t="s">
        <v>34</v>
      </c>
      <c r="I28" s="192" t="s">
        <v>34</v>
      </c>
      <c r="J28" s="192" t="s">
        <v>34</v>
      </c>
      <c r="K28" s="196" t="s">
        <v>34</v>
      </c>
    </row>
    <row r="29" spans="1:12" ht="24" customHeight="1" x14ac:dyDescent="0.35">
      <c r="A29" s="44" t="s">
        <v>123</v>
      </c>
      <c r="B29" s="199">
        <v>0.41670000000000001</v>
      </c>
      <c r="C29" s="199">
        <v>0.41670000000000001</v>
      </c>
      <c r="D29" s="202">
        <v>0.41670000000000001</v>
      </c>
      <c r="E29" s="200" t="s">
        <v>34</v>
      </c>
      <c r="F29" s="200" t="s">
        <v>34</v>
      </c>
      <c r="G29" s="201" t="s">
        <v>34</v>
      </c>
      <c r="H29" s="200" t="s">
        <v>34</v>
      </c>
      <c r="I29" s="200" t="s">
        <v>34</v>
      </c>
      <c r="J29" s="200" t="s">
        <v>34</v>
      </c>
      <c r="K29" s="201" t="s">
        <v>34</v>
      </c>
    </row>
    <row r="31" spans="1:12" ht="24" hidden="1" customHeight="1" x14ac:dyDescent="0.35">
      <c r="A31" s="79" t="s">
        <v>112</v>
      </c>
      <c r="B31" s="80"/>
      <c r="C31" s="80"/>
      <c r="D31" s="80"/>
      <c r="E31" s="80"/>
      <c r="F31" s="81"/>
      <c r="G31" s="80"/>
      <c r="H31" s="81"/>
      <c r="I31" s="80"/>
      <c r="J31" s="82"/>
      <c r="K31" s="1"/>
      <c r="L31" s="82"/>
    </row>
    <row r="32" spans="1:12" ht="24" hidden="1" customHeight="1" x14ac:dyDescent="0.35">
      <c r="A32" s="80" t="s">
        <v>113</v>
      </c>
      <c r="B32" s="80"/>
      <c r="C32" s="80"/>
      <c r="D32" s="80"/>
      <c r="E32" s="83">
        <f>Summary!E14</f>
        <v>660000</v>
      </c>
      <c r="F32" s="81"/>
      <c r="G32" s="80"/>
      <c r="H32" s="81"/>
      <c r="I32" s="80"/>
      <c r="J32" s="82"/>
      <c r="K32" s="1"/>
      <c r="L32" s="82"/>
    </row>
    <row r="33" spans="1:12" ht="24" hidden="1" customHeight="1" x14ac:dyDescent="0.35">
      <c r="A33" s="80" t="s">
        <v>63</v>
      </c>
      <c r="B33" s="78"/>
      <c r="C33" s="78"/>
      <c r="D33" s="78"/>
      <c r="E33" s="83">
        <f>SUM(PrivateBC_Model!D7:D9)</f>
        <v>98376</v>
      </c>
      <c r="F33" s="83">
        <f>SUM(PrivateBC_Model!F7:F9)</f>
        <v>3867.6874999999995</v>
      </c>
      <c r="G33" s="83">
        <f>SUM(PrivateBC_Model!H7:H9)</f>
        <v>3676.0244062499996</v>
      </c>
      <c r="H33" s="83">
        <f>SUM(PrivateBC_Model!J7:J9)</f>
        <v>3494.6340795351562</v>
      </c>
      <c r="I33" s="83">
        <f>SUM(PrivateBC_Model!L7:L9)</f>
        <v>3322.9909816556428</v>
      </c>
    </row>
    <row r="34" spans="1:12" ht="24" hidden="1" customHeight="1" x14ac:dyDescent="0.35">
      <c r="A34" s="80" t="s">
        <v>64</v>
      </c>
      <c r="B34" s="78"/>
      <c r="C34" s="78"/>
      <c r="D34" s="78"/>
      <c r="E34" s="83">
        <f>SUM(PrivateBC_Model!D12:D13)</f>
        <v>22000.021599192878</v>
      </c>
      <c r="F34" s="83">
        <f>SUM(PrivateBC_Model!F12:F13)</f>
        <v>18810.02119127359</v>
      </c>
      <c r="G34" s="83">
        <f>SUM(PrivateBC_Model!H12:H13)</f>
        <v>16082.570824146231</v>
      </c>
      <c r="H34" s="83">
        <f>SUM(PrivateBC_Model!J12:J13)</f>
        <v>13750.600743731604</v>
      </c>
      <c r="I34" s="83">
        <f>SUM(PrivateBC_Model!L12:L13)</f>
        <v>11756.766310108444</v>
      </c>
    </row>
    <row r="35" spans="1:12" ht="24" hidden="1" customHeight="1" x14ac:dyDescent="0.35">
      <c r="A35" s="80" t="s">
        <v>65</v>
      </c>
      <c r="B35" s="78"/>
      <c r="C35" s="78"/>
      <c r="D35" s="78"/>
      <c r="E35" s="83">
        <f>SUM(PrivateBC_Model!D16:D18)</f>
        <v>140640</v>
      </c>
      <c r="F35" s="83">
        <f>SUM(PrivateBC_Model!F16:F18)</f>
        <v>140455.5</v>
      </c>
      <c r="G35" s="83">
        <f>SUM(PrivateBC_Model!H16:H18)</f>
        <v>140275.35625000001</v>
      </c>
      <c r="H35" s="83">
        <f>SUM(PrivateBC_Model!J16:J18)</f>
        <v>140099.363109375</v>
      </c>
      <c r="I35" s="83">
        <f>SUM(PrivateBC_Model!L16:L18)</f>
        <v>139927.32518910157</v>
      </c>
    </row>
    <row r="36" spans="1:12" ht="24" hidden="1" customHeight="1" x14ac:dyDescent="0.35">
      <c r="A36" s="80" t="s">
        <v>66</v>
      </c>
      <c r="B36" s="78"/>
      <c r="C36" s="78"/>
      <c r="D36" s="78"/>
      <c r="E36" s="83">
        <f>SUM(PrivateBC_Model!D21:D22)</f>
        <v>1710.2000000000003</v>
      </c>
      <c r="F36" s="83">
        <f>SUM(PrivateBC_Model!F21:F22)</f>
        <v>1706.9150000000002</v>
      </c>
      <c r="G36" s="83">
        <f>SUM(PrivateBC_Model!H21:H22)</f>
        <v>1703.7942500000001</v>
      </c>
      <c r="H36" s="83">
        <f>SUM(PrivateBC_Model!J21:J22)</f>
        <v>1700.8295375000002</v>
      </c>
      <c r="I36" s="83">
        <f>SUM(PrivateBC_Model!L21:L22)</f>
        <v>1698.0130606250002</v>
      </c>
    </row>
    <row r="37" spans="1:12" ht="24" hidden="1" customHeight="1" x14ac:dyDescent="0.35">
      <c r="A37" s="80"/>
      <c r="B37" s="78"/>
      <c r="C37" s="78"/>
      <c r="D37" s="78"/>
      <c r="E37" s="83"/>
      <c r="F37" s="83"/>
      <c r="G37" s="83"/>
      <c r="H37" s="83"/>
      <c r="I37" s="83"/>
    </row>
    <row r="38" spans="1:12" ht="24" hidden="1" customHeight="1" x14ac:dyDescent="0.35">
      <c r="A38" s="79" t="s">
        <v>126</v>
      </c>
      <c r="B38" s="78"/>
      <c r="C38" s="78"/>
      <c r="D38" s="78"/>
      <c r="E38" s="83"/>
      <c r="F38" s="83"/>
      <c r="G38" s="83"/>
      <c r="H38" s="83"/>
      <c r="I38" s="83"/>
    </row>
    <row r="39" spans="1:12" ht="24" hidden="1" customHeight="1" x14ac:dyDescent="0.35">
      <c r="A39" s="80" t="s">
        <v>113</v>
      </c>
      <c r="B39" s="78"/>
      <c r="C39" s="78"/>
      <c r="D39" s="78"/>
      <c r="E39" s="83">
        <f>Summary!E48</f>
        <v>50000</v>
      </c>
      <c r="F39" s="83"/>
      <c r="G39" s="83"/>
      <c r="H39" s="83"/>
      <c r="I39" s="83"/>
    </row>
    <row r="40" spans="1:12" ht="24" hidden="1" customHeight="1" x14ac:dyDescent="0.35">
      <c r="A40" s="80" t="s">
        <v>63</v>
      </c>
      <c r="B40" s="78"/>
      <c r="C40" s="78"/>
      <c r="D40" s="78"/>
      <c r="E40" s="83">
        <f>Summary!E49</f>
        <v>3380</v>
      </c>
      <c r="F40" s="83">
        <f>Summary!G49</f>
        <v>154.70749999999998</v>
      </c>
      <c r="G40" s="83">
        <f>Summary!I49</f>
        <v>147.04097625000006</v>
      </c>
      <c r="H40" s="83">
        <f>Summary!K49</f>
        <v>139.78536318140655</v>
      </c>
      <c r="I40" s="83">
        <f>Summary!M49</f>
        <v>132.91963926622532</v>
      </c>
    </row>
    <row r="41" spans="1:12" ht="24" hidden="1" customHeight="1" x14ac:dyDescent="0.35">
      <c r="A41" s="80" t="s">
        <v>64</v>
      </c>
      <c r="B41" s="78"/>
      <c r="C41" s="78"/>
      <c r="D41" s="78"/>
      <c r="E41" s="83">
        <f>Summary!E50</f>
        <v>8799</v>
      </c>
      <c r="F41" s="83">
        <f>Summary!G50</f>
        <v>8359.0499999999993</v>
      </c>
      <c r="G41" s="83">
        <f>Summary!I50</f>
        <v>7941.0974999999989</v>
      </c>
      <c r="H41" s="83">
        <f>Summary!K50</f>
        <v>7544.0426249999982</v>
      </c>
      <c r="I41" s="83">
        <f>Summary!M50</f>
        <v>7166.8404937499981</v>
      </c>
    </row>
    <row r="42" spans="1:12" ht="24" hidden="1" customHeight="1" x14ac:dyDescent="0.35">
      <c r="A42" s="80" t="s">
        <v>65</v>
      </c>
      <c r="B42" s="78"/>
      <c r="C42" s="78"/>
      <c r="D42" s="78"/>
      <c r="E42" s="83">
        <f>Summary!E51</f>
        <v>1640</v>
      </c>
      <c r="F42" s="83">
        <f>Summary!G51</f>
        <v>1635.8999999999999</v>
      </c>
      <c r="G42" s="83">
        <f>Summary!I51</f>
        <v>1631.81025</v>
      </c>
      <c r="H42" s="83">
        <f>Summary!K51</f>
        <v>1627.7307243750001</v>
      </c>
      <c r="I42" s="83">
        <f>Summary!M51</f>
        <v>1623.6613975640628</v>
      </c>
    </row>
    <row r="43" spans="1:12" ht="24" hidden="1" customHeight="1" x14ac:dyDescent="0.35">
      <c r="A43" s="80" t="s">
        <v>66</v>
      </c>
      <c r="B43" s="80"/>
      <c r="C43" s="80"/>
      <c r="D43" s="83"/>
      <c r="E43" s="83">
        <f>Summary!E52</f>
        <v>1710.2000000000003</v>
      </c>
      <c r="F43" s="83">
        <f>Summary!G52</f>
        <v>1706.9150000000002</v>
      </c>
      <c r="G43" s="83">
        <f>Summary!I52</f>
        <v>1644.5000000000002</v>
      </c>
      <c r="H43" s="83">
        <f>Summary!K52</f>
        <v>1644.5000000000002</v>
      </c>
      <c r="I43" s="83">
        <f>Summary!M52</f>
        <v>1644.5000000000002</v>
      </c>
      <c r="J43" s="84"/>
      <c r="K43" s="82"/>
      <c r="L43" s="84"/>
    </row>
    <row r="44" spans="1:12" ht="24" hidden="1" customHeight="1" x14ac:dyDescent="0.35">
      <c r="A44" s="80" t="s">
        <v>104</v>
      </c>
      <c r="B44" s="80"/>
      <c r="C44" s="80"/>
      <c r="D44" s="83"/>
      <c r="E44" s="83">
        <f>Summary!E54</f>
        <v>1825000</v>
      </c>
      <c r="F44" s="83">
        <f>Summary!G54</f>
        <v>1825000</v>
      </c>
      <c r="G44" s="83">
        <f>Summary!I54</f>
        <v>1825000</v>
      </c>
      <c r="H44" s="83">
        <f>Summary!K54</f>
        <v>1825000</v>
      </c>
      <c r="I44" s="83">
        <f>Summary!M54</f>
        <v>1825000</v>
      </c>
      <c r="J44" s="84"/>
      <c r="K44" s="82"/>
      <c r="L44" s="84"/>
    </row>
    <row r="45" spans="1:12" ht="24" hidden="1" customHeight="1" x14ac:dyDescent="0.35">
      <c r="A45" s="80"/>
      <c r="B45" s="80"/>
      <c r="C45" s="80"/>
      <c r="D45" s="83"/>
      <c r="E45" s="83"/>
      <c r="F45" s="83"/>
      <c r="G45" s="83"/>
      <c r="H45" s="83"/>
      <c r="I45" s="83"/>
      <c r="J45" s="84"/>
      <c r="K45" s="82"/>
      <c r="L45" s="84"/>
    </row>
    <row r="46" spans="1:12" ht="24" hidden="1" customHeight="1" x14ac:dyDescent="0.35">
      <c r="A46" s="79" t="s">
        <v>127</v>
      </c>
      <c r="B46" s="80"/>
      <c r="C46" s="80"/>
      <c r="D46" s="83"/>
      <c r="E46" s="83"/>
      <c r="F46" s="83"/>
      <c r="G46" s="83"/>
      <c r="H46" s="83"/>
      <c r="I46" s="83"/>
      <c r="J46" s="84"/>
      <c r="K46" s="82"/>
      <c r="L46" s="84"/>
    </row>
    <row r="47" spans="1:12" ht="24" hidden="1" customHeight="1" x14ac:dyDescent="0.35">
      <c r="A47" s="80" t="s">
        <v>97</v>
      </c>
      <c r="B47" s="80"/>
      <c r="C47" s="80"/>
      <c r="D47" s="83"/>
      <c r="E47" s="83">
        <f>Summary!E84</f>
        <v>50000</v>
      </c>
      <c r="F47" s="83"/>
      <c r="G47" s="83"/>
      <c r="H47" s="83"/>
      <c r="I47" s="83"/>
      <c r="J47" s="84"/>
      <c r="K47" s="82"/>
      <c r="L47" s="84"/>
    </row>
    <row r="48" spans="1:12" ht="24" hidden="1" customHeight="1" x14ac:dyDescent="0.35">
      <c r="A48" s="80" t="s">
        <v>12</v>
      </c>
      <c r="B48" s="80"/>
      <c r="C48" s="80"/>
      <c r="D48" s="83"/>
      <c r="E48" s="83">
        <f>Summary!E85</f>
        <v>3380</v>
      </c>
      <c r="F48" s="83">
        <f>Summary!G85</f>
        <v>154.70749999999998</v>
      </c>
      <c r="G48" s="83">
        <f>Summary!I85</f>
        <v>147.04097625000006</v>
      </c>
      <c r="H48" s="83">
        <f>Summary!K85</f>
        <v>139.78536318140655</v>
      </c>
      <c r="I48" s="83">
        <f>Summary!M85</f>
        <v>132.91963926622532</v>
      </c>
      <c r="J48" s="84"/>
      <c r="K48" s="82"/>
      <c r="L48" s="84"/>
    </row>
    <row r="49" spans="1:12" ht="24" hidden="1" customHeight="1" x14ac:dyDescent="0.35">
      <c r="A49" s="80" t="s">
        <v>13</v>
      </c>
      <c r="B49" s="80"/>
      <c r="C49" s="80"/>
      <c r="D49" s="83"/>
      <c r="E49" s="83">
        <f>Summary!E86</f>
        <v>8799</v>
      </c>
      <c r="F49" s="83">
        <f>Summary!G86</f>
        <v>8359.0499999999993</v>
      </c>
      <c r="G49" s="83">
        <f>Summary!I86</f>
        <v>7941.0974999999989</v>
      </c>
      <c r="H49" s="83">
        <f>Summary!K86</f>
        <v>7544.0426249999982</v>
      </c>
      <c r="I49" s="83">
        <f>Summary!M86</f>
        <v>7166.8404937499981</v>
      </c>
      <c r="J49" s="84"/>
      <c r="K49" s="82"/>
      <c r="L49" s="84"/>
    </row>
    <row r="50" spans="1:12" ht="24" hidden="1" customHeight="1" x14ac:dyDescent="0.35">
      <c r="A50" s="80" t="s">
        <v>14</v>
      </c>
      <c r="B50" s="80"/>
      <c r="C50" s="80"/>
      <c r="D50" s="83"/>
      <c r="E50" s="83">
        <f>Summary!E87</f>
        <v>1640</v>
      </c>
      <c r="F50" s="83">
        <f>Summary!G87</f>
        <v>1635.8999999999999</v>
      </c>
      <c r="G50" s="83">
        <f>Summary!I87</f>
        <v>1631.81025</v>
      </c>
      <c r="H50" s="83">
        <f>Summary!K87</f>
        <v>1627.7307243750001</v>
      </c>
      <c r="I50" s="83">
        <f>Summary!M87</f>
        <v>1623.6613975640628</v>
      </c>
      <c r="J50" s="84"/>
      <c r="K50" s="82"/>
      <c r="L50" s="84"/>
    </row>
    <row r="51" spans="1:12" ht="24" hidden="1" customHeight="1" x14ac:dyDescent="0.35">
      <c r="A51" s="80" t="s">
        <v>15</v>
      </c>
      <c r="B51" s="80"/>
      <c r="C51" s="80"/>
      <c r="D51" s="83"/>
      <c r="E51" s="83">
        <f>Summary!E88</f>
        <v>1710.2000000000003</v>
      </c>
      <c r="F51" s="83">
        <f>Summary!G88</f>
        <v>1706.9150000000002</v>
      </c>
      <c r="G51" s="83">
        <f>Summary!I88</f>
        <v>1644.5000000000002</v>
      </c>
      <c r="H51" s="83">
        <f>Summary!K88</f>
        <v>1644.5000000000002</v>
      </c>
      <c r="I51" s="83">
        <f>Summary!M88</f>
        <v>1644.5000000000002</v>
      </c>
      <c r="J51" s="84"/>
      <c r="K51" s="82"/>
      <c r="L51" s="84"/>
    </row>
    <row r="52" spans="1:12" ht="24" hidden="1" customHeight="1" x14ac:dyDescent="0.35">
      <c r="A52" s="80" t="s">
        <v>104</v>
      </c>
      <c r="B52" s="80"/>
      <c r="C52" s="80"/>
      <c r="D52" s="83"/>
      <c r="E52" s="83">
        <f>Summary!E90</f>
        <v>152095.5</v>
      </c>
      <c r="F52" s="83">
        <f>Summary!G90</f>
        <v>152095.5</v>
      </c>
      <c r="G52" s="83">
        <f>Summary!I90</f>
        <v>152095.5</v>
      </c>
      <c r="H52" s="83">
        <f>Summary!K90</f>
        <v>152095.5</v>
      </c>
      <c r="I52" s="83">
        <f>Summary!M90</f>
        <v>152095.5</v>
      </c>
      <c r="J52" s="84"/>
      <c r="K52" s="82"/>
      <c r="L52" s="84"/>
    </row>
    <row r="53" spans="1:12" ht="24" hidden="1" customHeight="1" x14ac:dyDescent="0.35">
      <c r="A53" s="80"/>
      <c r="B53" s="80"/>
      <c r="C53" s="80"/>
      <c r="D53" s="83"/>
      <c r="E53" s="81"/>
      <c r="F53" s="83"/>
      <c r="G53" s="81"/>
      <c r="H53" s="83"/>
      <c r="I53" s="81"/>
      <c r="J53" s="84"/>
      <c r="K53" s="82"/>
      <c r="L53" s="84"/>
    </row>
    <row r="54" spans="1:12" ht="24" hidden="1" customHeight="1" x14ac:dyDescent="0.35">
      <c r="A54" s="87" t="s">
        <v>67</v>
      </c>
      <c r="B54" s="85"/>
      <c r="C54" s="87" t="s">
        <v>68</v>
      </c>
      <c r="D54" s="136"/>
      <c r="E54" s="136"/>
      <c r="F54" s="86"/>
      <c r="G54" s="85"/>
      <c r="H54" s="86"/>
      <c r="I54" s="85"/>
      <c r="J54" s="82"/>
      <c r="K54" s="1"/>
      <c r="L54" s="82"/>
    </row>
    <row r="55" spans="1:12" ht="24" hidden="1" customHeight="1" x14ac:dyDescent="0.35">
      <c r="A55" s="88" t="s">
        <v>7</v>
      </c>
      <c r="B55" s="80"/>
      <c r="C55" s="88" t="s">
        <v>54</v>
      </c>
      <c r="D55" s="88" t="s">
        <v>30</v>
      </c>
      <c r="E55" s="88" t="s">
        <v>56</v>
      </c>
      <c r="F55" s="81"/>
      <c r="G55" s="80"/>
      <c r="H55" s="81"/>
      <c r="I55" s="80"/>
      <c r="J55" s="82"/>
      <c r="K55" s="1"/>
      <c r="L55" s="82"/>
    </row>
    <row r="56" spans="1:12" ht="24" hidden="1" customHeight="1" x14ac:dyDescent="0.35">
      <c r="A56" s="88" t="s">
        <v>8</v>
      </c>
      <c r="B56" s="80"/>
      <c r="C56" s="88" t="s">
        <v>55</v>
      </c>
      <c r="D56" s="88" t="s">
        <v>29</v>
      </c>
      <c r="E56" s="88" t="s">
        <v>6</v>
      </c>
      <c r="F56" s="81"/>
      <c r="G56" s="80"/>
      <c r="H56" s="81"/>
      <c r="I56" s="80"/>
      <c r="J56" s="82"/>
      <c r="K56" s="1"/>
      <c r="L56" s="82"/>
    </row>
    <row r="57" spans="1:12" ht="24" hidden="1" customHeight="1" x14ac:dyDescent="0.35">
      <c r="A57" s="88" t="s">
        <v>9</v>
      </c>
      <c r="B57" s="80"/>
      <c r="C57" s="88" t="s">
        <v>2</v>
      </c>
      <c r="D57" s="88" t="s">
        <v>4</v>
      </c>
      <c r="E57" s="88" t="s">
        <v>58</v>
      </c>
      <c r="F57" s="81"/>
      <c r="G57" s="80"/>
      <c r="H57" s="81"/>
      <c r="I57" s="80"/>
      <c r="J57" s="82"/>
      <c r="K57" s="1"/>
      <c r="L57" s="82"/>
    </row>
    <row r="58" spans="1:12" ht="24" hidden="1" customHeight="1" x14ac:dyDescent="0.35">
      <c r="A58" s="88" t="s">
        <v>10</v>
      </c>
      <c r="B58" s="80"/>
      <c r="C58" s="88"/>
      <c r="D58" s="88"/>
      <c r="E58" s="88" t="s">
        <v>57</v>
      </c>
      <c r="F58" s="81"/>
      <c r="G58" s="80"/>
      <c r="H58" s="81"/>
      <c r="I58" s="80"/>
      <c r="J58" s="82"/>
      <c r="K58" s="1"/>
      <c r="L58" s="82"/>
    </row>
    <row r="59" spans="1:12" ht="24" hidden="1" customHeight="1" x14ac:dyDescent="0.35">
      <c r="A59" s="88" t="s">
        <v>11</v>
      </c>
      <c r="B59" s="80"/>
      <c r="C59" s="80"/>
      <c r="D59" s="80"/>
      <c r="E59" s="80"/>
      <c r="F59" s="81"/>
      <c r="G59" s="80"/>
      <c r="H59" s="81"/>
      <c r="I59" s="80"/>
      <c r="J59" s="82"/>
      <c r="K59" s="1"/>
      <c r="L59" s="82"/>
    </row>
    <row r="60" spans="1:12" ht="24" customHeight="1" x14ac:dyDescent="0.35">
      <c r="A60" s="82"/>
      <c r="B60" s="1"/>
      <c r="C60" s="1"/>
      <c r="D60" s="1"/>
      <c r="E60" s="1"/>
      <c r="F60" s="82"/>
      <c r="G60" s="1"/>
      <c r="H60" s="82"/>
      <c r="I60" s="1"/>
      <c r="J60" s="82"/>
      <c r="K60" s="1"/>
      <c r="L60" s="82"/>
    </row>
    <row r="61" spans="1:12" ht="24" customHeight="1" x14ac:dyDescent="0.35">
      <c r="A61" s="1"/>
      <c r="B61" s="1"/>
      <c r="C61" s="1"/>
      <c r="D61" s="1"/>
      <c r="E61" s="1"/>
      <c r="F61" s="82"/>
      <c r="G61" s="1"/>
      <c r="H61" s="82"/>
      <c r="I61" s="1"/>
      <c r="J61" s="82"/>
      <c r="K61" s="1"/>
      <c r="L61" s="82"/>
    </row>
    <row r="62" spans="1:12" ht="24" customHeight="1" x14ac:dyDescent="0.35">
      <c r="D62" s="1"/>
      <c r="E62" s="1"/>
      <c r="F62" s="82"/>
      <c r="G62" s="1"/>
      <c r="H62" s="82"/>
      <c r="I62" s="1"/>
      <c r="J62" s="82"/>
      <c r="K62" s="1"/>
      <c r="L62" s="82"/>
    </row>
    <row r="63" spans="1:12" ht="24" customHeight="1" x14ac:dyDescent="0.35">
      <c r="D63" s="1"/>
      <c r="E63" s="1"/>
      <c r="F63" s="82"/>
      <c r="G63" s="1"/>
      <c r="H63" s="82"/>
      <c r="I63" s="1"/>
      <c r="J63" s="82"/>
      <c r="K63" s="1"/>
      <c r="L63" s="82"/>
    </row>
    <row r="64" spans="1:12" ht="24" customHeight="1" x14ac:dyDescent="0.35">
      <c r="D64" s="1"/>
      <c r="E64" s="1"/>
      <c r="F64" s="82"/>
      <c r="G64" s="1"/>
      <c r="H64" s="82"/>
      <c r="I64" s="1"/>
      <c r="J64" s="82"/>
      <c r="K64" s="1"/>
      <c r="L64" s="82"/>
    </row>
    <row r="65" spans="4:12" ht="24" customHeight="1" x14ac:dyDescent="0.35">
      <c r="D65" s="1"/>
      <c r="E65" s="1"/>
      <c r="F65" s="82"/>
      <c r="G65" s="1"/>
      <c r="H65" s="82"/>
      <c r="I65" s="1"/>
      <c r="J65" s="82"/>
      <c r="K65" s="1"/>
      <c r="L65" s="82"/>
    </row>
    <row r="66" spans="4:12" ht="24" customHeight="1" x14ac:dyDescent="0.35">
      <c r="D66" s="1"/>
      <c r="E66" s="1"/>
      <c r="F66" s="82"/>
      <c r="G66" s="1"/>
      <c r="H66" s="82"/>
      <c r="I66" s="1"/>
      <c r="J66" s="82"/>
      <c r="K66" s="1"/>
      <c r="L66" s="82"/>
    </row>
  </sheetData>
  <mergeCells count="3">
    <mergeCell ref="A3:D3"/>
    <mergeCell ref="H3:K3"/>
    <mergeCell ref="E3:G3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25"/>
  <sheetViews>
    <sheetView showGridLines="0" zoomScale="90" zoomScaleNormal="90" workbookViewId="0"/>
  </sheetViews>
  <sheetFormatPr defaultColWidth="8.7265625" defaultRowHeight="16" x14ac:dyDescent="0.4"/>
  <cols>
    <col min="1" max="1" width="14.54296875" style="139" customWidth="1"/>
    <col min="2" max="2" width="32.54296875" style="139" bestFit="1" customWidth="1"/>
    <col min="3" max="16384" width="8.7265625" style="139"/>
  </cols>
  <sheetData>
    <row r="1" spans="1:5" x14ac:dyDescent="0.4">
      <c r="A1" s="143" t="s">
        <v>69</v>
      </c>
      <c r="B1" s="143" t="s">
        <v>70</v>
      </c>
    </row>
    <row r="2" spans="1:5" x14ac:dyDescent="0.4">
      <c r="A2" s="143" t="s">
        <v>71</v>
      </c>
      <c r="B2" s="143" t="s">
        <v>72</v>
      </c>
    </row>
    <row r="3" spans="1:5" x14ac:dyDescent="0.4">
      <c r="A3" s="143" t="s">
        <v>73</v>
      </c>
      <c r="B3" s="143" t="s">
        <v>74</v>
      </c>
    </row>
    <row r="4" spans="1:5" x14ac:dyDescent="0.4">
      <c r="A4" s="143" t="s">
        <v>75</v>
      </c>
      <c r="B4" s="143" t="s">
        <v>76</v>
      </c>
    </row>
    <row r="5" spans="1:5" x14ac:dyDescent="0.4">
      <c r="A5" s="143" t="s">
        <v>77</v>
      </c>
      <c r="B5" s="143" t="s">
        <v>76</v>
      </c>
    </row>
    <row r="7" spans="1:5" x14ac:dyDescent="0.4">
      <c r="A7" s="140" t="s">
        <v>78</v>
      </c>
      <c r="B7" s="141"/>
      <c r="C7" s="141"/>
      <c r="D7" s="141"/>
      <c r="E7" s="141"/>
    </row>
    <row r="8" spans="1:5" x14ac:dyDescent="0.4">
      <c r="A8" s="140" t="s">
        <v>79</v>
      </c>
      <c r="B8" s="141"/>
      <c r="C8" s="141"/>
      <c r="D8" s="141"/>
      <c r="E8" s="141"/>
    </row>
    <row r="9" spans="1:5" x14ac:dyDescent="0.4">
      <c r="A9" s="5" t="s">
        <v>80</v>
      </c>
      <c r="B9" s="141"/>
      <c r="C9" s="141"/>
      <c r="D9" s="141"/>
      <c r="E9" s="141"/>
    </row>
    <row r="10" spans="1:5" x14ac:dyDescent="0.4">
      <c r="A10" s="5" t="s">
        <v>81</v>
      </c>
      <c r="B10" s="141"/>
      <c r="C10" s="141"/>
      <c r="D10" s="141"/>
      <c r="E10" s="141"/>
    </row>
    <row r="11" spans="1:5" x14ac:dyDescent="0.4">
      <c r="A11" s="5" t="s">
        <v>82</v>
      </c>
      <c r="B11" s="141"/>
      <c r="C11" s="141"/>
      <c r="D11" s="141"/>
      <c r="E11" s="141"/>
    </row>
    <row r="12" spans="1:5" x14ac:dyDescent="0.4">
      <c r="A12" s="5" t="s">
        <v>83</v>
      </c>
      <c r="B12" s="141"/>
      <c r="C12" s="141"/>
      <c r="D12" s="141"/>
      <c r="E12" s="141"/>
    </row>
    <row r="13" spans="1:5" x14ac:dyDescent="0.4">
      <c r="A13" s="5" t="s">
        <v>84</v>
      </c>
      <c r="B13" s="141"/>
      <c r="C13" s="141"/>
      <c r="D13" s="141"/>
      <c r="E13" s="141"/>
    </row>
    <row r="14" spans="1:5" x14ac:dyDescent="0.4">
      <c r="A14" s="5" t="s">
        <v>85</v>
      </c>
      <c r="B14" s="141"/>
      <c r="C14" s="141"/>
      <c r="D14" s="141"/>
      <c r="E14" s="141"/>
    </row>
    <row r="15" spans="1:5" x14ac:dyDescent="0.4">
      <c r="A15" s="5" t="s">
        <v>86</v>
      </c>
      <c r="B15" s="141"/>
      <c r="C15" s="141"/>
      <c r="D15" s="141"/>
      <c r="E15" s="141"/>
    </row>
    <row r="16" spans="1:5" x14ac:dyDescent="0.4">
      <c r="A16" s="5" t="s">
        <v>87</v>
      </c>
      <c r="B16" s="141"/>
      <c r="C16" s="141"/>
      <c r="D16" s="141"/>
      <c r="E16" s="141"/>
    </row>
    <row r="17" spans="1:5" x14ac:dyDescent="0.4">
      <c r="A17" s="5" t="s">
        <v>88</v>
      </c>
      <c r="B17" s="141"/>
      <c r="C17" s="141"/>
      <c r="D17" s="141"/>
      <c r="E17" s="141"/>
    </row>
    <row r="18" spans="1:5" x14ac:dyDescent="0.4">
      <c r="A18" s="5" t="s">
        <v>89</v>
      </c>
      <c r="B18" s="141"/>
      <c r="C18" s="141"/>
      <c r="D18" s="141"/>
      <c r="E18" s="141"/>
    </row>
    <row r="19" spans="1:5" x14ac:dyDescent="0.4">
      <c r="A19" s="5" t="s">
        <v>90</v>
      </c>
      <c r="B19" s="141"/>
      <c r="C19" s="141"/>
      <c r="D19" s="141"/>
      <c r="E19" s="141"/>
    </row>
    <row r="20" spans="1:5" x14ac:dyDescent="0.4">
      <c r="A20" s="5" t="s">
        <v>91</v>
      </c>
      <c r="B20" s="141"/>
      <c r="C20" s="141"/>
      <c r="D20" s="141"/>
      <c r="E20" s="141"/>
    </row>
    <row r="21" spans="1:5" x14ac:dyDescent="0.4">
      <c r="A21" s="5" t="s">
        <v>92</v>
      </c>
      <c r="B21" s="141"/>
      <c r="C21" s="141"/>
      <c r="D21" s="141"/>
      <c r="E21" s="141"/>
    </row>
    <row r="22" spans="1:5" x14ac:dyDescent="0.4">
      <c r="A22" s="5" t="s">
        <v>93</v>
      </c>
      <c r="B22" s="141"/>
      <c r="C22" s="141"/>
      <c r="D22" s="141"/>
      <c r="E22" s="141"/>
    </row>
    <row r="23" spans="1:5" x14ac:dyDescent="0.4">
      <c r="A23" s="5" t="s">
        <v>94</v>
      </c>
      <c r="B23" s="141"/>
      <c r="C23" s="141"/>
      <c r="D23" s="141"/>
      <c r="E23" s="141"/>
    </row>
    <row r="24" spans="1:5" x14ac:dyDescent="0.4">
      <c r="A24" s="5" t="s">
        <v>95</v>
      </c>
      <c r="B24" s="141"/>
      <c r="C24" s="141"/>
      <c r="D24" s="141"/>
      <c r="E24" s="141"/>
    </row>
    <row r="25" spans="1:5" x14ac:dyDescent="0.4">
      <c r="A25" s="142" t="s">
        <v>96</v>
      </c>
      <c r="B25" s="141"/>
      <c r="C25" s="141"/>
      <c r="D25" s="141"/>
      <c r="E25" s="141"/>
    </row>
  </sheetData>
  <sheetProtection algorithmName="SHA-512" hashValue="WRT3wKBiU6hdvSZ/gaDHPTByGlAYg8TXY07NWJcAxssXVlXWSjqzojOpQpFr7biuh7XFZg/spEmsknQ3Y1YG7g==" saltValue="Yx8+G7LxPwtNDecKW2dW2w==" spinCount="100000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EY Collaboration Document" ma:contentTypeID="0x010100826318CDA76982469C2C3CD2CD5847410101007CA2490DD1BAB440AD0483BFB6F22023" ma:contentTypeVersion="35" ma:contentTypeDescription="Create a new document." ma:contentTypeScope="" ma:versionID="16d58f7c1e2e26eb382506c191d7c14e">
  <xsd:schema xmlns:xsd="http://www.w3.org/2001/XMLSchema" xmlns:xs="http://www.w3.org/2001/XMLSchema" xmlns:p="http://schemas.microsoft.com/office/2006/metadata/properties" xmlns:ns1="http://schemas.microsoft.com/sharepoint/v3" xmlns:ns2="50c908b1-f277-4340-90a9-4611d0b0f078" xmlns:ns4="35818088-e62d-4edf-bbb6-409430aef268" xmlns:ns5="0f2ac2f4-936f-455c-948d-0e7f7cd1a2c9" xmlns:ns6="http://schemas.microsoft.com/sharepoint/v4" targetNamespace="http://schemas.microsoft.com/office/2006/metadata/properties" ma:root="true" ma:fieldsID="479a75f0cc25b4deb1e83a3336a95b14" ns1:_="" ns2:_="" ns4:_="" ns5:_="" ns6:_="">
    <xsd:import namespace="http://schemas.microsoft.com/sharepoint/v3"/>
    <xsd:import namespace="50c908b1-f277-4340-90a9-4611d0b0f078"/>
    <xsd:import namespace="35818088-e62d-4edf-bbb6-409430aef268"/>
    <xsd:import namespace="0f2ac2f4-936f-455c-948d-0e7f7cd1a2c9"/>
    <xsd:import namespace="http://schemas.microsoft.com/sharepoint/v4"/>
    <xsd:element name="properties">
      <xsd:complexType>
        <xsd:sequence>
          <xsd:element name="documentManagement">
            <xsd:complexType>
              <xsd:all>
                <xsd:element ref="ns2:i14ea8bbd518495ea0e20ac1ad18c527" minOccurs="0"/>
                <xsd:element ref="ns2:TaxCatchAll" minOccurs="0"/>
                <xsd:element ref="ns2:TaxCatchAllLabel" minOccurs="0"/>
                <xsd:element ref="ns2:k8128b1c45734e36a24fce652bc7ffb7" minOccurs="0"/>
                <xsd:element ref="ns2:jc981bd8ab5b47fd91abb7684c0f405b" minOccurs="0"/>
                <xsd:element ref="ns2:b4187e12891e46deb4d240a4b28bdb90" minOccurs="0"/>
                <xsd:element ref="ns2:e0e024ccac5240e69ae9c38a41bfa7a5" minOccurs="0"/>
                <xsd:element ref="ns1:RatingCount" minOccurs="0"/>
                <xsd:element ref="ns1:AverageRating" minOccurs="0"/>
                <xsd:element ref="ns4:ClassificationDataNoteField" minOccurs="0"/>
                <xsd:element ref="ns4:Classification_x0020_Status" minOccurs="0"/>
                <xsd:element ref="ns5:_dlc_DocId" minOccurs="0"/>
                <xsd:element ref="ns5:_dlc_DocIdUrl" minOccurs="0"/>
                <xsd:element ref="ns5:_dlc_DocIdPersistId" minOccurs="0"/>
                <xsd:element ref="ns1:RatedBy" minOccurs="0"/>
                <xsd:element ref="ns1:Ratings" minOccurs="0"/>
                <xsd:element ref="ns1:LikedBy" minOccurs="0"/>
                <xsd:element ref="ns1:LikesCount" minOccurs="0"/>
                <xsd:element ref="ns6:IconOverlay" minOccurs="0"/>
                <xsd:element ref="ns5:SharedWithUsers" minOccurs="0"/>
                <xsd:element ref="ns5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RatingCount" ma:index="22" nillable="true" ma:displayName="Number of Ratings" ma:decimals="0" ma:description="Number of ratings submitted" ma:internalName="RatingCount" ma:readOnly="true">
      <xsd:simpleType>
        <xsd:restriction base="dms:Number"/>
      </xsd:simpleType>
    </xsd:element>
    <xsd:element name="AverageRating" ma:index="23" nillable="true" ma:displayName="Rating (0-5)" ma:decimals="2" ma:description="Average value of all the ratings that have been submitted" ma:internalName="AverageRating" ma:readOnly="true">
      <xsd:simpleType>
        <xsd:restriction base="dms:Number"/>
      </xsd:simpleType>
    </xsd:element>
    <xsd:element name="RatedBy" ma:index="29" nillable="true" ma:displayName="Rated By" ma:description="Users rated the item." ma:hidden="true" ma:list="UserInfo" ma:internalName="RatedBy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Ratings" ma:index="30" nillable="true" ma:displayName="User ratings" ma:description="User ratings for the item" ma:hidden="true" ma:internalName="Ratings">
      <xsd:simpleType>
        <xsd:restriction base="dms:Note"/>
      </xsd:simpleType>
    </xsd:element>
    <xsd:element name="LikedBy" ma:index="31" nillable="true" ma:displayName="Liked By" ma:hidden="true" ma:list="UserInfo" ma:internalName="LikedBy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LikesCount" ma:index="32" nillable="true" ma:displayName="Number of Likes" ma:internalName="LikesCount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c908b1-f277-4340-90a9-4611d0b0f078" elementFormDefault="qualified">
    <xsd:import namespace="http://schemas.microsoft.com/office/2006/documentManagement/types"/>
    <xsd:import namespace="http://schemas.microsoft.com/office/infopath/2007/PartnerControls"/>
    <xsd:element name="i14ea8bbd518495ea0e20ac1ad18c527" ma:index="8" nillable="true" ma:taxonomy="true" ma:internalName="i14ea8bbd518495ea0e20ac1ad18c527" ma:taxonomyFieldName="EYContentType" ma:displayName="EY Content Type" ma:default="" ma:fieldId="{214ea8bb-d518-495e-a0e2-0ac1ad18c527}" ma:sspId="33ef62f9-2e07-484b-bd79-00aec90129fe" ma:termSetId="6505b3fe-eead-400a-9754-f8a94624a621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CatchAll" ma:index="9" nillable="true" ma:displayName="Taxonomy Catch All Column" ma:description="" ma:hidden="true" ma:list="{2d71121b-d15c-4654-94e0-d5a42f16da64}" ma:internalName="TaxCatchAll" ma:showField="CatchAllData" ma:web="0f2ac2f4-936f-455c-948d-0e7f7cd1a2c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Taxonomy Catch All Column1" ma:description="" ma:hidden="true" ma:list="{2d71121b-d15c-4654-94e0-d5a42f16da64}" ma:internalName="TaxCatchAllLabel" ma:readOnly="true" ma:showField="CatchAllDataLabel" ma:web="0f2ac2f4-936f-455c-948d-0e7f7cd1a2c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k8128b1c45734e36a24fce652bc7ffb7" ma:index="12" nillable="true" ma:taxonomy="true" ma:internalName="k8128b1c45734e36a24fce652bc7ffb7" ma:taxonomyFieldName="ServiceLineFunction" ma:displayName="Service Line / Function" ma:default="" ma:fieldId="{48128b1c-4573-4e36-a24f-ce652bc7ffb7}" ma:taxonomyMulti="true" ma:sspId="33ef62f9-2e07-484b-bd79-00aec90129fe" ma:termSetId="a54bfafd-6ceb-41d3-a4cd-e00da9f478ef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jc981bd8ab5b47fd91abb7684c0f405b" ma:index="14" nillable="true" ma:taxonomy="true" ma:internalName="jc981bd8ab5b47fd91abb7684c0f405b" ma:taxonomyFieldName="GeographicApplicability" ma:displayName="Geographic Applicability" ma:default="" ma:fieldId="{3c981bd8-ab5b-47fd-91ab-b7684c0f405b}" ma:taxonomyMulti="true" ma:sspId="33ef62f9-2e07-484b-bd79-00aec90129fe" ma:termSetId="d4205efd-bf5c-4aee-a8ac-d84b5a7eb933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b4187e12891e46deb4d240a4b28bdb90" ma:index="16" nillable="true" ma:taxonomy="true" ma:internalName="b4187e12891e46deb4d240a4b28bdb90" ma:taxonomyFieldName="ContentLanguage" ma:displayName="Content Language" ma:default="" ma:fieldId="{b4187e12-891e-46de-b4d2-40a4b28bdb90}" ma:taxonomyMulti="true" ma:sspId="33ef62f9-2e07-484b-bd79-00aec90129fe" ma:termSetId="de7f4a9f-9315-4ba0-93d7-d7d3ca1129ab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e0e024ccac5240e69ae9c38a41bfa7a5" ma:index="18" nillable="true" ma:taxonomy="true" ma:internalName="e0e024ccac5240e69ae9c38a41bfa7a5" ma:taxonomyFieldName="Sector" ma:displayName="Sector" ma:default="" ma:fieldId="{e0e024cc-ac52-40e6-9ae9-c38a41bfa7a5}" ma:taxonomyMulti="true" ma:sspId="33ef62f9-2e07-484b-bd79-00aec90129fe" ma:termSetId="a2f97da7-e69b-4e00-a045-c556c68352c3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5818088-e62d-4edf-bbb6-409430aef268" elementFormDefault="qualified">
    <xsd:import namespace="http://schemas.microsoft.com/office/2006/documentManagement/types"/>
    <xsd:import namespace="http://schemas.microsoft.com/office/infopath/2007/PartnerControls"/>
    <xsd:element name="ClassificationDataNoteField" ma:index="24" nillable="true" ma:displayName="ClassificationDataNoteField" ma:internalName="ClassificationDataNoteField" ma:readOnly="true">
      <xsd:simpleType>
        <xsd:restriction base="dms:Note"/>
      </xsd:simpleType>
    </xsd:element>
    <xsd:element name="Classification_x0020_Status" ma:index="25" nillable="true" ma:displayName="Classification Status" ma:internalName="Classification_x0020_Status" ma:readOnly="fals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2ac2f4-936f-455c-948d-0e7f7cd1a2c9" elementFormDefault="qualified">
    <xsd:import namespace="http://schemas.microsoft.com/office/2006/documentManagement/types"/>
    <xsd:import namespace="http://schemas.microsoft.com/office/infopath/2007/PartnerControls"/>
    <xsd:element name="_dlc_DocId" ma:index="26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27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28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SharedWithUsers" ma:index="3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3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IconOverlay" ma:index="33" nillable="true" ma:displayName="IconOverlay" ma:hidden="true" ma:internalName="IconOverlay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 ma:index="20" ma:displayName="Author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 ma:index="21" ma:displayName="Keywords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haredContentType xmlns="Microsoft.SharePoint.Taxonomy.ContentTypeSync" SourceId="9cc9f4e4-efc4-4954-9a3a-92fa8d4fa5d0" ContentTypeId="0x010100826318CDA76982469C2C3CD2CD5847410101" PreviousValue="false"/>
</file>

<file path=customXml/item3.xml><?xml version="1.0" encoding="utf-8"?>
<?mso-contentType ?>
<spe:Receivers xmlns:spe="http://schemas.microsoft.com/sharepoint/events">
  <Receiver xmlns=""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 xmlns=""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 xmlns=""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 xmlns=""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ikesCount xmlns="http://schemas.microsoft.com/sharepoint/v3" xsi:nil="true"/>
    <IconOverlay xmlns="http://schemas.microsoft.com/sharepoint/v4" xsi:nil="true"/>
    <Ratings xmlns="http://schemas.microsoft.com/sharepoint/v3" xsi:nil="true"/>
    <LikedBy xmlns="http://schemas.microsoft.com/sharepoint/v3">
      <UserInfo>
        <DisplayName/>
        <AccountId xsi:nil="true"/>
        <AccountType/>
      </UserInfo>
    </LikedBy>
    <Classification_x0020_Status xmlns="35818088-e62d-4edf-bbb6-409430aef268" xsi:nil="true"/>
    <RatedBy xmlns="http://schemas.microsoft.com/sharepoint/v3">
      <UserInfo>
        <DisplayName/>
        <AccountId xsi:nil="true"/>
        <AccountType/>
      </UserInfo>
    </RatedBy>
    <k8128b1c45734e36a24fce652bc7ffb7 xmlns="50c908b1-f277-4340-90a9-4611d0b0f078">
      <Terms xmlns="http://schemas.microsoft.com/office/infopath/2007/PartnerControls"/>
    </k8128b1c45734e36a24fce652bc7ffb7>
    <e0e024ccac5240e69ae9c38a41bfa7a5 xmlns="50c908b1-f277-4340-90a9-4611d0b0f078">
      <Terms xmlns="http://schemas.microsoft.com/office/infopath/2007/PartnerControls"/>
    </e0e024ccac5240e69ae9c38a41bfa7a5>
    <TaxCatchAll xmlns="50c908b1-f277-4340-90a9-4611d0b0f078"/>
    <b4187e12891e46deb4d240a4b28bdb90 xmlns="50c908b1-f277-4340-90a9-4611d0b0f078">
      <Terms xmlns="http://schemas.microsoft.com/office/infopath/2007/PartnerControls"/>
    </b4187e12891e46deb4d240a4b28bdb90>
    <jc981bd8ab5b47fd91abb7684c0f405b xmlns="50c908b1-f277-4340-90a9-4611d0b0f078">
      <Terms xmlns="http://schemas.microsoft.com/office/infopath/2007/PartnerControls"/>
    </jc981bd8ab5b47fd91abb7684c0f405b>
    <i14ea8bbd518495ea0e20ac1ad18c527 xmlns="50c908b1-f277-4340-90a9-4611d0b0f078">
      <Terms xmlns="http://schemas.microsoft.com/office/infopath/2007/PartnerControls"/>
    </i14ea8bbd518495ea0e20ac1ad18c527>
    <_dlc_DocId xmlns="0f2ac2f4-936f-455c-948d-0e7f7cd1a2c9">7TKQ4TYH5733-226694533-916</_dlc_DocId>
    <_dlc_DocIdUrl xmlns="0f2ac2f4-936f-455c-948d-0e7f7cd1a2c9">
      <Url>https://sites.ey.com/sites/EYBlockchainGlobal/_layouts/15/DocIdRedir.aspx?ID=7TKQ4TYH5733-226694533-916</Url>
      <Description>7TKQ4TYH5733-226694533-916</Description>
    </_dlc_DocIdUrl>
  </documentManagement>
</p:properties>
</file>

<file path=customXml/item5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79F7132-F4B4-4D83-A3A1-88D7BC73D2F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50c908b1-f277-4340-90a9-4611d0b0f078"/>
    <ds:schemaRef ds:uri="35818088-e62d-4edf-bbb6-409430aef268"/>
    <ds:schemaRef ds:uri="0f2ac2f4-936f-455c-948d-0e7f7cd1a2c9"/>
    <ds:schemaRef ds:uri="http://schemas.microsoft.com/sharepoint/v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98448E7-31D5-43D3-AB5F-52EFDE355266}">
  <ds:schemaRefs>
    <ds:schemaRef ds:uri="Microsoft.SharePoint.Taxonomy.ContentTypeSync"/>
  </ds:schemaRefs>
</ds:datastoreItem>
</file>

<file path=customXml/itemProps3.xml><?xml version="1.0" encoding="utf-8"?>
<ds:datastoreItem xmlns:ds="http://schemas.openxmlformats.org/officeDocument/2006/customXml" ds:itemID="{5C904C22-0243-443A-B06A-82E4EC6C5D46}">
  <ds:schemaRefs>
    <ds:schemaRef ds:uri="http://schemas.microsoft.com/sharepoint/events"/>
    <ds:schemaRef ds:uri=""/>
  </ds:schemaRefs>
</ds:datastoreItem>
</file>

<file path=customXml/itemProps4.xml><?xml version="1.0" encoding="utf-8"?>
<ds:datastoreItem xmlns:ds="http://schemas.openxmlformats.org/officeDocument/2006/customXml" ds:itemID="{B7A9E3DF-7C31-416D-B2FA-69A1564EB314}">
  <ds:schemaRefs>
    <ds:schemaRef ds:uri="http://schemas.microsoft.com/office/2006/documentManagement/types"/>
    <ds:schemaRef ds:uri="http://purl.org/dc/dcmitype/"/>
    <ds:schemaRef ds:uri="0f2ac2f4-936f-455c-948d-0e7f7cd1a2c9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schemas.microsoft.com/sharepoint/v3"/>
    <ds:schemaRef ds:uri="http://schemas.microsoft.com/office/infopath/2007/PartnerControls"/>
    <ds:schemaRef ds:uri="http://purl.org/dc/terms/"/>
    <ds:schemaRef ds:uri="http://schemas.microsoft.com/sharepoint/v4"/>
    <ds:schemaRef ds:uri="35818088-e62d-4edf-bbb6-409430aef268"/>
    <ds:schemaRef ds:uri="50c908b1-f277-4340-90a9-4611d0b0f078"/>
    <ds:schemaRef ds:uri="http://www.w3.org/XML/1998/namespace"/>
  </ds:schemaRefs>
</ds:datastoreItem>
</file>

<file path=customXml/itemProps5.xml><?xml version="1.0" encoding="utf-8"?>
<ds:datastoreItem xmlns:ds="http://schemas.openxmlformats.org/officeDocument/2006/customXml" ds:itemID="{42C4B09C-3331-4D1F-A6E7-66F7EC3B0103}">
  <ds:schemaRefs>
    <ds:schemaRef ds:uri="http://schemas.microsoft.com/sharepoint/v3/contenttype/forms"/>
  </ds:schemaRefs>
</ds:datastoreItem>
</file>

<file path=docProps/CustomMKOP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KProdID">
    <vt:lpwstr>ZMOutlook</vt:lpwstr>
  </property>
  <property fmtid="{D5CDD505-2E9C-101B-9397-08002B2CF9AE}" pid="3" name="SizeBefore">
    <vt:lpwstr>78803</vt:lpwstr>
  </property>
  <property fmtid="{D5CDD505-2E9C-101B-9397-08002B2CF9AE}" pid="4" name="OptimizationTime">
    <vt:lpwstr>20190716_1647</vt:lpwstr>
  </property>
</Properties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Summary</vt:lpstr>
      <vt:lpstr>PrivateBC_Model</vt:lpstr>
      <vt:lpstr>ZKP_Model</vt:lpstr>
      <vt:lpstr>Sensitivity Table</vt:lpstr>
      <vt:lpstr>Underlying</vt:lpstr>
      <vt:lpstr>Disclaimer</vt:lpstr>
      <vt:lpstr>ZKP_Model!full_nodes</vt:lpstr>
      <vt:lpstr>full_nodes</vt:lpstr>
    </vt:vector>
  </TitlesOfParts>
  <Manager/>
  <Company>EY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John T Frechette</dc:creator>
  <cp:keywords/>
  <dc:description/>
  <cp:lastModifiedBy>John T Frechette</cp:lastModifiedBy>
  <cp:revision/>
  <dcterms:created xsi:type="dcterms:W3CDTF">2017-10-31T03:31:32Z</dcterms:created>
  <dcterms:modified xsi:type="dcterms:W3CDTF">2019-07-16T20:45:40Z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0x010100826318CDA76982469C2C3CD2CD5847410101007CA2490DD1BAB440AD0483BFB6F22023</vt:lpwstr>
  </property>
  <property fmtid="{D5CDD505-2E9C-101B-9397-08002B2CF9AE}" pid="3" name="_dlc_DocIdItemGuid">
    <vt:lpwstr>e044e568-faa2-45d5-8cd2-5c32bf55735e</vt:lpwstr>
  </property>
  <property fmtid="{D5CDD505-2E9C-101B-9397-08002B2CF9AE}" pid="4" name="GeographicApplicability">
    <vt:lpwstr/>
  </property>
  <property fmtid="{D5CDD505-2E9C-101B-9397-08002B2CF9AE}" pid="5" name="Sector">
    <vt:lpwstr/>
  </property>
  <property fmtid="{D5CDD505-2E9C-101B-9397-08002B2CF9AE}" pid="6" name="ServiceLineFunction">
    <vt:lpwstr/>
  </property>
  <property fmtid="{D5CDD505-2E9C-101B-9397-08002B2CF9AE}" pid="7" name="EYContentType">
    <vt:lpwstr/>
  </property>
  <property fmtid="{D5CDD505-2E9C-101B-9397-08002B2CF9AE}" pid="8" name="ContentLanguage">
    <vt:lpwstr/>
  </property>
</Properties>
</file>