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i_Hat. " sheetId="1" r:id="rId1"/>
  </sheets>
  <definedNames>
    <definedName name="arrow_part_data">'RPi_Hat. '!$H$5:$L$26</definedName>
    <definedName name="BoardQty">'RPi_Hat. '!$G$1</definedName>
    <definedName name="digikey_part_data">'RPi_Hat. '!$M$5:$Q$26</definedName>
    <definedName name="farnell_part_data">'RPi_Hat. '!$R$5:$V$26</definedName>
    <definedName name="global_part_data">'RPi_Hat. '!$A$5:$G$26</definedName>
    <definedName name="lcsc_part_data">'RPi_Hat. '!$W$5:$AA$26</definedName>
    <definedName name="mouser_part_data">'RPi_Hat. '!$AB$5:$AF$26</definedName>
    <definedName name="newark_part_data">'RPi_Hat. '!$AG$5:$AK$26</definedName>
    <definedName name="PURCHASE_DESCRIPTION">'RPi_Hat. '!$G$29</definedName>
    <definedName name="rs_part_data">'RPi_Hat. '!$AL$5:$AP$26</definedName>
    <definedName name="tme_part_data">'RPi_Hat. '!$AQ$5:$AU$26</definedName>
    <definedName name="TotalCost">'RPi_Hat. '!$G$3</definedName>
    <definedName name="USD_GBP">'RPi_Hat. '!$C$29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$0.08      $0.85
    50   $0.05      $2.32
   100   $0.04      $3.79
   500   $0.03     $13.54
  1000   $0.02     $21.28
  2000   $0.02     $38.70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£0.09      £0.47
    50   £0.04      £2.02
   150   £0.04      £6.06
   250   £0.03      £8.40
   500   £0.03     £13.40
  1000   £0.02     £19.70
  2000   £0.02     £43.00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$0.65
   500   $0.01      $4.95
  1500   $0.01     $13.80
  5000   $0.01     $41.00
 25000   $0.01    $192.50
 50000   $0.01    $385.00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$0.46
    50   $0.05      $2.30
   100   $0.04      $3.80
  1000   $0.02     $21.00
 10000   $0.01    $130.00</t>
        </r>
      </text>
    </comment>
    <comment ref="AI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$1.05
    25   $0.08      $2.02
    50   $0.06      $2.80
   100   $0.05      $4.60
  2000   $0.02     $48.00</t>
        </r>
      </text>
    </comment>
    <comment ref="AS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£2.47
   300   £0.02      £5.33
  1000   £0.01     £12.04
  2000   £0.01     £20.98
  6000   £0.01     £60.30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$0.76
    50   $0.04      $2.07
   100   $0.03      $3.38
   500   $0.02     $12.08
  1000   $0.02     $18.98
  4000   $0.02     $63.48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1 £131.73    £131.73
     3 £128.70    £386.10
     5 £122.90    £614.50
    10   £0.06      £0.62
   100   £0.04      £4.17
   150   £0.04      £6.26
   500   £0.03     £15.70
  1000   £0.03     £26.80
  2000   £0.02     £46.80
  4000   £0.02     £91.60
 20000   £0.02    £318.00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$0.04      $2.00
   100   $0.03      $3.30
  1000   $0.02     $19.00
 10000   $0.02    $150.00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$0.15      $1.47
    25   $0.02      $0.55
    50   $0.02      $1.10
   100   $0.02      $2.20
   250   $0.02      $5.00
   500   $0.02      $9.50
  1000   $0.03     $30.00
  4000   $0.02     $84.00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£0.04      £2.05
   250   £0.04      £9.50
   500   £0.03     £17.00
  1000   £0.03     £30.00
  2000   £0.02     £50.00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£1.97
  1000   £0.01     £14.29
  4000   £0.01     £49.92
 12000   £0.01    £145.56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$2.03
   100   $0.14     $14.05
   500   $0.12     $59.44
  1000   $0.10     $97.26
  5000   $0.09    $432.30
 10000   $0.08    $783.50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£0.09      £9.00
   500   £0.08     £42.00
  1000   £0.08     £78.00
  2500   £0.07    £180.00
  5000   £0.07    £327.50
 10000   £0.06    £590.00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 50   $0.15      $7.50
   100   $0.12     $11.80
  1000   $0.10     $96.00
 10000   $0.08    $770.00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$1.46
    25   $0.14      $3.38
    50   $0.12      $6.25
   100   $0.11     $11.40
   250   $0.11     $26.75
  1000   $0.11    $107.00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$2.38      $2.38
    10   $2.16     $21.56
    80   $1.85    $147.87
   440   $1.54    $677.75
  1000   $1.32  $1,320.30
  5000   $1.17  $5,868.00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100   $0.04      $4.31
   500   $0.04     $17.82
  1000   $0.03     $31.18
  5000   $0.03    $133.60
 10000   $0.03    $259.80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$0.23      $2.27
   100   $0.16     $15.76
   500   $0.13     $66.66
  1000   $0.11    $109.08
  5000   $0.10    $484.80
 10000   $0.09    $878.70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$0.32      $3.18
   100   $0.22     $22.27
   500   $0.19     $95.44
  1000   $0.16    $159.08
  5000   $0.14    $681.75
 10000   $0.13  $1,272.60</t>
        </r>
      </text>
    </comment>
    <comment ref="O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$1.58      $1.58
    10   $1.44     $14.35
   100   $1.23    $123.02
   500   $1.03    $512.58
  1000   $0.88    $878.70
  5000   $0.78  $3,895.55
 10000   $0.76  $7,615.40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£1.02      £1.02
    10   £0.89      £8.92
   100   £0.77     £77.00
   500   £0.63    £315.00
  1000   £0.56    £561.00
  2500   £0.54  £1,357.50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$1.33      $1.33
    10   $1.17     $11.70
    50   $1.17     $58.50
   100   $1.01    $101.00
  1000   $0.74    $736.00
 10000   $0.61  $6,110.00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$1.14      $1.14
    10   $0.97      $9.70
    25   $0.94     $23.58
   100   $0.79     $78.60
   500   $0.71    $353.50
  1000   $0.63    $628.00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£0.49    £493.00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$0.63
   100   $0.03      $2.54
  1000   $0.01     $11.43
  2500   $0.01     $24.80
  5000   $0.01     $40.95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$0.59
    50   $0.06      $2.95
   100   $0.02      $2.40
  1000   $0.01     $10.00
 10000   $0.01     $60.00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40000   $0.00    $200.00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 25   $0.06      $1.62
    50   $0.05      $2.52
   100   $0.04      $3.60
   250   $0.03      $7.02
   500   $0.02     $11.16
  1000   $0.02     $15.84
  5000   $0.01     $61.20
 10000   $0.01    $109.80
 25000   $0.01    $252.00
 50000   $0.01    $479.00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£0.05    £232.00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$0.58
    50   $0.06      $2.90
   100   $0.02      $2.50
  1000   $0.02     $18.00
 10000   $0.01    $140.00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20000   $0.03    $600.00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100   $0.02      $1.97
  1000   $0.01      $8.83
  2500   $0.01     $19.15
  5000   $0.01     $33.10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£0.38
   100   £0.02      £1.71
   150   £0.02      £2.56
   500   £0.01      £5.75
  1000   £0.01      £5.90
  2500   £0.01     £13.00
  5000   £0.00     £22.00
 25000   £0.00     £87.50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 50   $0.04      $2.10
   100   $0.02      $1.80
  1000   $0.01      $7.00
 10000   $0.00     $50.00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$0.21
    25   $0.02      $0.45
    50   $0.02      $0.80
   100   $0.01      $1.40
 10000   $0.00     $50.00
 20000   $0.00     $80.00
 40000   $0.00    $160.00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$0.76      $7.59
   100   $0.53     $52.90
  1000   $0.31    $312.80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$0.72      $7.15
    50   $0.72     $35.75
   100   $0.53     $52.90
  1000   $0.31    $312.00
 10000   $0.29  $2,870.00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$0.20      $2.04
    25   $0.19      $4.74
    50   $0.19      $9.42
   100   $0.17     $16.74
   250   $0.17     $41.32
   500   $0.16     $81.39
  1000   $0.16    $158.43
  3000   $0.15    $458.31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£0.21      £1.04
    10   £0.19      £1.91
   100   £0.15     £15.30
   150   £0.15     £22.95
   500   £0.15     £73.00
  3000   £0.13    £384.00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$0.16      $1.60
    30   $0.15      $4.54
   100   $0.14     $14.26
   500   $0.14     $69.35
  1000   $0.14    $136.80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$0.19      $1.89
    50   $0.19      $9.45
   100   $0.17     $16.60
  1000   $0.16    $159.00
 10000   $0.15  $1,500.00</t>
        </r>
      </text>
    </comment>
    <comment ref="AI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$0.25      $2.48
   100   $0.20     $20.30
   500   $0.20     $99.00
  3000   $0.14    $414.00
  9000   $0.14  $1,215.00
 24000   $0.13  $3,168.00
 45000   $0.12  $5,310.00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£0.13      £2.68
    40   £0.10      £3.88
   100   £0.09      £8.90
   200   £0.09     £17.40
   500   £0.08     £42.50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$1.50      $1.50
    10   $1.34     $13.38
    25   $1.27     $31.76
   100   $1.04    $104.35
   250   $0.98    $243.85
   500   $0.86    $431.00
  1000   $0.71    $714.76</t>
        </r>
      </text>
    </comment>
    <comment ref="R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£1.21      £1.21
    10   £1.02     £10.20
    25   £0.95     £23.67
    50   £0.88     £43.95
   100   £0.74     £74.10
   250   £0.68    £169.25
   500   £0.61    £306.00
  1000   £0.56    £563.00
  2500   £0.52  £1,287.50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$1.49      $1.49
    10   $1.34     $13.40
    50   $1.27     $63.50
   100   $1.04    $104.00
  1000   $0.68    $680.00
 10000   $0.60  $5,990.00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$1.41     $14.10
   100   $1.29    $129.00
   500   $1.22    $610.00
  1000   $1.16  $1,160.00
  2500   $1.09  $2,725.00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£0.95      £4.74
    25   £0.83     £20.65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10   $1.48     $14.80
    25   $1.40     $35.11
   100   $1.36    $136.14
  2500   $1.31  $3,284.20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£1.45      £1.45
    10   £1.09     £10.90
    50   £1.00     £49.80
   100   £0.90     £90.10
   250   £0.84    £209.75
   500   £0.74    £370.50
  1000   £0.74    £738.00
  2500   £0.74  £1,837.50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10   $1.50     $15.00
    50   $1.42     $71.00
   100   $1.17    $117.00
  1000   $0.96    $959.00
 10000   $0.96  $9,550.00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$1.22     $12.20
    25   $1.12     $28.00
    50   $1.03     $51.50
   100   $0.93     $93.40
  2500   $0.60  $1,505.00
  5000   $0.57  $2,855.00
 10000   $0.55  $5,490.00
 15000   $0.54  $8,145.00
 25000   $0.54 $13,425.00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$18.54
    25   $1.75     $43.72
   100   $1.49    $149.01
   250   $1.40    $349.80
   500   $1.22    $612.15
  1000   $1.01  $1,014.42
  2000   $0.99  $1,980.00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$1.19     $11.87
    30   $1.11     $33.33
   100   $1.04    $103.51
   500   $1.00    $500.45
  1000   $0.98    $984.60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$2.04      $2.04
    10   $1.73     $17.30
    50   $1.73     $86.50
   100   $1.35    $135.00
  1000   $1.01  $1,010.00
 10000   $0.95  $9,520.00</t>
        </r>
      </text>
    </comment>
    <comment ref="AS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£1.85      £1.85
     5   £1.67      £8.35
    25   £1.47     £36.75
   100   £1.33    £133.00</t>
        </r>
      </text>
    </comment>
    <comment ref="F2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29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<sst xmlns="http://schemas.openxmlformats.org/spreadsheetml/2006/main" count="270" uniqueCount="155">
  <si>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</si>
  <si>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</si>
  <si>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</si>
  <si>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</si>
  <si>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</si>
  <si>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</si>
  <si>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</si>
  <si>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</si>
  <si>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C4,C9</t>
  </si>
  <si>
    <t>10u</t>
  </si>
  <si>
    <t>C_0805_2012Metric_Pad1.18x1.45mm_HandSolder</t>
  </si>
  <si>
    <t>CL21A106KOQNNNE</t>
  </si>
  <si>
    <t>C6,C7</t>
  </si>
  <si>
    <t>DNP</t>
  </si>
  <si>
    <t>C1-C3,C5,C8</t>
  </si>
  <si>
    <t>0.1u</t>
  </si>
  <si>
    <t>08055C104KAT2A</t>
  </si>
  <si>
    <t>H1-H4</t>
  </si>
  <si>
    <t>3mm_Mounting_Hole</t>
  </si>
  <si>
    <t>RPi_Hat_Mounting_Hole</t>
  </si>
  <si>
    <t>J1</t>
  </si>
  <si>
    <t>CONN_01X02</t>
  </si>
  <si>
    <t>PinHeader_1x02_P2.54mm_Vertical</t>
  </si>
  <si>
    <t>77311-118-02LF</t>
  </si>
  <si>
    <t>J2</t>
  </si>
  <si>
    <t>RPi_GPIO</t>
  </si>
  <si>
    <t>PinSocket_2x20_P2.54mm_Vertical</t>
  </si>
  <si>
    <t>PPPC202LFBN-RC</t>
  </si>
  <si>
    <t>J3</t>
  </si>
  <si>
    <t>12V in</t>
  </si>
  <si>
    <t>PinHeader_1x02_P2.54mm_Horizontal</t>
  </si>
  <si>
    <t>PH1RB-02-UA</t>
  </si>
  <si>
    <t>J4</t>
  </si>
  <si>
    <t>Conn_02x04_Row_Letter_First</t>
  </si>
  <si>
    <t>PinHeader_2x04_P2.54mm_Horizontal</t>
  </si>
  <si>
    <t>PH2RA-08-UA</t>
  </si>
  <si>
    <t>J5</t>
  </si>
  <si>
    <t>Conn_02x06_Row_Letter_First</t>
  </si>
  <si>
    <t>PinHeader_2x06_P2.54mm_Horizontal</t>
  </si>
  <si>
    <t>PH2RA-12-UA</t>
  </si>
  <si>
    <t>J6</t>
  </si>
  <si>
    <t>TSW-103-08-G-T-RA</t>
  </si>
  <si>
    <t>R1,R10,R11</t>
  </si>
  <si>
    <t>R_0805_2012Metric_Pad1.20x1.40mm_HandSolder</t>
  </si>
  <si>
    <t>R2</t>
  </si>
  <si>
    <t>10K</t>
  </si>
  <si>
    <t>CRCW080510K0FKEAC</t>
  </si>
  <si>
    <t>R3,R4</t>
  </si>
  <si>
    <t>3.9K</t>
  </si>
  <si>
    <t>ERA-6AED392V</t>
  </si>
  <si>
    <t>R12-R15</t>
  </si>
  <si>
    <t>1.8k</t>
  </si>
  <si>
    <t>CRGCQ0805F1K8</t>
  </si>
  <si>
    <t>R5-R9</t>
  </si>
  <si>
    <t>3.8k</t>
  </si>
  <si>
    <t>PAT0805E3791BST1</t>
  </si>
  <si>
    <t>TP1-TP26</t>
  </si>
  <si>
    <t>DIS_EL_TP</t>
  </si>
  <si>
    <t>TestPoint_Pad_D1.0mm</t>
  </si>
  <si>
    <t>U1</t>
  </si>
  <si>
    <t>CAT24C32</t>
  </si>
  <si>
    <t>SOIC-8_3.9x4.9mm_P1.27mm</t>
  </si>
  <si>
    <t>CAT24C32WI-GT3</t>
  </si>
  <si>
    <t>U2</t>
  </si>
  <si>
    <t>TXS0104E</t>
  </si>
  <si>
    <t>TSSOP-14_4.4x5mm_P0.65mm</t>
  </si>
  <si>
    <t>TXS0104ED</t>
  </si>
  <si>
    <t>U3</t>
  </si>
  <si>
    <t>PCA9540BD,118</t>
  </si>
  <si>
    <t>PCA9540BD 118</t>
  </si>
  <si>
    <t>U4</t>
  </si>
  <si>
    <t>TB6612FNG</t>
  </si>
  <si>
    <t>SSOP-24_5.3x8.2mm_P0.65mm</t>
  </si>
  <si>
    <t>TB6612FNG C 8 EL</t>
  </si>
  <si>
    <t>Total Purchase:</t>
  </si>
  <si>
    <t>Purchase description:</t>
  </si>
  <si>
    <t>Used currency rates:</t>
  </si>
  <si>
    <t>USD($)/GBP(£):</t>
  </si>
  <si>
    <t>Prj:</t>
  </si>
  <si>
    <t>Satellite receiver controller</t>
  </si>
  <si>
    <t>Co.:</t>
  </si>
  <si>
    <t>Prj date:</t>
  </si>
  <si>
    <t>Di 15 Jun 2021 12:57:25 CEST</t>
  </si>
  <si>
    <t>Board Qty:</t>
  </si>
  <si>
    <t>Total Cost:</t>
  </si>
  <si>
    <t>Unit Cost:</t>
  </si>
  <si>
    <t>$ date:</t>
  </si>
  <si>
    <t>2021-06-15 12:57:29</t>
  </si>
  <si>
    <t>Arrow</t>
  </si>
  <si>
    <t>Avail</t>
  </si>
  <si>
    <t>Purch</t>
  </si>
  <si>
    <t>Cat#</t>
  </si>
  <si>
    <t>Digi-Key</t>
  </si>
  <si>
    <t>1276-1096-1-ND</t>
  </si>
  <si>
    <t>478-1395-1-ND</t>
  </si>
  <si>
    <t>609-4434-ND</t>
  </si>
  <si>
    <t>S7123-ND</t>
  </si>
  <si>
    <t>2057-PH1RB-02-UA-ND</t>
  </si>
  <si>
    <t>2057-PH2RA-08-UA-ND</t>
  </si>
  <si>
    <t>2057-PH2RA-12-UA-ND</t>
  </si>
  <si>
    <t>SAM8888-ND</t>
  </si>
  <si>
    <t>541-3976-1-ND</t>
  </si>
  <si>
    <t>P123844CT-ND</t>
  </si>
  <si>
    <t>A129752CT-ND</t>
  </si>
  <si>
    <t>PAT3.79KBCT-ND</t>
  </si>
  <si>
    <t>CAT24C32WI-GT3CT-ND</t>
  </si>
  <si>
    <t>296-34699-5-ND</t>
  </si>
  <si>
    <t>568-1844-1-ND</t>
  </si>
  <si>
    <t>TB6612FNGC8ELCT-ND</t>
  </si>
  <si>
    <t>Farnell</t>
  </si>
  <si>
    <t>3013453</t>
  </si>
  <si>
    <t>4765801</t>
  </si>
  <si>
    <t>1622283</t>
  </si>
  <si>
    <t>2856688</t>
  </si>
  <si>
    <t>NonStk</t>
  </si>
  <si>
    <t>3349992</t>
  </si>
  <si>
    <t>2861525</t>
  </si>
  <si>
    <t>2463713</t>
  </si>
  <si>
    <t>3006813</t>
  </si>
  <si>
    <t>2890521</t>
  </si>
  <si>
    <t>LCSC</t>
  </si>
  <si>
    <t>C1713</t>
  </si>
  <si>
    <t>C81193</t>
  </si>
  <si>
    <t>C141517</t>
  </si>
  <si>
    <t>Mouser</t>
  </si>
  <si>
    <t>187CL21A106KOQNNNE</t>
  </si>
  <si>
    <t>58108055C104K</t>
  </si>
  <si>
    <t>6497731111802LF</t>
  </si>
  <si>
    <t>200TSW10308GTRA</t>
  </si>
  <si>
    <t>71CRCW080510K0FKEAC</t>
  </si>
  <si>
    <t>667ERA6AED392V</t>
  </si>
  <si>
    <t>279CRGCQ0805F1K8</t>
  </si>
  <si>
    <t>71PAT0805E3791BST1</t>
  </si>
  <si>
    <t>698CAT24C32WIGT3</t>
  </si>
  <si>
    <t>595TXS0104ED</t>
  </si>
  <si>
    <t>771PCA9540BDT</t>
  </si>
  <si>
    <t>757TB6612FNGC8EL</t>
  </si>
  <si>
    <t>Newark</t>
  </si>
  <si>
    <t>82AC9389</t>
  </si>
  <si>
    <t>27C8438</t>
  </si>
  <si>
    <t>62K8865</t>
  </si>
  <si>
    <t>79P4012</t>
  </si>
  <si>
    <t>45AC9160</t>
  </si>
  <si>
    <t>31X0600</t>
  </si>
  <si>
    <t>61AC6543</t>
  </si>
  <si>
    <t>08R5414</t>
  </si>
  <si>
    <t>28AH6298</t>
  </si>
  <si>
    <t>61AC1254</t>
  </si>
  <si>
    <t>RS Components</t>
  </si>
  <si>
    <t>4646688</t>
  </si>
  <si>
    <t>1803136</t>
  </si>
  <si>
    <t>7814828</t>
  </si>
  <si>
    <t>7093309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</si>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</sst>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94a57f&amp;sid=459&amp;ppid=12262895&amp;vpid=72525729&amp;ct=offers" TargetMode="External"/><Relationship Id="rId2" Type="http://schemas.openxmlformats.org/officeDocument/2006/relationships/hyperlink" Target="https://octopart.com/click/track?ai=8078&amp;sig=079c748&amp;sid=819&amp;ppid=12262895&amp;vpid=541437365&amp;ct=offers" TargetMode="External"/><Relationship Id="rId3" Type="http://schemas.openxmlformats.org/officeDocument/2006/relationships/hyperlink" Target="https://octopart.com/click/track?ai=8078&amp;sig=0f23b52&amp;sid=27971&amp;ppid=12262895&amp;vpid=476994733&amp;ct=offers" TargetMode="External"/><Relationship Id="rId4" Type="http://schemas.openxmlformats.org/officeDocument/2006/relationships/hyperlink" Target="https://octopart.com/click/track?ai=8078&amp;sig=0dac06a&amp;sid=2401&amp;ppid=12262895&amp;vpid=658751393&amp;ct=offers" TargetMode="External"/><Relationship Id="rId5" Type="http://schemas.openxmlformats.org/officeDocument/2006/relationships/hyperlink" Target="https://octopart.com/click/track?ai=8078&amp;sig=06b776e&amp;sid=2402&amp;ppid=12262895&amp;vpid=511545699&amp;ct=offers" TargetMode="External"/><Relationship Id="rId6" Type="http://schemas.openxmlformats.org/officeDocument/2006/relationships/hyperlink" Target="https://octopart.com/click/track?ai=8078&amp;sig=024c141&amp;sid=1532&amp;ppid=12262895&amp;vpid=709157373&amp;ct=offers" TargetMode="External"/><Relationship Id="rId7" Type="http://schemas.openxmlformats.org/officeDocument/2006/relationships/hyperlink" Target="https://octopart.com/click/track?ai=8078&amp;sig=01b1845&amp;sid=459&amp;ppid=55386349&amp;vpid=187969502&amp;ct=offers" TargetMode="External"/><Relationship Id="rId8" Type="http://schemas.openxmlformats.org/officeDocument/2006/relationships/hyperlink" Target="https://octopart.com/click/track?c=1&amp;ai=8078&amp;sig=04fe7cc&amp;sid=11744&amp;ppid=55386349&amp;vpid=237113689&amp;ct=offers" TargetMode="External"/><Relationship Id="rId9" Type="http://schemas.openxmlformats.org/officeDocument/2006/relationships/hyperlink" Target="https://octopart.com/click/track?ai=8078&amp;sig=09c60b9&amp;sid=2401&amp;ppid=55386349&amp;vpid=187733814&amp;ct=offers" TargetMode="External"/><Relationship Id="rId10" Type="http://schemas.openxmlformats.org/officeDocument/2006/relationships/hyperlink" Target="https://octopart.com/click/track?ai=8078&amp;sig=04f49ed&amp;sid=2402&amp;ppid=55386349&amp;vpid=190823978&amp;ct=offers" TargetMode="External"/><Relationship Id="rId11" Type="http://schemas.openxmlformats.org/officeDocument/2006/relationships/hyperlink" Target="https://octopart.com/click/track?ai=8078&amp;sig=082b5da&amp;sid=10022&amp;ppid=55386349&amp;vpid=198971583&amp;ct=offers" TargetMode="External"/><Relationship Id="rId12" Type="http://schemas.openxmlformats.org/officeDocument/2006/relationships/hyperlink" Target="https://octopart.com/click/track?ai=8078&amp;sig=0582845&amp;sid=1532&amp;ppid=55386349&amp;vpid=707794437&amp;ct=offers" TargetMode="External"/><Relationship Id="rId13" Type="http://schemas.openxmlformats.org/officeDocument/2006/relationships/hyperlink" Target="http://datasheet.octopart.com/77311-118-02LF-Amphenol-ICC-datasheet-5394197.pdf" TargetMode="External"/><Relationship Id="rId14" Type="http://schemas.openxmlformats.org/officeDocument/2006/relationships/hyperlink" Target="https://octopart.com/click/track?ai=8078&amp;sig=02848dd&amp;sid=459&amp;ppid=90334053&amp;vpid=531264172&amp;ct=offers" TargetMode="External"/><Relationship Id="rId15" Type="http://schemas.openxmlformats.org/officeDocument/2006/relationships/hyperlink" Target="https://octopart.com/click/track?c=1&amp;ai=8078&amp;sig=0944837&amp;sid=11744&amp;ppid=90334053&amp;vpid=477210439&amp;ct=offers" TargetMode="External"/><Relationship Id="rId16" Type="http://schemas.openxmlformats.org/officeDocument/2006/relationships/hyperlink" Target="https://octopart.com/click/track?ai=8078&amp;sig=074cc9a&amp;sid=2401&amp;ppid=90334053&amp;vpid=120232497&amp;ct=offers" TargetMode="External"/><Relationship Id="rId17" Type="http://schemas.openxmlformats.org/officeDocument/2006/relationships/hyperlink" Target="https://octopart.com/click/track?ai=8078&amp;sig=0c83c55&amp;sid=2402&amp;ppid=90334053&amp;vpid=474120831&amp;ct=offers" TargetMode="External"/><Relationship Id="rId18" Type="http://schemas.openxmlformats.org/officeDocument/2006/relationships/hyperlink" Target="http://datasheet.octopart.com/PPPC202LFBN-RC-Sullins-datasheet-12463.pdf" TargetMode="External"/><Relationship Id="rId19" Type="http://schemas.openxmlformats.org/officeDocument/2006/relationships/hyperlink" Target="https://octopart.com/click/track?ai=8078&amp;sig=06feed1&amp;sid=459&amp;ppid=271136&amp;vpid=1910538&amp;ct=offers" TargetMode="External"/><Relationship Id="rId20" Type="http://schemas.openxmlformats.org/officeDocument/2006/relationships/hyperlink" Target="https://octopart.com/click/track?ai=8078&amp;sig=0ac5109&amp;sid=459&amp;ppid=76895609&amp;vpid=523310284&amp;ct=offers" TargetMode="External"/><Relationship Id="rId21" Type="http://schemas.openxmlformats.org/officeDocument/2006/relationships/hyperlink" Target="https://octopart.com/click/track?ai=8078&amp;sig=095c6ca&amp;sid=459&amp;ppid=23529466&amp;vpid=523310392&amp;ct=offers" TargetMode="External"/><Relationship Id="rId22" Type="http://schemas.openxmlformats.org/officeDocument/2006/relationships/hyperlink" Target="https://octopart.com/click/track?ai=8078&amp;sig=07acce4&amp;sid=459&amp;ppid=76895625&amp;vpid=523310394&amp;ct=offers" TargetMode="External"/><Relationship Id="rId23" Type="http://schemas.openxmlformats.org/officeDocument/2006/relationships/hyperlink" Target="https://www.digikey.de/product-detail/en/samtec-inc/TSW-103-08-G-T-RA/SAM8888-ND/2685879" TargetMode="External"/><Relationship Id="rId24" Type="http://schemas.openxmlformats.org/officeDocument/2006/relationships/hyperlink" Target="https://octopart.com/click/track?ai=8078&amp;sig=0cf1350&amp;sid=459&amp;ppid=13116718&amp;vpid=225542734&amp;ct=offers" TargetMode="External"/><Relationship Id="rId25" Type="http://schemas.openxmlformats.org/officeDocument/2006/relationships/hyperlink" Target="https://octopart.com/click/track?c=1&amp;ai=8078&amp;sig=05592c0&amp;sid=11744&amp;ppid=13116718&amp;vpid=478780716&amp;ct=offers" TargetMode="External"/><Relationship Id="rId26" Type="http://schemas.openxmlformats.org/officeDocument/2006/relationships/hyperlink" Target="https://octopart.com/click/track?ai=8078&amp;sig=0305690&amp;sid=2401&amp;ppid=13116718&amp;vpid=493296008&amp;ct=offers" TargetMode="External"/><Relationship Id="rId27" Type="http://schemas.openxmlformats.org/officeDocument/2006/relationships/hyperlink" Target="https://octopart.com/click/track?c=1&amp;ai=8078&amp;sig=03457b7&amp;sid=2402&amp;ppid=13116718&amp;vpid=47155391&amp;ct=offers" TargetMode="External"/><Relationship Id="rId28" Type="http://schemas.openxmlformats.org/officeDocument/2006/relationships/hyperlink" Target="https://octopart.com/click/track?ai=8078&amp;sig=043d6ae&amp;sid=10022&amp;ppid=13116718&amp;vpid=510206029&amp;ct=offers" TargetMode="External"/><Relationship Id="rId29" Type="http://schemas.openxmlformats.org/officeDocument/2006/relationships/hyperlink" Target="https://www.mouser.de/datasheet/2/427/crcwce3-1762584.pdf" TargetMode="External"/><Relationship Id="rId30" Type="http://schemas.openxmlformats.org/officeDocument/2006/relationships/hyperlink" Target="https://octopart.com/click/track?ai=8078&amp;sig=0d20d2d&amp;sid=459&amp;ppid=23798533&amp;vpid=454353705&amp;ct=offers" TargetMode="External"/><Relationship Id="rId31" Type="http://schemas.openxmlformats.org/officeDocument/2006/relationships/hyperlink" Target="https://octopart.com/click/track?ai=8078&amp;sig=030ab9c&amp;sid=2401&amp;ppid=23798533&amp;vpid=454250937&amp;ct=offers" TargetMode="External"/><Relationship Id="rId32" Type="http://schemas.openxmlformats.org/officeDocument/2006/relationships/hyperlink" Target="https://octopart.com/click/track?c=1&amp;ai=8078&amp;sig=0c28739&amp;sid=2402&amp;ppid=23798533&amp;vpid=462488672&amp;ct=offers" TargetMode="External"/><Relationship Id="rId33" Type="http://schemas.openxmlformats.org/officeDocument/2006/relationships/hyperlink" Target="https://www.mouser.de/datasheet/2/315/AOA0000C307-1149632.pdf" TargetMode="External"/><Relationship Id="rId34" Type="http://schemas.openxmlformats.org/officeDocument/2006/relationships/hyperlink" Target="https://octopart.com/click/track?ai=8078&amp;sig=062112f&amp;sid=459&amp;ppid=23424332&amp;vpid=486714107&amp;ct=offers" TargetMode="External"/><Relationship Id="rId35" Type="http://schemas.openxmlformats.org/officeDocument/2006/relationships/hyperlink" Target="https://octopart.com/click/track?c=1&amp;ai=8078&amp;sig=0354969&amp;sid=819&amp;ppid=23424332&amp;vpid=603687420&amp;ct=offers" TargetMode="External"/><Relationship Id="rId36" Type="http://schemas.openxmlformats.org/officeDocument/2006/relationships/hyperlink" Target="https://octopart.com/click/track?ai=8078&amp;sig=04c8160&amp;sid=2401&amp;ppid=23424332&amp;vpid=82053183&amp;ct=offers" TargetMode="External"/><Relationship Id="rId37" Type="http://schemas.openxmlformats.org/officeDocument/2006/relationships/hyperlink" Target="https://octopart.com/click/track?c=1&amp;ai=8078&amp;sig=037bb70&amp;sid=2402&amp;ppid=23424332&amp;vpid=120931863&amp;ct=offers" TargetMode="External"/><Relationship Id="rId38" Type="http://schemas.openxmlformats.org/officeDocument/2006/relationships/hyperlink" Target="https://octopart.com/click/track?ai=8078&amp;sig=03b83d6&amp;sid=459&amp;ppid=91018157&amp;vpid=475508703&amp;ct=offers" TargetMode="External"/><Relationship Id="rId39" Type="http://schemas.openxmlformats.org/officeDocument/2006/relationships/hyperlink" Target="https://octopart.com/click/track?ai=8078&amp;sig=07f20a0&amp;sid=819&amp;ppid=91018157&amp;vpid=499748033&amp;ct=offers" TargetMode="External"/><Relationship Id="rId40" Type="http://schemas.openxmlformats.org/officeDocument/2006/relationships/hyperlink" Target="https://octopart.com/click/track?ai=8078&amp;sig=0ffa63e&amp;sid=2401&amp;ppid=91018157&amp;vpid=478301007&amp;ct=offers" TargetMode="External"/><Relationship Id="rId41" Type="http://schemas.openxmlformats.org/officeDocument/2006/relationships/hyperlink" Target="https://octopart.com/click/track?ai=8078&amp;sig=0164d45&amp;sid=2402&amp;ppid=91018157&amp;vpid=501422191&amp;ct=offers" TargetMode="External"/><Relationship Id="rId42" Type="http://schemas.openxmlformats.org/officeDocument/2006/relationships/hyperlink" Target="https://octopart.com/click/track?ai=8078&amp;sig=02738b1&amp;sid=459&amp;ppid=19181223&amp;vpid=715270735&amp;ct=offers" TargetMode="External"/><Relationship Id="rId43" Type="http://schemas.openxmlformats.org/officeDocument/2006/relationships/hyperlink" Target="https://octopart.com/click/track?ai=8078&amp;sig=0167e8d&amp;sid=2401&amp;ppid=19181223&amp;vpid=37944579&amp;ct=offers" TargetMode="External"/><Relationship Id="rId44" Type="http://schemas.openxmlformats.org/officeDocument/2006/relationships/hyperlink" Target="https://www.mouser.de/datasheet/2/308/CAT24C32_D-1815633.pdf" TargetMode="External"/><Relationship Id="rId45" Type="http://schemas.openxmlformats.org/officeDocument/2006/relationships/hyperlink" Target="https://octopart.com/click/track?ai=8078&amp;sig=08aaa4f&amp;sid=459&amp;ppid=46637079&amp;vpid=118264218&amp;ct=offers" TargetMode="External"/><Relationship Id="rId46" Type="http://schemas.openxmlformats.org/officeDocument/2006/relationships/hyperlink" Target="https://octopart.com/click/track?ai=8078&amp;sig=01cfe12&amp;sid=11744&amp;ppid=46637079&amp;vpid=183084971&amp;ct=offers" TargetMode="External"/><Relationship Id="rId47" Type="http://schemas.openxmlformats.org/officeDocument/2006/relationships/hyperlink" Target="https://octopart.com/click/track?ai=8078&amp;sig=053f908&amp;sid=27971&amp;ppid=46637079&amp;vpid=476993061&amp;ct=offers" TargetMode="External"/><Relationship Id="rId48" Type="http://schemas.openxmlformats.org/officeDocument/2006/relationships/hyperlink" Target="https://octopart.com/click/track?c=1&amp;ai=8078&amp;sig=0b995f7&amp;sid=2401&amp;ppid=46637079&amp;vpid=458431801&amp;ct=offers" TargetMode="External"/><Relationship Id="rId49" Type="http://schemas.openxmlformats.org/officeDocument/2006/relationships/hyperlink" Target="https://octopart.com/click/track?ai=8078&amp;sig=0943c84&amp;sid=2402&amp;ppid=46637079&amp;vpid=119031734&amp;ct=offers" TargetMode="External"/><Relationship Id="rId50" Type="http://schemas.openxmlformats.org/officeDocument/2006/relationships/hyperlink" Target="https://octopart.com/click/track?ai=8078&amp;sig=03f07fc&amp;sid=10022&amp;ppid=46637079&amp;vpid=199083826&amp;ct=offers" TargetMode="External"/><Relationship Id="rId51" Type="http://schemas.openxmlformats.org/officeDocument/2006/relationships/hyperlink" Target="http://www.ti.com/lit/ds/symlink/txb0104.pdf" TargetMode="External"/><Relationship Id="rId52" Type="http://schemas.openxmlformats.org/officeDocument/2006/relationships/hyperlink" Target="https://octopart.com/click/track?ai=8078&amp;sig=07e02d6&amp;sid=459&amp;ppid=1486620&amp;vpid=52624612&amp;ct=offers" TargetMode="External"/><Relationship Id="rId53" Type="http://schemas.openxmlformats.org/officeDocument/2006/relationships/hyperlink" Target="https://octopart.com/click/track?c=1&amp;ai=8078&amp;sig=0bf7152&amp;sid=819&amp;ppid=1486620&amp;vpid=575370610&amp;ct=offers" TargetMode="External"/><Relationship Id="rId54" Type="http://schemas.openxmlformats.org/officeDocument/2006/relationships/hyperlink" Target="https://octopart.com/click/track?ai=8078&amp;sig=021d7b9&amp;sid=2401&amp;ppid=1486620&amp;vpid=37755129&amp;ct=offers" TargetMode="External"/><Relationship Id="rId55" Type="http://schemas.openxmlformats.org/officeDocument/2006/relationships/hyperlink" Target="https://octopart.com/click/track?c=1&amp;ai=8078&amp;sig=015de3d&amp;sid=2402&amp;ppid=1486620&amp;vpid=578997844&amp;ct=offers" TargetMode="External"/><Relationship Id="rId56" Type="http://schemas.openxmlformats.org/officeDocument/2006/relationships/hyperlink" Target="https://octopart.com/click/track?ai=8078&amp;sig=0f42075&amp;sid=10022&amp;ppid=1486620&amp;vpid=199172101&amp;ct=offers" TargetMode="External"/><Relationship Id="rId57" Type="http://schemas.openxmlformats.org/officeDocument/2006/relationships/hyperlink" Target="https://www.mouser.de/datasheet/2/302/PCA9540B-1127423.pdf" TargetMode="External"/><Relationship Id="rId58" Type="http://schemas.openxmlformats.org/officeDocument/2006/relationships/hyperlink" Target="https://octopart.com/click/track?ai=8078&amp;sig=0eb6a78&amp;sid=459&amp;ppid=10469051&amp;vpid=34291083&amp;ct=offers" TargetMode="External"/><Relationship Id="rId59" Type="http://schemas.openxmlformats.org/officeDocument/2006/relationships/hyperlink" Target="https://octopart.com/click/track?ai=8078&amp;sig=06c4672&amp;sid=11744&amp;ppid=10469051&amp;vpid=489775752&amp;ct=offers" TargetMode="External"/><Relationship Id="rId60" Type="http://schemas.openxmlformats.org/officeDocument/2006/relationships/hyperlink" Target="https://octopart.com/click/track?ai=8078&amp;sig=0f03c55&amp;sid=2401&amp;ppid=10469051&amp;vpid=37835355&amp;ct=offers" TargetMode="External"/><Relationship Id="rId61" Type="http://schemas.openxmlformats.org/officeDocument/2006/relationships/hyperlink" Target="https://octopart.com/click/track?ai=8078&amp;sig=0d1e505&amp;sid=2402&amp;ppid=10469051&amp;vpid=489660930&amp;ct=offers" TargetMode="External"/><Relationship Id="rId62" Type="http://schemas.openxmlformats.org/officeDocument/2006/relationships/hyperlink" Target="https://octopart.com/click/track?ai=8078&amp;sig=0c94409&amp;sid=459&amp;ppid=50464480&amp;vpid=166769544&amp;ct=offers" TargetMode="External"/><Relationship Id="rId63" Type="http://schemas.openxmlformats.org/officeDocument/2006/relationships/hyperlink" Target="https://octopart.com/click/track?ai=8078&amp;sig=0366060&amp;sid=27971&amp;ppid=50464480&amp;vpid=454624494&amp;ct=offers" TargetMode="External"/><Relationship Id="rId64" Type="http://schemas.openxmlformats.org/officeDocument/2006/relationships/hyperlink" Target="https://octopart.com/click/track?ai=8078&amp;sig=076219f&amp;sid=2401&amp;ppid=50464480&amp;vpid=240122954&amp;ct=offers" TargetMode="External"/><Relationship Id="rId65" Type="http://schemas.openxmlformats.org/officeDocument/2006/relationships/hyperlink" Target="https://octopart.com/click/track?ai=8078&amp;sig=0149495&amp;sid=1532&amp;ppid=50464480&amp;vpid=709231210&amp;ct=offers" TargetMode="External"/><Relationship Id="rId66" Type="http://schemas.openxmlformats.org/officeDocument/2006/relationships/vmlDrawing" Target="../drawings/vmlDrawing1.vml"/><Relationship Id="rId6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78</v>
      </c>
      <c r="B1" s="2" t="s">
        <v>79</v>
      </c>
      <c r="F1" s="3" t="s">
        <v>83</v>
      </c>
      <c r="G1" s="3">
        <v>100</v>
      </c>
    </row>
    <row r="2" spans="1:47">
      <c r="A2" s="1" t="s">
        <v>80</v>
      </c>
      <c r="B2" s="2"/>
      <c r="F2" s="1" t="s">
        <v>85</v>
      </c>
      <c r="G2" s="4">
        <f>TotalCost/BoardQty</f>
        <v>0</v>
      </c>
    </row>
    <row r="3" spans="1:47">
      <c r="A3" s="1" t="s">
        <v>81</v>
      </c>
      <c r="B3" s="2" t="s">
        <v>82</v>
      </c>
      <c r="F3" s="1" t="s">
        <v>84</v>
      </c>
      <c r="G3" s="5">
        <f>SUM(G7:G26)</f>
        <v>0</v>
      </c>
      <c r="K3" s="5">
        <f>SUM(K7:K26)</f>
        <v>0</v>
      </c>
      <c r="L3" s="6">
        <f>(COUNTA(K7:K26)&amp;" of "&amp;ROWS(K7:K26)&amp;" parts found"</f>
        <v>0</v>
      </c>
      <c r="P3" s="5">
        <f>SUM(P7:P26)</f>
        <v>0</v>
      </c>
      <c r="Q3" s="6">
        <f>(COUNTA(P7:P26)&amp;" of "&amp;ROWS(P7:P26)&amp;" parts found"</f>
        <v>0</v>
      </c>
      <c r="U3" s="5">
        <f>SUM(U7:U26)</f>
        <v>0</v>
      </c>
      <c r="V3" s="6">
        <f>(COUNTA(U7:U26)&amp;" of "&amp;ROWS(U7:U26)&amp;" parts found"</f>
        <v>0</v>
      </c>
      <c r="Z3" s="5">
        <f>SUM(Z7:Z26)</f>
        <v>0</v>
      </c>
      <c r="AA3" s="6">
        <f>(COUNTA(Z7:Z26)&amp;" of "&amp;ROWS(Z7:Z26)&amp;" parts found"</f>
        <v>0</v>
      </c>
      <c r="AE3" s="5">
        <f>SUM(AE7:AE26)</f>
        <v>0</v>
      </c>
      <c r="AF3" s="6">
        <f>(COUNTA(AE7:AE26)&amp;" of "&amp;ROWS(AE7:AE26)&amp;" parts found"</f>
        <v>0</v>
      </c>
      <c r="AJ3" s="5">
        <f>SUM(AJ7:AJ26)</f>
        <v>0</v>
      </c>
      <c r="AK3" s="6">
        <f>(COUNTA(AJ7:AJ26)&amp;" of "&amp;ROWS(AJ7:AJ26)&amp;" parts found"</f>
        <v>0</v>
      </c>
      <c r="AO3" s="5">
        <f>SUM(AO7:AO26)</f>
        <v>0</v>
      </c>
      <c r="AP3" s="6">
        <f>(COUNTA(AO7:AO26)&amp;" of "&amp;ROWS(AO7:AO26)&amp;" parts found"</f>
        <v>0</v>
      </c>
      <c r="AT3" s="5">
        <f>SUM(AT7:AT26)</f>
        <v>0</v>
      </c>
      <c r="AU3" s="6">
        <f>(COUNTA(AT7:AT26)&amp;" of "&amp;ROWS(AT7:AT26)&amp;" parts found"</f>
        <v>0</v>
      </c>
    </row>
    <row r="4" spans="1:47">
      <c r="A4" s="1" t="s">
        <v>86</v>
      </c>
      <c r="B4" s="2" t="s">
        <v>87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88</v>
      </c>
      <c r="I5" s="8"/>
      <c r="J5" s="8"/>
      <c r="K5" s="8"/>
      <c r="L5" s="8"/>
      <c r="M5" s="9" t="s">
        <v>92</v>
      </c>
      <c r="N5" s="9"/>
      <c r="O5" s="9"/>
      <c r="P5" s="9"/>
      <c r="Q5" s="9"/>
      <c r="R5" s="10" t="s">
        <v>109</v>
      </c>
      <c r="S5" s="10"/>
      <c r="T5" s="10"/>
      <c r="U5" s="10"/>
      <c r="V5" s="10"/>
      <c r="W5" s="11" t="s">
        <v>120</v>
      </c>
      <c r="X5" s="11"/>
      <c r="Y5" s="11"/>
      <c r="Z5" s="11"/>
      <c r="AA5" s="11"/>
      <c r="AB5" s="12" t="s">
        <v>124</v>
      </c>
      <c r="AC5" s="12"/>
      <c r="AD5" s="12"/>
      <c r="AE5" s="12"/>
      <c r="AF5" s="12"/>
      <c r="AG5" s="13" t="s">
        <v>137</v>
      </c>
      <c r="AH5" s="13"/>
      <c r="AI5" s="13"/>
      <c r="AJ5" s="13"/>
      <c r="AK5" s="13"/>
      <c r="AL5" s="14" t="s">
        <v>148</v>
      </c>
      <c r="AM5" s="14"/>
      <c r="AN5" s="14"/>
      <c r="AO5" s="14"/>
      <c r="AP5" s="14"/>
      <c r="AQ5" s="15" t="s">
        <v>153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89</v>
      </c>
      <c r="I6" s="16" t="s">
        <v>90</v>
      </c>
      <c r="J6" s="16" t="s">
        <v>6</v>
      </c>
      <c r="K6" s="16" t="s">
        <v>7</v>
      </c>
      <c r="L6" s="16" t="s">
        <v>91</v>
      </c>
      <c r="M6" s="16" t="s">
        <v>89</v>
      </c>
      <c r="N6" s="16" t="s">
        <v>90</v>
      </c>
      <c r="O6" s="16" t="s">
        <v>6</v>
      </c>
      <c r="P6" s="16" t="s">
        <v>7</v>
      </c>
      <c r="Q6" s="16" t="s">
        <v>91</v>
      </c>
      <c r="R6" s="16" t="s">
        <v>89</v>
      </c>
      <c r="S6" s="16" t="s">
        <v>90</v>
      </c>
      <c r="T6" s="16" t="s">
        <v>6</v>
      </c>
      <c r="U6" s="16" t="s">
        <v>7</v>
      </c>
      <c r="V6" s="16" t="s">
        <v>91</v>
      </c>
      <c r="W6" s="16" t="s">
        <v>89</v>
      </c>
      <c r="X6" s="16" t="s">
        <v>90</v>
      </c>
      <c r="Y6" s="16" t="s">
        <v>6</v>
      </c>
      <c r="Z6" s="16" t="s">
        <v>7</v>
      </c>
      <c r="AA6" s="16" t="s">
        <v>91</v>
      </c>
      <c r="AB6" s="16" t="s">
        <v>89</v>
      </c>
      <c r="AC6" s="16" t="s">
        <v>90</v>
      </c>
      <c r="AD6" s="16" t="s">
        <v>6</v>
      </c>
      <c r="AE6" s="16" t="s">
        <v>7</v>
      </c>
      <c r="AF6" s="16" t="s">
        <v>91</v>
      </c>
      <c r="AG6" s="16" t="s">
        <v>89</v>
      </c>
      <c r="AH6" s="16" t="s">
        <v>90</v>
      </c>
      <c r="AI6" s="16" t="s">
        <v>6</v>
      </c>
      <c r="AJ6" s="16" t="s">
        <v>7</v>
      </c>
      <c r="AK6" s="16" t="s">
        <v>91</v>
      </c>
      <c r="AL6" s="16" t="s">
        <v>89</v>
      </c>
      <c r="AM6" s="16" t="s">
        <v>90</v>
      </c>
      <c r="AN6" s="16" t="s">
        <v>6</v>
      </c>
      <c r="AO6" s="16" t="s">
        <v>7</v>
      </c>
      <c r="AP6" s="16" t="s">
        <v>91</v>
      </c>
      <c r="AQ6" s="16" t="s">
        <v>89</v>
      </c>
      <c r="AR6" s="16" t="s">
        <v>90</v>
      </c>
      <c r="AS6" s="16" t="s">
        <v>6</v>
      </c>
      <c r="AT6" s="16" t="s">
        <v>7</v>
      </c>
      <c r="AU6" s="16" t="s">
        <v>91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BoardQty*2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  <c r="M7" s="17">
        <v>193579</v>
      </c>
      <c r="O7" s="18">
        <f>iferror(lookup(if(N7="",E7,N7),{0,1,10,50,100,500,1000,2000},{0.0,0.12,0.085,0.0464,0.0379,0.02708,0.02128,0.01935}),"")</f>
        <v>0</v>
      </c>
      <c r="P7" s="18">
        <f>iferror(if(N7="",E7,N7)*O7,"")</f>
        <v>0</v>
      </c>
      <c r="Q7" s="19" t="s">
        <v>93</v>
      </c>
      <c r="R7" s="17">
        <v>44000</v>
      </c>
      <c r="T7" s="18">
        <f>iferror(USD_GBP*lookup(if(S7="",E7,S7),{0,1,5,50,150,250,500,1000,2000},{0.0,0.0935,0.0935,0.0404,0.0404,0.0336,0.0268,0.0197,0.0215}),"")</f>
        <v>0</v>
      </c>
      <c r="U7" s="18">
        <f>iferror(if(S7="",E7,S7)*T7,"")</f>
        <v>0</v>
      </c>
      <c r="V7" s="19" t="s">
        <v>110</v>
      </c>
      <c r="W7" s="17">
        <v>3849650</v>
      </c>
      <c r="Y7" s="18">
        <f>iferror(lookup(if(X7="",E7,X7),{0,1,50,500,1500,5000,25000,50000},{0.0,0.013,0.013,0.0099,0.0092,0.0082,0.0077,0.0077}),"")</f>
        <v>0</v>
      </c>
      <c r="Z7" s="18">
        <f>iferror(if(X7="",E7,X7)*Y7,"")</f>
        <v>0</v>
      </c>
      <c r="AA7" s="19" t="s">
        <v>121</v>
      </c>
      <c r="AB7" s="17">
        <v>123404</v>
      </c>
      <c r="AD7" s="18">
        <f>iferror(lookup(if(AC7="",E7,AC7),{0,1,10,50,100,1000,10000},{0.0,0.11,0.046,0.046,0.038,0.021,0.013}),"")</f>
        <v>0</v>
      </c>
      <c r="AE7" s="18">
        <f>iferror(if(AC7="",E7,AC7)*AD7,"")</f>
        <v>0</v>
      </c>
      <c r="AF7" s="19" t="s">
        <v>125</v>
      </c>
      <c r="AG7" s="17">
        <v>142000</v>
      </c>
      <c r="AI7" s="18">
        <f>iferror(lookup(if(AH7="",E7,AH7),{0,1,10,25,50,100,2000},{0.0,0.138,0.105,0.081,0.056,0.046,0.024}),"")</f>
        <v>0</v>
      </c>
      <c r="AJ7" s="18">
        <f>iferror(if(AH7="",E7,AH7)*AI7,"")</f>
        <v>0</v>
      </c>
      <c r="AK7" s="19" t="s">
        <v>138</v>
      </c>
      <c r="AQ7" s="17">
        <v>267200</v>
      </c>
      <c r="AS7" s="18">
        <f>iferror(USD_GBP*lookup(if(AR7="",E7,AR7),{0,1,100,300,1000,2000,6000},{0.0,0.02469,0.02469,0.01776,0.01204,0.01049,0.01005}),"")</f>
        <v>0</v>
      </c>
      <c r="AT7" s="18">
        <f>iferror(if(AR7="",E7,AR7)*AS7,"")</f>
        <v>0</v>
      </c>
      <c r="AU7" s="19" t="s">
        <v>11</v>
      </c>
    </row>
    <row r="8" spans="1:47">
      <c r="A8" s="17" t="s">
        <v>12</v>
      </c>
      <c r="B8" s="17" t="s">
        <v>13</v>
      </c>
      <c r="C8" s="17" t="s">
        <v>10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</row>
    <row r="9" spans="1:47">
      <c r="A9" s="17" t="s">
        <v>14</v>
      </c>
      <c r="B9" s="17" t="s">
        <v>15</v>
      </c>
      <c r="C9" s="17" t="s">
        <v>10</v>
      </c>
      <c r="D9" s="17" t="s">
        <v>16</v>
      </c>
      <c r="E9" s="17">
        <f>BoardQty*5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17">
        <v>8474868</v>
      </c>
      <c r="O9" s="18">
        <f>iferror(lookup(if(N9="",E9,N9),{0,1,10,50,100,500,1000,4000},{0.0,0.1,0.076,0.0414,0.0338,0.02416,0.01898,0.01587}),"")</f>
        <v>0</v>
      </c>
      <c r="P9" s="18">
        <f>iferror(if(N9="",E9,N9)*O9,"")</f>
        <v>0</v>
      </c>
      <c r="Q9" s="19" t="s">
        <v>94</v>
      </c>
      <c r="R9" s="17">
        <v>9368000</v>
      </c>
      <c r="T9" s="18">
        <f>iferror(USD_GBP*lookup(if(S9="",E9,S9),{0,1,3,5,10,100,150,500,1000,2000,4000,20000},{0.0,131.73,128.7,122.9,0.0625,0.0417,0.0417,0.0314,0.0268,0.0234,0.0229,0.0159}),"")</f>
        <v>0</v>
      </c>
      <c r="U9" s="18">
        <f>iferror(if(S9="",E9,S9)*T9,"")</f>
        <v>0</v>
      </c>
      <c r="V9" s="19" t="s">
        <v>111</v>
      </c>
      <c r="AB9" s="17">
        <v>1722573</v>
      </c>
      <c r="AD9" s="18">
        <f>iferror(lookup(if(AC9="",E9,AC9),{0,1,10,50,100,1000,10000},{0.0,0.1,0.04,0.04,0.033,0.019,0.015}),"")</f>
        <v>0</v>
      </c>
      <c r="AE9" s="18">
        <f>iferror(if(AC9="",E9,AC9)*AD9,"")</f>
        <v>0</v>
      </c>
      <c r="AF9" s="19" t="s">
        <v>126</v>
      </c>
      <c r="AG9" s="17">
        <v>10568000</v>
      </c>
      <c r="AI9" s="18">
        <f>iferror(lookup(if(AH9="",E9,AH9),{0,1,10,25,50,100,250,500,1000,4000},{0.0,0.022,0.147,0.022,0.022,0.022,0.02,0.019,0.03,0.021}),"")</f>
        <v>0</v>
      </c>
      <c r="AJ9" s="18">
        <f>iferror(if(AH9="",E9,AH9)*AI9,"")</f>
        <v>0</v>
      </c>
      <c r="AK9" s="19" t="s">
        <v>139</v>
      </c>
      <c r="AL9" s="17">
        <v>10050</v>
      </c>
      <c r="AN9" s="18">
        <f>iferror(USD_GBP*lookup(if(AM9="",E9,AM9),{0,1,50,250,500,1000,2000},{0.0,0.041,0.041,0.038,0.034,0.03,0.025}),"")</f>
        <v>0</v>
      </c>
      <c r="AO9" s="18">
        <f>iferror(if(AM9="",E9,AM9)*AN9,"")</f>
        <v>0</v>
      </c>
      <c r="AP9" s="19" t="s">
        <v>149</v>
      </c>
      <c r="AQ9" s="20" t="s">
        <v>114</v>
      </c>
      <c r="AS9" s="18">
        <f>iferror(USD_GBP*lookup(if(AR9="",E9,AR9),{0,1,100,1000,4000,12000},{0.0,0.01967,0.01967,0.01429,0.01248,0.01213}),"")</f>
        <v>0</v>
      </c>
      <c r="AT9" s="18">
        <f>iferror(if(AR9="",E9,AR9)*AS9,"")</f>
        <v>0</v>
      </c>
      <c r="AU9" s="19" t="s">
        <v>16</v>
      </c>
    </row>
    <row r="10" spans="1:47">
      <c r="A10" s="17" t="s">
        <v>17</v>
      </c>
      <c r="B10" s="17" t="s">
        <v>18</v>
      </c>
      <c r="C10" s="17" t="s">
        <v>19</v>
      </c>
      <c r="E10" s="17">
        <f>BoardQty*4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</row>
    <row r="11" spans="1:47">
      <c r="A11" s="17" t="s">
        <v>20</v>
      </c>
      <c r="B11" s="17" t="s">
        <v>21</v>
      </c>
      <c r="C11" s="17" t="s">
        <v>22</v>
      </c>
      <c r="D11" s="17" t="s">
        <v>23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M11" s="17">
        <v>23963</v>
      </c>
      <c r="O11" s="18">
        <f>iferror(lookup(if(N11="",E11,N11),{0,1,10,100,500,1000,5000,10000},{0.0,0.22,0.203,0.1405,0.11888,0.09726,0.08646,0.07835}),"")</f>
        <v>0</v>
      </c>
      <c r="P11" s="18">
        <f>iferror(if(N11="",E11,N11)*O11,"")</f>
        <v>0</v>
      </c>
      <c r="Q11" s="19" t="s">
        <v>95</v>
      </c>
      <c r="R11" s="17">
        <v>1666</v>
      </c>
      <c r="T11" s="18">
        <f>iferror(USD_GBP*lookup(if(S11="",E11,S11),{0,1,100,500,1000,2500,5000,10000},{0.0,0.09,0.09,0.084,0.078,0.072,0.0655,0.059}),"")</f>
        <v>0</v>
      </c>
      <c r="U11" s="18">
        <f>iferror(if(S11="",E11,S11)*T11,"")</f>
        <v>0</v>
      </c>
      <c r="V11" s="19" t="s">
        <v>112</v>
      </c>
      <c r="AB11" s="17">
        <v>3386</v>
      </c>
      <c r="AD11" s="18">
        <f>iferror(lookup(if(AC11="",E11,AC11),{0,1,10,50,100,1000,10000},{0.0,0.21,0.15,0.15,0.118,0.096,0.077}),"")</f>
        <v>0</v>
      </c>
      <c r="AE11" s="18">
        <f>iferror(if(AC11="",E11,AC11)*AD11,"")</f>
        <v>0</v>
      </c>
      <c r="AF11" s="19" t="s">
        <v>127</v>
      </c>
      <c r="AG11" s="17">
        <v>2892</v>
      </c>
      <c r="AI11" s="18">
        <f>iferror(lookup(if(AH11="",E11,AH11),{0,1,10,25,50,100,250,1000},{0.0,0.204,0.146,0.135,0.125,0.114,0.107,0.107}),"")</f>
        <v>0</v>
      </c>
      <c r="AJ11" s="18">
        <f>iferror(if(AH11="",E11,AH11)*AI11,"")</f>
        <v>0</v>
      </c>
      <c r="AK11" s="19" t="s">
        <v>140</v>
      </c>
    </row>
    <row r="12" spans="1:47">
      <c r="A12" s="17" t="s">
        <v>24</v>
      </c>
      <c r="B12" s="17" t="s">
        <v>25</v>
      </c>
      <c r="C12" s="17" t="s">
        <v>26</v>
      </c>
      <c r="D12" s="17" t="s">
        <v>27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17">
        <v>28339</v>
      </c>
      <c r="O12" s="18">
        <f>iferror(lookup(if(N12="",E12,N12),{0,1,10,80,440,1000,5000},{0.0,2.38,2.156,1.84838,1.54034,1.3203,1.1736}),"")</f>
        <v>0</v>
      </c>
      <c r="P12" s="18">
        <f>iferror(if(N12="",E12,N12)*O12,"")</f>
        <v>0</v>
      </c>
      <c r="Q12" s="19" t="s">
        <v>96</v>
      </c>
    </row>
    <row r="13" spans="1:47">
      <c r="A13" s="17" t="s">
        <v>28</v>
      </c>
      <c r="B13" s="17" t="s">
        <v>29</v>
      </c>
      <c r="C13" s="17" t="s">
        <v>30</v>
      </c>
      <c r="D13" s="17" t="s">
        <v>31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  <c r="M13" s="17">
        <v>3540</v>
      </c>
      <c r="O13" s="18">
        <f>iferror(lookup(if(N13="",E13,N13),{0,1,10,100,500,1000,5000,10000},{0.0,0.1,0.07,0.0431,0.03564,0.03118,0.02672,0.02598}),"")</f>
        <v>0</v>
      </c>
      <c r="P13" s="18">
        <f>iferror(if(N13="",E13,N13)*O13,"")</f>
        <v>0</v>
      </c>
      <c r="Q13" s="19" t="s">
        <v>97</v>
      </c>
    </row>
    <row r="14" spans="1:47">
      <c r="A14" s="17" t="s">
        <v>32</v>
      </c>
      <c r="B14" s="17" t="s">
        <v>33</v>
      </c>
      <c r="C14" s="17" t="s">
        <v>34</v>
      </c>
      <c r="D14" s="17" t="s">
        <v>35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17">
        <v>2137</v>
      </c>
      <c r="O14" s="18">
        <f>iferror(lookup(if(N14="",E14,N14),{0,1,10,100,500,1000,5000,10000},{0.0,0.24,0.227,0.1576,0.13332,0.10908,0.09696,0.08787}),"")</f>
        <v>0</v>
      </c>
      <c r="P14" s="18">
        <f>iferror(if(N14="",E14,N14)*O14,"")</f>
        <v>0</v>
      </c>
      <c r="Q14" s="19" t="s">
        <v>98</v>
      </c>
    </row>
    <row r="15" spans="1:47">
      <c r="A15" s="17" t="s">
        <v>36</v>
      </c>
      <c r="B15" s="17" t="s">
        <v>37</v>
      </c>
      <c r="C15" s="17" t="s">
        <v>38</v>
      </c>
      <c r="D15" s="17" t="s">
        <v>39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  <c r="M15" s="17">
        <v>1081</v>
      </c>
      <c r="O15" s="18">
        <f>iferror(lookup(if(N15="",E15,N15),{0,1,10,100,500,1000,5000,10000},{0.0,0.34,0.318,0.2227,0.19088,0.15908,0.13635,0.12726}),"")</f>
        <v>0</v>
      </c>
      <c r="P15" s="18">
        <f>iferror(if(N15="",E15,N15)*O15,"")</f>
        <v>0</v>
      </c>
      <c r="Q15" s="19" t="s">
        <v>99</v>
      </c>
    </row>
    <row r="16" spans="1:47">
      <c r="A16" s="17" t="s">
        <v>40</v>
      </c>
      <c r="B16" s="17" t="s">
        <v>41</v>
      </c>
      <c r="C16" s="17" t="s">
        <v>41</v>
      </c>
      <c r="D16" s="17" t="s">
        <v>41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  <c r="M16" s="17">
        <v>375</v>
      </c>
      <c r="O16" s="18">
        <f>iferror(lookup(if(N16="",E16,N16),{0,1,10,100,500,1000,5000,10000},{0.0,1.58,1.435,1.2302,1.02516,0.8787,0.77911,0.76154}),"")</f>
        <v>0</v>
      </c>
      <c r="P16" s="18">
        <f>iferror(if(N16="",E16,N16)*O16,"")</f>
        <v>0</v>
      </c>
      <c r="Q16" s="19" t="s">
        <v>100</v>
      </c>
      <c r="R16" s="20" t="s">
        <v>114</v>
      </c>
      <c r="T16" s="18">
        <f>iferror(USD_GBP*lookup(if(S16="",E16,S16),{0,1,10,100,500,1000,2500},{0.0,1.02,0.892,0.77,0.63,0.561,0.543}),"")</f>
        <v>0</v>
      </c>
      <c r="U16" s="18">
        <f>iferror(if(S16="",E16,S16)*T16,"")</f>
        <v>0</v>
      </c>
      <c r="V16" s="19" t="s">
        <v>113</v>
      </c>
      <c r="AB16" s="17">
        <v>271</v>
      </c>
      <c r="AD16" s="18">
        <f>iferror(lookup(if(AC16="",E16,AC16),{0,1,10,50,100,1000,10000},{0.0,1.33,1.17,1.17,1.01,0.736,0.611}),"")</f>
        <v>0</v>
      </c>
      <c r="AE16" s="18">
        <f>iferror(if(AC16="",E16,AC16)*AD16,"")</f>
        <v>0</v>
      </c>
      <c r="AF16" s="19" t="s">
        <v>128</v>
      </c>
      <c r="AG16" s="20" t="s">
        <v>114</v>
      </c>
      <c r="AI16" s="18">
        <f>iferror(lookup(if(AH16="",E16,AH16),{0,1,10,25,100,500,1000},{0.0,1.14,0.97,0.943,0.786,0.707,0.628}),"")</f>
        <v>0</v>
      </c>
      <c r="AJ16" s="18">
        <f>iferror(if(AH16="",E16,AH16)*AI16,"")</f>
        <v>0</v>
      </c>
      <c r="AK16" s="19" t="s">
        <v>141</v>
      </c>
      <c r="AL16" s="17">
        <v>22</v>
      </c>
      <c r="AN16" s="18">
        <f>iferror(USD_GBP*lookup(if(AM16="",E16,AM16),{0,1,1000},{0.0,0.493,0.493}),"")</f>
        <v>0</v>
      </c>
      <c r="AO16" s="18">
        <f>iferror(if(AM16="",E16,AM16)*AN16,"")</f>
        <v>0</v>
      </c>
      <c r="AP16" s="19" t="s">
        <v>150</v>
      </c>
    </row>
    <row r="17" spans="1:47">
      <c r="A17" s="17" t="s">
        <v>42</v>
      </c>
      <c r="B17" s="17" t="s">
        <v>13</v>
      </c>
      <c r="C17" s="17" t="s">
        <v>43</v>
      </c>
      <c r="E17" s="17">
        <f>BoardQty*3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</row>
    <row r="18" spans="1:47">
      <c r="A18" s="17" t="s">
        <v>44</v>
      </c>
      <c r="B18" s="17" t="s">
        <v>45</v>
      </c>
      <c r="C18" s="17" t="s">
        <v>43</v>
      </c>
      <c r="D18" s="17" t="s">
        <v>46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  <c r="M18" s="17">
        <v>590734</v>
      </c>
      <c r="O18" s="18">
        <f>iferror(lookup(if(N18="",E18,N18),{0,1,10,100,1000,2500,5000},{0.0,0.1,0.063,0.0254,0.01143,0.00992,0.00819}),"")</f>
        <v>0</v>
      </c>
      <c r="P18" s="18">
        <f>iferror(if(N18="",E18,N18)*O18,"")</f>
        <v>0</v>
      </c>
      <c r="Q18" s="19" t="s">
        <v>101</v>
      </c>
      <c r="AB18" s="17">
        <v>332906</v>
      </c>
      <c r="AD18" s="18">
        <f>iferror(lookup(if(AC18="",E18,AC18),{0,1,10,50,100,1000,10000},{0.0,0.1,0.059,0.059,0.024,0.01,0.006}),"")</f>
        <v>0</v>
      </c>
      <c r="AE18" s="18">
        <f>iferror(if(AC18="",E18,AC18)*AD18,"")</f>
        <v>0</v>
      </c>
      <c r="AF18" s="19" t="s">
        <v>129</v>
      </c>
      <c r="AG18" s="20" t="s">
        <v>114</v>
      </c>
      <c r="AI18" s="18">
        <f>iferror(lookup(if(AH18="",E18,AH18),{0,1,40000},{0.0,0.005,0.005}),"")</f>
        <v>0</v>
      </c>
      <c r="AJ18" s="18">
        <f>iferror(if(AH18="",E18,AH18)*AI18,"")</f>
        <v>0</v>
      </c>
      <c r="AK18" s="19" t="s">
        <v>142</v>
      </c>
    </row>
    <row r="19" spans="1:47">
      <c r="A19" s="17" t="s">
        <v>47</v>
      </c>
      <c r="B19" s="17" t="s">
        <v>48</v>
      </c>
      <c r="C19" s="17" t="s">
        <v>43</v>
      </c>
      <c r="D19" s="17" t="s">
        <v>49</v>
      </c>
      <c r="E19" s="17">
        <f>BoardQty*2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  <c r="M19" s="17">
        <v>761</v>
      </c>
      <c r="O19" s="18">
        <f>iferror(lookup(if(N19="",E19,N19),{0,1,10,25,50,100,250,500,1000,5000,10000,25000,50000},{0.0,0.1,0.094,0.0648,0.0504,0.036,0.02808,0.02232,0.01584,0.01224,0.01098,0.01008,0.00958}),"")</f>
        <v>0</v>
      </c>
      <c r="P19" s="18">
        <f>iferror(if(N19="",E19,N19)*O19,"")</f>
        <v>0</v>
      </c>
      <c r="Q19" s="19" t="s">
        <v>102</v>
      </c>
      <c r="R19" s="20" t="s">
        <v>114</v>
      </c>
      <c r="T19" s="18">
        <f>iferror(USD_GBP*lookup(if(S19="",E19,S19),{0,1,5000},{0.0,0.0464,0.0464}),"")</f>
        <v>0</v>
      </c>
      <c r="U19" s="18">
        <f>iferror(if(S19="",E19,S19)*T19,"")</f>
        <v>0</v>
      </c>
      <c r="V19" s="19" t="s">
        <v>115</v>
      </c>
      <c r="AB19" s="17">
        <v>955</v>
      </c>
      <c r="AD19" s="18">
        <f>iferror(lookup(if(AC19="",E19,AC19),{0,1,10,50,100,1000,10000},{0.0,0.12,0.058,0.058,0.025,0.018,0.014}),"")</f>
        <v>0</v>
      </c>
      <c r="AE19" s="18">
        <f>iferror(if(AC19="",E19,AC19)*AD19,"")</f>
        <v>0</v>
      </c>
      <c r="AF19" s="19" t="s">
        <v>130</v>
      </c>
      <c r="AG19" s="20" t="s">
        <v>114</v>
      </c>
      <c r="AI19" s="18">
        <f>iferror(lookup(if(AH19="",E19,AH19),{0,1,20000},{0.0,0.03,0.03}),"")</f>
        <v>0</v>
      </c>
      <c r="AJ19" s="18">
        <f>iferror(if(AH19="",E19,AH19)*AI19,"")</f>
        <v>0</v>
      </c>
      <c r="AK19" s="19" t="s">
        <v>143</v>
      </c>
    </row>
    <row r="20" spans="1:47">
      <c r="A20" s="17" t="s">
        <v>50</v>
      </c>
      <c r="B20" s="17" t="s">
        <v>51</v>
      </c>
      <c r="C20" s="17" t="s">
        <v>43</v>
      </c>
      <c r="D20" s="17" t="s">
        <v>52</v>
      </c>
      <c r="E20" s="17">
        <f>BoardQty*4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  <c r="M20" s="17">
        <v>31094</v>
      </c>
      <c r="O20" s="18">
        <f>iferror(lookup(if(N20="",E20,N20),{0,1,10,100,1000,2500,5000},{0.0,0.1,0.048,0.0197,0.00883,0.00766,0.00662}),"")</f>
        <v>0</v>
      </c>
      <c r="P20" s="18">
        <f>iferror(if(N20="",E20,N20)*O20,"")</f>
        <v>0</v>
      </c>
      <c r="Q20" s="19" t="s">
        <v>103</v>
      </c>
      <c r="R20" s="17">
        <v>3917</v>
      </c>
      <c r="T20" s="18">
        <f>iferror(USD_GBP*lookup(if(S20="",E20,S20),{0,1,10,100,150,500,1000,2500,5000,25000},{0.0,0.0378,0.0378,0.0171,0.0171,0.0115,0.0059,0.0052,0.0044,0.0035}),"")</f>
        <v>0</v>
      </c>
      <c r="U20" s="18">
        <f>iferror(if(S20="",E20,S20)*T20,"")</f>
        <v>0</v>
      </c>
      <c r="V20" s="19" t="s">
        <v>116</v>
      </c>
      <c r="AB20" s="17">
        <v>10425</v>
      </c>
      <c r="AD20" s="18">
        <f>iferror(lookup(if(AC20="",E20,AC20),{0,1,10,50,100,1000,10000},{0.0,0.1,0.042,0.042,0.018,0.007,0.005}),"")</f>
        <v>0</v>
      </c>
      <c r="AE20" s="18">
        <f>iferror(if(AC20="",E20,AC20)*AD20,"")</f>
        <v>0</v>
      </c>
      <c r="AF20" s="19" t="s">
        <v>131</v>
      </c>
      <c r="AG20" s="17">
        <v>2718</v>
      </c>
      <c r="AI20" s="18">
        <f>iferror(lookup(if(AH20="",E20,AH20),{0,1,10,25,50,100,10000,20000,40000},{0.0,0.021,0.021,0.018,0.016,0.014,0.005,0.004,0.004}),"")</f>
        <v>0</v>
      </c>
      <c r="AJ20" s="18">
        <f>iferror(if(AH20="",E20,AH20)*AI20,"")</f>
        <v>0</v>
      </c>
      <c r="AK20" s="19" t="s">
        <v>144</v>
      </c>
    </row>
    <row r="21" spans="1:47">
      <c r="A21" s="17" t="s">
        <v>53</v>
      </c>
      <c r="B21" s="17" t="s">
        <v>54</v>
      </c>
      <c r="C21" s="17" t="s">
        <v>43</v>
      </c>
      <c r="D21" s="17" t="s">
        <v>55</v>
      </c>
      <c r="E21" s="17">
        <f>BoardQty*5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  <c r="M21" s="17">
        <v>656</v>
      </c>
      <c r="O21" s="18">
        <f>iferror(lookup(if(N21="",E21,N21),{0,1,10,100,1000},{0.0,0.87,0.759,0.529,0.3128}),"")</f>
        <v>0</v>
      </c>
      <c r="P21" s="18">
        <f>iferror(if(N21="",E21,N21)*O21,"")</f>
        <v>0</v>
      </c>
      <c r="Q21" s="19" t="s">
        <v>104</v>
      </c>
      <c r="AB21" s="17">
        <v>455</v>
      </c>
      <c r="AD21" s="18">
        <f>iferror(lookup(if(AC21="",E21,AC21),{0,1,10,50,100,1000,10000},{0.0,0.82,0.715,0.715,0.529,0.312,0.287}),"")</f>
        <v>0</v>
      </c>
      <c r="AE21" s="18">
        <f>iferror(if(AC21="",E21,AC21)*AD21,"")</f>
        <v>0</v>
      </c>
      <c r="AF21" s="19" t="s">
        <v>132</v>
      </c>
    </row>
    <row r="22" spans="1:47">
      <c r="A22" s="17" t="s">
        <v>56</v>
      </c>
      <c r="B22" s="17" t="s">
        <v>57</v>
      </c>
      <c r="C22" s="17" t="s">
        <v>58</v>
      </c>
      <c r="E22" s="17">
        <f>BoardQty*26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</row>
    <row r="23" spans="1:47">
      <c r="A23" s="17" t="s">
        <v>59</v>
      </c>
      <c r="B23" s="17" t="s">
        <v>60</v>
      </c>
      <c r="C23" s="17" t="s">
        <v>61</v>
      </c>
      <c r="D23" s="17" t="s">
        <v>62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  <c r="M23" s="17">
        <v>9</v>
      </c>
      <c r="O23" s="18">
        <f>iferror(lookup(if(N23="",E23,N23),{0,1,10,25,50,100,250,500,1000,3000},{0.0,0.21,0.204,0.1896,0.1884,0.1674,0.16528,0.16278,0.15843,0.15277}),"")</f>
        <v>0</v>
      </c>
      <c r="P23" s="18">
        <f>iferror(if(N23="",E23,N23)*O23,"")</f>
        <v>0</v>
      </c>
      <c r="Q23" s="19" t="s">
        <v>105</v>
      </c>
      <c r="R23" s="17">
        <v>55</v>
      </c>
      <c r="T23" s="18">
        <f>iferror(USD_GBP*lookup(if(S23="",E23,S23),{0,1,5,10,100,150,500,3000},{0.0,0.209,0.209,0.191,0.153,0.153,0.146,0.128}),"")</f>
        <v>0</v>
      </c>
      <c r="U23" s="18">
        <f>iferror(if(S23="",E23,S23)*T23,"")</f>
        <v>0</v>
      </c>
      <c r="V23" s="19" t="s">
        <v>117</v>
      </c>
      <c r="W23" s="17">
        <v>1</v>
      </c>
      <c r="Y23" s="18">
        <f>iferror(lookup(if(X23="",E23,X23),{0,1,10,30,100,500,1000},{0.0,0.2067,0.1598,0.1512,0.1426,0.1387,0.1368}),"")</f>
        <v>0</v>
      </c>
      <c r="Z23" s="18">
        <f>iferror(if(X23="",E23,X23)*Y23,"")</f>
        <v>0</v>
      </c>
      <c r="AA23" s="19" t="s">
        <v>122</v>
      </c>
      <c r="AB23" s="20" t="s">
        <v>114</v>
      </c>
      <c r="AD23" s="18">
        <f>iferror(lookup(if(AC23="",E23,AC23),{0,1,10,50,100,1000,10000},{0.0,0.21,0.189,0.189,0.166,0.159,0.15}),"")</f>
        <v>0</v>
      </c>
      <c r="AE23" s="18">
        <f>iferror(if(AC23="",E23,AC23)*AD23,"")</f>
        <v>0</v>
      </c>
      <c r="AF23" s="19" t="s">
        <v>133</v>
      </c>
      <c r="AG23" s="17">
        <v>11000</v>
      </c>
      <c r="AI23" s="18">
        <f>iferror(lookup(if(AH23="",E23,AH23),{0,1,10,100,500,3000,9000,24000,45000},{0.0,0.25,0.248,0.203,0.198,0.138,0.135,0.132,0.118}),"")</f>
        <v>0</v>
      </c>
      <c r="AJ23" s="18">
        <f>iferror(if(AH23="",E23,AH23)*AI23,"")</f>
        <v>0</v>
      </c>
      <c r="AK23" s="19" t="s">
        <v>145</v>
      </c>
      <c r="AL23" s="17">
        <v>7360</v>
      </c>
      <c r="AN23" s="18">
        <f>iferror(USD_GBP*lookup(if(AM23="",E23,AM23),{0,1,20,40,100,200,500},{0.0,0.134,0.134,0.097,0.089,0.087,0.085}),"")</f>
        <v>0</v>
      </c>
      <c r="AO23" s="18">
        <f>iferror(if(AM23="",E23,AM23)*AN23,"")</f>
        <v>0</v>
      </c>
      <c r="AP23" s="19" t="s">
        <v>151</v>
      </c>
    </row>
    <row r="24" spans="1:47">
      <c r="A24" s="17" t="s">
        <v>63</v>
      </c>
      <c r="B24" s="17" t="s">
        <v>64</v>
      </c>
      <c r="C24" s="17" t="s">
        <v>65</v>
      </c>
      <c r="D24" s="17" t="s">
        <v>66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  <c r="M24" s="17">
        <v>3351</v>
      </c>
      <c r="O24" s="18">
        <f>iferror(lookup(if(N24="",E24,N24),{0,1,10,25,100,250,500,1000},{0.0,1.5,1.338,1.2704,1.0435,0.9754,0.862,0.71476}),"")</f>
        <v>0</v>
      </c>
      <c r="P24" s="18">
        <f>iferror(if(N24="",E24,N24)*O24,"")</f>
        <v>0</v>
      </c>
      <c r="Q24" s="19" t="s">
        <v>106</v>
      </c>
      <c r="R24" s="20" t="s">
        <v>114</v>
      </c>
      <c r="T24" s="18">
        <f>iferror(USD_GBP*lookup(if(S24="",E24,S24),{0,1,10,25,50,100,250,500,1000,2500},{0.0,1.21,1.02,0.947,0.879,0.741,0.677,0.612,0.563,0.515}),"")</f>
        <v>0</v>
      </c>
      <c r="U24" s="18">
        <f>iferror(if(S24="",E24,S24)*T24,"")</f>
        <v>0</v>
      </c>
      <c r="V24" s="19" t="s">
        <v>118</v>
      </c>
      <c r="AB24" s="17">
        <v>2676</v>
      </c>
      <c r="AD24" s="18">
        <f>iferror(lookup(if(AC24="",E24,AC24),{0,1,10,50,100,1000,10000},{0.0,1.49,1.34,1.27,1.04,0.68,0.599}),"")</f>
        <v>0</v>
      </c>
      <c r="AE24" s="18">
        <f>iferror(if(AC24="",E24,AC24)*AD24,"")</f>
        <v>0</v>
      </c>
      <c r="AF24" s="19" t="s">
        <v>134</v>
      </c>
      <c r="AG24" s="20" t="s">
        <v>114</v>
      </c>
      <c r="AI24" s="18">
        <f>iferror(lookup(if(AH24="",E24,AH24),{0,1,10,100,500,1000,2500},{0.0,1.54,1.41,1.29,1.22,1.16,1.09}),"")</f>
        <v>0</v>
      </c>
      <c r="AJ24" s="18">
        <f>iferror(if(AH24="",E24,AH24)*AI24,"")</f>
        <v>0</v>
      </c>
      <c r="AK24" s="19" t="s">
        <v>146</v>
      </c>
      <c r="AL24" s="17">
        <v>600</v>
      </c>
      <c r="AN24" s="18">
        <f>iferror(USD_GBP*lookup(if(AM24="",E24,AM24),{0,1,5,25},{0.0,0.948,0.948,0.826}),"")</f>
        <v>0</v>
      </c>
      <c r="AO24" s="18">
        <f>iferror(if(AM24="",E24,AM24)*AN24,"")</f>
        <v>0</v>
      </c>
      <c r="AP24" s="19" t="s">
        <v>152</v>
      </c>
    </row>
    <row r="25" spans="1:47">
      <c r="A25" s="17" t="s">
        <v>67</v>
      </c>
      <c r="B25" s="17" t="s">
        <v>68</v>
      </c>
      <c r="C25" s="17" t="s">
        <v>68</v>
      </c>
      <c r="D25" s="17" t="s">
        <v>69</v>
      </c>
      <c r="E25" s="17">
        <f>BoardQty*1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  <c r="M25" s="17">
        <v>6993</v>
      </c>
      <c r="O25" s="18">
        <f>iferror(lookup(if(N25="",E25,N25),{0,1,10,25,100,2500},{0.0,1.66,1.48,1.4044,1.3614,1.31368}),"")</f>
        <v>0</v>
      </c>
      <c r="P25" s="18">
        <f>iferror(if(N25="",E25,N25)*O25,"")</f>
        <v>0</v>
      </c>
      <c r="Q25" s="19" t="s">
        <v>107</v>
      </c>
      <c r="R25" s="17">
        <v>3120</v>
      </c>
      <c r="T25" s="18">
        <f>iferror(USD_GBP*lookup(if(S25="",E25,S25),{0,1,10,50,100,250,500,1000,2500},{0.0,1.45,1.09,0.996,0.901,0.839,0.741,0.738,0.735}),"")</f>
        <v>0</v>
      </c>
      <c r="U25" s="18">
        <f>iferror(if(S25="",E25,S25)*T25,"")</f>
        <v>0</v>
      </c>
      <c r="V25" s="19" t="s">
        <v>119</v>
      </c>
      <c r="AB25" s="17">
        <v>4644</v>
      </c>
      <c r="AD25" s="18">
        <f>iferror(lookup(if(AC25="",E25,AC25),{0,1,10,50,100,1000,10000},{0.0,1.66,1.5,1.42,1.17,0.959,0.955}),"")</f>
        <v>0</v>
      </c>
      <c r="AE25" s="18">
        <f>iferror(if(AC25="",E25,AC25)*AD25,"")</f>
        <v>0</v>
      </c>
      <c r="AF25" s="19" t="s">
        <v>135</v>
      </c>
      <c r="AG25" s="17">
        <v>3120</v>
      </c>
      <c r="AI25" s="18">
        <f>iferror(lookup(if(AH25="",E25,AH25),{0,1,10,25,50,100,2500,5000,10000,15000,25000},{0.0,1.43,1.22,1.12,1.03,0.934,0.602,0.571,0.549,0.543,0.537}),"")</f>
        <v>0</v>
      </c>
      <c r="AJ25" s="18">
        <f>iferror(if(AH25="",E25,AH25)*AI25,"")</f>
        <v>0</v>
      </c>
      <c r="AK25" s="19" t="s">
        <v>147</v>
      </c>
    </row>
    <row r="26" spans="1:47">
      <c r="A26" s="17" t="s">
        <v>70</v>
      </c>
      <c r="B26" s="17" t="s">
        <v>71</v>
      </c>
      <c r="C26" s="17" t="s">
        <v>72</v>
      </c>
      <c r="D26" s="17" t="s">
        <v>73</v>
      </c>
      <c r="E26" s="17">
        <f>BoardQty*1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  <c r="M26" s="17">
        <v>38460</v>
      </c>
      <c r="O26" s="18">
        <f>iferror(lookup(if(N26="",E26,N26),{0,1,10,25,100,250,500,1000,2000},{0.0,2.06,1.854,1.7488,1.4901,1.3992,1.2243,1.01442,0.99}),"")</f>
        <v>0</v>
      </c>
      <c r="P26" s="18">
        <f>iferror(if(N26="",E26,N26)*O26,"")</f>
        <v>0</v>
      </c>
      <c r="Q26" s="19" t="s">
        <v>108</v>
      </c>
      <c r="W26" s="17">
        <v>1692</v>
      </c>
      <c r="Y26" s="18">
        <f>iferror(lookup(if(X26="",E26,X26),{0,1,10,30,100,500,1000},{0.0,1.6032,1.1866,1.1109,1.0351,1.0009,0.9846}),"")</f>
        <v>0</v>
      </c>
      <c r="Z26" s="18">
        <f>iferror(if(X26="",E26,X26)*Y26,"")</f>
        <v>0</v>
      </c>
      <c r="AA26" s="19" t="s">
        <v>123</v>
      </c>
      <c r="AB26" s="17">
        <v>7645</v>
      </c>
      <c r="AD26" s="18">
        <f>iferror(lookup(if(AC26="",E26,AC26),{0,1,10,50,100,1000,10000},{0.0,2.04,1.73,1.73,1.35,1.01,0.952}),"")</f>
        <v>0</v>
      </c>
      <c r="AE26" s="18">
        <f>iferror(if(AC26="",E26,AC26)*AD26,"")</f>
        <v>0</v>
      </c>
      <c r="AF26" s="19" t="s">
        <v>136</v>
      </c>
      <c r="AQ26" s="17">
        <v>1335</v>
      </c>
      <c r="AS26" s="18">
        <f>iferror(USD_GBP*lookup(if(AR26="",E26,AR26),{0,1,5,25,100},{0.0,1.85,1.67,1.47,1.33}),"")</f>
        <v>0</v>
      </c>
      <c r="AT26" s="18">
        <f>iferror(if(AR26="",E26,AR26)*AS26,"")</f>
        <v>0</v>
      </c>
      <c r="AU26" s="19" t="s">
        <v>71</v>
      </c>
    </row>
    <row r="28" spans="1:47">
      <c r="B28" s="21" t="s">
        <v>76</v>
      </c>
      <c r="F28" s="1" t="s">
        <v>74</v>
      </c>
      <c r="G28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28" s="6">
        <f>IFERROR(IF(OR(I7:I26),COUNTIFS(I7:I26,"&gt;0",K7:K26,"&lt;&gt;")&amp;" of "&amp;(ROWS(K7:K26)-COUNTBLANK(K7:K26))&amp;" parts purchased",""),"")</f>
        <v>0</v>
      </c>
      <c r="K28" s="5">
        <f>SUMIF(I7:I26,"&gt;0",K7:K26)</f>
        <v>0</v>
      </c>
      <c r="N28" s="6">
        <f>IFERROR(IF(OR(N7:N26),COUNTIFS(N7:N26,"&gt;0",P7:P26,"&lt;&gt;")&amp;" of "&amp;(ROWS(P7:P26)-COUNTBLANK(P7:P26))&amp;" parts purchased",""),"")</f>
        <v>0</v>
      </c>
      <c r="P28" s="5">
        <f>SUMIF(N7:N26,"&gt;0",P7:P26)</f>
        <v>0</v>
      </c>
      <c r="S28" s="6">
        <f>IFERROR(IF(OR(S7:S26),COUNTIFS(S7:S26,"&gt;0",U7:U26,"&lt;&gt;")&amp;" of "&amp;(ROWS(U7:U26)-COUNTBLANK(U7:U26))&amp;" parts purchased",""),"")</f>
        <v>0</v>
      </c>
      <c r="U28" s="5">
        <f>SUMIF(S7:S26,"&gt;0",U7:U26)</f>
        <v>0</v>
      </c>
      <c r="X28" s="6">
        <f>IFERROR(IF(OR(X7:X26),COUNTIFS(X7:X26,"&gt;0",Z7:Z26,"&lt;&gt;")&amp;" of "&amp;(ROWS(Z7:Z26)-COUNTBLANK(Z7:Z26))&amp;" parts purchased",""),"")</f>
        <v>0</v>
      </c>
      <c r="Z28" s="5">
        <f>SUMIF(X7:X26,"&gt;0",Z7:Z26)</f>
        <v>0</v>
      </c>
      <c r="AC28" s="6">
        <f>IFERROR(IF(OR(AC7:AC26),COUNTIFS(AC7:AC26,"&gt;0",AE7:AE26,"&lt;&gt;")&amp;" of "&amp;(ROWS(AE7:AE26)-COUNTBLANK(AE7:AE26))&amp;" parts purchased",""),"")</f>
        <v>0</v>
      </c>
      <c r="AE28" s="5">
        <f>SUMIF(AC7:AC26,"&gt;0",AE7:AE26)</f>
        <v>0</v>
      </c>
      <c r="AH28" s="6">
        <f>IFERROR(IF(OR(AH7:AH26),COUNTIFS(AH7:AH26,"&gt;0",AJ7:AJ26,"&lt;&gt;")&amp;" of "&amp;(ROWS(AJ7:AJ26)-COUNTBLANK(AJ7:AJ26))&amp;" parts purchased",""),"")</f>
        <v>0</v>
      </c>
      <c r="AJ28" s="5">
        <f>SUMIF(AH7:AH26,"&gt;0",AJ7:AJ26)</f>
        <v>0</v>
      </c>
      <c r="AM28" s="6">
        <f>IFERROR(IF(OR(AM7:AM26),COUNTIFS(AM7:AM26,"&gt;0",AO7:AO26,"&lt;&gt;")&amp;" of "&amp;(ROWS(AO7:AO26)-COUNTBLANK(AO7:AO26))&amp;" parts purchased",""),"")</f>
        <v>0</v>
      </c>
      <c r="AO28" s="5">
        <f>SUMIF(AM7:AM26,"&gt;0",AO7:AO26)</f>
        <v>0</v>
      </c>
      <c r="AR28" s="6">
        <f>IFERROR(IF(OR(AR7:AR26),COUNTIFS(AR7:AR26,"&gt;0",AT7:AT26,"&lt;&gt;")&amp;" of "&amp;(ROWS(AT7:AT26)-COUNTBLANK(AT7:AT26))&amp;" parts purchased",""),"")</f>
        <v>0</v>
      </c>
      <c r="AT28" s="5">
        <f>SUMIF(AR7:AR26,"&gt;0",AT7:AT26)</f>
        <v>0</v>
      </c>
    </row>
    <row r="29" spans="1:47">
      <c r="B29" s="21" t="s">
        <v>77</v>
      </c>
      <c r="C29">
        <v>1.414654066036635</v>
      </c>
      <c r="F29" s="21" t="s">
        <v>75</v>
      </c>
      <c r="I29">
        <f t="array" ref="I29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29">
        <f t="array" ref="N29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29">
        <f t="array" ref="S29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29" s="6">
        <f>IFERROR(IF(COUNTIFS(X7:X26,"&gt;0",Z7:Z26,"&lt;&gt;")&gt;0,"Quantity,Comment,Designator,Footprint,LCSC Part #(optional)",""),"")</f>
        <v>0</v>
      </c>
      <c r="AC29">
        <f t="array" ref="AC29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29">
        <f t="array" ref="AH29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29">
        <f t="array" ref="AM29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29">
        <f t="array" ref="AR29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0" spans="1:47">
      <c r="I30">
        <f t="array" ref="I30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0">
        <f t="array" ref="N30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0">
        <f t="array" ref="S30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0">
        <f t="array" ref="X30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0">
        <f t="array" ref="AC30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0">
        <f t="array" ref="AH30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0">
        <f t="array" ref="AM30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0">
        <f t="array" ref="AR30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1" spans="1:47">
      <c r="A31" s="2" t="s">
        <v>154</v>
      </c>
      <c r="I31">
        <f t="array" ref="I31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1">
        <f t="array" ref="N31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1">
        <f t="array" ref="S31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1">
        <f t="array" ref="X31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1">
        <f t="array" ref="AC31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1">
        <f t="array" ref="AH31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1">
        <f t="array" ref="AM31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1">
        <f t="array" ref="AR31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2" spans="1:47">
      <c r="I32">
        <f t="array" ref="I32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2">
        <f t="array" ref="N32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2">
        <f t="array" ref="S32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2">
        <f t="array" ref="X32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2">
        <f t="array" ref="AC32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2">
        <f t="array" ref="AH32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2">
        <f t="array" ref="AM32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2">
        <f t="array" ref="AR32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3" spans="9:44">
      <c r="I33">
        <f t="array" ref="I33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3">
        <f t="array" ref="N33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3">
        <f t="array" ref="S33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3">
        <f t="array" ref="X33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3">
        <f t="array" ref="AC33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3">
        <f t="array" ref="AH33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3">
        <f t="array" ref="AM33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3">
        <f t="array" ref="AR33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4" spans="9:44">
      <c r="I34">
        <f t="array" ref="I34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4">
        <f t="array" ref="N34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4">
        <f t="array" ref="S34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4">
        <f t="array" ref="X34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4">
        <f t="array" ref="AC34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4">
        <f t="array" ref="AH34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4">
        <f t="array" ref="AM34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4">
        <f t="array" ref="AR34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5" spans="9:44">
      <c r="I35">
        <f t="array" ref="I35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5">
        <f t="array" ref="N35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5">
        <f t="array" ref="S35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5">
        <f t="array" ref="X35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5">
        <f t="array" ref="AC35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5">
        <f t="array" ref="AH35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5">
        <f t="array" ref="AM35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5">
        <f t="array" ref="AR35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6" spans="9:44">
      <c r="I36">
        <f t="array" ref="I36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6">
        <f t="array" ref="N36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6">
        <f t="array" ref="S36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6">
        <f t="array" ref="X36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6">
        <f t="array" ref="AC36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6">
        <f t="array" ref="AH36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6">
        <f t="array" ref="AM36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6">
        <f t="array" ref="AR36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7" spans="9:44">
      <c r="I37">
        <f t="array" ref="I37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7">
        <f t="array" ref="N37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7">
        <f t="array" ref="S37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7">
        <f t="array" ref="X37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7">
        <f t="array" ref="AC37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7">
        <f t="array" ref="AH37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7">
        <f t="array" ref="AM37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7">
        <f t="array" ref="AR37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8" spans="9:44">
      <c r="I38">
        <f t="array" ref="I38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8">
        <f t="array" ref="N38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8">
        <f t="array" ref="S38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8">
        <f t="array" ref="X38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8">
        <f t="array" ref="AC38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8">
        <f t="array" ref="AH38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8">
        <f t="array" ref="AM38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8">
        <f t="array" ref="AR38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39" spans="9:44">
      <c r="I39">
        <f t="array" ref="I39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39">
        <f t="array" ref="N39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39">
        <f t="array" ref="S39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39">
        <f t="array" ref="X39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39">
        <f t="array" ref="AC39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39">
        <f t="array" ref="AH39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39">
        <f t="array" ref="AM39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39">
        <f t="array" ref="AR39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0" spans="9:44">
      <c r="I40">
        <f t="array" ref="I40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0">
        <f t="array" ref="N40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0">
        <f t="array" ref="S40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0">
        <f t="array" ref="X40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0">
        <f t="array" ref="AC40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0">
        <f t="array" ref="AH40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0">
        <f t="array" ref="AM40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0">
        <f t="array" ref="AR40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1" spans="9:44">
      <c r="I41">
        <f t="array" ref="I41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1">
        <f t="array" ref="N41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1">
        <f t="array" ref="S41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1">
        <f t="array" ref="X41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1">
        <f t="array" ref="AC41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1">
        <f t="array" ref="AH41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1">
        <f t="array" ref="AM41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1">
        <f t="array" ref="AR41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2" spans="9:44">
      <c r="I42">
        <f t="array" ref="I42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2">
        <f t="array" ref="N42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2">
        <f t="array" ref="S42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2">
        <f t="array" ref="X42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2">
        <f t="array" ref="AC42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2">
        <f t="array" ref="AH42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2">
        <f t="array" ref="AM42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2">
        <f t="array" ref="AR42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3" spans="9:44">
      <c r="I43">
        <f t="array" ref="I43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3">
        <f t="array" ref="N43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3">
        <f t="array" ref="S43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3">
        <f t="array" ref="X43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3">
        <f t="array" ref="AC43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3">
        <f t="array" ref="AH43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3">
        <f t="array" ref="AM43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3">
        <f t="array" ref="AR43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4" spans="9:44">
      <c r="I44">
        <f t="array" ref="I44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4">
        <f t="array" ref="N44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4">
        <f t="array" ref="S44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4">
        <f t="array" ref="X44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4">
        <f t="array" ref="AC44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4">
        <f t="array" ref="AH44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4">
        <f t="array" ref="AM44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4">
        <f t="array" ref="AR44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5" spans="9:44">
      <c r="I45">
        <f t="array" ref="I45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5">
        <f t="array" ref="N45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5">
        <f t="array" ref="S45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5">
        <f t="array" ref="X45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5">
        <f t="array" ref="AC45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5">
        <f t="array" ref="AH45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5">
        <f t="array" ref="AM45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5">
        <f t="array" ref="AR45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6" spans="9:44">
      <c r="I46">
        <f t="array" ref="I46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6">
        <f t="array" ref="N46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6">
        <f t="array" ref="S46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6">
        <f t="array" ref="X46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6">
        <f t="array" ref="AC46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6">
        <f t="array" ref="AH46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6">
        <f t="array" ref="AM46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6">
        <f t="array" ref="AR46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7" spans="9:44">
      <c r="I47">
        <f t="array" ref="I47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7">
        <f t="array" ref="N47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7">
        <f t="array" ref="S47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7">
        <f t="array" ref="X47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7">
        <f t="array" ref="AC47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7">
        <f t="array" ref="AH47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7">
        <f t="array" ref="AM47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7">
        <f t="array" ref="AR47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8" spans="9:44">
      <c r="I48">
        <f t="array" ref="I48">IFERROR(CONCATENATE(INDEX(L7:L26,SMALL(IF(ISNUMBER(I7:I26),IF(I7:I26&gt;0,IF(L7:L26&lt;&gt;"",ROW(I7:I26)-MIN(ROW(I7:I26))+1))),ROW()-ROW(A$29)+1)),",",TEXT(INDEX(I7:I26,SMALL(IF(ISNUMBER(I7:I26),IF(I7:I26&gt;0,IF(L7:L26&lt;&gt;"",ROW(I7:I26)-MIN(ROW(I7:I26))+1))),ROW()-ROW(A$29)+1)),"##0"),",",SUBSTITUTE(INDEX(IF(PURCHASE_DESCRIPTION&lt;&gt;"",PURCHASE_DESCRIPTION&amp;":","")&amp;A7:A26,SMALL(IF(ISNUMBER(I7:I26),IF(I7:I26&gt;0,IF(L7:L26&lt;&gt;"",ROW(I7:I26)-MIN(ROW(I7:I26))+1))),ROW()-ROW(A$29)+1)),",",";")),"")</f>
        <v>0</v>
      </c>
      <c r="N48">
        <f t="array" ref="N48">IFERROR(CONCATENATE(TEXT(INDEX(N7:N26,SMALL(IF(ISNUMBER(N7:N26),IF(N7:N26&gt;0,IF(Q7:Q26&lt;&gt;"",ROW(N7:N26)-MIN(ROW(N7:N26))+1))),ROW()-ROW(A$29)+1)),"##0"),",",INDEX(Q7:Q26,SMALL(IF(ISNUMBER(N7:N26),IF(N7:N26&gt;0,IF(Q7:Q26&lt;&gt;"",ROW(N7:N26)-MIN(ROW(N7:N26))+1))),ROW()-ROW(A$29)+1)),",",SUBSTITUTE(INDEX(IF(PURCHASE_DESCRIPTION&lt;&gt;"",PURCHASE_DESCRIPTION&amp;":","")&amp;A7:A26,SMALL(IF(ISNUMBER(N7:N26),IF(N7:N26&gt;0,IF(Q7:Q26&lt;&gt;"",ROW(N7:N26)-MIN(ROW(N7:N26))+1))),ROW()-ROW(A$29)+1)),",",";")),"")</f>
        <v>0</v>
      </c>
      <c r="S48">
        <f t="array" ref="S48">IFERROR(CONCATENATE(INDEX(V7:V26,SMALL(IF(ISNUMBER(S7:S26),IF(S7:S26&gt;0,IF(V7:V26&lt;&gt;"",ROW(S7:S26)-MIN(ROW(S7:S26))+1))),ROW()-ROW(A$29)+1))," ",TEXT(INDEX(S7:S26,SMALL(IF(ISNUMBER(S7:S26),IF(S7:S26&gt;0,IF(V7:V26&lt;&gt;"",ROW(S7:S26)-MIN(ROW(S7:S26))+1))),ROW()-ROW(A$29)+1)),"##0")," ",SUBSTITUTE(INDEX(IF(PURCHASE_DESCRIPTION&lt;&gt;"",PURCHASE_DESCRIPTION&amp;":","")&amp;A7:A26,SMALL(IF(ISNUMBER(S7:S26),IF(S7:S26&gt;0,IF(V7:V26&lt;&gt;"",ROW(S7:S26)-MIN(ROW(S7:S26))+1))),ROW()-ROW(A$29)+1))," ",";")),"")</f>
        <v>0</v>
      </c>
      <c r="X48">
        <f t="array" ref="X48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  <c r="AC48">
        <f t="array" ref="AC48">IFERROR(CONCATENATE(INDEX(AF7:AF26,SMALL(IF(ISNUMBER(AC7:AC26),IF(AC7:AC26&gt;0,IF(AF7:AF26&lt;&gt;"",ROW(AC7:AC26)-MIN(ROW(AC7:AC26))+1))),ROW()-ROW(A$29)+1)),"|",TEXT(INDEX(AC7:AC26,SMALL(IF(ISNUMBER(AC7:AC26),IF(AC7:AC26&gt;0,IF(AF7:AF26&lt;&gt;"",ROW(AC7:AC26)-MIN(ROW(AC7:AC26))+1))),ROW()-ROW(A$29)+1)),"##0"),"|",SUBSTITUTE(SUBSTITUTE(INDEX(IF(PURCHASE_DESCRIPTION&lt;&gt;"",PURCHASE_DESCRIPTION&amp;":","")&amp;A7:A26,SMALL(IF(ISNUMBER(AC7:AC26),IF(AC7:AC26&gt;0,IF(AF7:AF26&lt;&gt;"",ROW(AC7:AC26)-MIN(ROW(AC7:AC26))+1))),ROW()-ROW(A$29)+1)),"|",";")," ","_")),"")</f>
        <v>0</v>
      </c>
      <c r="AH48">
        <f t="array" ref="AH48">IFERROR(CONCATENATE(INDEX(AK7:AK26,SMALL(IF(ISNUMBER(AH7:AH26),IF(AH7:AH26&gt;0,IF(AK7:AK26&lt;&gt;"",ROW(AH7:AH26)-MIN(ROW(AH7:AH26))+1))),ROW()-ROW(A$29)+1)),",",TEXT(INDEX(AH7:AH26,SMALL(IF(ISNUMBER(AH7:AH26),IF(AH7:AH26&gt;0,IF(AK7:AK26&lt;&gt;"",ROW(AH7:AH26)-MIN(ROW(AH7:AH26))+1))),ROW()-ROW(A$29)+1)),"##0"),",",SUBSTITUTE(INDEX(IF(PURCHASE_DESCRIPTION&lt;&gt;"",PURCHASE_DESCRIPTION&amp;":","")&amp;A7:A26,SMALL(IF(ISNUMBER(AH7:AH26),IF(AH7:AH26&gt;0,IF(AK7:AK26&lt;&gt;"",ROW(AH7:AH26)-MIN(ROW(AH7:AH26))+1))),ROW()-ROW(A$29)+1)),",",";")),"")</f>
        <v>0</v>
      </c>
      <c r="AM48">
        <f t="array" ref="AM48">IFERROR(CONCATENATE(INDEX(AP7:AP26,SMALL(IF(ISNUMBER(AM7:AM26),IF(AM7:AM26&gt;0,IF(AP7:AP26&lt;&gt;"",ROW(AM7:AM26)-MIN(ROW(AM7:AM26))+1))),ROW()-ROW(A$29)+1))," ",TEXT(INDEX(AM7:AM26,SMALL(IF(ISNUMBER(AM7:AM26),IF(AM7:AM26&gt;0,IF(AP7:AP26&lt;&gt;"",ROW(AM7:AM26)-MIN(ROW(AM7:AM26))+1))),ROW()-ROW(A$29)+1)),"##0")," ",SUBSTITUTE(INDEX(IF(PURCHASE_DESCRIPTION&lt;&gt;"",PURCHASE_DESCRIPTION&amp;":","")&amp;A7:A26,SMALL(IF(ISNUMBER(AM7:AM26),IF(AM7:AM26&gt;0,IF(AP7:AP26&lt;&gt;"",ROW(AM7:AM26)-MIN(ROW(AM7:AM26))+1))),ROW()-ROW(A$29)+1))," ",";")),"")</f>
        <v>0</v>
      </c>
      <c r="AR48">
        <f t="array" ref="AR48">IFERROR(CONCATENATE(INDEX(AU7:AU26,SMALL(IF(ISNUMBER(AR7:AR26),IF(AR7:AR26&gt;0,IF(AU7:AU26&lt;&gt;"",ROW(AR7:AR26)-MIN(ROW(AR7:AR26))+1))),ROW()-ROW(A$29)+1))," ",TEXT(INDEX(AR7:AR26,SMALL(IF(ISNUMBER(AR7:AR26),IF(AR7:AR26&gt;0,IF(AU7:AU26&lt;&gt;"",ROW(AR7:AR26)-MIN(ROW(AR7:AR26))+1))),ROW()-ROW(A$29)+1)),"##0")," ",SUBSTITUTE(INDEX(IF(PURCHASE_DESCRIPTION&lt;&gt;"",PURCHASE_DESCRIPTION&amp;":","")&amp;A7:A26,SMALL(IF(ISNUMBER(AR7:AR26),IF(AR7:AR26&gt;0,IF(AU7:AU26&lt;&gt;"",ROW(AR7:AR26)-MIN(ROW(AR7:AR26))+1))),ROW()-ROW(A$29)+1))," ",";")),"")</f>
        <v>0</v>
      </c>
    </row>
    <row r="49" spans="24:24">
      <c r="X49">
        <f t="array" ref="X49">IFERROR(CONCATENATE(TEXT(INDEX(X7:X26,SMALL(IF(ISNUMBER(X7:X26),IF(X7:X26&gt;0,IF(AA7:AA26&lt;&gt;"",ROW(X7:X26)-MIN(ROW(X7:X26))+1))),ROW()-ROW(A$30)+1)),"##0"),",",SUBSTITUTE(INDEX(IF(PURCHASE_DESCRIPTION&lt;&gt;"",PURCHASE_DESCRIPTION&amp;":","")&amp;A7:A26,SMALL(IF(ISNUMBER(X7:X26),IF(X7:X26&gt;0,IF(AA7:AA26&lt;&gt;"",ROW(X7:X26)-MIN(ROW(X7:X26))+1))),ROW()-ROW(A$30)+1)),",",";"),",",SUBSTITUTE(INDEX(IF(PURCHASE_DESCRIPTION&lt;&gt;"",PURCHASE_DESCRIPTION&amp;":","")&amp;C7:C26,SMALL(IF(ISNUMBER(X7:X26),IF(X7:X26&gt;0,IF(AA7:AA26&lt;&gt;"",ROW(X7:X26)-MIN(ROW(X7:X26))+1))),ROW()-ROW(A$30)+1)),",",";"),",",INDEX(AA7:AA26,SMALL(IF(ISNUMBER(X7:X26),IF(X7:X26&gt;0,IF(AA7:AA26&lt;&gt;"",ROW(X7:X26)-MIN(ROW(X7:X26))+1))),ROW()-ROW(A$30)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1">
    <cfRule type="cellIs" dxfId="1" priority="237" operator="equal">
      <formula>0</formula>
    </cfRule>
    <cfRule type="cellIs" dxfId="2" priority="238" operator="lessThan">
      <formula>E11</formula>
    </cfRule>
  </conditionalFormatting>
  <conditionalFormatting sqref="AB16">
    <cfRule type="cellIs" dxfId="1" priority="242" operator="equal">
      <formula>0</formula>
    </cfRule>
    <cfRule type="cellIs" dxfId="2" priority="243" operator="lessThan">
      <formula>E16</formula>
    </cfRule>
  </conditionalFormatting>
  <conditionalFormatting sqref="AB18">
    <cfRule type="cellIs" dxfId="1" priority="247" operator="equal">
      <formula>0</formula>
    </cfRule>
    <cfRule type="cellIs" dxfId="2" priority="248" operator="lessThan">
      <formula>E18</formula>
    </cfRule>
  </conditionalFormatting>
  <conditionalFormatting sqref="AB19">
    <cfRule type="cellIs" dxfId="1" priority="252" operator="equal">
      <formula>0</formula>
    </cfRule>
    <cfRule type="cellIs" dxfId="2" priority="253" operator="lessThan">
      <formula>E19</formula>
    </cfRule>
  </conditionalFormatting>
  <conditionalFormatting sqref="AB20">
    <cfRule type="cellIs" dxfId="1" priority="257" operator="equal">
      <formula>0</formula>
    </cfRule>
    <cfRule type="cellIs" dxfId="2" priority="258" operator="lessThan">
      <formula>E20</formula>
    </cfRule>
  </conditionalFormatting>
  <conditionalFormatting sqref="AB21">
    <cfRule type="cellIs" dxfId="1" priority="262" operator="equal">
      <formula>0</formula>
    </cfRule>
    <cfRule type="cellIs" dxfId="2" priority="263" operator="lessThan">
      <formula>E21</formula>
    </cfRule>
  </conditionalFormatting>
  <conditionalFormatting sqref="AB23">
    <cfRule type="cellIs" dxfId="1" priority="267" operator="equal">
      <formula>0</formula>
    </cfRule>
    <cfRule type="cellIs" dxfId="2" priority="268" operator="lessThan">
      <formula>E23</formula>
    </cfRule>
  </conditionalFormatting>
  <conditionalFormatting sqref="AB24">
    <cfRule type="cellIs" dxfId="1" priority="272" operator="equal">
      <formula>0</formula>
    </cfRule>
    <cfRule type="cellIs" dxfId="2" priority="273" operator="lessThan">
      <formula>E24</formula>
    </cfRule>
  </conditionalFormatting>
  <conditionalFormatting sqref="AB25">
    <cfRule type="cellIs" dxfId="1" priority="277" operator="equal">
      <formula>0</formula>
    </cfRule>
    <cfRule type="cellIs" dxfId="2" priority="278" operator="lessThan">
      <formula>E25</formula>
    </cfRule>
  </conditionalFormatting>
  <conditionalFormatting sqref="AB26">
    <cfRule type="cellIs" dxfId="1" priority="282" operator="equal">
      <formula>0</formula>
    </cfRule>
    <cfRule type="cellIs" dxfId="2" priority="283" operator="lessThan">
      <formula>E26</formula>
    </cfRule>
  </conditionalFormatting>
  <conditionalFormatting sqref="AB7">
    <cfRule type="cellIs" dxfId="1" priority="227" operator="equal">
      <formula>0</formula>
    </cfRule>
    <cfRule type="cellIs" dxfId="2" priority="228" operator="lessThan">
      <formula>E7</formula>
    </cfRule>
  </conditionalFormatting>
  <conditionalFormatting sqref="AB9">
    <cfRule type="cellIs" dxfId="1" priority="232" operator="equal">
      <formula>0</formula>
    </cfRule>
    <cfRule type="cellIs" dxfId="2" priority="233" operator="lessThan">
      <formula>E9</formula>
    </cfRule>
  </conditionalFormatting>
  <conditionalFormatting sqref="AC11">
    <cfRule type="cellIs" dxfId="1" priority="239" operator="greaterThan">
      <formula>AB11</formula>
    </cfRule>
  </conditionalFormatting>
  <conditionalFormatting sqref="AC16">
    <cfRule type="cellIs" dxfId="1" priority="244" operator="greaterThan">
      <formula>AB16</formula>
    </cfRule>
  </conditionalFormatting>
  <conditionalFormatting sqref="AC18">
    <cfRule type="cellIs" dxfId="1" priority="249" operator="greaterThan">
      <formula>AB18</formula>
    </cfRule>
  </conditionalFormatting>
  <conditionalFormatting sqref="AC19">
    <cfRule type="cellIs" dxfId="1" priority="254" operator="greaterThan">
      <formula>AB19</formula>
    </cfRule>
  </conditionalFormatting>
  <conditionalFormatting sqref="AC20">
    <cfRule type="cellIs" dxfId="1" priority="259" operator="greaterThan">
      <formula>AB20</formula>
    </cfRule>
  </conditionalFormatting>
  <conditionalFormatting sqref="AC21">
    <cfRule type="cellIs" dxfId="1" priority="264" operator="greaterThan">
      <formula>AB21</formula>
    </cfRule>
  </conditionalFormatting>
  <conditionalFormatting sqref="AC23">
    <cfRule type="cellIs" dxfId="1" priority="269" operator="greaterThan">
      <formula>AB23</formula>
    </cfRule>
  </conditionalFormatting>
  <conditionalFormatting sqref="AC24">
    <cfRule type="cellIs" dxfId="1" priority="274" operator="greaterThan">
      <formula>AB24</formula>
    </cfRule>
  </conditionalFormatting>
  <conditionalFormatting sqref="AC25">
    <cfRule type="cellIs" dxfId="1" priority="279" operator="greaterThan">
      <formula>AB25</formula>
    </cfRule>
  </conditionalFormatting>
  <conditionalFormatting sqref="AC26">
    <cfRule type="cellIs" dxfId="1" priority="284" operator="greaterThan">
      <formula>AB26</formula>
    </cfRule>
  </conditionalFormatting>
  <conditionalFormatting sqref="AC7">
    <cfRule type="cellIs" dxfId="1" priority="229" operator="greaterThan">
      <formula>AB7</formula>
    </cfRule>
  </conditionalFormatting>
  <conditionalFormatting sqref="AC9">
    <cfRule type="cellIs" dxfId="1" priority="234" operator="greaterThan">
      <formula>AB9</formula>
    </cfRule>
  </conditionalFormatting>
  <conditionalFormatting sqref="AD11">
    <cfRule type="cellIs" dxfId="4" priority="241" operator="lessThanOrEqual">
      <formula>F11</formula>
    </cfRule>
  </conditionalFormatting>
  <conditionalFormatting sqref="AD16">
    <cfRule type="cellIs" dxfId="4" priority="246" operator="lessThanOrEqual">
      <formula>F16</formula>
    </cfRule>
  </conditionalFormatting>
  <conditionalFormatting sqref="AD18">
    <cfRule type="cellIs" dxfId="4" priority="251" operator="lessThanOrEqual">
      <formula>F18</formula>
    </cfRule>
  </conditionalFormatting>
  <conditionalFormatting sqref="AD19">
    <cfRule type="cellIs" dxfId="4" priority="256" operator="lessThanOrEqual">
      <formula>F19</formula>
    </cfRule>
  </conditionalFormatting>
  <conditionalFormatting sqref="AD20">
    <cfRule type="cellIs" dxfId="4" priority="261" operator="lessThanOrEqual">
      <formula>F20</formula>
    </cfRule>
  </conditionalFormatting>
  <conditionalFormatting sqref="AD21">
    <cfRule type="cellIs" dxfId="4" priority="266" operator="lessThanOrEqual">
      <formula>F21</formula>
    </cfRule>
  </conditionalFormatting>
  <conditionalFormatting sqref="AD23">
    <cfRule type="cellIs" dxfId="4" priority="271" operator="lessThanOrEqual">
      <formula>F23</formula>
    </cfRule>
  </conditionalFormatting>
  <conditionalFormatting sqref="AD24">
    <cfRule type="cellIs" dxfId="4" priority="276" operator="lessThanOrEqual">
      <formula>F24</formula>
    </cfRule>
  </conditionalFormatting>
  <conditionalFormatting sqref="AD25">
    <cfRule type="cellIs" dxfId="4" priority="281" operator="lessThanOrEqual">
      <formula>F25</formula>
    </cfRule>
  </conditionalFormatting>
  <conditionalFormatting sqref="AD26">
    <cfRule type="cellIs" dxfId="4" priority="286" operator="lessThanOrEqual">
      <formula>F26</formula>
    </cfRule>
  </conditionalFormatting>
  <conditionalFormatting sqref="AD7">
    <cfRule type="cellIs" dxfId="4" priority="231" operator="lessThanOrEqual">
      <formula>F7</formula>
    </cfRule>
  </conditionalFormatting>
  <conditionalFormatting sqref="AD9">
    <cfRule type="cellIs" dxfId="4" priority="236" operator="lessThanOrEqual">
      <formula>F9</formula>
    </cfRule>
  </conditionalFormatting>
  <conditionalFormatting sqref="AE11">
    <cfRule type="cellIs" dxfId="4" priority="240" operator="lessThanOrEqual">
      <formula>G11</formula>
    </cfRule>
  </conditionalFormatting>
  <conditionalFormatting sqref="AE16">
    <cfRule type="cellIs" dxfId="4" priority="245" operator="lessThanOrEqual">
      <formula>G16</formula>
    </cfRule>
  </conditionalFormatting>
  <conditionalFormatting sqref="AE18">
    <cfRule type="cellIs" dxfId="4" priority="250" operator="lessThanOrEqual">
      <formula>G18</formula>
    </cfRule>
  </conditionalFormatting>
  <conditionalFormatting sqref="AE19">
    <cfRule type="cellIs" dxfId="4" priority="255" operator="lessThanOrEqual">
      <formula>G19</formula>
    </cfRule>
  </conditionalFormatting>
  <conditionalFormatting sqref="AE20">
    <cfRule type="cellIs" dxfId="4" priority="260" operator="lessThanOrEqual">
      <formula>G20</formula>
    </cfRule>
  </conditionalFormatting>
  <conditionalFormatting sqref="AE21">
    <cfRule type="cellIs" dxfId="4" priority="265" operator="lessThanOrEqual">
      <formula>G21</formula>
    </cfRule>
  </conditionalFormatting>
  <conditionalFormatting sqref="AE23">
    <cfRule type="cellIs" dxfId="4" priority="270" operator="lessThanOrEqual">
      <formula>G23</formula>
    </cfRule>
  </conditionalFormatting>
  <conditionalFormatting sqref="AE24">
    <cfRule type="cellIs" dxfId="4" priority="275" operator="lessThanOrEqual">
      <formula>G24</formula>
    </cfRule>
  </conditionalFormatting>
  <conditionalFormatting sqref="AE25">
    <cfRule type="cellIs" dxfId="4" priority="280" operator="lessThanOrEqual">
      <formula>G25</formula>
    </cfRule>
  </conditionalFormatting>
  <conditionalFormatting sqref="AE26">
    <cfRule type="cellIs" dxfId="4" priority="285" operator="lessThanOrEqual">
      <formula>G26</formula>
    </cfRule>
  </conditionalFormatting>
  <conditionalFormatting sqref="AE7">
    <cfRule type="cellIs" dxfId="4" priority="230" operator="lessThanOrEqual">
      <formula>G7</formula>
    </cfRule>
  </conditionalFormatting>
  <conditionalFormatting sqref="AE9">
    <cfRule type="cellIs" dxfId="4" priority="235" operator="lessThanOrEqual">
      <formula>G9</formula>
    </cfRule>
  </conditionalFormatting>
  <conditionalFormatting sqref="AG11">
    <cfRule type="cellIs" dxfId="1" priority="297" operator="equal">
      <formula>0</formula>
    </cfRule>
    <cfRule type="cellIs" dxfId="2" priority="298" operator="lessThan">
      <formula>E11</formula>
    </cfRule>
  </conditionalFormatting>
  <conditionalFormatting sqref="AG16">
    <cfRule type="cellIs" dxfId="1" priority="302" operator="equal">
      <formula>0</formula>
    </cfRule>
    <cfRule type="cellIs" dxfId="2" priority="303" operator="lessThan">
      <formula>E16</formula>
    </cfRule>
  </conditionalFormatting>
  <conditionalFormatting sqref="AG18">
    <cfRule type="cellIs" dxfId="1" priority="307" operator="equal">
      <formula>0</formula>
    </cfRule>
    <cfRule type="cellIs" dxfId="2" priority="308" operator="lessThan">
      <formula>E18</formula>
    </cfRule>
  </conditionalFormatting>
  <conditionalFormatting sqref="AG19">
    <cfRule type="cellIs" dxfId="1" priority="313" operator="equal">
      <formula>0</formula>
    </cfRule>
    <cfRule type="cellIs" dxfId="2" priority="314" operator="lessThan">
      <formula>E19</formula>
    </cfRule>
  </conditionalFormatting>
  <conditionalFormatting sqref="AG20">
    <cfRule type="cellIs" dxfId="1" priority="319" operator="equal">
      <formula>0</formula>
    </cfRule>
    <cfRule type="cellIs" dxfId="2" priority="320" operator="lessThan">
      <formula>E20</formula>
    </cfRule>
  </conditionalFormatting>
  <conditionalFormatting sqref="AG23">
    <cfRule type="cellIs" dxfId="1" priority="325" operator="equal">
      <formula>0</formula>
    </cfRule>
    <cfRule type="cellIs" dxfId="2" priority="326" operator="lessThan">
      <formula>E23</formula>
    </cfRule>
  </conditionalFormatting>
  <conditionalFormatting sqref="AG24">
    <cfRule type="cellIs" dxfId="1" priority="330" operator="equal">
      <formula>0</formula>
    </cfRule>
    <cfRule type="cellIs" dxfId="2" priority="331" operator="lessThan">
      <formula>E24</formula>
    </cfRule>
  </conditionalFormatting>
  <conditionalFormatting sqref="AG25">
    <cfRule type="cellIs" dxfId="1" priority="335" operator="equal">
      <formula>0</formula>
    </cfRule>
    <cfRule type="cellIs" dxfId="2" priority="336" operator="lessThan">
      <formula>E25</formula>
    </cfRule>
  </conditionalFormatting>
  <conditionalFormatting sqref="AG7">
    <cfRule type="cellIs" dxfId="1" priority="287" operator="equal">
      <formula>0</formula>
    </cfRule>
    <cfRule type="cellIs" dxfId="2" priority="288" operator="lessThan">
      <formula>E7</formula>
    </cfRule>
  </conditionalFormatting>
  <conditionalFormatting sqref="AG9">
    <cfRule type="cellIs" dxfId="1" priority="292" operator="equal">
      <formula>0</formula>
    </cfRule>
    <cfRule type="cellIs" dxfId="2" priority="293" operator="lessThan">
      <formula>E9</formula>
    </cfRule>
  </conditionalFormatting>
  <conditionalFormatting sqref="AH11">
    <cfRule type="cellIs" dxfId="1" priority="299" operator="greaterThan">
      <formula>AG11</formula>
    </cfRule>
  </conditionalFormatting>
  <conditionalFormatting sqref="AH16">
    <cfRule type="cellIs" dxfId="1" priority="304" operator="greaterThan">
      <formula>AG16</formula>
    </cfRule>
  </conditionalFormatting>
  <conditionalFormatting sqref="AH18">
    <cfRule type="expression" dxfId="3" priority="309">
      <formula>AND(AH18&gt;0,AH18&lt;40000)</formula>
    </cfRule>
    <cfRule type="cellIs" dxfId="1" priority="310" operator="greaterThan">
      <formula>AG18</formula>
    </cfRule>
  </conditionalFormatting>
  <conditionalFormatting sqref="AH19">
    <cfRule type="expression" dxfId="3" priority="315">
      <formula>AND(AH19&gt;0,AH19&lt;20000)</formula>
    </cfRule>
    <cfRule type="cellIs" dxfId="1" priority="316" operator="greaterThan">
      <formula>AG19</formula>
    </cfRule>
  </conditionalFormatting>
  <conditionalFormatting sqref="AH20">
    <cfRule type="expression" dxfId="3" priority="321">
      <formula>AND(AH20&gt;0,AH20&lt;10)</formula>
    </cfRule>
    <cfRule type="cellIs" dxfId="1" priority="322" operator="greaterThan">
      <formula>AG20</formula>
    </cfRule>
  </conditionalFormatting>
  <conditionalFormatting sqref="AH23">
    <cfRule type="cellIs" dxfId="1" priority="327" operator="greaterThan">
      <formula>AG23</formula>
    </cfRule>
  </conditionalFormatting>
  <conditionalFormatting sqref="AH24">
    <cfRule type="cellIs" dxfId="1" priority="332" operator="greaterThan">
      <formula>AG24</formula>
    </cfRule>
  </conditionalFormatting>
  <conditionalFormatting sqref="AH25">
    <cfRule type="cellIs" dxfId="1" priority="337" operator="greaterThan">
      <formula>AG25</formula>
    </cfRule>
  </conditionalFormatting>
  <conditionalFormatting sqref="AH7">
    <cfRule type="cellIs" dxfId="1" priority="289" operator="greaterThan">
      <formula>AG7</formula>
    </cfRule>
  </conditionalFormatting>
  <conditionalFormatting sqref="AH9">
    <cfRule type="cellIs" dxfId="1" priority="294" operator="greaterThan">
      <formula>AG9</formula>
    </cfRule>
  </conditionalFormatting>
  <conditionalFormatting sqref="AI11">
    <cfRule type="cellIs" dxfId="4" priority="301" operator="lessThanOrEqual">
      <formula>F11</formula>
    </cfRule>
  </conditionalFormatting>
  <conditionalFormatting sqref="AI16">
    <cfRule type="cellIs" dxfId="4" priority="306" operator="lessThanOrEqual">
      <formula>F16</formula>
    </cfRule>
  </conditionalFormatting>
  <conditionalFormatting sqref="AI18">
    <cfRule type="cellIs" dxfId="4" priority="312" operator="lessThanOrEqual">
      <formula>F18</formula>
    </cfRule>
  </conditionalFormatting>
  <conditionalFormatting sqref="AI19">
    <cfRule type="cellIs" dxfId="4" priority="318" operator="lessThanOrEqual">
      <formula>F19</formula>
    </cfRule>
  </conditionalFormatting>
  <conditionalFormatting sqref="AI20">
    <cfRule type="cellIs" dxfId="4" priority="324" operator="lessThanOrEqual">
      <formula>F20</formula>
    </cfRule>
  </conditionalFormatting>
  <conditionalFormatting sqref="AI23">
    <cfRule type="cellIs" dxfId="4" priority="329" operator="lessThanOrEqual">
      <formula>F23</formula>
    </cfRule>
  </conditionalFormatting>
  <conditionalFormatting sqref="AI24">
    <cfRule type="cellIs" dxfId="4" priority="334" operator="lessThanOrEqual">
      <formula>F24</formula>
    </cfRule>
  </conditionalFormatting>
  <conditionalFormatting sqref="AI25">
    <cfRule type="cellIs" dxfId="4" priority="339" operator="lessThanOrEqual">
      <formula>F25</formula>
    </cfRule>
  </conditionalFormatting>
  <conditionalFormatting sqref="AI7">
    <cfRule type="cellIs" dxfId="4" priority="291" operator="lessThanOrEqual">
      <formula>F7</formula>
    </cfRule>
  </conditionalFormatting>
  <conditionalFormatting sqref="AI9">
    <cfRule type="cellIs" dxfId="4" priority="296" operator="lessThanOrEqual">
      <formula>F9</formula>
    </cfRule>
  </conditionalFormatting>
  <conditionalFormatting sqref="AJ11">
    <cfRule type="cellIs" dxfId="4" priority="300" operator="lessThanOrEqual">
      <formula>G11</formula>
    </cfRule>
  </conditionalFormatting>
  <conditionalFormatting sqref="AJ16">
    <cfRule type="cellIs" dxfId="4" priority="305" operator="lessThanOrEqual">
      <formula>G16</formula>
    </cfRule>
  </conditionalFormatting>
  <conditionalFormatting sqref="AJ18">
    <cfRule type="cellIs" dxfId="4" priority="311" operator="lessThanOrEqual">
      <formula>G18</formula>
    </cfRule>
  </conditionalFormatting>
  <conditionalFormatting sqref="AJ19">
    <cfRule type="cellIs" dxfId="4" priority="317" operator="lessThanOrEqual">
      <formula>G19</formula>
    </cfRule>
  </conditionalFormatting>
  <conditionalFormatting sqref="AJ20">
    <cfRule type="cellIs" dxfId="4" priority="323" operator="lessThanOrEqual">
      <formula>G20</formula>
    </cfRule>
  </conditionalFormatting>
  <conditionalFormatting sqref="AJ23">
    <cfRule type="cellIs" dxfId="4" priority="328" operator="lessThanOrEqual">
      <formula>G23</formula>
    </cfRule>
  </conditionalFormatting>
  <conditionalFormatting sqref="AJ24">
    <cfRule type="cellIs" dxfId="4" priority="333" operator="lessThanOrEqual">
      <formula>G24</formula>
    </cfRule>
  </conditionalFormatting>
  <conditionalFormatting sqref="AJ25">
    <cfRule type="cellIs" dxfId="4" priority="338" operator="lessThanOrEqual">
      <formula>G25</formula>
    </cfRule>
  </conditionalFormatting>
  <conditionalFormatting sqref="AJ7">
    <cfRule type="cellIs" dxfId="4" priority="290" operator="lessThanOrEqual">
      <formula>G7</formula>
    </cfRule>
  </conditionalFormatting>
  <conditionalFormatting sqref="AJ9">
    <cfRule type="cellIs" dxfId="4" priority="295" operator="lessThanOrEqual">
      <formula>G9</formula>
    </cfRule>
  </conditionalFormatting>
  <conditionalFormatting sqref="AL16">
    <cfRule type="cellIs" dxfId="1" priority="346" operator="equal">
      <formula>0</formula>
    </cfRule>
    <cfRule type="cellIs" dxfId="2" priority="347" operator="lessThan">
      <formula>E16</formula>
    </cfRule>
  </conditionalFormatting>
  <conditionalFormatting sqref="AL23">
    <cfRule type="cellIs" dxfId="1" priority="352" operator="equal">
      <formula>0</formula>
    </cfRule>
    <cfRule type="cellIs" dxfId="2" priority="353" operator="lessThan">
      <formula>E23</formula>
    </cfRule>
  </conditionalFormatting>
  <conditionalFormatting sqref="AL24">
    <cfRule type="cellIs" dxfId="1" priority="358" operator="equal">
      <formula>0</formula>
    </cfRule>
    <cfRule type="cellIs" dxfId="2" priority="359" operator="lessThan">
      <formula>E24</formula>
    </cfRule>
  </conditionalFormatting>
  <conditionalFormatting sqref="AL9">
    <cfRule type="cellIs" dxfId="1" priority="340" operator="equal">
      <formula>0</formula>
    </cfRule>
    <cfRule type="cellIs" dxfId="2" priority="341" operator="lessThan">
      <formula>E9</formula>
    </cfRule>
  </conditionalFormatting>
  <conditionalFormatting sqref="AM16">
    <cfRule type="expression" dxfId="3" priority="348">
      <formula>AND(AM16&gt;0,AM16&lt;1000)</formula>
    </cfRule>
    <cfRule type="cellIs" dxfId="1" priority="349" operator="greaterThan">
      <formula>AL16</formula>
    </cfRule>
  </conditionalFormatting>
  <conditionalFormatting sqref="AM23">
    <cfRule type="expression" dxfId="3" priority="354">
      <formula>AND(AM23&gt;0,AM23&lt;20)</formula>
    </cfRule>
    <cfRule type="cellIs" dxfId="1" priority="355" operator="greaterThan">
      <formula>AL23</formula>
    </cfRule>
  </conditionalFormatting>
  <conditionalFormatting sqref="AM24">
    <cfRule type="expression" dxfId="3" priority="360">
      <formula>AND(AM24&gt;0,AM24&lt;5)</formula>
    </cfRule>
    <cfRule type="cellIs" dxfId="1" priority="361" operator="greaterThan">
      <formula>AL24</formula>
    </cfRule>
  </conditionalFormatting>
  <conditionalFormatting sqref="AM9">
    <cfRule type="expression" dxfId="3" priority="342">
      <formula>AND(AM9&gt;0,AM9&lt;50)</formula>
    </cfRule>
    <cfRule type="cellIs" dxfId="1" priority="343" operator="greaterThan">
      <formula>AL9</formula>
    </cfRule>
  </conditionalFormatting>
  <conditionalFormatting sqref="AN16">
    <cfRule type="cellIs" dxfId="4" priority="351" operator="lessThanOrEqual">
      <formula>F16</formula>
    </cfRule>
  </conditionalFormatting>
  <conditionalFormatting sqref="AN23">
    <cfRule type="cellIs" dxfId="4" priority="357" operator="lessThanOrEqual">
      <formula>F23</formula>
    </cfRule>
  </conditionalFormatting>
  <conditionalFormatting sqref="AN24">
    <cfRule type="cellIs" dxfId="4" priority="363" operator="lessThanOrEqual">
      <formula>F24</formula>
    </cfRule>
  </conditionalFormatting>
  <conditionalFormatting sqref="AN9">
    <cfRule type="cellIs" dxfId="4" priority="345" operator="lessThanOrEqual">
      <formula>F9</formula>
    </cfRule>
  </conditionalFormatting>
  <conditionalFormatting sqref="AO16">
    <cfRule type="cellIs" dxfId="4" priority="350" operator="lessThanOrEqual">
      <formula>G16</formula>
    </cfRule>
  </conditionalFormatting>
  <conditionalFormatting sqref="AO23">
    <cfRule type="cellIs" dxfId="4" priority="356" operator="lessThanOrEqual">
      <formula>G23</formula>
    </cfRule>
  </conditionalFormatting>
  <conditionalFormatting sqref="AO24">
    <cfRule type="cellIs" dxfId="4" priority="362" operator="lessThanOrEqual">
      <formula>G24</formula>
    </cfRule>
  </conditionalFormatting>
  <conditionalFormatting sqref="AO9">
    <cfRule type="cellIs" dxfId="4" priority="344" operator="lessThanOrEqual">
      <formula>G9</formula>
    </cfRule>
  </conditionalFormatting>
  <conditionalFormatting sqref="AQ26">
    <cfRule type="cellIs" dxfId="1" priority="376" operator="equal">
      <formula>0</formula>
    </cfRule>
    <cfRule type="cellIs" dxfId="2" priority="377" operator="lessThan">
      <formula>E26</formula>
    </cfRule>
  </conditionalFormatting>
  <conditionalFormatting sqref="AQ7">
    <cfRule type="cellIs" dxfId="1" priority="364" operator="equal">
      <formula>0</formula>
    </cfRule>
    <cfRule type="cellIs" dxfId="2" priority="365" operator="lessThan">
      <formula>E7</formula>
    </cfRule>
  </conditionalFormatting>
  <conditionalFormatting sqref="AQ9">
    <cfRule type="cellIs" dxfId="1" priority="370" operator="equal">
      <formula>0</formula>
    </cfRule>
    <cfRule type="cellIs" dxfId="2" priority="371" operator="lessThan">
      <formula>E9</formula>
    </cfRule>
  </conditionalFormatting>
  <conditionalFormatting sqref="AR26">
    <cfRule type="cellIs" dxfId="1" priority="378" operator="greaterThan">
      <formula>AQ26</formula>
    </cfRule>
  </conditionalFormatting>
  <conditionalFormatting sqref="AR7">
    <cfRule type="expression" dxfId="3" priority="366">
      <formula>AND(AR7&gt;0,AR7&lt;100)</formula>
    </cfRule>
    <cfRule type="cellIs" dxfId="1" priority="367" operator="greaterThan">
      <formula>AQ7</formula>
    </cfRule>
  </conditionalFormatting>
  <conditionalFormatting sqref="AR9">
    <cfRule type="expression" dxfId="3" priority="372">
      <formula>AND(AR9&gt;0,AR9&lt;100)</formula>
    </cfRule>
    <cfRule type="cellIs" dxfId="1" priority="373" operator="greaterThan">
      <formula>AQ9</formula>
    </cfRule>
  </conditionalFormatting>
  <conditionalFormatting sqref="AS26">
    <cfRule type="cellIs" dxfId="4" priority="380" operator="lessThanOrEqual">
      <formula>F26</formula>
    </cfRule>
  </conditionalFormatting>
  <conditionalFormatting sqref="AS7">
    <cfRule type="cellIs" dxfId="4" priority="369" operator="lessThanOrEqual">
      <formula>F7</formula>
    </cfRule>
  </conditionalFormatting>
  <conditionalFormatting sqref="AS9">
    <cfRule type="cellIs" dxfId="4" priority="375" operator="lessThanOrEqual">
      <formula>F9</formula>
    </cfRule>
  </conditionalFormatting>
  <conditionalFormatting sqref="AT26">
    <cfRule type="cellIs" dxfId="4" priority="379" operator="lessThanOrEqual">
      <formula>G26</formula>
    </cfRule>
  </conditionalFormatting>
  <conditionalFormatting sqref="AT7">
    <cfRule type="cellIs" dxfId="4" priority="368" operator="lessThanOrEqual">
      <formula>G7</formula>
    </cfRule>
  </conditionalFormatting>
  <conditionalFormatting sqref="AT9">
    <cfRule type="cellIs" dxfId="4" priority="374" operator="lessThanOrEqual">
      <formula>G9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1">
    <cfRule type="cellIs" dxfId="1" priority="91" operator="equal">
      <formula>0</formula>
    </cfRule>
    <cfRule type="cellIs" dxfId="2" priority="92" operator="lessThan">
      <formula>E11</formula>
    </cfRule>
  </conditionalFormatting>
  <conditionalFormatting sqref="M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M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M14">
    <cfRule type="cellIs" dxfId="1" priority="106" operator="equal">
      <formula>0</formula>
    </cfRule>
    <cfRule type="cellIs" dxfId="2" priority="107" operator="lessThan">
      <formula>E14</formula>
    </cfRule>
  </conditionalFormatting>
  <conditionalFormatting sqref="M15">
    <cfRule type="cellIs" dxfId="1" priority="111" operator="equal">
      <formula>0</formula>
    </cfRule>
    <cfRule type="cellIs" dxfId="2" priority="112" operator="lessThan">
      <formula>E15</formula>
    </cfRule>
  </conditionalFormatting>
  <conditionalFormatting sqref="M16">
    <cfRule type="cellIs" dxfId="1" priority="116" operator="equal">
      <formula>0</formula>
    </cfRule>
    <cfRule type="cellIs" dxfId="2" priority="117" operator="lessThan">
      <formula>E16</formula>
    </cfRule>
  </conditionalFormatting>
  <conditionalFormatting sqref="M18">
    <cfRule type="cellIs" dxfId="1" priority="121" operator="equal">
      <formula>0</formula>
    </cfRule>
    <cfRule type="cellIs" dxfId="2" priority="122" operator="lessThan">
      <formula>E18</formula>
    </cfRule>
  </conditionalFormatting>
  <conditionalFormatting sqref="M19">
    <cfRule type="cellIs" dxfId="1" priority="126" operator="equal">
      <formula>0</formula>
    </cfRule>
    <cfRule type="cellIs" dxfId="2" priority="127" operator="lessThan">
      <formula>E19</formula>
    </cfRule>
  </conditionalFormatting>
  <conditionalFormatting sqref="M20">
    <cfRule type="cellIs" dxfId="1" priority="131" operator="equal">
      <formula>0</formula>
    </cfRule>
    <cfRule type="cellIs" dxfId="2" priority="132" operator="lessThan">
      <formula>E20</formula>
    </cfRule>
  </conditionalFormatting>
  <conditionalFormatting sqref="M21">
    <cfRule type="cellIs" dxfId="1" priority="136" operator="equal">
      <formula>0</formula>
    </cfRule>
    <cfRule type="cellIs" dxfId="2" priority="137" operator="lessThan">
      <formula>E21</formula>
    </cfRule>
  </conditionalFormatting>
  <conditionalFormatting sqref="M23">
    <cfRule type="cellIs" dxfId="1" priority="141" operator="equal">
      <formula>0</formula>
    </cfRule>
    <cfRule type="cellIs" dxfId="2" priority="142" operator="lessThan">
      <formula>E23</formula>
    </cfRule>
  </conditionalFormatting>
  <conditionalFormatting sqref="M24">
    <cfRule type="cellIs" dxfId="1" priority="146" operator="equal">
      <formula>0</formula>
    </cfRule>
    <cfRule type="cellIs" dxfId="2" priority="147" operator="lessThan">
      <formula>E24</formula>
    </cfRule>
  </conditionalFormatting>
  <conditionalFormatting sqref="M25">
    <cfRule type="cellIs" dxfId="1" priority="151" operator="equal">
      <formula>0</formula>
    </cfRule>
    <cfRule type="cellIs" dxfId="2" priority="152" operator="lessThan">
      <formula>E25</formula>
    </cfRule>
  </conditionalFormatting>
  <conditionalFormatting sqref="M26">
    <cfRule type="cellIs" dxfId="1" priority="156" operator="equal">
      <formula>0</formula>
    </cfRule>
    <cfRule type="cellIs" dxfId="2" priority="157" operator="lessThan">
      <formula>E26</formula>
    </cfRule>
  </conditionalFormatting>
  <conditionalFormatting sqref="M7">
    <cfRule type="cellIs" dxfId="1" priority="81" operator="equal">
      <formula>0</formula>
    </cfRule>
    <cfRule type="cellIs" dxfId="2" priority="82" operator="lessThan">
      <formula>E7</formula>
    </cfRule>
  </conditionalFormatting>
  <conditionalFormatting sqref="M9">
    <cfRule type="cellIs" dxfId="1" priority="86" operator="equal">
      <formula>0</formula>
    </cfRule>
    <cfRule type="cellIs" dxfId="2" priority="87" operator="lessThan">
      <formula>E9</formula>
    </cfRule>
  </conditionalFormatting>
  <conditionalFormatting sqref="N11">
    <cfRule type="cellIs" dxfId="1" priority="93" operator="greaterThan">
      <formula>M11</formula>
    </cfRule>
  </conditionalFormatting>
  <conditionalFormatting sqref="N12">
    <cfRule type="cellIs" dxfId="1" priority="98" operator="greaterThan">
      <formula>M12</formula>
    </cfRule>
  </conditionalFormatting>
  <conditionalFormatting sqref="N13">
    <cfRule type="cellIs" dxfId="1" priority="103" operator="greaterThan">
      <formula>M13</formula>
    </cfRule>
  </conditionalFormatting>
  <conditionalFormatting sqref="N14">
    <cfRule type="cellIs" dxfId="1" priority="108" operator="greaterThan">
      <formula>M14</formula>
    </cfRule>
  </conditionalFormatting>
  <conditionalFormatting sqref="N15">
    <cfRule type="cellIs" dxfId="1" priority="113" operator="greaterThan">
      <formula>M15</formula>
    </cfRule>
  </conditionalFormatting>
  <conditionalFormatting sqref="N16">
    <cfRule type="cellIs" dxfId="1" priority="118" operator="greaterThan">
      <formula>M16</formula>
    </cfRule>
  </conditionalFormatting>
  <conditionalFormatting sqref="N18">
    <cfRule type="cellIs" dxfId="1" priority="123" operator="greaterThan">
      <formula>M18</formula>
    </cfRule>
  </conditionalFormatting>
  <conditionalFormatting sqref="N19">
    <cfRule type="cellIs" dxfId="1" priority="128" operator="greaterThan">
      <formula>M19</formula>
    </cfRule>
  </conditionalFormatting>
  <conditionalFormatting sqref="N20">
    <cfRule type="cellIs" dxfId="1" priority="133" operator="greaterThan">
      <formula>M20</formula>
    </cfRule>
  </conditionalFormatting>
  <conditionalFormatting sqref="N21">
    <cfRule type="cellIs" dxfId="1" priority="138" operator="greaterThan">
      <formula>M21</formula>
    </cfRule>
  </conditionalFormatting>
  <conditionalFormatting sqref="N23">
    <cfRule type="cellIs" dxfId="1" priority="143" operator="greaterThan">
      <formula>M23</formula>
    </cfRule>
  </conditionalFormatting>
  <conditionalFormatting sqref="N24">
    <cfRule type="cellIs" dxfId="1" priority="148" operator="greaterThan">
      <formula>M24</formula>
    </cfRule>
  </conditionalFormatting>
  <conditionalFormatting sqref="N25">
    <cfRule type="cellIs" dxfId="1" priority="153" operator="greaterThan">
      <formula>M25</formula>
    </cfRule>
  </conditionalFormatting>
  <conditionalFormatting sqref="N26">
    <cfRule type="cellIs" dxfId="1" priority="158" operator="greaterThan">
      <formula>M26</formula>
    </cfRule>
  </conditionalFormatting>
  <conditionalFormatting sqref="N7">
    <cfRule type="cellIs" dxfId="1" priority="83" operator="greaterThan">
      <formula>M7</formula>
    </cfRule>
  </conditionalFormatting>
  <conditionalFormatting sqref="N9">
    <cfRule type="cellIs" dxfId="1" priority="88" operator="greaterThan">
      <formula>M9</formula>
    </cfRule>
  </conditionalFormatting>
  <conditionalFormatting sqref="O11">
    <cfRule type="cellIs" dxfId="4" priority="95" operator="lessThanOrEqual">
      <formula>F11</formula>
    </cfRule>
  </conditionalFormatting>
  <conditionalFormatting sqref="O12">
    <cfRule type="cellIs" dxfId="4" priority="100" operator="lessThanOrEqual">
      <formula>F12</formula>
    </cfRule>
  </conditionalFormatting>
  <conditionalFormatting sqref="O13">
    <cfRule type="cellIs" dxfId="4" priority="105" operator="lessThanOrEqual">
      <formula>F13</formula>
    </cfRule>
  </conditionalFormatting>
  <conditionalFormatting sqref="O14">
    <cfRule type="cellIs" dxfId="4" priority="110" operator="lessThanOrEqual">
      <formula>F14</formula>
    </cfRule>
  </conditionalFormatting>
  <conditionalFormatting sqref="O15">
    <cfRule type="cellIs" dxfId="4" priority="115" operator="lessThanOrEqual">
      <formula>F15</formula>
    </cfRule>
  </conditionalFormatting>
  <conditionalFormatting sqref="O16">
    <cfRule type="cellIs" dxfId="4" priority="120" operator="lessThanOrEqual">
      <formula>F16</formula>
    </cfRule>
  </conditionalFormatting>
  <conditionalFormatting sqref="O18">
    <cfRule type="cellIs" dxfId="4" priority="125" operator="lessThanOrEqual">
      <formula>F18</formula>
    </cfRule>
  </conditionalFormatting>
  <conditionalFormatting sqref="O19">
    <cfRule type="cellIs" dxfId="4" priority="130" operator="lessThanOrEqual">
      <formula>F19</formula>
    </cfRule>
  </conditionalFormatting>
  <conditionalFormatting sqref="O20">
    <cfRule type="cellIs" dxfId="4" priority="135" operator="lessThanOrEqual">
      <formula>F20</formula>
    </cfRule>
  </conditionalFormatting>
  <conditionalFormatting sqref="O21">
    <cfRule type="cellIs" dxfId="4" priority="140" operator="lessThanOrEqual">
      <formula>F21</formula>
    </cfRule>
  </conditionalFormatting>
  <conditionalFormatting sqref="O23">
    <cfRule type="cellIs" dxfId="4" priority="145" operator="lessThanOrEqual">
      <formula>F23</formula>
    </cfRule>
  </conditionalFormatting>
  <conditionalFormatting sqref="O24">
    <cfRule type="cellIs" dxfId="4" priority="150" operator="lessThanOrEqual">
      <formula>F24</formula>
    </cfRule>
  </conditionalFormatting>
  <conditionalFormatting sqref="O25">
    <cfRule type="cellIs" dxfId="4" priority="155" operator="lessThanOrEqual">
      <formula>F25</formula>
    </cfRule>
  </conditionalFormatting>
  <conditionalFormatting sqref="O26">
    <cfRule type="cellIs" dxfId="4" priority="160" operator="lessThanOrEqual">
      <formula>F26</formula>
    </cfRule>
  </conditionalFormatting>
  <conditionalFormatting sqref="O7">
    <cfRule type="cellIs" dxfId="4" priority="85" operator="lessThanOrEqual">
      <formula>F7</formula>
    </cfRule>
  </conditionalFormatting>
  <conditionalFormatting sqref="O9">
    <cfRule type="cellIs" dxfId="4" priority="90" operator="lessThanOrEqual">
      <formula>F9</formula>
    </cfRule>
  </conditionalFormatting>
  <conditionalFormatting sqref="P11">
    <cfRule type="cellIs" dxfId="4" priority="94" operator="lessThanOrEqual">
      <formula>G11</formula>
    </cfRule>
  </conditionalFormatting>
  <conditionalFormatting sqref="P12">
    <cfRule type="cellIs" dxfId="4" priority="99" operator="lessThanOrEqual">
      <formula>G12</formula>
    </cfRule>
  </conditionalFormatting>
  <conditionalFormatting sqref="P13">
    <cfRule type="cellIs" dxfId="4" priority="104" operator="lessThanOrEqual">
      <formula>G13</formula>
    </cfRule>
  </conditionalFormatting>
  <conditionalFormatting sqref="P14">
    <cfRule type="cellIs" dxfId="4" priority="109" operator="lessThanOrEqual">
      <formula>G14</formula>
    </cfRule>
  </conditionalFormatting>
  <conditionalFormatting sqref="P15">
    <cfRule type="cellIs" dxfId="4" priority="114" operator="lessThanOrEqual">
      <formula>G15</formula>
    </cfRule>
  </conditionalFormatting>
  <conditionalFormatting sqref="P16">
    <cfRule type="cellIs" dxfId="4" priority="119" operator="lessThanOrEqual">
      <formula>G16</formula>
    </cfRule>
  </conditionalFormatting>
  <conditionalFormatting sqref="P18">
    <cfRule type="cellIs" dxfId="4" priority="124" operator="lessThanOrEqual">
      <formula>G18</formula>
    </cfRule>
  </conditionalFormatting>
  <conditionalFormatting sqref="P19">
    <cfRule type="cellIs" dxfId="4" priority="129" operator="lessThanOrEqual">
      <formula>G19</formula>
    </cfRule>
  </conditionalFormatting>
  <conditionalFormatting sqref="P20">
    <cfRule type="cellIs" dxfId="4" priority="134" operator="lessThanOrEqual">
      <formula>G20</formula>
    </cfRule>
  </conditionalFormatting>
  <conditionalFormatting sqref="P21">
    <cfRule type="cellIs" dxfId="4" priority="139" operator="lessThanOrEqual">
      <formula>G21</formula>
    </cfRule>
  </conditionalFormatting>
  <conditionalFormatting sqref="P23">
    <cfRule type="cellIs" dxfId="4" priority="144" operator="lessThanOrEqual">
      <formula>G23</formula>
    </cfRule>
  </conditionalFormatting>
  <conditionalFormatting sqref="P24">
    <cfRule type="cellIs" dxfId="4" priority="149" operator="lessThanOrEqual">
      <formula>G24</formula>
    </cfRule>
  </conditionalFormatting>
  <conditionalFormatting sqref="P25">
    <cfRule type="cellIs" dxfId="4" priority="154" operator="lessThanOrEqual">
      <formula>G25</formula>
    </cfRule>
  </conditionalFormatting>
  <conditionalFormatting sqref="P26">
    <cfRule type="cellIs" dxfId="4" priority="159" operator="lessThanOrEqual">
      <formula>G26</formula>
    </cfRule>
  </conditionalFormatting>
  <conditionalFormatting sqref="P7">
    <cfRule type="cellIs" dxfId="4" priority="84" operator="lessThanOrEqual">
      <formula>G7</formula>
    </cfRule>
  </conditionalFormatting>
  <conditionalFormatting sqref="P9">
    <cfRule type="cellIs" dxfId="4" priority="89" operator="lessThanOrEqual">
      <formula>G9</formula>
    </cfRule>
  </conditionalFormatting>
  <conditionalFormatting sqref="R11">
    <cfRule type="cellIs" dxfId="1" priority="172" operator="equal">
      <formula>0</formula>
    </cfRule>
    <cfRule type="cellIs" dxfId="2" priority="173" operator="lessThan">
      <formula>E11</formula>
    </cfRule>
  </conditionalFormatting>
  <conditionalFormatting sqref="R16">
    <cfRule type="cellIs" dxfId="1" priority="178" operator="equal">
      <formula>0</formula>
    </cfRule>
    <cfRule type="cellIs" dxfId="2" priority="179" operator="lessThan">
      <formula>E16</formula>
    </cfRule>
  </conditionalFormatting>
  <conditionalFormatting sqref="R19">
    <cfRule type="cellIs" dxfId="1" priority="183" operator="equal">
      <formula>0</formula>
    </cfRule>
    <cfRule type="cellIs" dxfId="2" priority="184" operator="lessThan">
      <formula>E19</formula>
    </cfRule>
  </conditionalFormatting>
  <conditionalFormatting sqref="R20">
    <cfRule type="cellIs" dxfId="1" priority="189" operator="equal">
      <formula>0</formula>
    </cfRule>
    <cfRule type="cellIs" dxfId="2" priority="190" operator="lessThan">
      <formula>E20</formula>
    </cfRule>
  </conditionalFormatting>
  <conditionalFormatting sqref="R23">
    <cfRule type="cellIs" dxfId="1" priority="195" operator="equal">
      <formula>0</formula>
    </cfRule>
    <cfRule type="cellIs" dxfId="2" priority="196" operator="lessThan">
      <formula>E23</formula>
    </cfRule>
  </conditionalFormatting>
  <conditionalFormatting sqref="R24">
    <cfRule type="cellIs" dxfId="1" priority="201" operator="equal">
      <formula>0</formula>
    </cfRule>
    <cfRule type="cellIs" dxfId="2" priority="202" operator="lessThan">
      <formula>E24</formula>
    </cfRule>
  </conditionalFormatting>
  <conditionalFormatting sqref="R25">
    <cfRule type="cellIs" dxfId="1" priority="206" operator="equal">
      <formula>0</formula>
    </cfRule>
    <cfRule type="cellIs" dxfId="2" priority="207" operator="lessThan">
      <formula>E25</formula>
    </cfRule>
  </conditionalFormatting>
  <conditionalFormatting sqref="R7">
    <cfRule type="cellIs" dxfId="1" priority="161" operator="equal">
      <formula>0</formula>
    </cfRule>
    <cfRule type="cellIs" dxfId="2" priority="162" operator="lessThan">
      <formula>E7</formula>
    </cfRule>
  </conditionalFormatting>
  <conditionalFormatting sqref="R9">
    <cfRule type="cellIs" dxfId="1" priority="167" operator="equal">
      <formula>0</formula>
    </cfRule>
    <cfRule type="cellIs" dxfId="2" priority="168" operator="lessThan">
      <formula>E9</formula>
    </cfRule>
  </conditionalFormatting>
  <conditionalFormatting sqref="S11">
    <cfRule type="expression" dxfId="3" priority="174">
      <formula>AND(S11&gt;0,S11&lt;100)</formula>
    </cfRule>
    <cfRule type="cellIs" dxfId="1" priority="175" operator="greaterThan">
      <formula>R11</formula>
    </cfRule>
  </conditionalFormatting>
  <conditionalFormatting sqref="S16">
    <cfRule type="cellIs" dxfId="1" priority="180" operator="greaterThan">
      <formula>R16</formula>
    </cfRule>
  </conditionalFormatting>
  <conditionalFormatting sqref="S19">
    <cfRule type="expression" dxfId="3" priority="185">
      <formula>AND(S19&gt;0,S19&lt;5000)</formula>
    </cfRule>
    <cfRule type="cellIs" dxfId="1" priority="186" operator="greaterThan">
      <formula>R19</formula>
    </cfRule>
  </conditionalFormatting>
  <conditionalFormatting sqref="S20">
    <cfRule type="expression" dxfId="3" priority="191">
      <formula>AND(S20&gt;0,S20&lt;10)</formula>
    </cfRule>
    <cfRule type="cellIs" dxfId="1" priority="192" operator="greaterThan">
      <formula>R20</formula>
    </cfRule>
  </conditionalFormatting>
  <conditionalFormatting sqref="S23">
    <cfRule type="expression" dxfId="3" priority="197">
      <formula>AND(S23&gt;0,S23&lt;5)</formula>
    </cfRule>
    <cfRule type="cellIs" dxfId="1" priority="198" operator="greaterThan">
      <formula>R23</formula>
    </cfRule>
  </conditionalFormatting>
  <conditionalFormatting sqref="S24">
    <cfRule type="cellIs" dxfId="1" priority="203" operator="greaterThan">
      <formula>R24</formula>
    </cfRule>
  </conditionalFormatting>
  <conditionalFormatting sqref="S25">
    <cfRule type="cellIs" dxfId="1" priority="208" operator="greaterThan">
      <formula>R25</formula>
    </cfRule>
  </conditionalFormatting>
  <conditionalFormatting sqref="S7">
    <cfRule type="expression" dxfId="3" priority="163">
      <formula>AND(S7&gt;0,S7&lt;5)</formula>
    </cfRule>
    <cfRule type="cellIs" dxfId="1" priority="164" operator="greaterThan">
      <formula>R7</formula>
    </cfRule>
  </conditionalFormatting>
  <conditionalFormatting sqref="S9">
    <cfRule type="cellIs" dxfId="1" priority="169" operator="greaterThan">
      <formula>R9</formula>
    </cfRule>
  </conditionalFormatting>
  <conditionalFormatting sqref="T11">
    <cfRule type="cellIs" dxfId="4" priority="177" operator="lessThanOrEqual">
      <formula>F11</formula>
    </cfRule>
  </conditionalFormatting>
  <conditionalFormatting sqref="T16">
    <cfRule type="cellIs" dxfId="4" priority="182" operator="lessThanOrEqual">
      <formula>F16</formula>
    </cfRule>
  </conditionalFormatting>
  <conditionalFormatting sqref="T19">
    <cfRule type="cellIs" dxfId="4" priority="188" operator="lessThanOrEqual">
      <formula>F19</formula>
    </cfRule>
  </conditionalFormatting>
  <conditionalFormatting sqref="T20">
    <cfRule type="cellIs" dxfId="4" priority="194" operator="lessThanOrEqual">
      <formula>F20</formula>
    </cfRule>
  </conditionalFormatting>
  <conditionalFormatting sqref="T23">
    <cfRule type="cellIs" dxfId="4" priority="200" operator="lessThanOrEqual">
      <formula>F23</formula>
    </cfRule>
  </conditionalFormatting>
  <conditionalFormatting sqref="T24">
    <cfRule type="cellIs" dxfId="4" priority="205" operator="lessThanOrEqual">
      <formula>F24</formula>
    </cfRule>
  </conditionalFormatting>
  <conditionalFormatting sqref="T25">
    <cfRule type="cellIs" dxfId="4" priority="210" operator="lessThanOrEqual">
      <formula>F25</formula>
    </cfRule>
  </conditionalFormatting>
  <conditionalFormatting sqref="T7">
    <cfRule type="cellIs" dxfId="4" priority="166" operator="lessThanOrEqual">
      <formula>F7</formula>
    </cfRule>
  </conditionalFormatting>
  <conditionalFormatting sqref="T9">
    <cfRule type="cellIs" dxfId="4" priority="171" operator="lessThanOrEqual">
      <formula>F9</formula>
    </cfRule>
  </conditionalFormatting>
  <conditionalFormatting sqref="U11">
    <cfRule type="cellIs" dxfId="4" priority="176" operator="lessThanOrEqual">
      <formula>G11</formula>
    </cfRule>
  </conditionalFormatting>
  <conditionalFormatting sqref="U16">
    <cfRule type="cellIs" dxfId="4" priority="181" operator="lessThanOrEqual">
      <formula>G16</formula>
    </cfRule>
  </conditionalFormatting>
  <conditionalFormatting sqref="U19">
    <cfRule type="cellIs" dxfId="4" priority="187" operator="lessThanOrEqual">
      <formula>G19</formula>
    </cfRule>
  </conditionalFormatting>
  <conditionalFormatting sqref="U20">
    <cfRule type="cellIs" dxfId="4" priority="193" operator="lessThanOrEqual">
      <formula>G20</formula>
    </cfRule>
  </conditionalFormatting>
  <conditionalFormatting sqref="U23">
    <cfRule type="cellIs" dxfId="4" priority="199" operator="lessThanOrEqual">
      <formula>G23</formula>
    </cfRule>
  </conditionalFormatting>
  <conditionalFormatting sqref="U24">
    <cfRule type="cellIs" dxfId="4" priority="204" operator="lessThanOrEqual">
      <formula>G24</formula>
    </cfRule>
  </conditionalFormatting>
  <conditionalFormatting sqref="U25">
    <cfRule type="cellIs" dxfId="4" priority="209" operator="lessThanOrEqual">
      <formula>G25</formula>
    </cfRule>
  </conditionalFormatting>
  <conditionalFormatting sqref="U7">
    <cfRule type="cellIs" dxfId="4" priority="165" operator="lessThanOrEqual">
      <formula>G7</formula>
    </cfRule>
  </conditionalFormatting>
  <conditionalFormatting sqref="U9">
    <cfRule type="cellIs" dxfId="4" priority="170" operator="lessThanOrEqual">
      <formula>G9</formula>
    </cfRule>
  </conditionalFormatting>
  <conditionalFormatting sqref="W23">
    <cfRule type="cellIs" dxfId="1" priority="217" operator="equal">
      <formula>0</formula>
    </cfRule>
    <cfRule type="cellIs" dxfId="2" priority="218" operator="lessThan">
      <formula>E23</formula>
    </cfRule>
  </conditionalFormatting>
  <conditionalFormatting sqref="W26">
    <cfRule type="cellIs" dxfId="1" priority="222" operator="equal">
      <formula>0</formula>
    </cfRule>
    <cfRule type="cellIs" dxfId="2" priority="223" operator="lessThan">
      <formula>E26</formula>
    </cfRule>
  </conditionalFormatting>
  <conditionalFormatting sqref="W7">
    <cfRule type="cellIs" dxfId="1" priority="211" operator="equal">
      <formula>0</formula>
    </cfRule>
    <cfRule type="cellIs" dxfId="2" priority="212" operator="lessThan">
      <formula>E7</formula>
    </cfRule>
  </conditionalFormatting>
  <conditionalFormatting sqref="X23">
    <cfRule type="cellIs" dxfId="1" priority="219" operator="greaterThan">
      <formula>W23</formula>
    </cfRule>
  </conditionalFormatting>
  <conditionalFormatting sqref="X26">
    <cfRule type="cellIs" dxfId="1" priority="224" operator="greaterThan">
      <formula>W26</formula>
    </cfRule>
  </conditionalFormatting>
  <conditionalFormatting sqref="X7">
    <cfRule type="expression" dxfId="3" priority="213">
      <formula>AND(X7&gt;0,X7&lt;50)</formula>
    </cfRule>
    <cfRule type="cellIs" dxfId="1" priority="214" operator="greaterThan">
      <formula>W7</formula>
    </cfRule>
  </conditionalFormatting>
  <conditionalFormatting sqref="Y23">
    <cfRule type="cellIs" dxfId="4" priority="221" operator="lessThanOrEqual">
      <formula>F23</formula>
    </cfRule>
  </conditionalFormatting>
  <conditionalFormatting sqref="Y26">
    <cfRule type="cellIs" dxfId="4" priority="226" operator="lessThanOrEqual">
      <formula>F26</formula>
    </cfRule>
  </conditionalFormatting>
  <conditionalFormatting sqref="Y7">
    <cfRule type="cellIs" dxfId="4" priority="216" operator="lessThanOrEqual">
      <formula>F7</formula>
    </cfRule>
  </conditionalFormatting>
  <conditionalFormatting sqref="Z23">
    <cfRule type="cellIs" dxfId="4" priority="220" operator="lessThanOrEqual">
      <formula>G23</formula>
    </cfRule>
  </conditionalFormatting>
  <conditionalFormatting sqref="Z26">
    <cfRule type="cellIs" dxfId="4" priority="225" operator="lessThanOrEqual">
      <formula>G26</formula>
    </cfRule>
  </conditionalFormatting>
  <conditionalFormatting sqref="Z7">
    <cfRule type="cellIs" dxfId="4" priority="215" operator="lessThanOrEqual">
      <formula>G7</formula>
    </cfRule>
  </conditionalFormatting>
  <hyperlinks>
    <hyperlink ref="Q7" r:id="rId1"/>
    <hyperlink ref="V7" r:id="rId2"/>
    <hyperlink ref="AA7" r:id="rId3"/>
    <hyperlink ref="AF7" r:id="rId4"/>
    <hyperlink ref="AK7" r:id="rId5"/>
    <hyperlink ref="AU7" r:id="rId6"/>
    <hyperlink ref="Q9" r:id="rId7"/>
    <hyperlink ref="V9" r:id="rId8"/>
    <hyperlink ref="AF9" r:id="rId9"/>
    <hyperlink ref="AK9" r:id="rId10"/>
    <hyperlink ref="AP9" r:id="rId11"/>
    <hyperlink ref="AU9" r:id="rId12"/>
    <hyperlink ref="D11" r:id="rId13"/>
    <hyperlink ref="Q11" r:id="rId14"/>
    <hyperlink ref="V11" r:id="rId15"/>
    <hyperlink ref="AF11" r:id="rId16"/>
    <hyperlink ref="AK11" r:id="rId17"/>
    <hyperlink ref="D12" r:id="rId18"/>
    <hyperlink ref="Q12" r:id="rId19"/>
    <hyperlink ref="Q13" r:id="rId20"/>
    <hyperlink ref="Q14" r:id="rId21"/>
    <hyperlink ref="Q15" r:id="rId22"/>
    <hyperlink ref="D16" r:id="rId23"/>
    <hyperlink ref="Q16" r:id="rId24"/>
    <hyperlink ref="V16" r:id="rId25"/>
    <hyperlink ref="AF16" r:id="rId26"/>
    <hyperlink ref="AK16" r:id="rId27"/>
    <hyperlink ref="AP16" r:id="rId28"/>
    <hyperlink ref="D18" r:id="rId29"/>
    <hyperlink ref="Q18" r:id="rId30"/>
    <hyperlink ref="AF18" r:id="rId31"/>
    <hyperlink ref="AK18" r:id="rId32"/>
    <hyperlink ref="D19" r:id="rId33"/>
    <hyperlink ref="Q19" r:id="rId34"/>
    <hyperlink ref="V19" r:id="rId35"/>
    <hyperlink ref="AF19" r:id="rId36"/>
    <hyperlink ref="AK19" r:id="rId37"/>
    <hyperlink ref="Q20" r:id="rId38"/>
    <hyperlink ref="V20" r:id="rId39"/>
    <hyperlink ref="AF20" r:id="rId40"/>
    <hyperlink ref="AK20" r:id="rId41"/>
    <hyperlink ref="Q21" r:id="rId42"/>
    <hyperlink ref="AF21" r:id="rId43"/>
    <hyperlink ref="D23" r:id="rId44"/>
    <hyperlink ref="Q23" r:id="rId45"/>
    <hyperlink ref="V23" r:id="rId46"/>
    <hyperlink ref="AA23" r:id="rId47"/>
    <hyperlink ref="AF23" r:id="rId48"/>
    <hyperlink ref="AK23" r:id="rId49"/>
    <hyperlink ref="AP23" r:id="rId50"/>
    <hyperlink ref="D24" r:id="rId51"/>
    <hyperlink ref="Q24" r:id="rId52"/>
    <hyperlink ref="V24" r:id="rId53"/>
    <hyperlink ref="AF24" r:id="rId54"/>
    <hyperlink ref="AK24" r:id="rId55"/>
    <hyperlink ref="AP24" r:id="rId56"/>
    <hyperlink ref="D25" r:id="rId57"/>
    <hyperlink ref="Q25" r:id="rId58"/>
    <hyperlink ref="V25" r:id="rId59"/>
    <hyperlink ref="AF25" r:id="rId60"/>
    <hyperlink ref="AK25" r:id="rId61"/>
    <hyperlink ref="Q26" r:id="rId62"/>
    <hyperlink ref="AA26" r:id="rId63"/>
    <hyperlink ref="AF26" r:id="rId64"/>
    <hyperlink ref="AU26" r:id="rId65"/>
  </hyperlinks>
  <pageMargins left="0.7" right="0.7" top="0.75" bottom="0.75" header="0.3" footer="0.3"/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RPi_Hat.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2021-06-15T10:57:29Z</dcterms:created>
  <dcterms:modified xsi:type="dcterms:W3CDTF">2021-06-15T10:57:29Z</dcterms:modified>
</cp:coreProperties>
</file>