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eamonn/Desktop/PhD/Projects/CarniTraits/Revision1/Mairin/"/>
    </mc:Choice>
  </mc:AlternateContent>
  <xr:revisionPtr revIDLastSave="0" documentId="13_ncr:1_{69E4D5DA-2FCC-9548-93F1-39999E2A323A}" xr6:coauthVersionLast="47" xr6:coauthVersionMax="47" xr10:uidLastSave="{00000000-0000-0000-0000-000000000000}"/>
  <bookViews>
    <workbookView xWindow="0" yWindow="500" windowWidth="28800" windowHeight="16380" xr2:uid="{720787A3-409E-374D-B804-112C15E993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 i="1" l="1"/>
  <c r="F18" i="1" s="1"/>
  <c r="E14" i="1"/>
  <c r="F14" i="1" s="1"/>
  <c r="E10" i="1"/>
  <c r="E11" i="1"/>
  <c r="E8" i="1"/>
  <c r="F8" i="1" s="1"/>
  <c r="E7" i="1"/>
  <c r="F7" i="1" s="1"/>
  <c r="E5" i="1"/>
  <c r="E3" i="1"/>
  <c r="F3" i="1" s="1"/>
  <c r="S19" i="1"/>
  <c r="E19" i="1" s="1"/>
  <c r="F19" i="1" s="1"/>
  <c r="P4" i="1"/>
  <c r="J4" i="1"/>
  <c r="G6" i="1"/>
  <c r="E6" i="1" s="1"/>
  <c r="G15" i="1"/>
  <c r="J20" i="1"/>
  <c r="E20" i="1" s="1"/>
  <c r="F20" i="1" s="1"/>
  <c r="S17" i="1"/>
  <c r="E17" i="1" s="1"/>
  <c r="F17" i="1" s="1"/>
  <c r="J9" i="1"/>
  <c r="E9" i="1" s="1"/>
  <c r="F9" i="1" s="1"/>
  <c r="S16" i="1"/>
  <c r="V16" i="1"/>
  <c r="P12" i="1"/>
  <c r="S12" i="1"/>
  <c r="Y12" i="1"/>
  <c r="J16" i="1"/>
  <c r="G16" i="1"/>
  <c r="G13" i="1"/>
  <c r="E13" i="1" s="1"/>
  <c r="J12" i="1"/>
  <c r="G2" i="1"/>
  <c r="E2" i="1" s="1"/>
  <c r="F2" i="1" s="1"/>
  <c r="E4" i="1" l="1"/>
  <c r="F4" i="1" s="1"/>
  <c r="F5" i="1"/>
  <c r="E16" i="1"/>
  <c r="E12" i="1"/>
  <c r="F13" i="1"/>
  <c r="E15" i="1"/>
  <c r="F15" i="1" l="1"/>
  <c r="F16" i="1"/>
  <c r="F12" i="1"/>
</calcChain>
</file>

<file path=xl/sharedStrings.xml><?xml version="1.0" encoding="utf-8"?>
<sst xmlns="http://schemas.openxmlformats.org/spreadsheetml/2006/main" count="405" uniqueCount="157">
  <si>
    <t>Arctodus_simus</t>
  </si>
  <si>
    <t>Mass.g.1</t>
  </si>
  <si>
    <t>Mass.g.1.Method</t>
  </si>
  <si>
    <t>Mass.g.1.Source</t>
  </si>
  <si>
    <t>Mass.g.2</t>
  </si>
  <si>
    <t>Mass.g.2.Method</t>
  </si>
  <si>
    <t>Mass.g.2.Source</t>
  </si>
  <si>
    <t>Mass.g.3</t>
  </si>
  <si>
    <t>Mass.g.3.Method</t>
  </si>
  <si>
    <t>Mass.g.3.Source</t>
  </si>
  <si>
    <t>Sorkin, B. 2006. Ecomorphology of the giant short-faced bears Agriotherium and Arctodus. Historical Biology 18(1): 1-20.</t>
  </si>
  <si>
    <t>Christiansen, Per. 1999. What size were Arctodus simus and Ursus spelaeus (Carnivora: Ursidae)?. Annales Zoologici Fennici, pp. 93-102.</t>
  </si>
  <si>
    <t>Figueirido, Borja, Juan A. Pérez-Claros, Vanessa Torregrosa, Alberto Martín-Serra, and Paul Palmqvist. 2010. Demythologizing Arctodus simus, the ‘short-faced’long-legged and predaceous bear that never was. Journal of Vertebrate Paleontology 30(1): 262-275.</t>
  </si>
  <si>
    <t>Mean (n=6 specimens) based on most accurate proxy: least mediolateral width of the femoral shaft; note marked differences / high dimorphism, with 1/3 of specimens approaching a ton &amp; 1/3 only 300-400 kg</t>
  </si>
  <si>
    <t>Mass.g.4</t>
  </si>
  <si>
    <t>Mass.g.4.Method</t>
  </si>
  <si>
    <t>Mass.g.4.Source</t>
  </si>
  <si>
    <t>Single value (n=1 individual) based on combined femur &amp; humerus midshaft circumferences</t>
  </si>
  <si>
    <t>Mass.g.5</t>
  </si>
  <si>
    <t>Mass.g.5.Method</t>
  </si>
  <si>
    <t>Mass.g.5.Source</t>
  </si>
  <si>
    <t>Nelson, Michael E., and James H. Madsen Jr. 1983. A giant short-faced bear (Arctodus simus) from the Pleistocene of Northern Utah. Transactions of the Kansas Academy of Science (1903): 1-9.</t>
  </si>
  <si>
    <t>Midpoint of range (n=1 specimen) based on cross-sectional area of femoral shaft</t>
  </si>
  <si>
    <t>Mass.g.6</t>
  </si>
  <si>
    <t>Mass.g.6.Method</t>
  </si>
  <si>
    <t>Mass.g.6.Source</t>
  </si>
  <si>
    <t>Kurtén, Björn. 1967. Pleistocene Bears of North America. Genus Arctodus, Short-faced Bears. Societas pro fauna et flora Fennica.</t>
  </si>
  <si>
    <t>Aenocyon_dirus</t>
  </si>
  <si>
    <t>Mass.g.median</t>
  </si>
  <si>
    <t>Mass.g.median.absolute.deviation</t>
  </si>
  <si>
    <t>Richards, Ronald L. and William D. Turnbull. 1995. Giant short-faced bear (Arctodus simus yukonensis) remains from Fulton County, northern Indiana. Publication (Field Museum of Natural History), 1465.</t>
  </si>
  <si>
    <t>Single value (n=1 specimen) based on condylobasal length of largest skull</t>
  </si>
  <si>
    <t>Ruiz-Ramoni, Damián, Xiaoming Wang, and Ascanio D. Rincón. 2022. Canids (Caninae) from the past of Venezuela. Ameghiniana 59(1): 97-116.</t>
  </si>
  <si>
    <t>Anyonge, William, and Chris Roman. 2006. New body mass estimates for Canis dirus, the extinct Pleistocene dire wolf. Journal of Vertebrate Paleontology 26(1): 209-212.</t>
  </si>
  <si>
    <t>Mean of means of two populations (60 kg (n=105) for western dire wolves based on femur circumference &amp; cross-sectional properties; 68 kg (n=7) for eastern dire wolves based on femur circumference)</t>
  </si>
  <si>
    <t>Summary (n=unspecified) based on lower first molar or skull length</t>
  </si>
  <si>
    <t>Van Valkenburgh, Blaire, and Fritz Hertel. 1998. The decline of North American predators during the Late Pleistocene. Quaternary paleozoology in the Northern Hemisphere 27: 357-374.</t>
  </si>
  <si>
    <t>Mean (n=3 specimens) based on anteroposterior length of lower first molar; comparative data includes more dirus specimens but values paywalled in Supplementary</t>
  </si>
  <si>
    <t>Homotherium_latidens</t>
  </si>
  <si>
    <t>Mean (n=2) based on crania / postcrania</t>
  </si>
  <si>
    <t>Palmqvist, Paul, Bienvenido Martínez-Navarro, and Alfonso Arribas. 1996. Prey selection by terrestrial carnivores in a lower Pleistocene paleocommunity. Paleobiology 22(4): 514-534.</t>
  </si>
  <si>
    <t>Midpoint of range based on a molar from Westbury and a molar, three humeri and a femur from Hundsheim (dimensions according to Bishop 1982 and Freudenberg 1914)</t>
  </si>
  <si>
    <t>Hemmer, H. Die feliden aus dem Epivillafranchium von Untermassfeld. 2001. Das Pleistozän von Untermassfeld bei Meiningen (Thüringen) 3: 699-782.</t>
  </si>
  <si>
    <t>NA</t>
  </si>
  <si>
    <t>Homotherium_serum</t>
  </si>
  <si>
    <t>Mean (n=4 humeri, 3 femora) based on most accurate ursid-only proxies: humeral circumference (612 kg) &amp; femoral distal condylar area (896 kg); humeral distal epiphyseal area &amp; bone lengths also tested but less reliable; estimates based on femoral circumference very high, excluded here</t>
  </si>
  <si>
    <t>Mean of midpoints of ranges based on humeral &amp; femoral circumference &amp; cross-sectional properties, estimated using all-carnivoran (range 146 - 220 kg) &amp; felid-only (range 174 - 231 kg) regressions</t>
  </si>
  <si>
    <t>Miracinonyx_trumani</t>
  </si>
  <si>
    <t>Single value (n=1 specimen) based on skull length</t>
  </si>
  <si>
    <t>Figueirido, Borja, Alejandro Pérez-Ramos, Anthony Hotchner, David M. Lovelace, Francisco J. Pastor, and Paul Palmqvist. 2022. The brain of the North American cheetah-like cat Miracinonyx trumani. iScience 25)12).</t>
  </si>
  <si>
    <t>Panthera_atrox</t>
  </si>
  <si>
    <t>Wheeler, H. Todd, and George T. Jefferson. 2009. Panthera atrox: body proportions, size, sexual dimorphism, and behavior of the cursorial lion of the North American plains. Papers on Geology, Vertebrate Paleontology, and Biostratigraphy in Honor of Michael O. Woodburne. Mus North Ariz Bull 65: 423-444.</t>
  </si>
  <si>
    <t>Mean of sexually dimorphic means based on lower first molar length, judged "the most reliable" (males, n=32, mean=254 kg; females, n=20, mean=176 kg)</t>
  </si>
  <si>
    <t>Mean of sexually dimorphic means (values provided for females n=2 (125 &amp; 129 kg), in-between n=1 (178 kg), &amp; males n=? (255.65 +/- 41.34 kg) based on condylobasal skull lengths</t>
  </si>
  <si>
    <t>Mean of midpoints of ranges based on humeral &amp; femoral circumference &amp; cross-sectional properties, estimated using all-carnivoran (range 344 - 420 kg) &amp; felid-only (range 365 - 523 kg) regressions</t>
  </si>
  <si>
    <t>Chimento, Nicolás R., and Federico L. Agnolin. 2017. The fossil American lion (Panthera atrox) in South America: palaeobiogeographical implications. Comptes Rendus Palevol 16(8): 850-864.</t>
  </si>
  <si>
    <t>Single value (n=1 specimen) based on anteroposterior lower first molar length</t>
  </si>
  <si>
    <t>Maximal estimate based on max condylobasal length</t>
  </si>
  <si>
    <t>Sorkin, Boris. 2008. A biomechanical constraint on body mass in terrestrial mammalian predators. Lethaia 41(4): 333-347.</t>
  </si>
  <si>
    <t>Mean of two estimates (based on condylobasal length &amp; convex hull model) on n=1 specimen; femur length also measured but excluded here as long-bone lengths are less reliable</t>
  </si>
  <si>
    <t>Panthera_spelaea</t>
  </si>
  <si>
    <t>Mean of means based on cranial (e.g., condylobasal length) or post-cranial (e.g., calcaneum length) and length or size (length*breadth) of lower first molar from 10 Ukrainian sites ranging from early to late Pleistocene; strong sexual dimorphism in late Pleistocene (females 140 - 180kg, males 200 - 300kg)</t>
  </si>
  <si>
    <t>Marciszak, Adrian, Dmitry V. Ivanoff, Yuriy A. Semenov, Sahra Talamo, Bogdan Ridush, Alina Stupak, Yevheniia Yanish, and Oleksandr Kovalchuk. 2023. The Quaternary lions of Ukraine and a trend of decreasing size in Panthera spelaea. Journal of Mammalian Evolution 30(1): 109-135.</t>
  </si>
  <si>
    <t>Smilodon_fatalis</t>
  </si>
  <si>
    <t>Smilodon_populator</t>
  </si>
  <si>
    <t>"Estimates from the postcranial skeleton" but which postcranial elements are not specified</t>
  </si>
  <si>
    <t>Mean of means based on femora (n=9) &amp; length of lower first molar (n=27) of specimens of both sexes at Talara, Peru</t>
  </si>
  <si>
    <t>Mean of means based on humeri (n=3), femora (n=3) &amp; tibiae (n=2) of specimens of both sexes at Talara, Peru</t>
  </si>
  <si>
    <t>Seymour, K.L., Reynolds, A.R., and Churcher, C.S. 2018. Smilodon fatalis from Talara, Peru: sex, age, mass, and histology. In Smilodon: The Iconic Sabertooth, L. Werdelin, H.G. McDonald, and C.A. Shaw, eds. (Johns Hopkins University Press), pp. 30–52.</t>
  </si>
  <si>
    <t>Single value (n=1 specimen) based on nasal aperture area</t>
  </si>
  <si>
    <t>Mass.g.7</t>
  </si>
  <si>
    <t>Mass.g.7.Method</t>
  </si>
  <si>
    <t>Mass.g.7.Source</t>
  </si>
  <si>
    <t>Mean based on nasal aperture area (n=6)</t>
  </si>
  <si>
    <t>Mean based on nasal aperture area (n=3)</t>
  </si>
  <si>
    <t>Mean of two estimates (condylobasal skull length, occiput-orbit length) on a single specimen (n=1)</t>
  </si>
  <si>
    <t>Mean of midpoints of ranges based on humeral &amp; femoral circumference &amp; cross-sectional properties, estimated using all-carnivoran (range 347 - 355 kg) &amp; felid-only (range 369 - 442 kg) regressions</t>
  </si>
  <si>
    <t>Christiansen, Per, and John M. Harris. 2009. Craniomandibular morphology and phylogenetic affinities of Panthera atrox: implications for the evolution and paleobiology of the lion lineage. Journal of Vertebrate Paleontology 29(3): 934-945.</t>
  </si>
  <si>
    <t>Christiansen, Per, and John M. Harris. 2005. Body size of Smilodon (Mammalia: Felidae). Journal of Morphology 266(3): 369-384.</t>
  </si>
  <si>
    <t>Cuff, Andrew R., Christopher Stockey, and Anjali Goswami. 2017. Endocranial morphology of the extinct North American lion (Panthera atrox). Brain Behavior and Evolution 88(3-4): 213-221.</t>
  </si>
  <si>
    <t>Torregrosa, Vanessa, Mauro Petrucci, Juan A. Pérez-Claros, and Paul Palmqvist. 2010. Nasal aperture area and body mass in felids: ecophysiological implications and paleobiological inferences. Geobios 43(6): 653-661.</t>
  </si>
  <si>
    <t>Anyonge, William. 1993. Body mass in large extant and extinct carnivores. Journal of Zoology 231(2): 339-350.</t>
  </si>
  <si>
    <t>Mean of weighted (by % prediction error, PE) averages based on appendicular-skeleton variables (ref. Table 5)</t>
  </si>
  <si>
    <t>Manzuetti, Aldo, Daniel Perea, Martín Ubilla, and Andrés Rinderknecht. 2018. First record of Smilodon fatalis Leidy, 1868 (Felidae, Machairodontinae) in the extra-Andean region of South America (late Pleistocene, Sopas Formation), Uruguay: taxonomic and paleobiogeographic implications. Quaternary Science Reviews 180: 57-62.</t>
  </si>
  <si>
    <t>Reynolds, Ashley R., Kevin L. Seymour, and David C. Evans. 2021. Smilodon fatalis siblings reveal life history in a saber-toothed cat. iScience 24:1.</t>
  </si>
  <si>
    <r>
      <t>Manzuetti, Aldo, Daniel Perea, Washington Jones, Martín Ubilla, and Andrés Rinderknecht. 2020. An extremely large saber-tooth cat skull from Uruguay (late Pleistocene–early Holocene, Dolores Formation): body size and paleobiological implications. </t>
    </r>
    <r>
      <rPr>
        <i/>
        <sz val="12"/>
        <color rgb="FF222222"/>
        <rFont val="Aptos Narrow"/>
        <scheme val="minor"/>
      </rPr>
      <t>Alcheringa: An Australasian Journal of Palaeontology</t>
    </r>
    <r>
      <rPr>
        <sz val="12"/>
        <color rgb="FF222222"/>
        <rFont val="Aptos Narrow"/>
        <scheme val="minor"/>
      </rPr>
      <t> 44(2): 332-339.</t>
    </r>
  </si>
  <si>
    <t>Maximal estimate based on greatest femur length</t>
  </si>
  <si>
    <t>Maximal estimate based on max interarticular humerus length</t>
  </si>
  <si>
    <t>Single value (n=1) based on femur</t>
  </si>
  <si>
    <t>Average based on skull measurements of single specimen (n=1)</t>
  </si>
  <si>
    <t>Thylacoleo_carnifex</t>
  </si>
  <si>
    <t>Mean of means of three estimates (based on femur+humerus, femur, &amp; humerus) across n=13 individuals</t>
  </si>
  <si>
    <t>Wroe, S., T. J. Myers, R. T. Wells, and A. Gillespie. 1999. Estimating the weight of the Pleistocene marsupial lion, Thylacoleo carnifex (Thylacoleonidae: Marsupialia): implications for the ecomorphology of a marsupial super-predator and hypotheses of impoverishment of Australian marsupial carnivore faunas. Australian Journal of Zoology 47(5): 489-498.</t>
  </si>
  <si>
    <t>Mean based on endocranial volume across n=9 specimens</t>
  </si>
  <si>
    <t>Wroe, Stephen, Troy Myers, Frank Seebacher, Ben Kear, Anna Gillespie, Mathew Crowther, and Steve Salisbury. 2003. An alternative method for predicting body mass: the case of the Pleistocene marsupial lion. Paleobiology 29(3): 403-411.</t>
  </si>
  <si>
    <t>Thylacinus_cynocephalus</t>
  </si>
  <si>
    <t>Mean based on corrected condylobasal skull length / molar length / humeral &amp; femoral circumferences of mixed-sex sample (n=93)</t>
  </si>
  <si>
    <t>Rovinsky, Douglass S., Alistair R. Evans, Damir G. Martin, and Justin W. Adams. 2020. Did the thylacine violate the costs of carnivory? Body mass and sexual dimorphism of an iconic Australian marsupial. Proceedings of the Royal Society B 287(1933): 20201537.</t>
  </si>
  <si>
    <t>Single value (n=1 specimen) based on lower molar row length</t>
  </si>
  <si>
    <t>Attard, Marie RG, William CH Parr, Laura AB Wilson, Michael Archer, Suzanne J. Hand, Tracey L. Rogers, and Stephen Wroe. 2014. Virtual reconstruction and prey size preference in the mid Cenozoic thylacinid, Nimbacinus dicksoni (Thylacinidae, Marsupialia). PLoS One 9(4): e93088.</t>
  </si>
  <si>
    <t>Paddle, Robert. 2000. The last Tasmanian tiger: the history and extinction of the thylacine. Book.</t>
  </si>
  <si>
    <t>Mean of recorded body mass of n=4 specimens</t>
  </si>
  <si>
    <t>Theriodictis_tarijensis</t>
  </si>
  <si>
    <t>Prevosti, Francisco Juan, and Paul Palmqvist. 2001. Análisis ecomorfológico del cánido hipercarnívoro Theriodictis platensis Mercerat (Mammalia, Carnivora), basado en un nuevo ejemplar del Pleistoceno de Argentina. Ameghiniana 38(4): 375-384.</t>
  </si>
  <si>
    <t>Based on upper canine length &amp; lower fourth premolar width **of T. platensis**; T. tarijensis described as slightly smaller than T. platensis by source</t>
  </si>
  <si>
    <t>Van Valkenburgh, Blaire. 1991. Iterative evolution of hypercarnivory in canids (Mammalia: Carnivora): evolutionary interactions among sympatric predators. Paleobiology 17 (4): 340-362.</t>
  </si>
  <si>
    <t>Protocyon_troglodytes</t>
  </si>
  <si>
    <t>Continent</t>
  </si>
  <si>
    <t>North America</t>
  </si>
  <si>
    <t>Europe</t>
  </si>
  <si>
    <t>Torregrosa, Vanessa, Mauro Petrucci, Juan A. Pérez-Claros, and Paul Palmqvist. Nasal aperture area and body mass in felids: ecophysiological implications and paleobiological inferences. Geobios 43, no. 6 (2010): 653-661.</t>
  </si>
  <si>
    <t>Hemmer, Helmut. 2003. Pleistozäne Katzen Europas–eine Übersicht. Cranium 20(2): 6-22.</t>
  </si>
  <si>
    <t>South America</t>
  </si>
  <si>
    <t>Dusicyon_avus</t>
  </si>
  <si>
    <t>North America, South America</t>
  </si>
  <si>
    <t>Australia</t>
  </si>
  <si>
    <t>Single value presumably based on dental / cranial dimensions in Berta (1988)</t>
  </si>
  <si>
    <t>Single value presumably based on dental / cranial dimensions in Berta (1988); mass estimate too low if relative size of known skeletal elements taken into account</t>
  </si>
  <si>
    <t>Prevosti, F. J., and S. Vizcaíno. 2006. The carnivore guild of the late Pleistocene of Argentina: paleoecology and carnivore richness. Acta Paleontologica Polonica 51(3): 407-422.</t>
  </si>
  <si>
    <t>Dusicyon_australis</t>
  </si>
  <si>
    <t>Cryptoprocta_spelea</t>
  </si>
  <si>
    <t>Cynotherium_sardous</t>
  </si>
  <si>
    <t>Leopardus_amnicola</t>
  </si>
  <si>
    <t>Propleopus_oscillans</t>
  </si>
  <si>
    <t>Mean (n=6 specimens) based on anteroposterior length of lower first molar; exact values paywalled in Supplementary so values here were approximated / measured from source Fig. 3</t>
  </si>
  <si>
    <t>Mean based on condylobasal skull length, orbital-occipital length, and length of first lower molar</t>
  </si>
  <si>
    <t>Prevosti, Francisco J., and Fabiana M. Martin. 2013. Paleoecology of the mammalian predator guild of Southern Patagonia during the latest Pleistocene: ecomorphology, stable isotopes, and taphonomy. Quaternary International 305: 74-84.</t>
  </si>
  <si>
    <t>Mean based on length of first lower molar</t>
  </si>
  <si>
    <t>Lyras, George A., Alexandra AE Van Der Geer, and Lorenzo Rook. 2010. Body size of insular carnivores: evidence from the fossil record. Journal of Biogeography 37(6): 1007-1021.</t>
  </si>
  <si>
    <t>Mean based on lengths of first lower molars (n=3) reported by Prevosti et al. (2015) using regression from Prevosti &amp; Martin (2013)</t>
  </si>
  <si>
    <t>(1) Clark, Tyler James, Bugge Vick, Jason Newton, Ilaria Marengo, and Ewan D. Wakefield. 2021. A wolf in fox's clothing? Using stable isotopes to quantify ecological replacement. Conservation Letters 14(3): e12791. (2) Prevosti, Francisco J., Mariano A. Ramírez, Mauro Schiaffini, Fabiana Martin, Daniel E. Udrizar Sauthier, Marcelo Carrera, Claudio Sillero-Zubiri, and Ulyses FJ Pardiñas. 2015. Extinctions in near time: new radiocarbon dates point to a very recent disappearance of the South American fox Dusicyon avus (Carnivora: Canidae). Biological Journal of the Linnean Society 116(3): 704-720. (3) Prevosti, Francisco J., and Fabiana M. Martin. 2013. Paleoecology of the mammalian predator guild of Southern Patagonia during the latest Pleistocene: ecomorphology, stable isotopes, and taphonomy. Quaternary International 305: 74-84.</t>
  </si>
  <si>
    <t>Mean based on length of first lower molar (n=14) from Malatesta (1970)</t>
  </si>
  <si>
    <t>Single value (n=1 specimen) based on humerus trochlear circumference; value initially 10kg in Lyras and van der Geer (2006), updated in Lyras et al. (2010)</t>
  </si>
  <si>
    <t>Lyras, George, and Alexandra van der Geer. 2006. Adaptations of the Pleistocene island canid Cynotherium sardous (Sardinia, Italy) for hunting small prey. Cranium 23(1): 51-60.</t>
  </si>
  <si>
    <t>Abbazzi, Laura, Marisa Arca, Caterinella Tuveri, and Lorenzo Rook. 2005. The endemic canid Cynotherium (Mammalia, Carnivora) from the Pleistocene deposits of Monte Tuttavista (Nuoro, Eastern Sardinia). Rivista Italiana di Paleontologia e Stratigrafia 111(3): 497.</t>
  </si>
  <si>
    <t>Single value (n=1 individual) based on multiple craniodental metrics</t>
  </si>
  <si>
    <t>Meador, Lindsay Renee, Laurie Rohde Godfrey, Jean Claude Rakotondramavo, Lovasoa Ranivoharimanana, Andrew Zamora, Michael Reed Sutherland, and Mitchell T. Irwin. 2019. Cryptoprocta spelea (Carnivora: Eupleridae): what did it eat and how do we know? Journal of Mammalian Evolution 26: 237-251.</t>
  </si>
  <si>
    <t>Africa</t>
  </si>
  <si>
    <t>Moeller, Heinz. 1970. Vergleichende Untersuchungen zum Evolutionsgrad der Gehirne großer Raubbeutler (Thylacinus, Sarcophilus und Dasyurus) I. Hirngewicht II. Hirnform und Furchenbild 1. Journal of Zoological Systematics and Evolutionary Research 8(1): 69-80.</t>
  </si>
  <si>
    <t>Goodman, Steven M., and William L. Jungers. 2014. Extinct Madagascar: picturing the island's past. University of Chicago Press.</t>
  </si>
  <si>
    <t>Midpoint of range based on C. spelea linear dimensions being 30% larger than C. ferox</t>
  </si>
  <si>
    <t>Mean based on phylogenetic generalized least squares regressions of humeral &amp; femoral measurements</t>
  </si>
  <si>
    <t>Wroe, Stephen, Judith Field, Richard Fullagar, and Lars S. Jermin. 2004. Megafaunal extinction in the late Quaternary and the global overkill hypothesis. Alcheringa 28(1): 291-331.</t>
  </si>
  <si>
    <t>Single value (n=unspecified) based on skull length</t>
  </si>
  <si>
    <t>Mean based on humerus &amp; femur lengths</t>
  </si>
  <si>
    <t>Anderson, John F., A. Hall‐Martin, and Dale A. Russell. 1985. Long‐bone circumference and weight in mammals, birds and dinosaurs. Journal of Zoology 207(1): 53-61.</t>
  </si>
  <si>
    <t>Smith, Felisa A., Catalina P. Tomé, Emma A. Elliott Smith, S. Kathleen Lyons, Seth D. Newsome, and Thomas W. Stafford. 2016. Unraveling the consequences of the terminal Pleistocene megafauna extinction on mammal community assembly. Ecography 39(2): 223-239.</t>
  </si>
  <si>
    <t>Derived from updated Mass of Mammals v4.1 (Smith et al., 2003)</t>
  </si>
  <si>
    <t>Smith, M. 1982. Review of the thylacine (Marsupialia, Thylacinidae). In Carnivorous marsupials: 237-253. Archer, M. (Ed.). Sydney: Royal Zoological Society of New South Wales, Surrey Beatty.</t>
  </si>
  <si>
    <t>Flannery (1985, 1989) as cited in: Ride, William David Lindsay, P. A. Pridmore, R. E. Barwick, R. T. Wells, and R. D. Heady. 1997. Towards a biology of Propleopus oscillans (Marsupialia: Propleopinae, Hypsiprymnodontidae). Proceedings - Linnean Society of New South Wales 117:243-328.</t>
  </si>
  <si>
    <t>Wroe, Stephen, Christine Argot, and Christopher Dickman. 2004. On the rarity of big fierce carnivores and primacy of isolation and area: tracking large mammalian carnivore diversity on two isolated continents. Proceedings of the Royal Society of London. Series B: Biological Sciences 271(1544): 1203-1211.</t>
  </si>
  <si>
    <t>Single value (n=?) based on lower molar row length</t>
  </si>
  <si>
    <t>outside newly calculated median range (+/- median absolute deviation)</t>
  </si>
  <si>
    <t>Argant, A. 1988. Etude de l'exemplaire de Panthera spelaea (Goldfuss, 1810)(Mammalia, Carnivora, Felidae) du gisement Pleistocene moyen recent de la grotte d'Aze (Saone et Loire). Revue de Paléobiologie 7(2): 449-466.</t>
  </si>
  <si>
    <t>de Castro, Mariela Cordeiro, and M. C. Langer. 2008. New postcranial remains of Smilodon populator Lund, 1842 from south-central Brazil. Rev Bras Paleont 11: 199-206.</t>
  </si>
  <si>
    <t>Mass.no.of.studies</t>
  </si>
  <si>
    <t>Phylacene.estimate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</si>
</sst>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scheme val="minor"/>
    </font>
    <font>
      <sz val="12"/>
      <color rgb="FF222222"/>
      <name val="Aptos Narrow"/>
      <scheme val="minor"/>
    </font>
    <font>
      <i/>
      <sz val="12"/>
      <color rgb="FF222222"/>
      <name val="Aptos Narrow"/>
      <scheme val="minor"/>
    </font>
  </fonts>
  <fills count="5">
    <fill>
      <patternFill patternType="none"/>
    </fill>
    <fill>
      <patternFill patternType="gray125"/>
    </fill>
    <fill>
      <patternFill patternType="solid">
        <fgColor theme="2"/>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1" fontId="0" fillId="0" borderId="0" xfId="0" applyNumberFormat="1"/>
    <xf numFmtId="0" fontId="1" fillId="0" borderId="0" xfId="0" applyFont="1"/>
    <xf numFmtId="1" fontId="1" fillId="0" borderId="0" xfId="0" applyNumberFormat="1" applyFont="1"/>
    <xf numFmtId="0" fontId="1" fillId="2" borderId="0" xfId="0" applyFont="1" applyFill="1"/>
    <xf numFmtId="1" fontId="1" fillId="2" borderId="0" xfId="0" applyNumberFormat="1" applyFont="1" applyFill="1"/>
    <xf numFmtId="0" fontId="0" fillId="2" borderId="0" xfId="0" applyFill="1"/>
    <xf numFmtId="1" fontId="0" fillId="2" borderId="0" xfId="0" applyNumberFormat="1" applyFill="1"/>
    <xf numFmtId="0" fontId="2" fillId="0" borderId="0" xfId="0" applyFont="1"/>
    <xf numFmtId="0" fontId="1" fillId="3" borderId="0" xfId="0" applyFont="1" applyFill="1"/>
    <xf numFmtId="0" fontId="1" fillId="4"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70BA3-C283-C743-8B37-3A5633D0BCEE}">
  <dimension ref="A1:AL22"/>
  <sheetViews>
    <sheetView tabSelected="1" zoomScale="120" zoomScaleNormal="120" workbookViewId="0">
      <pane xSplit="1" ySplit="1" topLeftCell="G2" activePane="bottomRight" state="frozen"/>
      <selection pane="topRight" activeCell="B1" sqref="B1"/>
      <selection pane="bottomLeft" activeCell="A2" sqref="A2"/>
      <selection pane="bottomRight" activeCell="K24" sqref="K24"/>
    </sheetView>
  </sheetViews>
  <sheetFormatPr baseColWidth="10" defaultRowHeight="16" x14ac:dyDescent="0.2"/>
  <cols>
    <col min="1" max="1" width="22" bestFit="1" customWidth="1"/>
    <col min="2" max="2" width="25.6640625" bestFit="1" customWidth="1"/>
    <col min="3" max="3" width="12.1640625" bestFit="1" customWidth="1"/>
    <col min="4" max="5" width="13.1640625" style="6" customWidth="1"/>
    <col min="6" max="6" width="10.83203125" style="6"/>
    <col min="8" max="8" width="15.33203125" customWidth="1"/>
    <col min="10" max="12" width="10.83203125" style="6"/>
    <col min="16" max="18" width="10.83203125" style="6"/>
    <col min="22" max="24" width="10.83203125" style="6"/>
    <col min="28" max="33" width="10.83203125" style="6"/>
  </cols>
  <sheetData>
    <row r="1" spans="1:38" x14ac:dyDescent="0.2">
      <c r="A1" s="2"/>
      <c r="B1" s="2" t="s">
        <v>107</v>
      </c>
      <c r="C1" s="2" t="s">
        <v>156</v>
      </c>
      <c r="D1" s="4" t="s">
        <v>155</v>
      </c>
      <c r="E1" s="4" t="s">
        <v>28</v>
      </c>
      <c r="F1" s="4" t="s">
        <v>29</v>
      </c>
      <c r="G1" s="2" t="s">
        <v>1</v>
      </c>
      <c r="H1" s="2" t="s">
        <v>2</v>
      </c>
      <c r="I1" s="2" t="s">
        <v>3</v>
      </c>
      <c r="J1" s="4" t="s">
        <v>4</v>
      </c>
      <c r="K1" s="4" t="s">
        <v>5</v>
      </c>
      <c r="L1" s="4" t="s">
        <v>6</v>
      </c>
      <c r="M1" s="2" t="s">
        <v>7</v>
      </c>
      <c r="N1" s="2" t="s">
        <v>8</v>
      </c>
      <c r="O1" s="2" t="s">
        <v>9</v>
      </c>
      <c r="P1" s="4" t="s">
        <v>14</v>
      </c>
      <c r="Q1" s="4" t="s">
        <v>15</v>
      </c>
      <c r="R1" s="4" t="s">
        <v>16</v>
      </c>
      <c r="S1" s="2" t="s">
        <v>18</v>
      </c>
      <c r="T1" s="2" t="s">
        <v>19</v>
      </c>
      <c r="U1" s="2" t="s">
        <v>20</v>
      </c>
      <c r="V1" s="4" t="s">
        <v>23</v>
      </c>
      <c r="W1" s="4" t="s">
        <v>24</v>
      </c>
      <c r="X1" s="4" t="s">
        <v>25</v>
      </c>
      <c r="Y1" s="2" t="s">
        <v>70</v>
      </c>
      <c r="Z1" s="2" t="s">
        <v>71</v>
      </c>
      <c r="AA1" s="2" t="s">
        <v>72</v>
      </c>
      <c r="AB1" s="4"/>
      <c r="AC1" s="4"/>
      <c r="AD1" s="4"/>
      <c r="AE1" s="4"/>
      <c r="AF1" s="4"/>
      <c r="AG1" s="4"/>
      <c r="AH1" s="2"/>
      <c r="AI1" s="2"/>
      <c r="AJ1" s="2"/>
      <c r="AK1" s="2"/>
      <c r="AL1" s="2"/>
    </row>
    <row r="2" spans="1:38" x14ac:dyDescent="0.2">
      <c r="A2" s="2" t="s">
        <v>27</v>
      </c>
      <c r="B2" s="2" t="s">
        <v>114</v>
      </c>
      <c r="C2" s="2">
        <v>64000</v>
      </c>
      <c r="D2" s="5">
        <v>4</v>
      </c>
      <c r="E2" s="5">
        <f>MEDIAN(G2,J2,M2,P2)</f>
        <v>57000</v>
      </c>
      <c r="F2" s="5">
        <f>MEDIAN(ABS(G2-E2),ABS(J2-E2),ABS(M2-E2),ABS(P2-E2))</f>
        <v>13883.333333333332</v>
      </c>
      <c r="G2" s="3">
        <f>AVERAGEA(38100, 37300, 33300)</f>
        <v>36233.333333333336</v>
      </c>
      <c r="H2" s="2" t="s">
        <v>37</v>
      </c>
      <c r="I2" s="2" t="s">
        <v>32</v>
      </c>
      <c r="J2" s="4">
        <v>110000</v>
      </c>
      <c r="K2" s="6" t="s">
        <v>87</v>
      </c>
      <c r="L2" s="6" t="s">
        <v>58</v>
      </c>
      <c r="M2" s="2">
        <v>64000</v>
      </c>
      <c r="N2" s="2" t="s">
        <v>34</v>
      </c>
      <c r="O2" s="2" t="s">
        <v>33</v>
      </c>
      <c r="P2" s="4">
        <v>50000</v>
      </c>
      <c r="Q2" s="4" t="s">
        <v>35</v>
      </c>
      <c r="R2" s="4" t="s">
        <v>36</v>
      </c>
      <c r="S2" s="2" t="s">
        <v>43</v>
      </c>
      <c r="T2" s="2" t="s">
        <v>43</v>
      </c>
      <c r="U2" s="2" t="s">
        <v>43</v>
      </c>
      <c r="V2" s="4" t="s">
        <v>43</v>
      </c>
      <c r="W2" s="4" t="s">
        <v>43</v>
      </c>
      <c r="X2" s="4" t="s">
        <v>43</v>
      </c>
      <c r="Y2" t="s">
        <v>43</v>
      </c>
      <c r="Z2" t="s">
        <v>43</v>
      </c>
      <c r="AA2" t="s">
        <v>43</v>
      </c>
      <c r="AB2" s="4"/>
      <c r="AC2" s="4"/>
      <c r="AD2" s="4"/>
      <c r="AE2" s="4"/>
      <c r="AF2" s="4"/>
      <c r="AG2" s="4"/>
      <c r="AH2" s="2"/>
      <c r="AI2" s="2"/>
      <c r="AJ2" s="2"/>
      <c r="AK2" s="2"/>
      <c r="AL2" s="2"/>
    </row>
    <row r="3" spans="1:38" x14ac:dyDescent="0.2">
      <c r="A3" s="2" t="s">
        <v>0</v>
      </c>
      <c r="B3" s="2" t="s">
        <v>108</v>
      </c>
      <c r="C3" s="2">
        <v>709500</v>
      </c>
      <c r="D3" s="4">
        <v>6</v>
      </c>
      <c r="E3" s="4">
        <f>MEDIAN(G3,J3,M3,P3,S3,V3)</f>
        <v>674750</v>
      </c>
      <c r="F3" s="4">
        <f>MEDIAN(ABS(G3-E3),ABS(J3-E3),ABS(M3-E3),ABS(P3-E3),ABS(S3-E3),ABS(V3-E3))</f>
        <v>72000</v>
      </c>
      <c r="G3" s="2">
        <v>709500</v>
      </c>
      <c r="H3" s="2" t="s">
        <v>13</v>
      </c>
      <c r="I3" s="2" t="s">
        <v>12</v>
      </c>
      <c r="J3" s="4">
        <v>540000</v>
      </c>
      <c r="K3" s="4" t="s">
        <v>31</v>
      </c>
      <c r="L3" s="4" t="s">
        <v>10</v>
      </c>
      <c r="M3" s="2">
        <v>754000</v>
      </c>
      <c r="N3" s="2" t="s">
        <v>45</v>
      </c>
      <c r="O3" s="2" t="s">
        <v>11</v>
      </c>
      <c r="P3" s="4">
        <v>766000</v>
      </c>
      <c r="Q3" s="4" t="s">
        <v>17</v>
      </c>
      <c r="R3" s="4" t="s">
        <v>30</v>
      </c>
      <c r="S3" s="2">
        <v>640000</v>
      </c>
      <c r="T3" s="2" t="s">
        <v>22</v>
      </c>
      <c r="U3" s="2" t="s">
        <v>21</v>
      </c>
      <c r="V3" s="4">
        <v>610000</v>
      </c>
      <c r="W3" s="4" t="s">
        <v>22</v>
      </c>
      <c r="X3" s="4" t="s">
        <v>26</v>
      </c>
      <c r="Y3" t="s">
        <v>43</v>
      </c>
      <c r="Z3" t="s">
        <v>43</v>
      </c>
      <c r="AA3" t="s">
        <v>43</v>
      </c>
      <c r="AB3" s="4"/>
      <c r="AC3" s="4"/>
      <c r="AD3" s="4"/>
      <c r="AE3" s="4"/>
      <c r="AF3" s="4"/>
      <c r="AG3" s="4"/>
      <c r="AH3" s="2"/>
      <c r="AI3" s="2"/>
      <c r="AJ3" s="2"/>
      <c r="AK3" s="2"/>
      <c r="AL3" s="2"/>
    </row>
    <row r="4" spans="1:38" x14ac:dyDescent="0.2">
      <c r="A4" s="2" t="s">
        <v>120</v>
      </c>
      <c r="B4" s="2" t="s">
        <v>137</v>
      </c>
      <c r="C4" s="9">
        <v>17000</v>
      </c>
      <c r="D4" s="4">
        <v>4</v>
      </c>
      <c r="E4" s="5">
        <f>MEDIAN(G4,J4,M4,P4)</f>
        <v>13400</v>
      </c>
      <c r="F4" s="5">
        <f>MEDIAN(ABS(G4-E4),ABS(J4-E4),ABS(M4-E4),ABS(P4-E4))</f>
        <v>850</v>
      </c>
      <c r="G4" s="3">
        <v>12600</v>
      </c>
      <c r="H4" s="2" t="s">
        <v>141</v>
      </c>
      <c r="I4" s="2" t="s">
        <v>136</v>
      </c>
      <c r="J4" s="4">
        <f>AVERAGEA(10000, 15000)</f>
        <v>12500</v>
      </c>
      <c r="K4" s="4" t="s">
        <v>140</v>
      </c>
      <c r="L4" s="4" t="s">
        <v>139</v>
      </c>
      <c r="M4" s="2">
        <v>20000</v>
      </c>
      <c r="N4" s="2" t="s">
        <v>143</v>
      </c>
      <c r="O4" s="2" t="s">
        <v>142</v>
      </c>
      <c r="P4" s="4">
        <f>AVERAGEA(13700, 14700)</f>
        <v>14200</v>
      </c>
      <c r="Q4" s="4" t="s">
        <v>144</v>
      </c>
      <c r="R4" s="4" t="s">
        <v>145</v>
      </c>
      <c r="S4" s="2" t="s">
        <v>43</v>
      </c>
      <c r="T4" s="2" t="s">
        <v>43</v>
      </c>
      <c r="U4" s="2" t="s">
        <v>43</v>
      </c>
      <c r="V4" s="4" t="s">
        <v>43</v>
      </c>
      <c r="W4" s="4" t="s">
        <v>43</v>
      </c>
      <c r="X4" s="4" t="s">
        <v>43</v>
      </c>
      <c r="Y4" t="s">
        <v>43</v>
      </c>
      <c r="Z4" t="s">
        <v>43</v>
      </c>
      <c r="AA4" t="s">
        <v>43</v>
      </c>
      <c r="AB4" s="4"/>
      <c r="AC4" s="4"/>
      <c r="AD4" s="4"/>
      <c r="AE4" s="4"/>
      <c r="AF4" s="4"/>
      <c r="AG4" s="4"/>
      <c r="AH4" s="2"/>
      <c r="AI4" s="2"/>
      <c r="AJ4" s="2"/>
      <c r="AK4" s="2"/>
      <c r="AL4" s="2"/>
    </row>
    <row r="5" spans="1:38" x14ac:dyDescent="0.2">
      <c r="A5" s="2" t="s">
        <v>121</v>
      </c>
      <c r="B5" s="2" t="s">
        <v>109</v>
      </c>
      <c r="C5" s="9">
        <v>11071</v>
      </c>
      <c r="D5" s="4">
        <v>3</v>
      </c>
      <c r="E5" s="5">
        <f>MEDIAN(G5,J5, M5)</f>
        <v>13000</v>
      </c>
      <c r="F5" s="5">
        <f>MEDIAN(ABS(G5-E5),ABS(J5-E5),ABS(M5-E5))</f>
        <v>10</v>
      </c>
      <c r="G5" s="3">
        <v>13010</v>
      </c>
      <c r="H5" s="2" t="s">
        <v>131</v>
      </c>
      <c r="I5" s="2" t="s">
        <v>128</v>
      </c>
      <c r="J5" s="6">
        <v>10398</v>
      </c>
      <c r="K5" s="6" t="s">
        <v>132</v>
      </c>
      <c r="L5" s="6" t="s">
        <v>133</v>
      </c>
      <c r="M5">
        <v>13000</v>
      </c>
      <c r="N5" t="s">
        <v>135</v>
      </c>
      <c r="O5" t="s">
        <v>134</v>
      </c>
      <c r="P5" s="6" t="s">
        <v>43</v>
      </c>
      <c r="Q5" s="6" t="s">
        <v>43</v>
      </c>
      <c r="R5" s="6" t="s">
        <v>43</v>
      </c>
      <c r="S5" t="s">
        <v>43</v>
      </c>
      <c r="T5" t="s">
        <v>43</v>
      </c>
      <c r="U5" t="s">
        <v>43</v>
      </c>
      <c r="V5" s="6" t="s">
        <v>43</v>
      </c>
      <c r="W5" s="6" t="s">
        <v>43</v>
      </c>
      <c r="X5" s="6" t="s">
        <v>43</v>
      </c>
      <c r="Y5" t="s">
        <v>43</v>
      </c>
      <c r="Z5" t="s">
        <v>43</v>
      </c>
      <c r="AA5" t="s">
        <v>43</v>
      </c>
      <c r="AB5" s="4"/>
      <c r="AC5" s="4"/>
      <c r="AD5" s="4"/>
      <c r="AE5" s="4"/>
      <c r="AG5" s="4"/>
      <c r="AH5" s="2"/>
      <c r="AI5" s="2"/>
      <c r="AJ5" s="2"/>
      <c r="AK5" s="2"/>
      <c r="AL5" s="2"/>
    </row>
    <row r="6" spans="1:38" x14ac:dyDescent="0.2">
      <c r="A6" s="2" t="s">
        <v>119</v>
      </c>
      <c r="B6" s="2" t="s">
        <v>112</v>
      </c>
      <c r="C6" s="9">
        <v>50003</v>
      </c>
      <c r="D6" s="4">
        <v>1</v>
      </c>
      <c r="E6" s="5">
        <f>G6</f>
        <v>13094.666666666666</v>
      </c>
      <c r="F6" s="4" t="s">
        <v>43</v>
      </c>
      <c r="G6" s="3">
        <f>AVERAGEA(12462, 12725, 14097)</f>
        <v>13094.666666666666</v>
      </c>
      <c r="H6" s="2" t="s">
        <v>129</v>
      </c>
      <c r="I6" s="2" t="s">
        <v>130</v>
      </c>
      <c r="J6" s="6" t="s">
        <v>43</v>
      </c>
      <c r="K6" s="6" t="s">
        <v>43</v>
      </c>
      <c r="L6" s="6" t="s">
        <v>43</v>
      </c>
      <c r="M6" t="s">
        <v>43</v>
      </c>
      <c r="N6" t="s">
        <v>43</v>
      </c>
      <c r="O6" t="s">
        <v>43</v>
      </c>
      <c r="P6" s="6" t="s">
        <v>43</v>
      </c>
      <c r="Q6" s="6" t="s">
        <v>43</v>
      </c>
      <c r="R6" s="6" t="s">
        <v>43</v>
      </c>
      <c r="S6" t="s">
        <v>43</v>
      </c>
      <c r="T6" t="s">
        <v>43</v>
      </c>
      <c r="U6" t="s">
        <v>43</v>
      </c>
      <c r="V6" s="6" t="s">
        <v>43</v>
      </c>
      <c r="W6" s="6" t="s">
        <v>43</v>
      </c>
      <c r="X6" s="6" t="s">
        <v>43</v>
      </c>
      <c r="Y6" t="s">
        <v>43</v>
      </c>
      <c r="Z6" t="s">
        <v>43</v>
      </c>
      <c r="AA6" t="s">
        <v>43</v>
      </c>
      <c r="AB6" s="4"/>
      <c r="AC6" s="4"/>
      <c r="AD6" s="4"/>
      <c r="AE6" s="4"/>
      <c r="AF6" s="4"/>
      <c r="AG6" s="4"/>
      <c r="AH6" s="2"/>
      <c r="AI6" s="2"/>
      <c r="AJ6" s="2"/>
      <c r="AK6" s="2"/>
      <c r="AL6" s="2"/>
    </row>
    <row r="7" spans="1:38" x14ac:dyDescent="0.2">
      <c r="A7" s="2" t="s">
        <v>113</v>
      </c>
      <c r="B7" s="2" t="s">
        <v>112</v>
      </c>
      <c r="C7" s="9">
        <v>13000</v>
      </c>
      <c r="D7" s="5">
        <v>2</v>
      </c>
      <c r="E7" s="5">
        <f>MEDIAN(G7,J7)</f>
        <v>15245</v>
      </c>
      <c r="F7" s="5">
        <f>MEDIAN(ABS(G7-E7),ABS(J7-E7))</f>
        <v>595</v>
      </c>
      <c r="G7" s="2">
        <v>15840</v>
      </c>
      <c r="H7" s="2" t="s">
        <v>127</v>
      </c>
      <c r="I7" s="2" t="s">
        <v>126</v>
      </c>
      <c r="J7" s="4">
        <v>14650</v>
      </c>
      <c r="K7" s="4" t="s">
        <v>125</v>
      </c>
      <c r="L7" s="4" t="s">
        <v>118</v>
      </c>
      <c r="M7" t="s">
        <v>43</v>
      </c>
      <c r="N7" t="s">
        <v>43</v>
      </c>
      <c r="O7" t="s">
        <v>43</v>
      </c>
      <c r="P7" s="6" t="s">
        <v>43</v>
      </c>
      <c r="Q7" s="6" t="s">
        <v>43</v>
      </c>
      <c r="R7" s="6" t="s">
        <v>43</v>
      </c>
      <c r="S7" t="s">
        <v>43</v>
      </c>
      <c r="T7" t="s">
        <v>43</v>
      </c>
      <c r="U7" t="s">
        <v>43</v>
      </c>
      <c r="V7" s="6" t="s">
        <v>43</v>
      </c>
      <c r="W7" s="6" t="s">
        <v>43</v>
      </c>
      <c r="X7" s="6" t="s">
        <v>43</v>
      </c>
      <c r="Y7" t="s">
        <v>43</v>
      </c>
      <c r="Z7" t="s">
        <v>43</v>
      </c>
      <c r="AA7" t="s">
        <v>43</v>
      </c>
      <c r="AB7" s="4"/>
      <c r="AC7" s="4"/>
      <c r="AD7" s="4"/>
      <c r="AE7" s="4"/>
      <c r="AF7" s="4"/>
      <c r="AG7" s="4"/>
      <c r="AI7" s="2"/>
      <c r="AJ7" s="2"/>
      <c r="AK7" s="2"/>
      <c r="AL7" s="2"/>
    </row>
    <row r="8" spans="1:38" x14ac:dyDescent="0.2">
      <c r="A8" s="2" t="s">
        <v>38</v>
      </c>
      <c r="B8" s="2" t="s">
        <v>109</v>
      </c>
      <c r="C8" s="2">
        <v>189000</v>
      </c>
      <c r="D8" s="5">
        <v>3</v>
      </c>
      <c r="E8" s="5">
        <f>MEDIAN(G8,J8,M8)</f>
        <v>195000</v>
      </c>
      <c r="F8" s="5">
        <f>MEDIAN(ABS(G8-E8),ABS(J8-E8),ABS(M8-E8))</f>
        <v>48900</v>
      </c>
      <c r="G8" s="2">
        <v>139600</v>
      </c>
      <c r="H8" s="2" t="s">
        <v>73</v>
      </c>
      <c r="I8" s="2" t="s">
        <v>80</v>
      </c>
      <c r="J8" s="4">
        <v>195000</v>
      </c>
      <c r="K8" s="4" t="s">
        <v>41</v>
      </c>
      <c r="L8" s="4" t="s">
        <v>42</v>
      </c>
      <c r="M8" s="2">
        <v>243900</v>
      </c>
      <c r="N8" s="2" t="s">
        <v>39</v>
      </c>
      <c r="O8" s="2" t="s">
        <v>40</v>
      </c>
      <c r="P8" s="4" t="s">
        <v>43</v>
      </c>
      <c r="Q8" s="4" t="s">
        <v>43</v>
      </c>
      <c r="R8" s="4" t="s">
        <v>43</v>
      </c>
      <c r="S8" s="2" t="s">
        <v>43</v>
      </c>
      <c r="T8" s="2" t="s">
        <v>43</v>
      </c>
      <c r="U8" s="2" t="s">
        <v>43</v>
      </c>
      <c r="V8" s="4" t="s">
        <v>43</v>
      </c>
      <c r="W8" s="4" t="s">
        <v>43</v>
      </c>
      <c r="X8" s="4" t="s">
        <v>43</v>
      </c>
      <c r="Y8" t="s">
        <v>43</v>
      </c>
      <c r="Z8" t="s">
        <v>43</v>
      </c>
      <c r="AA8" t="s">
        <v>43</v>
      </c>
      <c r="AB8" s="4"/>
      <c r="AC8" s="4"/>
      <c r="AD8" s="4"/>
      <c r="AE8" s="4"/>
      <c r="AF8" s="4"/>
      <c r="AG8" s="4"/>
      <c r="AH8" s="2"/>
      <c r="AI8" s="2"/>
      <c r="AJ8" s="2"/>
      <c r="AK8" s="2"/>
      <c r="AL8" s="2"/>
    </row>
    <row r="9" spans="1:38" x14ac:dyDescent="0.2">
      <c r="A9" s="2" t="s">
        <v>44</v>
      </c>
      <c r="B9" s="2" t="s">
        <v>108</v>
      </c>
      <c r="C9" s="9">
        <v>189000</v>
      </c>
      <c r="D9" s="5">
        <v>2</v>
      </c>
      <c r="E9" s="5">
        <f>MEDIAN(G9,J9)</f>
        <v>191375</v>
      </c>
      <c r="F9" s="5">
        <f>MEDIAN(ABS(G9-E9),ABS(J9-E9))</f>
        <v>1375</v>
      </c>
      <c r="G9">
        <v>190000</v>
      </c>
      <c r="H9" t="s">
        <v>86</v>
      </c>
      <c r="I9" t="s">
        <v>58</v>
      </c>
      <c r="J9" s="6">
        <f>AVERAGEA(AVERAGEA(220000, 146000), AVERAGEA(231000, 174000))</f>
        <v>192750</v>
      </c>
      <c r="K9" s="4" t="s">
        <v>46</v>
      </c>
      <c r="L9" s="4" t="s">
        <v>81</v>
      </c>
      <c r="M9" t="s">
        <v>43</v>
      </c>
      <c r="N9" t="s">
        <v>43</v>
      </c>
      <c r="O9" t="s">
        <v>43</v>
      </c>
      <c r="P9" s="6" t="s">
        <v>43</v>
      </c>
      <c r="Q9" s="6" t="s">
        <v>43</v>
      </c>
      <c r="R9" s="6" t="s">
        <v>43</v>
      </c>
      <c r="S9" t="s">
        <v>43</v>
      </c>
      <c r="T9" t="s">
        <v>43</v>
      </c>
      <c r="U9" t="s">
        <v>43</v>
      </c>
      <c r="V9" s="6" t="s">
        <v>43</v>
      </c>
      <c r="W9" s="6" t="s">
        <v>43</v>
      </c>
      <c r="X9" s="6" t="s">
        <v>43</v>
      </c>
      <c r="Y9" t="s">
        <v>43</v>
      </c>
      <c r="Z9" t="s">
        <v>43</v>
      </c>
      <c r="AA9" t="s">
        <v>43</v>
      </c>
    </row>
    <row r="10" spans="1:38" x14ac:dyDescent="0.2">
      <c r="A10" s="2" t="s">
        <v>122</v>
      </c>
      <c r="B10" s="2" t="s">
        <v>108</v>
      </c>
      <c r="C10" s="2">
        <v>5000</v>
      </c>
      <c r="D10" s="5">
        <v>1</v>
      </c>
      <c r="E10" s="5">
        <f>MEDIAN(G10)</f>
        <v>4204</v>
      </c>
      <c r="F10" s="5" t="s">
        <v>43</v>
      </c>
      <c r="G10" s="1">
        <v>4204</v>
      </c>
      <c r="H10" t="s">
        <v>147</v>
      </c>
      <c r="I10" t="s">
        <v>146</v>
      </c>
      <c r="J10" s="6" t="s">
        <v>43</v>
      </c>
      <c r="K10" s="6" t="s">
        <v>43</v>
      </c>
      <c r="L10" s="6" t="s">
        <v>43</v>
      </c>
      <c r="M10" t="s">
        <v>43</v>
      </c>
      <c r="N10" t="s">
        <v>43</v>
      </c>
      <c r="O10" t="s">
        <v>43</v>
      </c>
      <c r="P10" s="6" t="s">
        <v>43</v>
      </c>
      <c r="Q10" s="6" t="s">
        <v>43</v>
      </c>
      <c r="R10" s="6" t="s">
        <v>43</v>
      </c>
      <c r="S10" t="s">
        <v>43</v>
      </c>
      <c r="T10" t="s">
        <v>43</v>
      </c>
      <c r="U10" t="s">
        <v>43</v>
      </c>
      <c r="V10" s="6" t="s">
        <v>43</v>
      </c>
      <c r="W10" s="6" t="s">
        <v>43</v>
      </c>
      <c r="X10" s="6" t="s">
        <v>43</v>
      </c>
      <c r="Y10" t="s">
        <v>43</v>
      </c>
      <c r="Z10" t="s">
        <v>43</v>
      </c>
      <c r="AA10" t="s">
        <v>43</v>
      </c>
    </row>
    <row r="11" spans="1:38" x14ac:dyDescent="0.2">
      <c r="A11" s="2" t="s">
        <v>47</v>
      </c>
      <c r="B11" s="2" t="s">
        <v>108</v>
      </c>
      <c r="C11" s="9">
        <v>88000</v>
      </c>
      <c r="D11" s="5">
        <v>1</v>
      </c>
      <c r="E11" s="5">
        <f>MEDIAN(G11)</f>
        <v>50000</v>
      </c>
      <c r="F11" s="6" t="s">
        <v>43</v>
      </c>
      <c r="G11">
        <v>50000</v>
      </c>
      <c r="H11" s="2" t="s">
        <v>48</v>
      </c>
      <c r="I11" s="2" t="s">
        <v>49</v>
      </c>
      <c r="J11" s="6" t="s">
        <v>43</v>
      </c>
      <c r="K11" s="6" t="s">
        <v>43</v>
      </c>
      <c r="L11" s="6" t="s">
        <v>43</v>
      </c>
      <c r="M11" t="s">
        <v>43</v>
      </c>
      <c r="N11" t="s">
        <v>43</v>
      </c>
      <c r="O11" t="s">
        <v>43</v>
      </c>
      <c r="P11" s="6" t="s">
        <v>43</v>
      </c>
      <c r="Q11" s="6" t="s">
        <v>43</v>
      </c>
      <c r="R11" s="6" t="s">
        <v>43</v>
      </c>
      <c r="S11" t="s">
        <v>43</v>
      </c>
      <c r="T11" t="s">
        <v>43</v>
      </c>
      <c r="U11" t="s">
        <v>43</v>
      </c>
      <c r="V11" s="6" t="s">
        <v>43</v>
      </c>
      <c r="W11" s="6" t="s">
        <v>43</v>
      </c>
      <c r="X11" s="6" t="s">
        <v>43</v>
      </c>
      <c r="Y11" t="s">
        <v>43</v>
      </c>
      <c r="Z11" t="s">
        <v>43</v>
      </c>
      <c r="AA11" t="s">
        <v>43</v>
      </c>
    </row>
    <row r="12" spans="1:38" x14ac:dyDescent="0.2">
      <c r="A12" s="2" t="s">
        <v>50</v>
      </c>
      <c r="B12" s="2" t="s">
        <v>108</v>
      </c>
      <c r="C12" s="2">
        <v>212000</v>
      </c>
      <c r="D12" s="5">
        <v>7</v>
      </c>
      <c r="E12" s="5">
        <f>MEDIAN(G12,J12,M12,P12,S12,V12,Y12)</f>
        <v>231210</v>
      </c>
      <c r="F12" s="5">
        <f>MEDIAN(ABS(G12-E12),ABS(J12-E12),ABS(M12-E12),ABS(P12-E12),ABS(S12-E12),ABS(V12-E12),ABS(Y12-E12))</f>
        <v>44326.666666666657</v>
      </c>
      <c r="G12">
        <v>231210</v>
      </c>
      <c r="H12" s="2" t="s">
        <v>56</v>
      </c>
      <c r="I12" t="s">
        <v>55</v>
      </c>
      <c r="J12" s="6">
        <f>AVERAGEA(195200, 200000)</f>
        <v>197600</v>
      </c>
      <c r="K12" s="6" t="s">
        <v>59</v>
      </c>
      <c r="L12" s="6" t="s">
        <v>79</v>
      </c>
      <c r="M12">
        <v>352300</v>
      </c>
      <c r="N12" s="2" t="s">
        <v>73</v>
      </c>
      <c r="O12" s="2" t="s">
        <v>80</v>
      </c>
      <c r="P12" s="6">
        <f>AVERAGEA(254000, 176000)</f>
        <v>215000</v>
      </c>
      <c r="Q12" s="4" t="s">
        <v>52</v>
      </c>
      <c r="R12" s="4" t="s">
        <v>51</v>
      </c>
      <c r="S12" s="1">
        <f>AVERAGEA(AVERAGEA(125000, 129000),  178000, 255650)</f>
        <v>186883.33333333334</v>
      </c>
      <c r="T12" t="s">
        <v>53</v>
      </c>
      <c r="U12" t="s">
        <v>77</v>
      </c>
      <c r="V12" s="6">
        <v>420000</v>
      </c>
      <c r="W12" s="6" t="s">
        <v>57</v>
      </c>
      <c r="X12" s="6" t="s">
        <v>58</v>
      </c>
      <c r="Y12">
        <f>AVERAGEA(AVERAGEA(344000, 420000), AVERAGEA(365000, 523000))</f>
        <v>413000</v>
      </c>
      <c r="Z12" s="2" t="s">
        <v>54</v>
      </c>
      <c r="AA12" s="2" t="s">
        <v>81</v>
      </c>
    </row>
    <row r="13" spans="1:38" x14ac:dyDescent="0.2">
      <c r="A13" s="2" t="s">
        <v>60</v>
      </c>
      <c r="B13" s="2" t="s">
        <v>109</v>
      </c>
      <c r="C13" s="2">
        <v>380189</v>
      </c>
      <c r="D13" s="5">
        <v>4</v>
      </c>
      <c r="E13" s="5">
        <f>MEDIAN(G13,J13,M13,P13)</f>
        <v>350000</v>
      </c>
      <c r="F13" s="5">
        <f>MEDIAN(ABS(G13-E13),ABS(J13-E13),ABS(M13-E13),ABS(P13-E13))</f>
        <v>52850</v>
      </c>
      <c r="G13" s="1">
        <f>AVERAGEA(AVERAGEA(912000, 353200, 440000), AVERAGEA(AVERAGEA(491500, 515900), 286500, 292600), 221600, AVERAGEA(AVERAGEA(83100, 128900), AVERAGEA(143000, 149900), AVERAGEA(141300, 148300)), AVERAGEA(176100, 198000, AVERAGEA(183000, 191500)), AVERAGEA(226600, 247600), AVERAGEA(148200, 165400), AVERAGEA(260400, 242500), AVERAGEA(176100, 191700), AVERAGEA(88000, 82400))</f>
        <v>238491.66666666669</v>
      </c>
      <c r="H13" s="2" t="s">
        <v>61</v>
      </c>
      <c r="I13" t="s">
        <v>62</v>
      </c>
      <c r="J13" s="6">
        <v>405700</v>
      </c>
      <c r="K13" s="6" t="s">
        <v>69</v>
      </c>
      <c r="L13" s="6" t="s">
        <v>110</v>
      </c>
      <c r="M13">
        <v>400000</v>
      </c>
      <c r="N13" t="s">
        <v>65</v>
      </c>
      <c r="O13" t="s">
        <v>111</v>
      </c>
      <c r="P13" s="6">
        <v>300000</v>
      </c>
      <c r="Q13" s="6" t="s">
        <v>43</v>
      </c>
      <c r="R13" s="6" t="s">
        <v>153</v>
      </c>
      <c r="S13" t="s">
        <v>43</v>
      </c>
      <c r="T13" t="s">
        <v>43</v>
      </c>
      <c r="U13" t="s">
        <v>43</v>
      </c>
      <c r="V13" s="6" t="s">
        <v>43</v>
      </c>
      <c r="W13" s="6" t="s">
        <v>43</v>
      </c>
      <c r="X13" s="6" t="s">
        <v>43</v>
      </c>
      <c r="Y13" t="s">
        <v>43</v>
      </c>
      <c r="Z13" t="s">
        <v>43</v>
      </c>
      <c r="AA13" t="s">
        <v>43</v>
      </c>
    </row>
    <row r="14" spans="1:38" x14ac:dyDescent="0.2">
      <c r="A14" s="2" t="s">
        <v>123</v>
      </c>
      <c r="B14" s="2" t="s">
        <v>115</v>
      </c>
      <c r="C14" s="9">
        <v>40000</v>
      </c>
      <c r="D14" s="5">
        <v>2</v>
      </c>
      <c r="E14" s="5">
        <f>MEDIAN(G14,J14)</f>
        <v>58550</v>
      </c>
      <c r="F14" s="5">
        <f>MEDIAN(ABS(G14-E14),ABS(J14-E14))</f>
        <v>11450</v>
      </c>
      <c r="G14" s="1">
        <v>47100</v>
      </c>
      <c r="H14" s="2" t="s">
        <v>151</v>
      </c>
      <c r="I14" t="s">
        <v>150</v>
      </c>
      <c r="J14" s="6">
        <v>70000</v>
      </c>
      <c r="K14" s="6" t="s">
        <v>43</v>
      </c>
      <c r="L14" s="6" t="s">
        <v>149</v>
      </c>
      <c r="M14" t="s">
        <v>43</v>
      </c>
      <c r="N14" t="s">
        <v>43</v>
      </c>
      <c r="O14" t="s">
        <v>43</v>
      </c>
      <c r="P14" s="6" t="s">
        <v>43</v>
      </c>
      <c r="Q14" s="6" t="s">
        <v>43</v>
      </c>
      <c r="R14" s="6" t="s">
        <v>43</v>
      </c>
      <c r="S14" t="s">
        <v>43</v>
      </c>
      <c r="T14" t="s">
        <v>43</v>
      </c>
      <c r="U14" t="s">
        <v>43</v>
      </c>
      <c r="V14" s="6" t="s">
        <v>43</v>
      </c>
      <c r="W14" s="6" t="s">
        <v>43</v>
      </c>
      <c r="X14" s="6" t="s">
        <v>43</v>
      </c>
      <c r="Y14" t="s">
        <v>43</v>
      </c>
      <c r="Z14" t="s">
        <v>43</v>
      </c>
      <c r="AA14" t="s">
        <v>43</v>
      </c>
    </row>
    <row r="15" spans="1:38" x14ac:dyDescent="0.2">
      <c r="A15" s="2" t="s">
        <v>106</v>
      </c>
      <c r="B15" s="2" t="s">
        <v>112</v>
      </c>
      <c r="C15" s="10">
        <v>16000</v>
      </c>
      <c r="D15" s="5">
        <v>2</v>
      </c>
      <c r="E15" s="5">
        <f>MEDIAN(G15,J15)</f>
        <v>19645.833333333336</v>
      </c>
      <c r="F15" s="5">
        <f>MEDIAN(ABS(G15-E15),ABS(J15-E15))</f>
        <v>3645.8333333333339</v>
      </c>
      <c r="G15" s="1">
        <f>AVERAGEA(20425, 21450, 23425, 24250, 24625, 25575)</f>
        <v>23291.666666666668</v>
      </c>
      <c r="H15" s="2" t="s">
        <v>124</v>
      </c>
      <c r="I15" s="2" t="s">
        <v>32</v>
      </c>
      <c r="J15" s="7">
        <v>16000</v>
      </c>
      <c r="K15" s="6" t="s">
        <v>117</v>
      </c>
      <c r="L15" s="4" t="s">
        <v>105</v>
      </c>
      <c r="M15" t="s">
        <v>43</v>
      </c>
      <c r="N15" t="s">
        <v>43</v>
      </c>
      <c r="O15" t="s">
        <v>43</v>
      </c>
      <c r="P15" s="6" t="s">
        <v>43</v>
      </c>
      <c r="Q15" s="6" t="s">
        <v>43</v>
      </c>
      <c r="R15" s="6" t="s">
        <v>43</v>
      </c>
      <c r="S15" t="s">
        <v>43</v>
      </c>
      <c r="T15" t="s">
        <v>43</v>
      </c>
      <c r="U15" t="s">
        <v>43</v>
      </c>
      <c r="V15" s="6" t="s">
        <v>43</v>
      </c>
      <c r="W15" s="6" t="s">
        <v>43</v>
      </c>
      <c r="X15" s="6" t="s">
        <v>43</v>
      </c>
      <c r="Y15" t="s">
        <v>43</v>
      </c>
      <c r="Z15" t="s">
        <v>43</v>
      </c>
      <c r="AA15" t="s">
        <v>43</v>
      </c>
    </row>
    <row r="16" spans="1:38" x14ac:dyDescent="0.2">
      <c r="A16" s="2" t="s">
        <v>63</v>
      </c>
      <c r="B16" s="2" t="s">
        <v>108</v>
      </c>
      <c r="C16" s="2">
        <v>219000</v>
      </c>
      <c r="D16" s="5">
        <v>6</v>
      </c>
      <c r="E16" s="5">
        <f>MEDIAN(G16,J16,M16,P16,S16,V16)</f>
        <v>219933.33333333331</v>
      </c>
      <c r="F16" s="5">
        <f>MEDIAN(ABS(G16-E16),ABS(J16-E16),ABS(M16-E16),ABS(P16-E16),ABS(S16-E16),ABS(V16-E16))</f>
        <v>48733.333333333314</v>
      </c>
      <c r="G16">
        <f>AVERAGEA(173000, 181800)</f>
        <v>177400</v>
      </c>
      <c r="H16" s="2" t="s">
        <v>66</v>
      </c>
      <c r="I16" t="s">
        <v>84</v>
      </c>
      <c r="J16" s="7">
        <f>AVERAGEA(244100, 198400, 154100)</f>
        <v>198866.66666666666</v>
      </c>
      <c r="K16" s="4" t="s">
        <v>67</v>
      </c>
      <c r="L16" s="6" t="s">
        <v>68</v>
      </c>
      <c r="M16">
        <v>165000</v>
      </c>
      <c r="N16" s="2" t="s">
        <v>89</v>
      </c>
      <c r="O16" s="2" t="s">
        <v>83</v>
      </c>
      <c r="P16" s="6">
        <v>337900</v>
      </c>
      <c r="Q16" s="4" t="s">
        <v>74</v>
      </c>
      <c r="R16" s="6" t="s">
        <v>80</v>
      </c>
      <c r="S16">
        <f>AVERAGEA(279000,250400,239500,195100)</f>
        <v>241000</v>
      </c>
      <c r="T16" t="s">
        <v>82</v>
      </c>
      <c r="U16" t="s">
        <v>78</v>
      </c>
      <c r="V16" s="6">
        <f>AVERAGEA(AVERAGEA(347000,355000),AVERAGEA(369000,442000))</f>
        <v>378250</v>
      </c>
      <c r="W16" s="6" t="s">
        <v>76</v>
      </c>
      <c r="X16" s="6" t="s">
        <v>81</v>
      </c>
      <c r="Y16" t="s">
        <v>43</v>
      </c>
      <c r="Z16" t="s">
        <v>43</v>
      </c>
      <c r="AA16" t="s">
        <v>43</v>
      </c>
    </row>
    <row r="17" spans="1:27" x14ac:dyDescent="0.2">
      <c r="A17" s="2" t="s">
        <v>64</v>
      </c>
      <c r="B17" s="2" t="s">
        <v>112</v>
      </c>
      <c r="C17" s="2">
        <v>294500</v>
      </c>
      <c r="D17" s="5">
        <v>5</v>
      </c>
      <c r="E17" s="5">
        <f>MEDIAN(G17,J17,M17,P17, S17)</f>
        <v>295800</v>
      </c>
      <c r="F17" s="5">
        <f>MEDIAN(ABS(G17-E17),ABS(J17-E17),ABS(M17-E17),ABS(P17-E17),ABS(S17-E17))</f>
        <v>37625</v>
      </c>
      <c r="G17">
        <v>407600</v>
      </c>
      <c r="H17" t="s">
        <v>75</v>
      </c>
      <c r="I17" s="8" t="s">
        <v>85</v>
      </c>
      <c r="J17" s="6">
        <v>295800</v>
      </c>
      <c r="K17" s="6" t="s">
        <v>69</v>
      </c>
      <c r="L17" s="4" t="s">
        <v>80</v>
      </c>
      <c r="M17">
        <v>470000</v>
      </c>
      <c r="N17" t="s">
        <v>57</v>
      </c>
      <c r="O17" t="s">
        <v>58</v>
      </c>
      <c r="P17" s="6">
        <v>285000</v>
      </c>
      <c r="Q17" s="6" t="s">
        <v>88</v>
      </c>
      <c r="R17" s="6" t="s">
        <v>154</v>
      </c>
      <c r="S17">
        <f>AVERAGEA(316200,231200,246800,238500)</f>
        <v>258175</v>
      </c>
      <c r="T17" t="s">
        <v>82</v>
      </c>
      <c r="U17" t="s">
        <v>78</v>
      </c>
      <c r="V17" s="6" t="s">
        <v>43</v>
      </c>
      <c r="W17" s="6" t="s">
        <v>43</v>
      </c>
      <c r="X17" s="6" t="s">
        <v>43</v>
      </c>
      <c r="Y17" t="s">
        <v>43</v>
      </c>
      <c r="Z17" t="s">
        <v>43</v>
      </c>
      <c r="AA17" t="s">
        <v>43</v>
      </c>
    </row>
    <row r="18" spans="1:27" x14ac:dyDescent="0.2">
      <c r="A18" s="2" t="s">
        <v>102</v>
      </c>
      <c r="B18" s="2" t="s">
        <v>112</v>
      </c>
      <c r="C18" s="10">
        <v>27000</v>
      </c>
      <c r="D18" s="5">
        <v>2</v>
      </c>
      <c r="E18" s="5">
        <f>MEDIAN(G18,J18)</f>
        <v>32000</v>
      </c>
      <c r="F18" s="5">
        <f>MEDIAN(ABS(G18-E18),ABS(J18-E18))</f>
        <v>5000</v>
      </c>
      <c r="G18">
        <v>37000</v>
      </c>
      <c r="H18" t="s">
        <v>104</v>
      </c>
      <c r="I18" s="8" t="s">
        <v>103</v>
      </c>
      <c r="J18" s="6">
        <v>27000</v>
      </c>
      <c r="K18" s="6" t="s">
        <v>116</v>
      </c>
      <c r="L18" s="4" t="s">
        <v>105</v>
      </c>
      <c r="M18" t="s">
        <v>43</v>
      </c>
      <c r="N18" t="s">
        <v>43</v>
      </c>
      <c r="O18" t="s">
        <v>43</v>
      </c>
      <c r="P18" s="6" t="s">
        <v>43</v>
      </c>
      <c r="Q18" s="6" t="s">
        <v>43</v>
      </c>
      <c r="R18" s="6" t="s">
        <v>43</v>
      </c>
      <c r="S18" t="s">
        <v>43</v>
      </c>
      <c r="T18" t="s">
        <v>43</v>
      </c>
      <c r="U18" t="s">
        <v>43</v>
      </c>
      <c r="V18" s="6" t="s">
        <v>43</v>
      </c>
      <c r="W18" s="6" t="s">
        <v>43</v>
      </c>
      <c r="X18" s="6" t="s">
        <v>43</v>
      </c>
      <c r="Y18" t="s">
        <v>43</v>
      </c>
      <c r="Z18" t="s">
        <v>43</v>
      </c>
      <c r="AA18" t="s">
        <v>43</v>
      </c>
    </row>
    <row r="19" spans="1:27" x14ac:dyDescent="0.2">
      <c r="A19" s="2" t="s">
        <v>95</v>
      </c>
      <c r="B19" s="2" t="s">
        <v>115</v>
      </c>
      <c r="C19" s="9">
        <v>30000</v>
      </c>
      <c r="D19" s="5">
        <v>5</v>
      </c>
      <c r="E19" s="5">
        <f>MEDIAN(G19,J19,M19, P19,S19)</f>
        <v>25003.453616964311</v>
      </c>
      <c r="F19" s="5">
        <f>MEDIAN(ABS(G19-E19),ABS(J19-E19),ABS(M19-E19),ABS(P19-E19),ABS(S19-E19))</f>
        <v>4496.5463830356894</v>
      </c>
      <c r="G19">
        <v>16700</v>
      </c>
      <c r="H19" t="s">
        <v>96</v>
      </c>
      <c r="I19" s="8" t="s">
        <v>97</v>
      </c>
      <c r="J19" s="6">
        <v>32490</v>
      </c>
      <c r="K19" s="6" t="s">
        <v>98</v>
      </c>
      <c r="L19" s="4" t="s">
        <v>99</v>
      </c>
      <c r="M19">
        <v>29500</v>
      </c>
      <c r="N19" t="s">
        <v>101</v>
      </c>
      <c r="O19" t="s">
        <v>100</v>
      </c>
      <c r="P19" s="7">
        <v>25000</v>
      </c>
      <c r="Q19" s="6" t="s">
        <v>43</v>
      </c>
      <c r="R19" s="6" t="s">
        <v>148</v>
      </c>
      <c r="S19" s="1">
        <f>(10^1.398)*1000</f>
        <v>25003.453616964311</v>
      </c>
      <c r="T19" t="s">
        <v>43</v>
      </c>
      <c r="U19" t="s">
        <v>138</v>
      </c>
      <c r="V19" s="6" t="s">
        <v>43</v>
      </c>
      <c r="W19" s="6" t="s">
        <v>43</v>
      </c>
      <c r="X19" s="6" t="s">
        <v>43</v>
      </c>
      <c r="Y19" t="s">
        <v>43</v>
      </c>
      <c r="Z19" t="s">
        <v>43</v>
      </c>
      <c r="AA19" t="s">
        <v>43</v>
      </c>
    </row>
    <row r="20" spans="1:27" x14ac:dyDescent="0.2">
      <c r="A20" s="2" t="s">
        <v>90</v>
      </c>
      <c r="B20" s="2" t="s">
        <v>115</v>
      </c>
      <c r="C20" s="2">
        <v>110000</v>
      </c>
      <c r="D20" s="5">
        <v>2</v>
      </c>
      <c r="E20" s="5">
        <f>MEDIAN(G20,J20)</f>
        <v>104575</v>
      </c>
      <c r="F20" s="5">
        <f>MEDIAN(ABS(G20-E20),ABS(J20-E20))</f>
        <v>7095</v>
      </c>
      <c r="G20">
        <v>97480</v>
      </c>
      <c r="H20" t="s">
        <v>93</v>
      </c>
      <c r="I20" t="s">
        <v>94</v>
      </c>
      <c r="J20" s="6">
        <f>AVERAGEA(101430,103600, 129980)</f>
        <v>111670</v>
      </c>
      <c r="K20" s="6" t="s">
        <v>91</v>
      </c>
      <c r="L20" s="6" t="s">
        <v>92</v>
      </c>
      <c r="M20" t="s">
        <v>43</v>
      </c>
      <c r="N20" t="s">
        <v>43</v>
      </c>
      <c r="O20" t="s">
        <v>43</v>
      </c>
      <c r="P20" s="6" t="s">
        <v>43</v>
      </c>
      <c r="Q20" s="6" t="s">
        <v>43</v>
      </c>
      <c r="R20" s="6" t="s">
        <v>43</v>
      </c>
      <c r="S20" t="s">
        <v>43</v>
      </c>
      <c r="T20" t="s">
        <v>43</v>
      </c>
      <c r="U20" t="s">
        <v>43</v>
      </c>
      <c r="V20" s="6" t="s">
        <v>43</v>
      </c>
      <c r="W20" s="6" t="s">
        <v>43</v>
      </c>
      <c r="X20" s="6" t="s">
        <v>43</v>
      </c>
      <c r="Y20" t="s">
        <v>43</v>
      </c>
      <c r="Z20" t="s">
        <v>43</v>
      </c>
      <c r="AA20" t="s">
        <v>43</v>
      </c>
    </row>
    <row r="22" spans="1:27" x14ac:dyDescent="0.2">
      <c r="C22" s="11" t="s">
        <v>152</v>
      </c>
      <c r="J22" s="7"/>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Mairin Balisi (Alf Museum)</dc:creator>
  <cp:lastModifiedBy>Wooster, Eamonn</cp:lastModifiedBy>
  <dcterms:created xsi:type="dcterms:W3CDTF">2024-03-20T00:59:19Z</dcterms:created>
  <dcterms:modified xsi:type="dcterms:W3CDTF">2024-04-12T00:00:35Z</dcterms:modified>
</cp:coreProperties>
</file>