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application/input/"/>
    </mc:Choice>
  </mc:AlternateContent>
  <xr:revisionPtr revIDLastSave="0" documentId="13_ncr:1_{4C51FF82-7CED-0E46-BA8E-16F7122D0F08}" xr6:coauthVersionLast="47" xr6:coauthVersionMax="47" xr10:uidLastSave="{00000000-0000-0000-0000-000000000000}"/>
  <bookViews>
    <workbookView xWindow="7160" yWindow="860" windowWidth="23080" windowHeight="17280" tabRatio="500" xr2:uid="{00000000-000D-0000-FFFF-FFFF00000000}"/>
  </bookViews>
  <sheets>
    <sheet name="Sheet1" sheetId="1" r:id="rId1"/>
    <sheet name="fatty alcohol (FA) calculations" sheetId="4" r:id="rId2"/>
    <sheet name="FA (24-75 h)" sheetId="7" r:id="rId3"/>
    <sheet name="FA adjustments" sheetId="8" r:id="rId4"/>
    <sheet name="tag calculations" sheetId="5" r:id="rId5"/>
    <sheet name="tal_calculations" sheetId="2" r:id="rId6"/>
  </sheets>
  <definedNames>
    <definedName name="_xlnm._FilterDatabase" localSheetId="0">Sheet1!$D$1:$D$1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7" i="4" l="1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E5" i="7"/>
  <c r="D5" i="7"/>
  <c r="D4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F56" i="7"/>
  <c r="D56" i="7"/>
  <c r="F55" i="7"/>
  <c r="D55" i="7"/>
  <c r="F54" i="7"/>
  <c r="D54" i="7"/>
  <c r="F53" i="7"/>
  <c r="D53" i="7"/>
  <c r="Q52" i="7"/>
  <c r="F52" i="7"/>
  <c r="D52" i="7"/>
  <c r="Q51" i="7"/>
  <c r="F51" i="7"/>
  <c r="D51" i="7"/>
  <c r="Q50" i="7"/>
  <c r="F50" i="7"/>
  <c r="D50" i="7"/>
  <c r="Q49" i="7"/>
  <c r="F49" i="7"/>
  <c r="D49" i="7"/>
  <c r="Q48" i="7"/>
  <c r="F48" i="7"/>
  <c r="D48" i="7"/>
  <c r="Q47" i="7"/>
  <c r="F47" i="7"/>
  <c r="D47" i="7"/>
  <c r="Q46" i="7"/>
  <c r="F46" i="7"/>
  <c r="D46" i="7"/>
  <c r="Q45" i="7"/>
  <c r="F45" i="7"/>
  <c r="D45" i="7"/>
  <c r="Q44" i="7"/>
  <c r="F44" i="7"/>
  <c r="D44" i="7"/>
  <c r="Q43" i="7"/>
  <c r="F43" i="7"/>
  <c r="D43" i="7"/>
  <c r="Q42" i="7"/>
  <c r="F42" i="7"/>
  <c r="D42" i="7"/>
  <c r="Q41" i="7"/>
  <c r="F41" i="7"/>
  <c r="D41" i="7"/>
  <c r="Q40" i="7"/>
  <c r="F40" i="7"/>
  <c r="D40" i="7"/>
  <c r="Q39" i="7"/>
  <c r="F39" i="7"/>
  <c r="D39" i="7"/>
  <c r="Q38" i="7"/>
  <c r="F38" i="7"/>
  <c r="D38" i="7"/>
  <c r="Q37" i="7"/>
  <c r="F37" i="7"/>
  <c r="D37" i="7"/>
  <c r="Q36" i="7"/>
  <c r="F36" i="7"/>
  <c r="D36" i="7"/>
  <c r="Q35" i="7"/>
  <c r="D35" i="7"/>
  <c r="Q34" i="7"/>
  <c r="D34" i="7"/>
  <c r="Q33" i="7"/>
  <c r="D33" i="7"/>
  <c r="Q32" i="7"/>
  <c r="D32" i="7"/>
  <c r="Q31" i="7"/>
  <c r="D31" i="7"/>
  <c r="Q30" i="7"/>
  <c r="D30" i="7"/>
  <c r="Q29" i="7"/>
  <c r="T29" i="7" s="1" a="1"/>
  <c r="T29" i="7" s="1"/>
  <c r="D29" i="7"/>
  <c r="D28" i="7"/>
  <c r="D27" i="7"/>
  <c r="C16" i="7" a="1"/>
  <c r="C16" i="7" s="1"/>
  <c r="A8" i="7" a="1"/>
  <c r="A8" i="7" s="1"/>
  <c r="AF5" i="7"/>
  <c r="AD5" i="7"/>
  <c r="AB5" i="7"/>
  <c r="AA5" i="7"/>
  <c r="X5" i="7"/>
  <c r="AC5" i="7" s="1"/>
  <c r="V5" i="7"/>
  <c r="U5" i="7"/>
  <c r="R5" i="7"/>
  <c r="W5" i="7" s="1"/>
  <c r="P5" i="7"/>
  <c r="O5" i="7"/>
  <c r="L5" i="7"/>
  <c r="Q5" i="7" s="1"/>
  <c r="B5" i="7"/>
  <c r="AH5" i="7" s="1"/>
  <c r="AF4" i="7"/>
  <c r="AD4" i="7"/>
  <c r="AC4" i="7"/>
  <c r="AB4" i="7"/>
  <c r="AA4" i="7"/>
  <c r="W4" i="7"/>
  <c r="V4" i="7"/>
  <c r="U4" i="7"/>
  <c r="Q4" i="7"/>
  <c r="P4" i="7"/>
  <c r="O4" i="7"/>
  <c r="B4" i="7"/>
  <c r="AH4" i="7" s="1"/>
  <c r="B3" i="2"/>
  <c r="Q16" i="2"/>
  <c r="O10" i="2" s="1"/>
  <c r="P13" i="2"/>
  <c r="O13" i="2"/>
  <c r="Q13" i="2"/>
  <c r="E29" i="7" l="1"/>
  <c r="F29" i="7" s="1"/>
  <c r="E33" i="7"/>
  <c r="F33" i="7" s="1"/>
  <c r="E30" i="7"/>
  <c r="F30" i="7" s="1"/>
  <c r="E32" i="7"/>
  <c r="F32" i="7" s="1"/>
  <c r="E35" i="7"/>
  <c r="F35" i="7" s="1"/>
  <c r="E60" i="7"/>
  <c r="F60" i="7" s="1"/>
  <c r="E64" i="7"/>
  <c r="F64" i="7" s="1"/>
  <c r="E68" i="7"/>
  <c r="F68" i="7" s="1"/>
  <c r="E72" i="7"/>
  <c r="F72" i="7" s="1"/>
  <c r="E27" i="7"/>
  <c r="E57" i="7"/>
  <c r="F57" i="7" s="1"/>
  <c r="E61" i="7"/>
  <c r="F61" i="7" s="1"/>
  <c r="E65" i="7"/>
  <c r="F65" i="7" s="1"/>
  <c r="E69" i="7"/>
  <c r="F69" i="7" s="1"/>
  <c r="E73" i="7"/>
  <c r="F73" i="7" s="1"/>
  <c r="E28" i="7"/>
  <c r="F28" i="7" s="1"/>
  <c r="E31" i="7"/>
  <c r="F31" i="7" s="1"/>
  <c r="E34" i="7"/>
  <c r="F34" i="7" s="1"/>
  <c r="E59" i="7"/>
  <c r="F59" i="7" s="1"/>
  <c r="E63" i="7"/>
  <c r="F63" i="7" s="1"/>
  <c r="E67" i="7"/>
  <c r="F67" i="7" s="1"/>
  <c r="E71" i="7"/>
  <c r="F71" i="7" s="1"/>
  <c r="AF6" i="7"/>
  <c r="E58" i="7"/>
  <c r="F58" i="7" s="1"/>
  <c r="E62" i="7"/>
  <c r="F62" i="7" s="1"/>
  <c r="E66" i="7"/>
  <c r="F66" i="7" s="1"/>
  <c r="E70" i="7"/>
  <c r="F70" i="7" s="1"/>
  <c r="E74" i="7"/>
  <c r="F74" i="7" s="1"/>
  <c r="O22" i="2"/>
  <c r="O16" i="2"/>
  <c r="P16" i="2"/>
  <c r="T6" i="2" s="1"/>
  <c r="Z14" i="5"/>
  <c r="B22" i="5"/>
  <c r="C20" i="5"/>
  <c r="C22" i="5" s="1"/>
  <c r="C19" i="5"/>
  <c r="D19" i="5" s="1"/>
  <c r="E19" i="5" s="1"/>
  <c r="F19" i="5" s="1"/>
  <c r="G19" i="5" s="1"/>
  <c r="H19" i="5" s="1"/>
  <c r="H16" i="5"/>
  <c r="I16" i="5" s="1"/>
  <c r="J16" i="5" s="1"/>
  <c r="K16" i="5"/>
  <c r="L16" i="5" s="1"/>
  <c r="M16" i="5" s="1"/>
  <c r="N16" i="5" s="1"/>
  <c r="D4" i="5" a="1"/>
  <c r="D4" i="5" s="1"/>
  <c r="K4" i="5" s="1" a="1"/>
  <c r="K4" i="5" s="1"/>
  <c r="M4" i="5" s="1" a="1"/>
  <c r="L3" i="2"/>
  <c r="O18" i="2" l="1"/>
  <c r="S6" i="2"/>
  <c r="I19" i="5"/>
  <c r="H27" i="7" a="1"/>
  <c r="H27" i="7" s="1"/>
  <c r="F27" i="7"/>
  <c r="H25" i="7" a="1"/>
  <c r="H25" i="7" s="1"/>
  <c r="D20" i="5"/>
  <c r="M4" i="5"/>
  <c r="M15" i="5"/>
  <c r="M17" i="5" s="1"/>
  <c r="L15" i="5"/>
  <c r="N4" i="5" a="1"/>
  <c r="K15" i="5"/>
  <c r="F4" i="5" a="1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AC4" i="4"/>
  <c r="W4" i="4"/>
  <c r="Q4" i="4"/>
  <c r="X5" i="4"/>
  <c r="AC5" i="4" s="1"/>
  <c r="R5" i="4"/>
  <c r="W5" i="4" s="1"/>
  <c r="L5" i="4"/>
  <c r="Q5" i="4" s="1"/>
  <c r="N3" i="2"/>
  <c r="M3" i="2"/>
  <c r="I3" i="2"/>
  <c r="K3" i="2"/>
  <c r="J19" i="5" l="1"/>
  <c r="O3" i="2"/>
  <c r="Z3" i="2" s="1"/>
  <c r="O24" i="2"/>
  <c r="O20" i="2"/>
  <c r="E20" i="5"/>
  <c r="D22" i="5"/>
  <c r="N4" i="5"/>
  <c r="N15" i="5"/>
  <c r="N17" i="5" s="1"/>
  <c r="F4" i="5"/>
  <c r="Q29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56" i="4"/>
  <c r="B5" i="4"/>
  <c r="AF5" i="4" s="1"/>
  <c r="B4" i="4"/>
  <c r="AF4" i="4" s="1"/>
  <c r="AD4" i="4"/>
  <c r="AD5" i="4"/>
  <c r="AB5" i="4"/>
  <c r="AA5" i="4"/>
  <c r="V5" i="4"/>
  <c r="U5" i="4"/>
  <c r="P5" i="4"/>
  <c r="O5" i="4"/>
  <c r="AB4" i="4"/>
  <c r="AA4" i="4"/>
  <c r="V4" i="4"/>
  <c r="U4" i="4"/>
  <c r="P4" i="4"/>
  <c r="O4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C16" i="4" a="1"/>
  <c r="C16" i="4" s="1"/>
  <c r="A8" i="4" a="1"/>
  <c r="A8" i="4" s="1"/>
  <c r="K19" i="5" l="1"/>
  <c r="L19" i="5" s="1"/>
  <c r="F20" i="5"/>
  <c r="E22" i="5"/>
  <c r="I4" i="5" a="1"/>
  <c r="H4" i="5" a="1"/>
  <c r="O6" i="5" s="1" a="1"/>
  <c r="O6" i="5" s="1"/>
  <c r="T29" i="4" a="1"/>
  <c r="T29" i="4" s="1"/>
  <c r="AH4" i="4"/>
  <c r="AH5" i="4"/>
  <c r="Y3" i="2"/>
  <c r="H3" i="2"/>
  <c r="R3" i="2"/>
  <c r="T3" i="2" s="1"/>
  <c r="X3" i="2" s="1"/>
  <c r="Q3" i="2"/>
  <c r="M19" i="5" l="1"/>
  <c r="AD3" i="2"/>
  <c r="O5" i="2"/>
  <c r="S3" i="2"/>
  <c r="W3" i="2" s="1"/>
  <c r="AF6" i="4"/>
  <c r="AF9" i="4" s="1"/>
  <c r="E27" i="4"/>
  <c r="F27" i="4" s="1"/>
  <c r="G20" i="5"/>
  <c r="F22" i="5"/>
  <c r="J9" i="5"/>
  <c r="J7" i="5"/>
  <c r="J6" i="5"/>
  <c r="J8" i="5"/>
  <c r="H4" i="5"/>
  <c r="H15" i="5"/>
  <c r="H17" i="5" s="1"/>
  <c r="I4" i="5"/>
  <c r="I15" i="5"/>
  <c r="I17" i="5" s="1"/>
  <c r="AE3" i="2"/>
  <c r="E35" i="4"/>
  <c r="F35" i="4" s="1"/>
  <c r="E66" i="4"/>
  <c r="F66" i="4" s="1"/>
  <c r="E65" i="4"/>
  <c r="F65" i="4" s="1"/>
  <c r="E62" i="4"/>
  <c r="F62" i="4" s="1"/>
  <c r="E61" i="4"/>
  <c r="F61" i="4" s="1"/>
  <c r="E72" i="4"/>
  <c r="F72" i="4" s="1"/>
  <c r="E71" i="4"/>
  <c r="F71" i="4" s="1"/>
  <c r="E68" i="4"/>
  <c r="F68" i="4" s="1"/>
  <c r="E64" i="4"/>
  <c r="F64" i="4" s="1"/>
  <c r="E60" i="4"/>
  <c r="F60" i="4" s="1"/>
  <c r="E69" i="4"/>
  <c r="F69" i="4" s="1"/>
  <c r="E63" i="4"/>
  <c r="F63" i="4" s="1"/>
  <c r="E59" i="4"/>
  <c r="F59" i="4" s="1"/>
  <c r="E67" i="4"/>
  <c r="F67" i="4" s="1"/>
  <c r="E74" i="4"/>
  <c r="F74" i="4" s="1"/>
  <c r="E73" i="4"/>
  <c r="F73" i="4" s="1"/>
  <c r="E70" i="4"/>
  <c r="F70" i="4" s="1"/>
  <c r="E58" i="4"/>
  <c r="F58" i="4" s="1"/>
  <c r="E57" i="4"/>
  <c r="F57" i="4" s="1"/>
  <c r="E30" i="4"/>
  <c r="F30" i="4" s="1"/>
  <c r="E32" i="4"/>
  <c r="F32" i="4" s="1"/>
  <c r="E34" i="4"/>
  <c r="F34" i="4" s="1"/>
  <c r="E33" i="4"/>
  <c r="F33" i="4" s="1"/>
  <c r="E29" i="4"/>
  <c r="F29" i="4" s="1"/>
  <c r="E31" i="4"/>
  <c r="F31" i="4" s="1"/>
  <c r="E28" i="4"/>
  <c r="F28" i="4" s="1"/>
  <c r="V3" i="2"/>
  <c r="AA3" i="2"/>
  <c r="AC3" i="2" s="1" a="1"/>
  <c r="AC3" i="2" s="1"/>
  <c r="Z19" i="5" l="1"/>
  <c r="Z17" i="5"/>
  <c r="Z18" i="5"/>
  <c r="Z20" i="5"/>
  <c r="H25" i="4" a="1"/>
  <c r="H25" i="4" s="1"/>
  <c r="J15" i="5"/>
  <c r="J17" i="5" s="1"/>
  <c r="N19" i="5"/>
  <c r="H20" i="5"/>
  <c r="H23" i="5" s="1"/>
  <c r="G22" i="5"/>
  <c r="H27" i="4" a="1"/>
  <c r="H27" i="4" s="1"/>
  <c r="U3" i="2"/>
  <c r="G32" i="1"/>
  <c r="G33" i="1" s="1"/>
  <c r="Z4" i="2" l="1"/>
  <c r="AD4" i="2"/>
  <c r="I20" i="5"/>
  <c r="I23" i="5" s="1"/>
  <c r="H22" i="5"/>
  <c r="J20" i="5" l="1"/>
  <c r="J23" i="5" s="1"/>
  <c r="I22" i="5"/>
  <c r="K20" i="5" l="1"/>
  <c r="J22" i="5"/>
  <c r="L20" i="5" l="1"/>
  <c r="L23" i="5" s="1"/>
  <c r="K22" i="5"/>
  <c r="M20" i="5" l="1"/>
  <c r="M23" i="5" s="1"/>
  <c r="L22" i="5"/>
  <c r="N20" i="5" l="1"/>
  <c r="M22" i="5"/>
  <c r="N22" i="5" l="1"/>
  <c r="N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tc={63C1FB0A-8030-494C-8033-A57BB641C368}</author>
  </authors>
  <commentList>
    <comment ref="J1" authorId="0" shapeId="0" xr:uid="{63C1FB0A-8030-494C-8033-A57BB641C36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Optional, but useful for checking necessary substrate uptakes if yield predictions fail under the given conditions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<sst xmlns="http://schemas.openxmlformats.org/spreadsheetml/2006/main" count="1418" uniqueCount="966">
  <si>
    <t>product</t>
  </si>
  <si>
    <t>name</t>
  </si>
  <si>
    <t>precursor</t>
  </si>
  <si>
    <t>MW (g/mol)</t>
  </si>
  <si>
    <t>hdca</t>
  </si>
  <si>
    <t>Hexadecanoic acid</t>
  </si>
  <si>
    <t>Fatty acyl-CoA</t>
  </si>
  <si>
    <t>hxdcol</t>
  </si>
  <si>
    <t>Hexadecanol</t>
  </si>
  <si>
    <t>btoh</t>
  </si>
  <si>
    <t>n-Butanol</t>
  </si>
  <si>
    <t>Threonine or (acetyl-CoA and pyruvate)</t>
  </si>
  <si>
    <t>tag</t>
  </si>
  <si>
    <t>Triacylglycerol</t>
  </si>
  <si>
    <t>nrgn</t>
  </si>
  <si>
    <t>(2S)-Naringenin</t>
  </si>
  <si>
    <t>Tyrosine and malonyl-CoA</t>
  </si>
  <si>
    <t>polyhb</t>
  </si>
  <si>
    <t>Polyhydroxybutyrate</t>
  </si>
  <si>
    <t>Acetoacetyl-CoA</t>
  </si>
  <si>
    <t>citm</t>
  </si>
  <si>
    <t>Citramalate</t>
  </si>
  <si>
    <t>Acetyl-CoA and pyruvate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</si>
  <si>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</si>
  <si>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</si>
  <si>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</si>
  <si>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</si>
  <si>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</si>
  <si>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</si>
  <si>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</si>
  <si>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</si>
  <si>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</si>
  <si>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</si>
  <si>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</si>
  <si>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</si>
  <si>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</si>
  <si>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</si>
  <si>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</si>
  <si>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</si>
  <si>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</si>
  <si>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</si>
  <si>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</si>
  <si>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</si>
  <si>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</si>
  <si>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</si>
  <si>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</si>
  <si>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</si>
  <si>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</si>
  <si>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</si>
  <si>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</si>
  <si>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</si>
  <si>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</si>
  <si>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</si>
  <si>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</si>
  <si>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</si>
  <si>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</si>
  <si>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</si>
  <si>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</si>
  <si>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</si>
  <si>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cou</t>
  </si>
  <si>
    <t>p-Coumaric acid</t>
  </si>
  <si>
    <t>L-Tyrosine</t>
  </si>
  <si>
    <t>rsvtol</t>
  </si>
  <si>
    <t>Resveratrol</t>
  </si>
  <si>
    <t>L-Tyrosine and malonyl-CoA</t>
  </si>
  <si>
    <t>styr</t>
  </si>
  <si>
    <t>Styrene</t>
  </si>
  <si>
    <t>retcln</t>
  </si>
  <si>
    <t>Reticuline</t>
  </si>
  <si>
    <t>L-Tyrosine and L-phenylalanine</t>
  </si>
  <si>
    <t>glyc</t>
  </si>
  <si>
    <t>Glycerol</t>
  </si>
  <si>
    <t>13ppd</t>
  </si>
  <si>
    <t>1,3-Propanediol</t>
  </si>
  <si>
    <t>yieldEXP_conditions</t>
  </si>
  <si>
    <t>yieldExp_LB_(g/g_substrate)</t>
  </si>
  <si>
    <t>yieldExp_UB_(g/g_substrate)</t>
  </si>
  <si>
    <t>yieldExp_ref</t>
  </si>
  <si>
    <t>tal</t>
  </si>
  <si>
    <t>triacetic acid lactone</t>
  </si>
  <si>
    <t>Acetyl-CoA and Malonyl-CoA</t>
  </si>
  <si>
    <t>odealc</t>
  </si>
  <si>
    <t>stalc</t>
  </si>
  <si>
    <t>pmtalc</t>
  </si>
  <si>
    <t>oleyl alcohol</t>
  </si>
  <si>
    <t>stearyl alcohol</t>
  </si>
  <si>
    <t>palmityl alcohol</t>
  </si>
  <si>
    <t>oleoyl-CoA</t>
  </si>
  <si>
    <t>stearoyl-CoA</t>
  </si>
  <si>
    <t>palmitoyl-CoA</t>
  </si>
  <si>
    <t>SimulationSettings</t>
  </si>
  <si>
    <t>g substrate</t>
  </si>
  <si>
    <t>2.23±0.06</t>
  </si>
  <si>
    <t>TAL titer (g/L)</t>
  </si>
  <si>
    <t>max</t>
  </si>
  <si>
    <t>biomass (gDCW)</t>
  </si>
  <si>
    <t>min</t>
  </si>
  <si>
    <t>yield (g/g sub)</t>
  </si>
  <si>
    <t>hrs</t>
  </si>
  <si>
    <t>xyl</t>
  </si>
  <si>
    <t>glc</t>
  </si>
  <si>
    <t>% of media mass</t>
  </si>
  <si>
    <t>max uptake flux (mmol/(gDW*h))</t>
  </si>
  <si>
    <t>simulation settings</t>
  </si>
  <si>
    <t>growth rate</t>
  </si>
  <si>
    <t>V (L)</t>
  </si>
  <si>
    <t>fluxExp_UB_(mmol product/(gDW*h))</t>
  </si>
  <si>
    <t>fluxExp_LB_(mmol product/(gDW*h))</t>
  </si>
  <si>
    <t>TAL exchange flux (mmol/(gDW*h))</t>
  </si>
  <si>
    <t>raw</t>
  </si>
  <si>
    <t>product MW (g/mol)</t>
  </si>
  <si>
    <t>biomass MW before normalization (in case components were changed; in most cases, set it to 1)</t>
  </si>
  <si>
    <t>yield / g glc</t>
  </si>
  <si>
    <t>yield / g xyl</t>
  </si>
  <si>
    <t>normalized biomass (gDCW)</t>
  </si>
  <si>
    <t>Fatty alcohols production by oleaginous yeast | Journal of Industrial Microbiology and Biotechnology | Oxford Academic (oup.com)</t>
  </si>
  <si>
    <t>Fatty alcohol (FA) production under different C/N ratios</t>
  </si>
  <si>
    <t>C/N ratio</t>
  </si>
  <si>
    <t>Time (h)</t>
  </si>
  <si>
    <t>Biomass (g/L)</t>
  </si>
  <si>
    <t>Oil (g/L)</t>
  </si>
  <si>
    <t>Intracellular FAs (g/L)</t>
  </si>
  <si>
    <t>Extracellular FAs (g/L)</t>
  </si>
  <si>
    <t>Total FAs (g/L)</t>
  </si>
  <si>
    <t>Productivity (g/L h)</t>
  </si>
  <si>
    <t>Yield (g/g)</t>
  </si>
  <si>
    <t>olealc</t>
  </si>
  <si>
    <t>min yield</t>
  </si>
  <si>
    <t>max yield</t>
  </si>
  <si>
    <t>min yield4</t>
  </si>
  <si>
    <t>max yield5</t>
  </si>
  <si>
    <t>min yield44</t>
  </si>
  <si>
    <t>max yield55</t>
  </si>
  <si>
    <t>volume (L)</t>
  </si>
  <si>
    <t>biomass flux</t>
  </si>
  <si>
    <t>max [substrate]</t>
  </si>
  <si>
    <t>substrate MW (g/mol)</t>
  </si>
  <si>
    <t>substrate uptake flux</t>
  </si>
  <si>
    <t>Biomass - FAs (g/L)</t>
  </si>
  <si>
    <t>sucrose (100 g/L)</t>
  </si>
  <si>
    <t>supplemented with KH2PO4 0.75 g/L, NH4NO3 0.7 g/L, CaCl2·2H2O 0.4 g/L, MgSO4·7H2O 0.4 g/L, corn steep liquor 22.5 g/L and Tergitol™ L-81 5 g/L</t>
  </si>
  <si>
    <t>suc</t>
  </si>
  <si>
    <t>sucr_e</t>
  </si>
  <si>
    <t>KH2PO4</t>
  </si>
  <si>
    <t>0.75 g/L</t>
  </si>
  <si>
    <t>k_e</t>
  </si>
  <si>
    <t>pi_e</t>
  </si>
  <si>
    <t>NH4NO3</t>
  </si>
  <si>
    <t>0.7 g/L</t>
  </si>
  <si>
    <t>nh4_e</t>
  </si>
  <si>
    <t>no3_e</t>
  </si>
  <si>
    <t>CaCl2·2H2O</t>
  </si>
  <si>
    <t>0.4 g/L</t>
  </si>
  <si>
    <t>ca2_e</t>
  </si>
  <si>
    <t>cl_e</t>
  </si>
  <si>
    <t>MgSO4·7H2O</t>
  </si>
  <si>
    <t>mg2_e</t>
  </si>
  <si>
    <t>so4_e</t>
  </si>
  <si>
    <t>corn steep liquor</t>
  </si>
  <si>
    <t>22.5 g/L</t>
  </si>
  <si>
    <t>Tergitol™ L-81</t>
  </si>
  <si>
    <t>5 g/L</t>
  </si>
  <si>
    <t>TERGITOL™ L-81 Surfactant | Dow Inc.</t>
  </si>
  <si>
    <t>Seemingly not a nutrient, so don't have to add it</t>
  </si>
  <si>
    <t>gDW*h</t>
  </si>
  <si>
    <t>compound</t>
  </si>
  <si>
    <t>mass (g/L)</t>
  </si>
  <si>
    <t>rxn</t>
  </si>
  <si>
    <t>flux</t>
  </si>
  <si>
    <t>h_e</t>
  </si>
  <si>
    <t>h2o_e</t>
  </si>
  <si>
    <t>btn_c</t>
  </si>
  <si>
    <t>o2_e</t>
  </si>
  <si>
    <t>co2_e</t>
  </si>
  <si>
    <t>EX_inost_e</t>
  </si>
  <si>
    <t>thm_e</t>
  </si>
  <si>
    <t>ribflv_e</t>
  </si>
  <si>
    <t>nac_e</t>
  </si>
  <si>
    <t>pydxn_e</t>
  </si>
  <si>
    <t>fol_e</t>
  </si>
  <si>
    <t>pnto__R_e</t>
  </si>
  <si>
    <t>4abz_e</t>
  </si>
  <si>
    <t>inost_e</t>
  </si>
  <si>
    <t>cu2_e</t>
  </si>
  <si>
    <t>fe2_e</t>
  </si>
  <si>
    <t>fe3_e</t>
  </si>
  <si>
    <t>mn2_e</t>
  </si>
  <si>
    <t>na1_e</t>
  </si>
  <si>
    <t>ni2_e</t>
  </si>
  <si>
    <t>zn2_e</t>
  </si>
  <si>
    <t>cobalt2_e</t>
  </si>
  <si>
    <t>NOTE: added from YPD to fix feasibility issues</t>
  </si>
  <si>
    <t>Corn Steep Liquor Parts</t>
  </si>
  <si>
    <t>Amino acids</t>
  </si>
  <si>
    <t>Name</t>
  </si>
  <si>
    <t>Unit</t>
  </si>
  <si>
    <t>Test result</t>
  </si>
  <si>
    <t>Aspartic acid</t>
  </si>
  <si>
    <t>%</t>
  </si>
  <si>
    <t>Alanine</t>
  </si>
  <si>
    <t>Threonine</t>
  </si>
  <si>
    <t>Valine</t>
  </si>
  <si>
    <t>Serine</t>
  </si>
  <si>
    <t>%.</t>
  </si>
  <si>
    <t>Methionine</t>
  </si>
  <si>
    <t>Glutamate</t>
  </si>
  <si>
    <t>Isoleucine</t>
  </si>
  <si>
    <t>Glycine</t>
  </si>
  <si>
    <t>Leucine</t>
  </si>
  <si>
    <t>Tyrosine</t>
  </si>
  <si>
    <t>Phenylalanine</t>
  </si>
  <si>
    <t>Lysine</t>
  </si>
  <si>
    <t>Histidine</t>
  </si>
  <si>
    <t>Arginine</t>
  </si>
  <si>
    <t>Proline</t>
  </si>
  <si>
    <t>tryptophan</t>
  </si>
  <si>
    <t>Vitamins</t>
  </si>
  <si>
    <t>Vitamin B2</t>
  </si>
  <si>
    <t>mg/kg</t>
  </si>
  <si>
    <t>Choline</t>
  </si>
  <si>
    <t>mg/100 g</t>
  </si>
  <si>
    <t>Inositol</t>
  </si>
  <si>
    <t>Nutritional substances contained in the corn steep liquor | Download Scientific Diagram (researchgate.net)</t>
  </si>
  <si>
    <t>EX_met__L_e</t>
  </si>
  <si>
    <t>EX_ile__L_e</t>
  </si>
  <si>
    <t>EX_leu__L_e</t>
  </si>
  <si>
    <t>EX_phe__L_e</t>
  </si>
  <si>
    <t>EX_his__L_e</t>
  </si>
  <si>
    <t>EX_pro__L_e</t>
  </si>
  <si>
    <t>EX_val__L_e</t>
  </si>
  <si>
    <t>EX_ala__L_e</t>
  </si>
  <si>
    <t>EX_chol_e</t>
  </si>
  <si>
    <t>EX_trp__L_e</t>
  </si>
  <si>
    <t>EX_arg__L_e</t>
  </si>
  <si>
    <t>EX_lys__L_e</t>
  </si>
  <si>
    <t>EX_tyr__L_e</t>
  </si>
  <si>
    <t>EX_gly_e</t>
  </si>
  <si>
    <t>EX_glu__L_e</t>
  </si>
  <si>
    <t>EX_ser__L_e</t>
  </si>
  <si>
    <t>EX_thr__L_e</t>
  </si>
  <si>
    <t>EX_asp__L_e</t>
  </si>
  <si>
    <t>asp__L_e</t>
  </si>
  <si>
    <t>thr__L_e</t>
  </si>
  <si>
    <t>ser__L_e</t>
  </si>
  <si>
    <t>glu__L_e</t>
  </si>
  <si>
    <t>gly_e</t>
  </si>
  <si>
    <t>tyr__L_e</t>
  </si>
  <si>
    <t>lys__L_e</t>
  </si>
  <si>
    <t>arg__L_e</t>
  </si>
  <si>
    <t>trp__L_e</t>
  </si>
  <si>
    <t>chol_e</t>
  </si>
  <si>
    <t>ala__L_e</t>
  </si>
  <si>
    <t>val__L_e</t>
  </si>
  <si>
    <t>met__L_e</t>
  </si>
  <si>
    <t>ile__L_e</t>
  </si>
  <si>
    <t>leu__L_e</t>
  </si>
  <si>
    <t>phe__L_e</t>
  </si>
  <si>
    <t>his__L_e</t>
  </si>
  <si>
    <t>pro__L_e</t>
  </si>
  <si>
    <t>from corn steep liquor</t>
  </si>
  <si>
    <t>comments</t>
  </si>
  <si>
    <t>g/L</t>
  </si>
  <si>
    <t>min flux</t>
  </si>
  <si>
    <t>yield error</t>
  </si>
  <si>
    <t>yield error2</t>
  </si>
  <si>
    <t>yield error3</t>
  </si>
  <si>
    <t>MW</t>
  </si>
  <si>
    <t>MW2</t>
  </si>
  <si>
    <t>MW3</t>
  </si>
  <si>
    <t>yield%</t>
  </si>
  <si>
    <t>yield%2</t>
  </si>
  <si>
    <t>yield%3</t>
  </si>
  <si>
    <t>min flux2</t>
  </si>
  <si>
    <t>min flux22</t>
  </si>
  <si>
    <t>w/o added YPD parts:</t>
  </si>
  <si>
    <t>EX_sucr_e:(-0.0832311670757478,1000)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-1000,1000);EX_co2_e:(0,1000)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</si>
  <si>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For BiomassKim w/o lipopb</t>
  </si>
  <si>
    <t>manual overrides for max uptake flux, based on simulations</t>
  </si>
  <si>
    <t>g sucr</t>
  </si>
  <si>
    <t>g FAL</t>
  </si>
  <si>
    <t>L</t>
  </si>
  <si>
    <t>mmol</t>
  </si>
  <si>
    <t>Metabolic engineering of oleaginous yeast Rhodotorula toruloides for overproduction of triacetic acid lactone - Cao - 2022 - Biotechnology and Bioengineering - Wiley Online Library</t>
  </si>
  <si>
    <t>Table 1 | Proteome analysis of xylose metabolism in Rhodotorula toruloides during lipid production | Biotechnology for Biofuels and Bioproducts (springer.com)</t>
  </si>
  <si>
    <t>Glucose</t>
  </si>
  <si>
    <t>Xylose</t>
  </si>
  <si>
    <t>Lag phase (h)</t>
  </si>
  <si>
    <t>Expontential phase (h)</t>
  </si>
  <si>
    <r>
      <t>μ</t>
    </r>
    <r>
      <rPr>
        <sz val="12"/>
        <color rgb="FF222222"/>
        <rFont val="Helvetica Neue"/>
        <family val="2"/>
      </rPr>
      <t>max</t>
    </r>
    <r>
      <rPr>
        <sz val="11"/>
        <color rgb="FF222222"/>
        <rFont val="Helvetica Neue"/>
        <family val="2"/>
      </rPr>
      <t> (h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</si>
  <si>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Final DCW (g/l)</t>
  </si>
  <si>
    <t>13.8 ± 0.13</t>
  </si>
  <si>
    <t>11.1 ± 0.1</t>
  </si>
  <si>
    <t>Starting sugar (g/l)</t>
  </si>
  <si>
    <t>40.8 ± 0.3</t>
  </si>
  <si>
    <t>39.4 ± 0.25</t>
  </si>
  <si>
    <t>Residual sugar (g/l)</t>
  </si>
  <si>
    <t>3.19 ± 0.81</t>
  </si>
  <si>
    <t>1.1 ± 1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</si>
  <si>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X/S</t>
    </r>
    <r>
      <rPr>
        <sz val="11"/>
        <color rgb="FF222222"/>
        <rFont val="Helvetica Neue"/>
        <family val="2"/>
      </rPr>
      <t> (gDW/g glucose</t>
    </r>
    <r>
      <rPr>
        <vertAlign val="superscript"/>
        <sz val="11"/>
        <color rgb="FF222222"/>
        <rFont val="Helvetica Neue"/>
        <family val="2"/>
      </rPr>
      <t>−1</t>
    </r>
    <r>
      <rPr>
        <sz val="11"/>
        <color rgb="FF222222"/>
        <rFont val="Helvetica Neue"/>
        <family val="2"/>
      </rPr>
      <t>)</t>
    </r>
  </si>
  <si>
    <t>0.36 ± 0.004</t>
  </si>
  <si>
    <t>0.28 ± 0.003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</si>
  <si>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0 (%)</t>
    </r>
    <r>
      <rPr>
        <vertAlign val="superscript"/>
        <sz val="11"/>
        <color rgb="FF222222"/>
        <rFont val="Helvetica Neue"/>
        <family val="2"/>
      </rPr>
      <t>a</t>
    </r>
  </si>
  <si>
    <t>7.59 ± 1.54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</si>
  <si>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2 (%)</t>
    </r>
    <r>
      <rPr>
        <vertAlign val="superscript"/>
        <sz val="11"/>
        <color rgb="FF222222"/>
        <rFont val="Helvetica Neue"/>
        <family val="2"/>
      </rPr>
      <t>a</t>
    </r>
  </si>
  <si>
    <t>10.58 ± 1.00</t>
  </si>
  <si>
    <t>13.99 ± 1.5</t>
  </si>
  <si>
    <r>
      <t>Lipid content at </t>
    </r>
    <r>
      <rPr>
        <i/>
        <sz val="11"/>
        <color rgb="FF222222"/>
        <rFont val="Helvetica Neue"/>
        <family val="2"/>
      </rPr>
      <t>t</t>
    </r>
    <r>
      <rPr>
        <sz val="11"/>
        <color rgb="FF222222"/>
        <rFont val="Helvetica Neue"/>
        <family val="2"/>
      </rPr>
      <t>3 (%)</t>
    </r>
    <r>
      <rPr>
        <vertAlign val="superscript"/>
        <sz val="11"/>
        <color rgb="FF222222"/>
        <rFont val="Helvetica Neue"/>
        <family val="2"/>
      </rPr>
      <t>a</t>
    </r>
  </si>
  <si>
    <t>47.51 ± 1.81</t>
  </si>
  <si>
    <t>47.05 ± 1.4</t>
  </si>
  <si>
    <r>
      <t>Final </t>
    </r>
    <r>
      <rPr>
        <i/>
        <sz val="11"/>
        <color rgb="FF222222"/>
        <rFont val="Helvetica Neue"/>
        <family val="2"/>
      </rPr>
      <t>Y</t>
    </r>
    <r>
      <rPr>
        <sz val="12"/>
        <color rgb="FF222222"/>
        <rFont val="Helvetica Neue"/>
        <family val="2"/>
      </rPr>
      <t>L/S</t>
    </r>
    <r>
      <rPr>
        <sz val="11"/>
        <color rgb="FF222222"/>
        <rFont val="Helvetica Neue"/>
        <family val="2"/>
      </rPr>
      <t> (g/g)</t>
    </r>
  </si>
  <si>
    <t>0.19 ± 0.01</t>
  </si>
  <si>
    <t>0.15 ± 0.009</t>
  </si>
  <si>
    <t>Glc</t>
  </si>
  <si>
    <t>values</t>
  </si>
  <si>
    <t>error</t>
  </si>
  <si>
    <t>Xyl</t>
  </si>
  <si>
    <t>Simulation settings</t>
  </si>
  <si>
    <t>Sugar consumption (g/l)</t>
  </si>
  <si>
    <t>sugar flux (mmol/(gDW*h))</t>
  </si>
  <si>
    <t>sugar MW (g/mmol)</t>
  </si>
  <si>
    <t>most optimistic combo</t>
  </si>
  <si>
    <t>TAG (mg/gDCW) at P3</t>
  </si>
  <si>
    <t>t1</t>
  </si>
  <si>
    <t>t3</t>
  </si>
  <si>
    <t>% of lipid classes</t>
  </si>
  <si>
    <t>mg/gDCW</t>
  </si>
  <si>
    <t>Phospholipids</t>
  </si>
  <si>
    <t>15.09 ± 0.34</t>
  </si>
  <si>
    <t>16.27 ± 1.5</t>
  </si>
  <si>
    <t>4.11 ± 0.34</t>
  </si>
  <si>
    <t>3.9 ± 0.21</t>
  </si>
  <si>
    <t>Monoacylglycerols</t>
  </si>
  <si>
    <t>1.02 ± 0.33</t>
  </si>
  <si>
    <t>1.35 ± 0.5</t>
  </si>
  <si>
    <t>nd</t>
  </si>
  <si>
    <t>Diglycerols</t>
  </si>
  <si>
    <t>8.35 ± 0.7</t>
  </si>
  <si>
    <t>7.88 ± 0.26</t>
  </si>
  <si>
    <t>4.9 ± 0.3</t>
  </si>
  <si>
    <t>4.02 ± 0.36</t>
  </si>
  <si>
    <t>Sterols</t>
  </si>
  <si>
    <t>14.11 ± 0.34</t>
  </si>
  <si>
    <t>14.61 ± 0.79</t>
  </si>
  <si>
    <t>6.49 ± 0.3</t>
  </si>
  <si>
    <t>5.67 ± 0.15</t>
  </si>
  <si>
    <t>Free fatty acids</t>
  </si>
  <si>
    <t>38.15 ± 0.9</t>
  </si>
  <si>
    <t>40.77 ± 3.1</t>
  </si>
  <si>
    <t>11.9 ± 0.3</t>
  </si>
  <si>
    <t>10.80 ± 0.25</t>
  </si>
  <si>
    <t>Triacylglycerols</t>
  </si>
  <si>
    <t>23.82 ± 1.7</t>
  </si>
  <si>
    <t>19.39 ± 4.5</t>
  </si>
  <si>
    <t>72.64 ± 0.76</t>
  </si>
  <si>
    <t>75.61 ± 0.63</t>
  </si>
  <si>
    <t>TAG/PL</t>
  </si>
  <si>
    <t>Total lipid content</t>
  </si>
  <si>
    <t>9.085 ± 1</t>
  </si>
  <si>
    <t>10.79 ± 1</t>
  </si>
  <si>
    <t>47.51 ± 1.8</t>
  </si>
  <si>
    <t>47.1 ± 1.4</t>
  </si>
  <si>
    <r>
      <t>The chemically defined cultivation medium used for growth experiments contained: 1.173 g/l (NH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)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1.7 g/l yeast nitrogen base without amino acids or ammonium sulfate; 3 g/l KH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PO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; 0.5 g/l MgSO</t>
    </r>
    <r>
      <rPr>
        <sz val="14"/>
        <color rgb="FF222222"/>
        <rFont val="Times New Roman"/>
        <family val="1"/>
      </rPr>
      <t>4</t>
    </r>
    <r>
      <rPr>
        <sz val="18"/>
        <color rgb="FF222222"/>
        <rFont val="Times New Roman"/>
        <family val="1"/>
      </rPr>
      <t>–7H</t>
    </r>
    <r>
      <rPr>
        <sz val="14"/>
        <color rgb="FF222222"/>
        <rFont val="Times New Roman"/>
        <family val="1"/>
      </rPr>
      <t>2</t>
    </r>
    <r>
      <rPr>
        <sz val="18"/>
        <color rgb="FF222222"/>
        <rFont val="Times New Roman"/>
        <family val="1"/>
      </rPr>
      <t>O; 40 g/l carbon source (either xylose or glucose)</t>
    </r>
  </si>
  <si>
    <t>g/l (NH4)2SO4 provided</t>
  </si>
  <si>
    <t>EX_nh4_e</t>
  </si>
  <si>
    <t>frac. MW from NH4</t>
  </si>
  <si>
    <t>Exp. TAG Flux at GSM TAG MW</t>
  </si>
  <si>
    <t>Exp. TAG Flux at glycerol MW</t>
  </si>
  <si>
    <t>Exp. TAG Flux, assuming most common fatty acid (C17:1) is used</t>
  </si>
  <si>
    <t>tetracosanoic acid (CHEBI:28866)</t>
  </si>
  <si>
    <t>Exp. TAG Flux, assuming heaviest fatty acid (C24:0) is used</t>
  </si>
  <si>
    <t>NH4 MW</t>
  </si>
  <si>
    <t>min growth rate (exp. Lasted 104 h)</t>
  </si>
  <si>
    <t>Combined yield + substrate calculations</t>
  </si>
  <si>
    <t>Yield (g/g glc) w/ .5% NaAc</t>
  </si>
  <si>
    <t>glc (g/L) in .5% NaAc</t>
  </si>
  <si>
    <t>glc (g/L) in YPDX</t>
  </si>
  <si>
    <t>g substrate (old)</t>
  </si>
  <si>
    <t>g substrate (new)</t>
  </si>
  <si>
    <t>TAG yield (mg/gDCW)</t>
  </si>
  <si>
    <t>YP2D</t>
  </si>
  <si>
    <t>TAG MW (g/mmol)</t>
  </si>
  <si>
    <t>TAL yield on oilcane juices (g/g carbon sources)</t>
  </si>
  <si>
    <t>assuming exactly 30%</t>
  </si>
  <si>
    <t>TAL titer</t>
  </si>
  <si>
    <t>1.67x YPD</t>
  </si>
  <si>
    <t>TAL Yield w/ .5% NaAc</t>
  </si>
  <si>
    <t>Media</t>
  </si>
  <si>
    <t>Cell OD</t>
  </si>
  <si>
    <t>Residual substrates</t>
  </si>
  <si>
    <t>YPD</t>
  </si>
  <si>
    <t>68±3.2</t>
  </si>
  <si>
    <t>1.97±0.12</t>
  </si>
  <si>
    <t>YPG</t>
  </si>
  <si>
    <t>35±1.5</t>
  </si>
  <si>
    <t>9.7±0.5</t>
  </si>
  <si>
    <t>1.17±0.06</t>
  </si>
  <si>
    <t>YPX</t>
  </si>
  <si>
    <t>71±1.5</t>
  </si>
  <si>
    <t>2.13±0.15</t>
  </si>
  <si>
    <t>YPS</t>
  </si>
  <si>
    <t>45±1.2</t>
  </si>
  <si>
    <t>12.4±0.8</t>
  </si>
  <si>
    <t>1.07±0.06</t>
  </si>
  <si>
    <t>SC</t>
  </si>
  <si>
    <t>19±1.0</t>
  </si>
  <si>
    <t>10.5±0.7</t>
  </si>
  <si>
    <t>0.47±0.06</t>
  </si>
  <si>
    <t>YPDX</t>
  </si>
  <si>
    <t>62±2.6</t>
  </si>
  <si>
    <t>83±2.1</t>
  </si>
  <si>
    <t>3.63±0.15</t>
  </si>
  <si>
    <t>YPD+0.5%NaAc</t>
  </si>
  <si>
    <t>68±3.5</t>
  </si>
  <si>
    <t>0.4±0.1</t>
  </si>
  <si>
    <t>3.33±0.12</t>
  </si>
  <si>
    <t>YPD+1%NaAc</t>
  </si>
  <si>
    <t>62±2.1</t>
  </si>
  <si>
    <t>4.5±0.8</t>
  </si>
  <si>
    <t>3.57±0.12</t>
  </si>
  <si>
    <t>YPD+2%NaAc</t>
  </si>
  <si>
    <t>54±2.6</t>
  </si>
  <si>
    <t>13.6±0.4</t>
  </si>
  <si>
    <t>3.6±0.26</t>
  </si>
  <si>
    <t>YP-NaAc</t>
  </si>
  <si>
    <t>23±2.6</t>
  </si>
  <si>
    <t>15.6±0.6</t>
  </si>
  <si>
    <t>0.84±0.09</t>
  </si>
  <si>
    <t>Table S3. Substrate utilization test.</t>
  </si>
  <si>
    <t>max residual substrate (g/L) on YPD+2% substrate</t>
  </si>
  <si>
    <t>Assuming yield2 = yield1 * titer2/titer1</t>
  </si>
  <si>
    <t>c_sources:EX_xyl__D_e,EX_glc__D_e;EX_xyl__D_e:(-0.164415433160671,1000);EX_glc__D_e:(-0.319696675590194,1000);BIOMASS:(c_sources:EX_xyl__D_e,EX_glc__D_e;EX_xyl__D_e:(-0.164415433160671,1000);EX_glc__D_e:(-0.319696675590194,1000);BIOMASS:(0,0.0138888888888889);BiomassKim_e:(0,0);ATPM_c:(1.22,1000);EX_4abz_e:(-1000,1000);EX_fe3_e:(-1000,1000);EX_fol_e:(-1000,1000);EX_inost_e:(-1000,1000);EX_nac_e:(-1000,1000);EX_pnto__R_e:(-1000,1000);EX_pydxn_e:(-1000,1000);EX_ribflv_e:(-1000,1000);EX_thm_e:(-1000,1000),0.0138888888888889);BiomassKim_e:(0,0);ATPM_c:(1.22,1000);EX_4abz_e:(-1000,1000);EX_fe3_e:(-1000,1000);EX_fol_e:(-1000,1000);EX_inost_e:(-1000,1000);EX_nac_e:(-1000,1000);EX_pnto__R_e:(-1000,1000);EX_pydxn_e:(-1000,1000);EX_ribflv_e:(-1000,1000);EX_thm_e:(-1000,1000)</t>
  </si>
  <si>
    <t>c_sources:EX_xyl__D_e,EX_glc__D_e;EX_xyl__D_e:(-0.0266525306904169,-0.0266525306904169);EX_glc__D_e:(-0.0518243652313661,-0.0518243652313661);BIOMASS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</t>
  </si>
  <si>
    <t>media:reset;c_sources:EX_sucr_e;EX_sucr_e:(-0.174787248262266,1000)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</si>
  <si>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flux (rounded up)</t>
  </si>
  <si>
    <t>media:reset;c_sources:EX_sucr_e;media:reset;c_sources:EX_sucr_e;EX_sucr_e:(-0.174787248262266,0);EX_k_e:(-0.00546507683646639,1000);EX_nh4_e:(-0.0110548891036696,1000);EX_ca2_e:(-0.00284331621656971,1000);EX_mg2_e:(-0.00468875186011578,1000);EX_pi_e:(-0.00224989958698143,1000);EX_no3_e:(-0.00321635673623416,1000);EX_cl_e:(-0.00642934352384282,1000);EX_so4_e:(-0.00118621956864905,1000)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(0.0133333333333333,0.0133333333333333)</t>
  </si>
  <si>
    <t>time consuming sucrose (h)</t>
  </si>
  <si>
    <t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</si>
  <si>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WORKS:media:reset;c_sources:EX_sucr_e;media:reset;c_sources:EX_sucr_e;EX_sucr_e:(-1000,1000);EX_k_e:(-100.005466,1000);EX_nh4_e:(-100.011055,1000);EX_ca2_e:(-100.002844,1000);EX_mg2_e:(-100.004689,1000);EX_pi_e:(-100.00225,1000);EX_no3_e:(-100.003217,1000);EX_cl_e:(-100.00643,1000);EX_so4_e:(-100.001187,1000)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</si>
  <si>
    <t>Rounded up trace element uptakes to account for contributions from seed cultures, until yields could be replicated</t>
  </si>
  <si>
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</si>
  <si>
    <t>c_sources:EX_glc__D_e;BIOMASS_AERO_SC_RBA:(0.009615384615,0.14);EX_glc__D_e:(-2.20113372715757,1000);EX_nh4_e:(-0.181824845165991,1000);EX_o2_e:(-26.25403530509562,1000)</t>
  </si>
  <si>
    <t>c_sources:EX_xyl__D_e,EX_glc__D_e;EX_xyl__D_e:(-0.0266525306904169,-0.0266525306904169);EX_glc__D_e:(-0.0518243652313661,-0.0518243652313661);BIOMASS_AERO_SC_RBA:(0.0138888888888888,0.0138888888888889);ATPM_c:(0,1000);EX_4abz_e:(-1000,1000);EX_fe3_e:(-1000,1000);EX_fol_e:(-1000,1000);EX_inost_e:(-1000,1000);EX_nac_e:(-1000,1000);EX_pnto__R_e:(-1000,1000);EX_pydxn_e:(-1000,1000);EX_ribflv_e:(-1000,1000);EX_thm_e:(-1000,1000);EX_o2_e:(-26.25403530509562,1000)</t>
  </si>
  <si>
    <t>RBA</t>
  </si>
  <si>
    <t>Rxn</t>
  </si>
  <si>
    <t>Flux</t>
  </si>
  <si>
    <t>GLNS_c</t>
  </si>
  <si>
    <t>NI2t_c_e</t>
  </si>
  <si>
    <t>Ht_c_rm</t>
  </si>
  <si>
    <t>VALTRS_c</t>
  </si>
  <si>
    <t>CS_m</t>
  </si>
  <si>
    <t>EX_so4_e</t>
  </si>
  <si>
    <t>O2t_c_r</t>
  </si>
  <si>
    <t>EX_h2o_e</t>
  </si>
  <si>
    <t>SERt_c_r</t>
  </si>
  <si>
    <t>SUCDq6_m</t>
  </si>
  <si>
    <t>ZN2tps_c_e</t>
  </si>
  <si>
    <t>ICDHy_c</t>
  </si>
  <si>
    <t>GLYGS_c</t>
  </si>
  <si>
    <t>4ABZt_c_e</t>
  </si>
  <si>
    <t>KARA1i_m</t>
  </si>
  <si>
    <t>ADK1_m</t>
  </si>
  <si>
    <t>EX_ribflv_e</t>
  </si>
  <si>
    <t>ICDHx_m</t>
  </si>
  <si>
    <t>ACONTb_c</t>
  </si>
  <si>
    <t>IMPD_c</t>
  </si>
  <si>
    <t>AHCi_c</t>
  </si>
  <si>
    <t>SERPT_r</t>
  </si>
  <si>
    <t>GLYt_c_m</t>
  </si>
  <si>
    <t>HCO3E_c</t>
  </si>
  <si>
    <t>compCER_r</t>
  </si>
  <si>
    <t>CERH2A26_r</t>
  </si>
  <si>
    <t>AMPt_c_l</t>
  </si>
  <si>
    <t>CERH126A_r</t>
  </si>
  <si>
    <t>PSt_c_rm</t>
  </si>
  <si>
    <t>EX_thm_e</t>
  </si>
  <si>
    <t>C4STMO4_c</t>
  </si>
  <si>
    <t>H2Ot_c_e</t>
  </si>
  <si>
    <t>PRASCSi_c</t>
  </si>
  <si>
    <t>SO3R_c</t>
  </si>
  <si>
    <t>CERH2A24_r</t>
  </si>
  <si>
    <t>SHKK_c</t>
  </si>
  <si>
    <t>GLYTRS_c</t>
  </si>
  <si>
    <t>HISTD_c</t>
  </si>
  <si>
    <t>CHORS_c</t>
  </si>
  <si>
    <t>AASADy_c</t>
  </si>
  <si>
    <t>FTHFL_m</t>
  </si>
  <si>
    <t>PMTCOAt_c_rm</t>
  </si>
  <si>
    <t>PSP_L_c</t>
  </si>
  <si>
    <t>PSt_mm_rm</t>
  </si>
  <si>
    <t>PRATPP_c</t>
  </si>
  <si>
    <t>ORPT_c</t>
  </si>
  <si>
    <t>PTPAT_c</t>
  </si>
  <si>
    <t>CITMALta_m</t>
  </si>
  <si>
    <t>PCt_c_rm</t>
  </si>
  <si>
    <t>GLUtps_e</t>
  </si>
  <si>
    <t>CHOLt_c_e</t>
  </si>
  <si>
    <t>G6PDH2i_c</t>
  </si>
  <si>
    <t>AFAT_c</t>
  </si>
  <si>
    <t>HEX7_c</t>
  </si>
  <si>
    <t>PIt_c_gm</t>
  </si>
  <si>
    <t>GLUDy_c</t>
  </si>
  <si>
    <t>3HACD220_rm</t>
  </si>
  <si>
    <t>ATPt_c_l</t>
  </si>
  <si>
    <t>FRUtps_e</t>
  </si>
  <si>
    <t>PRAIi_c</t>
  </si>
  <si>
    <t>SERtps_e</t>
  </si>
  <si>
    <t>2OXOADPt_c_m</t>
  </si>
  <si>
    <t>3DSPHR_r</t>
  </si>
  <si>
    <t>Ht_c_l</t>
  </si>
  <si>
    <t>3OACE260_rm</t>
  </si>
  <si>
    <t>UPPDC1_c</t>
  </si>
  <si>
    <t>EX_pydxn_e</t>
  </si>
  <si>
    <t>SLFAT_c</t>
  </si>
  <si>
    <t>ASAD_c</t>
  </si>
  <si>
    <t>VALTA_m</t>
  </si>
  <si>
    <t>RPI_c</t>
  </si>
  <si>
    <t>SQLt_c_r</t>
  </si>
  <si>
    <t>MALCOAt_c_rm</t>
  </si>
  <si>
    <t>EX_mg2_e</t>
  </si>
  <si>
    <t>ACGK_m</t>
  </si>
  <si>
    <t>PYDXNtps_e</t>
  </si>
  <si>
    <t>TALA_c</t>
  </si>
  <si>
    <t>COAt_c_rm</t>
  </si>
  <si>
    <t>PGL_c</t>
  </si>
  <si>
    <t>HMGCOAR_c</t>
  </si>
  <si>
    <t>EX_pnto__R_e</t>
  </si>
  <si>
    <t>G5SADr_c</t>
  </si>
  <si>
    <t>PMANM_c</t>
  </si>
  <si>
    <t>3OACR240_rm</t>
  </si>
  <si>
    <t>ORNtpa_m</t>
  </si>
  <si>
    <t>DNMPPA_c</t>
  </si>
  <si>
    <t>INOSTtps_e</t>
  </si>
  <si>
    <t>H2Ot_c_r</t>
  </si>
  <si>
    <t>NADHt_c_rm</t>
  </si>
  <si>
    <t>COAt_c_r</t>
  </si>
  <si>
    <t>CYSTS_c</t>
  </si>
  <si>
    <t>PEt_mm_rm</t>
  </si>
  <si>
    <t>TRPTRS_c</t>
  </si>
  <si>
    <t>EX_odealc_e</t>
  </si>
  <si>
    <t>UPP3MT_2_c</t>
  </si>
  <si>
    <t>SERt_c_rm</t>
  </si>
  <si>
    <t>GLUPRT_c</t>
  </si>
  <si>
    <t>CERH124A_r</t>
  </si>
  <si>
    <t>LACtps_m</t>
  </si>
  <si>
    <t>SACCD1_c</t>
  </si>
  <si>
    <t>PROTRS_c</t>
  </si>
  <si>
    <t>EX_ni2_e</t>
  </si>
  <si>
    <t>PROtps_e</t>
  </si>
  <si>
    <t>ACOTAi_m</t>
  </si>
  <si>
    <t>PC_c</t>
  </si>
  <si>
    <t>MAN1PT_c</t>
  </si>
  <si>
    <t>3OACE240_rm</t>
  </si>
  <si>
    <t>TRE6PS_c</t>
  </si>
  <si>
    <t>MEVK1_c</t>
  </si>
  <si>
    <t>HCITS_m</t>
  </si>
  <si>
    <t>NDPK8_c</t>
  </si>
  <si>
    <t>CERS126_r</t>
  </si>
  <si>
    <t>DNTPPA_c</t>
  </si>
  <si>
    <t>DOLPt_c_r</t>
  </si>
  <si>
    <t>PAP_gm</t>
  </si>
  <si>
    <t>EX_co2_e</t>
  </si>
  <si>
    <t>OCBT_c</t>
  </si>
  <si>
    <t>ADSL1r_c</t>
  </si>
  <si>
    <t>G3PAT_l</t>
  </si>
  <si>
    <t>ACONTa_c</t>
  </si>
  <si>
    <t>TYRtps_e</t>
  </si>
  <si>
    <t>ALAS_m</t>
  </si>
  <si>
    <t>O2t_c_e</t>
  </si>
  <si>
    <t>PAILS_rm</t>
  </si>
  <si>
    <t>NDPK1_c</t>
  </si>
  <si>
    <t>3HACD240_rm</t>
  </si>
  <si>
    <t>PAt_l_rm</t>
  </si>
  <si>
    <t>FRDPt_c_m</t>
  </si>
  <si>
    <t>PEt_c_rm</t>
  </si>
  <si>
    <t>METS_c</t>
  </si>
  <si>
    <t>NAMNPP_c</t>
  </si>
  <si>
    <t>PPA_m</t>
  </si>
  <si>
    <t>DMATT_c</t>
  </si>
  <si>
    <t>MTHFD_m</t>
  </si>
  <si>
    <t>LEUTRS_c</t>
  </si>
  <si>
    <t>ALATRS_c</t>
  </si>
  <si>
    <t>NADPt_c_r</t>
  </si>
  <si>
    <t>FE2t_c_e</t>
  </si>
  <si>
    <t>ASPK_c</t>
  </si>
  <si>
    <t>CTPS2_c</t>
  </si>
  <si>
    <t>ALDD2y_c</t>
  </si>
  <si>
    <t>CDPDAGS_rm</t>
  </si>
  <si>
    <t>PPNCL2_c</t>
  </si>
  <si>
    <t>STCOAt_c_rm</t>
  </si>
  <si>
    <t>ECOAR200_rm</t>
  </si>
  <si>
    <t>GLNTRS_c</t>
  </si>
  <si>
    <t>5AOPt_c_m</t>
  </si>
  <si>
    <t>HSERTA_c</t>
  </si>
  <si>
    <t>AHSERL2_c</t>
  </si>
  <si>
    <t>H2Ot_c_rm</t>
  </si>
  <si>
    <t>ARGSL_c</t>
  </si>
  <si>
    <t>FMNRx2_c</t>
  </si>
  <si>
    <t>THRtps_e</t>
  </si>
  <si>
    <t>G3PD1r_c</t>
  </si>
  <si>
    <t>PMTCOAt_c_r</t>
  </si>
  <si>
    <t>ASPTA_c</t>
  </si>
  <si>
    <t>CBPS_c</t>
  </si>
  <si>
    <t>HXCCOAt_c_rm</t>
  </si>
  <si>
    <t>PFK_c</t>
  </si>
  <si>
    <t>PSD_mm</t>
  </si>
  <si>
    <t>NH4t_c_m</t>
  </si>
  <si>
    <t>ARGSS_c</t>
  </si>
  <si>
    <t>BPNT_c</t>
  </si>
  <si>
    <t>CERH324_r</t>
  </si>
  <si>
    <t>AKGDH_m</t>
  </si>
  <si>
    <t>TRPtps_e</t>
  </si>
  <si>
    <t>SHCHD2_c</t>
  </si>
  <si>
    <t>SSQ23EPXt_c_r</t>
  </si>
  <si>
    <t>SERTRS_c</t>
  </si>
  <si>
    <t>PItps_m</t>
  </si>
  <si>
    <t>HSDx_c</t>
  </si>
  <si>
    <t>PAPSR_c</t>
  </si>
  <si>
    <t>UMPK_c</t>
  </si>
  <si>
    <t>THRTRS_c</t>
  </si>
  <si>
    <t>STATg161_rm</t>
  </si>
  <si>
    <t>NNATi_c</t>
  </si>
  <si>
    <t>DICAT6_c</t>
  </si>
  <si>
    <t>H2Ot_c_m</t>
  </si>
  <si>
    <t>ANPRT_c</t>
  </si>
  <si>
    <t>KARA2i_m</t>
  </si>
  <si>
    <t>MTHFC_c</t>
  </si>
  <si>
    <t>ORNTACi_m</t>
  </si>
  <si>
    <t>PGI_c</t>
  </si>
  <si>
    <t>ACGAMPM_c</t>
  </si>
  <si>
    <t>HACNH_m</t>
  </si>
  <si>
    <t>NADHK1_c</t>
  </si>
  <si>
    <t>IGPDH_c</t>
  </si>
  <si>
    <t>MDH_c</t>
  </si>
  <si>
    <t>FRD_c</t>
  </si>
  <si>
    <t>METtps_e</t>
  </si>
  <si>
    <t>PPBNGS_1_c</t>
  </si>
  <si>
    <t>MAN6PI_c</t>
  </si>
  <si>
    <t>TMDS_c</t>
  </si>
  <si>
    <t>DHORTS_c</t>
  </si>
  <si>
    <t>CERt_g_r</t>
  </si>
  <si>
    <t>EX_ca2_e</t>
  </si>
  <si>
    <t>GHMT2r_c</t>
  </si>
  <si>
    <t>DCMPDA_c</t>
  </si>
  <si>
    <t>TPI_c</t>
  </si>
  <si>
    <t>ACCOAC_c</t>
  </si>
  <si>
    <t>CO2t_c_e</t>
  </si>
  <si>
    <t>CO2t_c_m</t>
  </si>
  <si>
    <t>ADK1_c</t>
  </si>
  <si>
    <t>PAILt_gm_rm</t>
  </si>
  <si>
    <t>CERS124_r</t>
  </si>
  <si>
    <t>4ABZt_c_m</t>
  </si>
  <si>
    <t>OCDCEAt_c_l</t>
  </si>
  <si>
    <t>ARGtps_e</t>
  </si>
  <si>
    <t>METAT_c</t>
  </si>
  <si>
    <t>OMCDC_c</t>
  </si>
  <si>
    <t>FADH2t_c_m</t>
  </si>
  <si>
    <t>IPCS_g</t>
  </si>
  <si>
    <t>ERGSTt_c_r</t>
  </si>
  <si>
    <t>MANNANt_c_r</t>
  </si>
  <si>
    <t>ERGTETROLt_c_r</t>
  </si>
  <si>
    <t>ACOADS160_rm</t>
  </si>
  <si>
    <t>OMPDC_c</t>
  </si>
  <si>
    <t>IMPC_c</t>
  </si>
  <si>
    <t>TPS_odealc_rm</t>
  </si>
  <si>
    <t>MTHFD_c</t>
  </si>
  <si>
    <t>HISTP_c</t>
  </si>
  <si>
    <t>PMTCOAt_c_l</t>
  </si>
  <si>
    <t>MTHFR3_c</t>
  </si>
  <si>
    <t>lumpFACS180_c</t>
  </si>
  <si>
    <t>DAGt_gm_rm</t>
  </si>
  <si>
    <t>C14STR_c</t>
  </si>
  <si>
    <t>EX_4abz_e</t>
  </si>
  <si>
    <t>ILETRS_c</t>
  </si>
  <si>
    <t>NADPHt_c_r</t>
  </si>
  <si>
    <t>CHTNS_c</t>
  </si>
  <si>
    <t>FARodealc_rm</t>
  </si>
  <si>
    <t>FE2t_c_m</t>
  </si>
  <si>
    <t>IPDDI_c</t>
  </si>
  <si>
    <t>ASPCT_c</t>
  </si>
  <si>
    <t>FACOAL181_l</t>
  </si>
  <si>
    <t>TRE6PP_c</t>
  </si>
  <si>
    <t>HIStps_e</t>
  </si>
  <si>
    <t>SHCHF_c</t>
  </si>
  <si>
    <t>NDPK2_c</t>
  </si>
  <si>
    <t>ACS_c</t>
  </si>
  <si>
    <t>EX_gcald_e</t>
  </si>
  <si>
    <t>ATPPRT_c</t>
  </si>
  <si>
    <t>FACOAL180_l</t>
  </si>
  <si>
    <t>PRMICI_c</t>
  </si>
  <si>
    <t>DTMPK_c</t>
  </si>
  <si>
    <t>CITICITt_c_m</t>
  </si>
  <si>
    <t>PSCIT_c</t>
  </si>
  <si>
    <t>COAt_c_l</t>
  </si>
  <si>
    <t>GMPS2_c</t>
  </si>
  <si>
    <t>EX_k_e</t>
  </si>
  <si>
    <t>EX_zn2_e</t>
  </si>
  <si>
    <t>GLUt_c_m</t>
  </si>
  <si>
    <t>DPMVD_c</t>
  </si>
  <si>
    <t>ANS_c</t>
  </si>
  <si>
    <t>CYSTRS_c</t>
  </si>
  <si>
    <t>FMNH_c</t>
  </si>
  <si>
    <t>GK2_c</t>
  </si>
  <si>
    <t>IGPS_c</t>
  </si>
  <si>
    <t>AIRC1_c</t>
  </si>
  <si>
    <t>3OACR200_rm</t>
  </si>
  <si>
    <t>ODECOAt_c_l</t>
  </si>
  <si>
    <t>PSERT_c</t>
  </si>
  <si>
    <t>16GS_c</t>
  </si>
  <si>
    <t>PRAMPC_c</t>
  </si>
  <si>
    <t>COBALT2t_c_e</t>
  </si>
  <si>
    <t>ME1_m</t>
  </si>
  <si>
    <t>LACPYRt_c_m</t>
  </si>
  <si>
    <t>SUCR_e</t>
  </si>
  <si>
    <t>HSK_c</t>
  </si>
  <si>
    <t>RNDR3_c</t>
  </si>
  <si>
    <t>C4STMO2_c</t>
  </si>
  <si>
    <t>ADSS_c</t>
  </si>
  <si>
    <t>Ht_c_r</t>
  </si>
  <si>
    <t>METTRS_c</t>
  </si>
  <si>
    <t>O2t_c_m</t>
  </si>
  <si>
    <t>PAt_gm_rm</t>
  </si>
  <si>
    <t>CO2t_c_rm</t>
  </si>
  <si>
    <t>CUtps_c_e</t>
  </si>
  <si>
    <t>3OACR220_rm</t>
  </si>
  <si>
    <t>C4STMO1_c</t>
  </si>
  <si>
    <t>AKGMALta_m</t>
  </si>
  <si>
    <t>ACGAM6PS_c</t>
  </si>
  <si>
    <t>PHETA1_c</t>
  </si>
  <si>
    <t>DAGt_c_l</t>
  </si>
  <si>
    <t>PRAIS_c</t>
  </si>
  <si>
    <t>G3PDf_m</t>
  </si>
  <si>
    <t>NDPK3_c</t>
  </si>
  <si>
    <t>G3PD1i_m</t>
  </si>
  <si>
    <t>NH4t_c_e</t>
  </si>
  <si>
    <t>EX_sucr_e</t>
  </si>
  <si>
    <t>TKT2_c</t>
  </si>
  <si>
    <t>Ktps_e</t>
  </si>
  <si>
    <t>GF6PTA_c</t>
  </si>
  <si>
    <t>ADNK1_c</t>
  </si>
  <si>
    <t>AGPRi_m</t>
  </si>
  <si>
    <t>DHAPt_c_m</t>
  </si>
  <si>
    <t>FADt_c_m</t>
  </si>
  <si>
    <t>DOLPMMT_r</t>
  </si>
  <si>
    <t>ORNTA_c</t>
  </si>
  <si>
    <t>NACt_c_e</t>
  </si>
  <si>
    <t>CO2t_c_mm</t>
  </si>
  <si>
    <t>THRS_c</t>
  </si>
  <si>
    <t>C3STDH2_c</t>
  </si>
  <si>
    <t>STATg181_rm</t>
  </si>
  <si>
    <t>ECOAR240_rm</t>
  </si>
  <si>
    <t>ASNS1_c</t>
  </si>
  <si>
    <t>HMGCOAt_c_m</t>
  </si>
  <si>
    <t>RNDR2_c</t>
  </si>
  <si>
    <t>C3STKR1_c</t>
  </si>
  <si>
    <t>ILEtps_e</t>
  </si>
  <si>
    <t>RPE_c</t>
  </si>
  <si>
    <t>HXCCOAt_c_r</t>
  </si>
  <si>
    <t>CHLSTI_c</t>
  </si>
  <si>
    <t>3HACD200_rm</t>
  </si>
  <si>
    <t>GLCt_c_e</t>
  </si>
  <si>
    <t>C3STKR2_c</t>
  </si>
  <si>
    <t>GARFT_c</t>
  </si>
  <si>
    <t>C24STR_r</t>
  </si>
  <si>
    <t>DGAT_l</t>
  </si>
  <si>
    <t>VALtps_e</t>
  </si>
  <si>
    <t>ILETA_c</t>
  </si>
  <si>
    <t>EX_fe2_e</t>
  </si>
  <si>
    <t>VALt_c_m</t>
  </si>
  <si>
    <t>MN2tps_c_e</t>
  </si>
  <si>
    <t>CERH126B_r</t>
  </si>
  <si>
    <t>FORt_c_m</t>
  </si>
  <si>
    <t>CYSTGL_c</t>
  </si>
  <si>
    <t>HEME3_c</t>
  </si>
  <si>
    <t>ERGSTt_r_rm</t>
  </si>
  <si>
    <t>TAGt_l_rm</t>
  </si>
  <si>
    <t>3MOPt_c_m</t>
  </si>
  <si>
    <t>FECRq6_m</t>
  </si>
  <si>
    <t>DHFRi_c</t>
  </si>
  <si>
    <t>DHQS_c</t>
  </si>
  <si>
    <t>ALAt_c_m</t>
  </si>
  <si>
    <t>AKGMALt_c_e</t>
  </si>
  <si>
    <t>EX_h_e</t>
  </si>
  <si>
    <t>FBA_c</t>
  </si>
  <si>
    <t>compFALPD_l</t>
  </si>
  <si>
    <t>TMDPK_c</t>
  </si>
  <si>
    <t>HDCEAt_c_l</t>
  </si>
  <si>
    <t>ASPtps_e</t>
  </si>
  <si>
    <t>CA2tps_c_e</t>
  </si>
  <si>
    <t>DHFS_1_c</t>
  </si>
  <si>
    <t>DAGt_c_rm</t>
  </si>
  <si>
    <t>TKT1_c</t>
  </si>
  <si>
    <t>ACLS_m</t>
  </si>
  <si>
    <t>SHK3Di_c</t>
  </si>
  <si>
    <t>DDPA_c</t>
  </si>
  <si>
    <t>TRDR_c</t>
  </si>
  <si>
    <t>CO2t_c_r</t>
  </si>
  <si>
    <t>PPIt_c_rm</t>
  </si>
  <si>
    <t>ADSK_c</t>
  </si>
  <si>
    <t>P5CR_c</t>
  </si>
  <si>
    <t>GND_c</t>
  </si>
  <si>
    <t>IPMD_c</t>
  </si>
  <si>
    <t>AKGt_c_e</t>
  </si>
  <si>
    <t>FECOOR_m</t>
  </si>
  <si>
    <t>GAPD_c</t>
  </si>
  <si>
    <t>PAILt_c_rm</t>
  </si>
  <si>
    <t>HEMEAt_c_m</t>
  </si>
  <si>
    <t>PDH_m</t>
  </si>
  <si>
    <t>IG3PS_c</t>
  </si>
  <si>
    <t>GCALDt_c_m</t>
  </si>
  <si>
    <t>DPCOAK_c</t>
  </si>
  <si>
    <t>FACOAL161_l</t>
  </si>
  <si>
    <t>HEMEOS_m</t>
  </si>
  <si>
    <t>NDPK7_c</t>
  </si>
  <si>
    <t>GRTT_c</t>
  </si>
  <si>
    <t>EX_cobalt2_e</t>
  </si>
  <si>
    <t>UPP3S_c</t>
  </si>
  <si>
    <t>3OACR260_rm</t>
  </si>
  <si>
    <t>DHORDfum_c</t>
  </si>
  <si>
    <t>HDCOAt_c_rm</t>
  </si>
  <si>
    <t>DHAD1_m</t>
  </si>
  <si>
    <t>HDCOAt_c_l</t>
  </si>
  <si>
    <t>DHNPTt_c_m</t>
  </si>
  <si>
    <t>IPPS_m</t>
  </si>
  <si>
    <t>ASNTRS_c</t>
  </si>
  <si>
    <t>PGM_c</t>
  </si>
  <si>
    <t>GCALDt_c_e</t>
  </si>
  <si>
    <t>IPPMIb_c</t>
  </si>
  <si>
    <t>AGPAT_l</t>
  </si>
  <si>
    <t>ACHBS_m</t>
  </si>
  <si>
    <t>PYK_c</t>
  </si>
  <si>
    <t>LNSTLS_c</t>
  </si>
  <si>
    <t>TTCCOAt_c_r</t>
  </si>
  <si>
    <t>ALATA_L_m</t>
  </si>
  <si>
    <t>RIBFLVt_c_e</t>
  </si>
  <si>
    <t>SQLS_c</t>
  </si>
  <si>
    <t>EX_o2_e</t>
  </si>
  <si>
    <t>ODECOAt_c_rm</t>
  </si>
  <si>
    <t>PRAGSi_c</t>
  </si>
  <si>
    <t>SACCD2_c</t>
  </si>
  <si>
    <t>TYRTRS_c</t>
  </si>
  <si>
    <t>PPNDH_c</t>
  </si>
  <si>
    <t>FDH_c</t>
  </si>
  <si>
    <t>SQLEy_r</t>
  </si>
  <si>
    <t>3OACE200_rm</t>
  </si>
  <si>
    <t>DOLPMT_c</t>
  </si>
  <si>
    <t>CDPCHOLt_c_rm</t>
  </si>
  <si>
    <t>2OBUTt_c_m</t>
  </si>
  <si>
    <t>GLYC3Pt_c_m</t>
  </si>
  <si>
    <t>NADt_c_rm</t>
  </si>
  <si>
    <t>PPIt_c_m</t>
  </si>
  <si>
    <t>CYTK1_c</t>
  </si>
  <si>
    <t>OCDCAt_c_l</t>
  </si>
  <si>
    <t>C3STDH1_c</t>
  </si>
  <si>
    <t>FTHFL_c</t>
  </si>
  <si>
    <t>LEUtps_e</t>
  </si>
  <si>
    <t>PGMT_c</t>
  </si>
  <si>
    <t>NDPK5_c</t>
  </si>
  <si>
    <t>compACYLCOA_l</t>
  </si>
  <si>
    <t>ENO_c</t>
  </si>
  <si>
    <t>C4STMO3_c</t>
  </si>
  <si>
    <t>MG2tps_c_e</t>
  </si>
  <si>
    <t>H2Ot_c_l</t>
  </si>
  <si>
    <t>PNTK_c</t>
  </si>
  <si>
    <t>Ht_m_mm</t>
  </si>
  <si>
    <t>IPPMIa_c</t>
  </si>
  <si>
    <t>PHEtps_e</t>
  </si>
  <si>
    <t>ADPATPt_c_m</t>
  </si>
  <si>
    <t>GTPCI_c</t>
  </si>
  <si>
    <t>COAt_c_m</t>
  </si>
  <si>
    <t>HPPK2_m</t>
  </si>
  <si>
    <t>ECOAR260_rm</t>
  </si>
  <si>
    <t>PHETRS_c</t>
  </si>
  <si>
    <t>EX_pi_e</t>
  </si>
  <si>
    <t>TAGL_l</t>
  </si>
  <si>
    <t>THRD_L_c</t>
  </si>
  <si>
    <t>ALAtps_e</t>
  </si>
  <si>
    <t>NADS2_c</t>
  </si>
  <si>
    <t>ATPASEP2e_c</t>
  </si>
  <si>
    <t>MDH_m</t>
  </si>
  <si>
    <t>CPPPGO_c</t>
  </si>
  <si>
    <t>EX_nac_e</t>
  </si>
  <si>
    <t>HDCAt_c_l</t>
  </si>
  <si>
    <t>PPPGO_m</t>
  </si>
  <si>
    <t>PPBNGD_c</t>
  </si>
  <si>
    <t>HMGCOAS_m</t>
  </si>
  <si>
    <t>PNTOtps_e</t>
  </si>
  <si>
    <t>3OACE220_rm</t>
  </si>
  <si>
    <t>CHORM_c</t>
  </si>
  <si>
    <t>PYDXK_c</t>
  </si>
  <si>
    <t>CHOLK_c</t>
  </si>
  <si>
    <t>CERH326_r</t>
  </si>
  <si>
    <t>PYRDC_c</t>
  </si>
  <si>
    <t>GLUTRS_c</t>
  </si>
  <si>
    <t>CHOLPT_rm</t>
  </si>
  <si>
    <t>PGK_c</t>
  </si>
  <si>
    <t>SUCFUMt_c_m</t>
  </si>
  <si>
    <t>EX_mn2_e</t>
  </si>
  <si>
    <t>MTHFC_m</t>
  </si>
  <si>
    <t>PMEVK_c</t>
  </si>
  <si>
    <t>GLYC3Pt_c_l</t>
  </si>
  <si>
    <t>GLYCL_m</t>
  </si>
  <si>
    <t>PPPG9t_c_m</t>
  </si>
  <si>
    <t>GLYtps_e</t>
  </si>
  <si>
    <t>TTCCOAt_c_rm</t>
  </si>
  <si>
    <t>AATA_c</t>
  </si>
  <si>
    <t>LNS14DMy_c</t>
  </si>
  <si>
    <t>HOMOX_m</t>
  </si>
  <si>
    <t>CTPt_c_rm</t>
  </si>
  <si>
    <t>FCLT_m</t>
  </si>
  <si>
    <t>LYSTRS_c</t>
  </si>
  <si>
    <t>PItps_e</t>
  </si>
  <si>
    <t>PPND2_c</t>
  </si>
  <si>
    <t>O2t_c_rm</t>
  </si>
  <si>
    <t>ARGTRS_c</t>
  </si>
  <si>
    <t>CHLPCTD_c</t>
  </si>
  <si>
    <t>TAGt_c_rm</t>
  </si>
  <si>
    <t>PPCDC_c</t>
  </si>
  <si>
    <t>LYStps_e</t>
  </si>
  <si>
    <t>TRPS1_c</t>
  </si>
  <si>
    <t>EX_cu2_e</t>
  </si>
  <si>
    <t>CYTK2_c</t>
  </si>
  <si>
    <t>HSTPT_c</t>
  </si>
  <si>
    <t>PSSA_rm</t>
  </si>
  <si>
    <t>HCITR_m</t>
  </si>
  <si>
    <t>ACOADS180_rm</t>
  </si>
  <si>
    <t>3HACD260_rm</t>
  </si>
  <si>
    <t>ADSL2i_c</t>
  </si>
  <si>
    <t>INOSTt_c_rm</t>
  </si>
  <si>
    <t>H2Ot_c_gm</t>
  </si>
  <si>
    <t>PYDXR_c</t>
  </si>
  <si>
    <t>ECOAR220_rm</t>
  </si>
  <si>
    <t>FUM_c</t>
  </si>
  <si>
    <t>STCOAt_c_l</t>
  </si>
  <si>
    <t>DHPTt_c_m</t>
  </si>
  <si>
    <t>NDPK4_c</t>
  </si>
  <si>
    <t>HISTRS_c</t>
  </si>
  <si>
    <t>PRFGS_c</t>
  </si>
  <si>
    <t>ATPS_m</t>
  </si>
  <si>
    <t>HEX1_c</t>
  </si>
  <si>
    <t>PRPPS_c</t>
  </si>
  <si>
    <t>UAGDP_c</t>
  </si>
  <si>
    <t>GALUi_c</t>
  </si>
  <si>
    <t>MALt_c_e</t>
  </si>
  <si>
    <t>AICART_c</t>
  </si>
  <si>
    <t>HICITD_m</t>
  </si>
  <si>
    <t>DHNPA2i_m</t>
  </si>
  <si>
    <t>ACACT40ir_m</t>
  </si>
  <si>
    <t>CMPt_c_rm</t>
  </si>
  <si>
    <t>lumpFACS160_c</t>
  </si>
  <si>
    <t>PGCD_c</t>
  </si>
  <si>
    <t>TYRTA_c</t>
  </si>
  <si>
    <t>SO4t_c_e</t>
  </si>
  <si>
    <t>LEUTA_c</t>
  </si>
  <si>
    <t>NADPHt_c_rm</t>
  </si>
  <si>
    <t>ASPTRS_c</t>
  </si>
  <si>
    <t>CERH124B_r</t>
  </si>
  <si>
    <t>FOLD3_m</t>
  </si>
  <si>
    <t>PPIt_c_l</t>
  </si>
  <si>
    <t>DHAD2_m</t>
  </si>
  <si>
    <t>3C3HMPt_c_m</t>
  </si>
  <si>
    <t>THMtps_e</t>
  </si>
  <si>
    <t>NADPt_c_rm</t>
  </si>
  <si>
    <t>ERGSTt_c_rm</t>
  </si>
  <si>
    <t>DHQTi_c</t>
  </si>
  <si>
    <t>13GS_c</t>
  </si>
  <si>
    <t>RNDR1_c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</si>
</sst>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rgb="FF000000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  <font>
      <sz val="12"/>
      <color rgb="FF000000"/>
      <name val="Times New Roman"/>
      <family val="1"/>
    </font>
    <font>
      <sz val="12"/>
      <color theme="0"/>
      <name val="Aptos Narrow"/>
      <family val="2"/>
      <scheme val="minor"/>
    </font>
    <font>
      <sz val="15"/>
      <color rgb="FF2A2A2A"/>
      <name val="Inherit"/>
    </font>
    <font>
      <b/>
      <sz val="11"/>
      <color rgb="FF000000"/>
      <name val="Inherit"/>
    </font>
    <font>
      <sz val="11"/>
      <color rgb="FF000000"/>
      <name val="Inherit"/>
    </font>
    <font>
      <sz val="12"/>
      <color rgb="FFA31515"/>
      <name val="Menlo"/>
      <family val="2"/>
    </font>
    <font>
      <sz val="12"/>
      <color rgb="FF000000"/>
      <name val="Aptos Narrow"/>
      <family val="2"/>
      <scheme val="minor"/>
    </font>
    <font>
      <sz val="12"/>
      <color rgb="FF0451A5"/>
      <name val="Menlo"/>
      <family val="2"/>
    </font>
    <font>
      <u/>
      <sz val="12"/>
      <color theme="10"/>
      <name val="Aptos Narrow"/>
      <family val="2"/>
      <scheme val="minor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  <font>
      <b/>
      <sz val="11"/>
      <name val="Inherit"/>
    </font>
    <font>
      <sz val="12"/>
      <color rgb="FF3B3B3B"/>
      <name val="Menlo"/>
      <family val="2"/>
    </font>
    <font>
      <sz val="12"/>
      <color rgb="FF008000"/>
      <name val="Menlo"/>
      <family val="2"/>
    </font>
    <font>
      <sz val="12"/>
      <color rgb="FF000000"/>
      <name val="Helvetica"/>
      <family val="2"/>
    </font>
    <font>
      <sz val="8"/>
      <name val="Calibri"/>
      <family val="2"/>
      <charset val="1"/>
    </font>
    <font>
      <b/>
      <sz val="11"/>
      <color rgb="FF222222"/>
      <name val="Helvetica Neue"/>
      <family val="2"/>
    </font>
    <font>
      <sz val="11"/>
      <color rgb="FF222222"/>
      <name val="Helvetica Neue"/>
      <family val="2"/>
    </font>
    <font>
      <i/>
      <sz val="11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1"/>
      <color rgb="FF222222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rgb="FF222222"/>
      <name val="Times New Roman"/>
      <family val="1"/>
    </font>
    <font>
      <sz val="14"/>
      <color rgb="FF222222"/>
      <name val="Times New Roman"/>
      <family val="1"/>
    </font>
    <font>
      <sz val="14"/>
      <color rgb="FF474747"/>
      <name val="Arial"/>
      <family val="2"/>
    </font>
    <font>
      <sz val="13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</cellStyleXfs>
  <cellXfs count="51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top"/>
    </xf>
    <xf numFmtId="0" fontId="7" fillId="0" borderId="0" xfId="1"/>
    <xf numFmtId="0" fontId="8" fillId="0" borderId="0" xfId="0" applyFont="1"/>
    <xf numFmtId="0" fontId="0" fillId="2" borderId="0" xfId="0" applyFill="1"/>
    <xf numFmtId="0" fontId="6" fillId="0" borderId="2" xfId="0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2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6" fillId="0" borderId="0" xfId="3"/>
    <xf numFmtId="0" fontId="17" fillId="0" borderId="0" xfId="2" applyFont="1"/>
    <xf numFmtId="0" fontId="18" fillId="0" borderId="0" xfId="2" applyFont="1"/>
    <xf numFmtId="0" fontId="9" fillId="0" borderId="0" xfId="2" applyFont="1"/>
    <xf numFmtId="0" fontId="12" fillId="0" borderId="0" xfId="2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2" applyAlignment="1">
      <alignment wrapText="1"/>
    </xf>
    <xf numFmtId="0" fontId="19" fillId="0" borderId="0" xfId="2" applyFont="1" applyAlignment="1">
      <alignment wrapText="1"/>
    </xf>
    <xf numFmtId="0" fontId="20" fillId="0" borderId="0" xfId="0" applyFont="1"/>
    <xf numFmtId="0" fontId="4" fillId="0" borderId="0" xfId="2" applyFont="1"/>
    <xf numFmtId="0" fontId="21" fillId="0" borderId="0" xfId="0" applyFont="1"/>
    <xf numFmtId="0" fontId="22" fillId="0" borderId="0" xfId="0" applyFont="1"/>
    <xf numFmtId="0" fontId="13" fillId="0" borderId="0" xfId="0" applyFont="1"/>
    <xf numFmtId="0" fontId="3" fillId="0" borderId="0" xfId="2" applyFont="1"/>
    <xf numFmtId="0" fontId="3" fillId="0" borderId="0" xfId="2" applyFont="1" applyAlignment="1">
      <alignment horizontal="right"/>
    </xf>
    <xf numFmtId="0" fontId="20" fillId="2" borderId="0" xfId="0" applyFont="1" applyFill="1"/>
    <xf numFmtId="0" fontId="2" fillId="0" borderId="0" xfId="2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2" fontId="33" fillId="0" borderId="0" xfId="0" applyNumberFormat="1" applyFont="1"/>
    <xf numFmtId="2" fontId="0" fillId="0" borderId="0" xfId="0" applyNumberFormat="1"/>
    <xf numFmtId="0" fontId="34" fillId="0" borderId="0" xfId="0" applyFont="1"/>
    <xf numFmtId="0" fontId="1" fillId="0" borderId="0" xfId="2" applyFont="1"/>
    <xf numFmtId="0" fontId="11" fillId="0" borderId="0" xfId="2" applyFont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4" fillId="0" borderId="0" xfId="0" applyFont="1"/>
    <xf numFmtId="0" fontId="0" fillId="0" borderId="0" xfId="0" applyAlignment="1">
      <alignment horizontal="center" wrapText="1"/>
    </xf>
    <xf numFmtId="11" fontId="0" fillId="0" borderId="0" xfId="0" applyNumberFormat="1"/>
  </cellXfs>
  <cellStyles count="4">
    <cellStyle name="Hyperlink" xfId="1" builtinId="8"/>
    <cellStyle name="Hyperlink 2" xfId="3" xr:uid="{3AA48522-7519-9F43-828E-B33DB6940537}"/>
    <cellStyle name="Normal" xfId="0" builtinId="0"/>
    <cellStyle name="Normal 2" xfId="2" xr:uid="{600F2FB2-99DC-984E-9AF8-86190E469275}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herit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FDF2DE3E-089C-3A44-94F2-903BFE10782A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70D9E-A91B-654D-A47C-D5C5CABA69A5}" name="Table2" displayName="Table2" ref="A26:G74" totalsRowShown="0" headerRowDxfId="81">
  <autoFilter ref="A26:G74" xr:uid="{20B1D7AE-8ADC-814C-803C-911E7413B37B}"/>
  <tableColumns count="7">
    <tableColumn id="1" xr3:uid="{DACC83E2-8C8F-604B-8471-F32253827732}" name="compound"/>
    <tableColumn id="2" xr3:uid="{FD0B30E8-6384-9845-ADCC-C083C7FAFFF9}" name="mass (g/L)"/>
    <tableColumn id="3" xr3:uid="{873B2847-FAA6-024A-9386-AC11E047406C}" name="MW (g/mol)"/>
    <tableColumn id="4" xr3:uid="{22DE98DC-F07A-D543-B63E-E497CB35570E}" name="rxn" dataDxfId="80">
      <calculatedColumnFormula>"EX_"&amp;Table2[[#This Row],[compound]]</calculatedColumnFormula>
    </tableColumn>
    <tableColumn id="5" xr3:uid="{3E6934A0-86F9-4842-AEA4-0828A8959436}" name="flux">
      <calculatedColumnFormula>Table2[[#This Row],[mass (g/L)]]/(Table2[[#This Row],[MW (g/mol)]]/1000)</calculatedColumnFormula>
    </tableColumn>
    <tableColumn id="6" xr3:uid="{AFDC6738-B1B5-A647-994A-5D19837C0C0E}" name="flux (rounded up)" dataDxfId="79" dataCellStyle="Normal 2">
      <calculatedColumnFormula>_xlfn.LET(_xlpm.dec,_xlfn.TEXTAFTER(Table2[[#This Row],[flux]],".",,,,0),_xlpm.rounded,ROUNDUP(Table2[[#This Row],[flux]],6),_xlpm.rounded)</calculatedColumnFormula>
    </tableColumn>
    <tableColumn id="7" xr3:uid="{4D4E485C-EE75-E545-B93E-8A47686E853D}" name="comments" dataDxfId="78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005A5-CA37-3241-B3A7-EA02697673A1}" name="Table15" displayName="Table15" ref="A3:AI5" totalsRowShown="0" headerRowDxfId="77" dataDxfId="76">
  <autoFilter ref="A3:AI5" xr:uid="{7B5005A5-CA37-3241-B3A7-EA02697673A1}"/>
  <tableColumns count="35">
    <tableColumn id="22" xr3:uid="{1B1778BC-7887-8A43-B999-D0CC69F9658A}" name="volume (L)" dataDxfId="75"/>
    <tableColumn id="3" xr3:uid="{5845D5B5-DAE4-1248-A34B-BCA7B7CFC8D8}" name="Biomass - FAs (g/L)" dataDxfId="74">
      <calculatedColumnFormula>Table15[[#This Row],[Biomass (g/L)]]-Table15[[#This Row],[Total FAs (g/L)]]</calculatedColumnFormula>
    </tableColumn>
    <tableColumn id="1" xr3:uid="{FF3F39DC-46F9-3F4C-82D4-ADACA2FFDE02}" name="C/N ratio" dataDxfId="73"/>
    <tableColumn id="2" xr3:uid="{D9E1DDC9-A720-7447-AE0A-5A43232528F0}" name="Time (h)" dataDxfId="72"/>
    <tableColumn id="27" xr3:uid="{B0B3D7B9-ECAC-854E-8198-D30A5C46F0A5}" name="Biomass (g/L)" dataDxfId="71"/>
    <tableColumn id="4" xr3:uid="{A233325A-FE51-3545-8F0A-6A6E5C51D423}" name="Oil (g/L)" dataDxfId="70"/>
    <tableColumn id="5" xr3:uid="{B4541D1D-91B3-FC4C-A0BE-848E102D2B02}" name="Intracellular FAs (g/L)" dataDxfId="69"/>
    <tableColumn id="6" xr3:uid="{39FC5264-F84D-6B44-9A1D-55B635E617B7}" name="Extracellular FAs (g/L)" dataDxfId="68"/>
    <tableColumn id="7" xr3:uid="{D6DC5736-2F3C-804D-8F0D-9355066026DC}" name="Total FAs (g/L)" dataDxfId="67"/>
    <tableColumn id="8" xr3:uid="{1C1C7D42-52A5-1143-9C19-373A08B64FA4}" name="Productivity (g/L h)" dataDxfId="66"/>
    <tableColumn id="9" xr3:uid="{45C50108-CE36-C544-8756-6FB5413D78DB}" name="Yield (g/g)" dataDxfId="65"/>
    <tableColumn id="31" xr3:uid="{EA5B2CC2-24A6-3642-98EA-EE8A08951411}" name="MW" dataDxfId="64"/>
    <tableColumn id="10" xr3:uid="{27247CF1-6139-9840-B19D-B75AC146B089}" name="yield%" dataDxfId="63"/>
    <tableColumn id="11" xr3:uid="{E7684883-8BA2-CF45-937B-2E1766BB8C5E}" name="yield error" dataDxfId="62"/>
    <tableColumn id="12" xr3:uid="{2C57C28F-7B6F-C141-8BF6-F14451F36B01}" name="min yield" dataDxfId="61">
      <calculatedColumnFormula>Table15[[#This Row],[Yield (g/g)]]*(M4-N4)/100</calculatedColumnFormula>
    </tableColumn>
    <tableColumn id="13" xr3:uid="{9FC463DC-40E0-AD41-8573-5A04A99FEE37}" name="max yield" dataDxfId="60">
      <calculatedColumnFormula>Table15[[#This Row],[Yield (g/g)]]*(M4+N4)/100</calculatedColumnFormula>
    </tableColumn>
    <tableColumn id="30" xr3:uid="{FAAEE6CE-971D-004C-AB28-2F506089EB79}" name="min flux" dataDxfId="59">
      <calculatedColumnFormula>Table15[[#This Row],[Total FAs (g/L)]]*((M4-N4)/100)*1000/(L4*Table15[[#This Row],[Biomass (g/L)]]*Table15[[#This Row],[Time (h)]])</calculatedColumnFormula>
    </tableColumn>
    <tableColumn id="32" xr3:uid="{2D1149FC-4512-C04E-9EFF-2A53A9A26C9B}" name="MW2" dataDxfId="58"/>
    <tableColumn id="14" xr3:uid="{6E606BEB-DE25-1E42-AEE4-05591EB551EC}" name="yield%2" dataDxfId="57"/>
    <tableColumn id="15" xr3:uid="{A41F6D08-4407-244C-829F-0BE35337A520}" name="yield error2" dataDxfId="56"/>
    <tableColumn id="16" xr3:uid="{ADE05AF3-DFE7-AB49-837D-479D2BBF9A4D}" name="min yield4" dataDxfId="55">
      <calculatedColumnFormula>Table15[[#This Row],[Yield (g/g)]]*(S4-T4)/100</calculatedColumnFormula>
    </tableColumn>
    <tableColumn id="17" xr3:uid="{F5928DE8-BB9D-9240-A107-D91ABBE24A9F}" name="max yield5" dataDxfId="54">
      <calculatedColumnFormula>Table15[[#This Row],[Yield (g/g)]]*(S4+T4)/100</calculatedColumnFormula>
    </tableColumn>
    <tableColumn id="34" xr3:uid="{4CB2682E-A076-5341-A147-AEE8D4E70572}" name="min flux2" dataDxfId="53">
      <calculatedColumnFormula>Table15[[#This Row],[Total FAs (g/L)]]*((S4-T4)/100)*1000/(R4*Table15[[#This Row],[Biomass (g/L)]]*Table15[[#This Row],[Time (h)]])</calculatedColumnFormula>
    </tableColumn>
    <tableColumn id="33" xr3:uid="{9884F234-13AF-9B48-A74F-BA4B5A86E3CB}" name="MW3" dataDxfId="52"/>
    <tableColumn id="18" xr3:uid="{DA339F4F-2698-C141-99CB-912EF4258B30}" name="yield%3" dataDxfId="51"/>
    <tableColumn id="19" xr3:uid="{9520C2C7-2918-3E41-9A18-8964EB801970}" name="yield error3" dataDxfId="50"/>
    <tableColumn id="20" xr3:uid="{C95FBA5E-7D44-BB4B-9D89-8EAD2C9EB7D2}" name="min yield44" dataDxfId="49">
      <calculatedColumnFormula>Table15[[#This Row],[Yield (g/g)]]*(Y4-Z4)/100</calculatedColumnFormula>
    </tableColumn>
    <tableColumn id="21" xr3:uid="{14A2E473-517D-F842-A718-C0F09C220B0F}" name="max yield55" dataDxfId="48">
      <calculatedColumnFormula>Table15[[#This Row],[Yield (g/g)]]*(Y4+Z4)/100</calculatedColumnFormula>
    </tableColumn>
    <tableColumn id="35" xr3:uid="{D0D6DBDE-21F0-1849-BADC-E89A841533CB}" name="min flux22" dataDxfId="47">
      <calculatedColumnFormula>Table15[[#This Row],[Total FAs (g/L)]]*((Y4-Z4)/100)*1000/(X4*Table15[[#This Row],[Biomass (g/L)]]*Table15[[#This Row],[Time (h)]])</calculatedColumnFormula>
    </tableColumn>
    <tableColumn id="23" xr3:uid="{47BFFE21-4993-D54F-8CA6-EB3C128A708B}" name="biomass flux" dataDxfId="46">
      <calculatedColumnFormula>(1/Table15[[#This Row],[Time (h)]])</calculatedColumnFormula>
    </tableColumn>
    <tableColumn id="24" xr3:uid="{9C83BC6E-A229-B94B-8363-272785B53E70}" name="max [substrate]" dataDxfId="45"/>
    <tableColumn id="25" xr3:uid="{C5C4E710-0080-2C41-A4F7-C129FCFCE546}" name="substrate uptake flux" dataDxfId="44">
      <calculatedColumnFormula>";EX_sucr_e:(-"&amp;((Table15[[#This Row],[Total FAs (g/L)]]/Table15[[#This Row],[Yield (g/g)]])/(Table15[[#This Row],[substrate MW (g/mol)]]/1000))/(Table15[[#This Row],[Biomass - FAs (g/L)]]*Table15[[#This Row],[Time (h)]])&amp;",1000)"</calculatedColumnFormula>
    </tableColumn>
    <tableColumn id="26" xr3:uid="{D5C50718-2981-6446-90C3-52164C639052}" name="substrate MW (g/mol)" dataDxfId="43"/>
    <tableColumn id="28" xr3:uid="{0CB99E8F-E86D-AD4D-A43D-E796F0E5B03E}" name="gDW*h" dataDxfId="42">
      <calculatedColumnFormula>Table15[[#This Row],[Biomass - FAs (g/L)]]*Table15[[#This Row],[volume (L)]]*Table15[[#This Row],[Time (h)]]</calculatedColumnFormula>
    </tableColumn>
    <tableColumn id="29" xr3:uid="{2FF12B86-FF68-C644-AFA4-827B4A7D5E05}" name="time consuming sucrose (h)" dataDxfId="41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8716E-F412-C342-B434-8378B491C272}" name="Table22" displayName="Table22" ref="A26:G74" totalsRowShown="0" headerRowDxfId="40">
  <autoFilter ref="A26:G74" xr:uid="{20B1D7AE-8ADC-814C-803C-911E7413B37B}"/>
  <tableColumns count="7">
    <tableColumn id="1" xr3:uid="{90AF5627-FC3E-704B-BC60-6EDAC3E19E0F}" name="compound"/>
    <tableColumn id="2" xr3:uid="{7E871DEA-CDE5-6443-9A7F-9CB48D21EAEA}" name="mass (g/L)"/>
    <tableColumn id="3" xr3:uid="{68933590-0B89-2C44-A8A0-98F07A6EAD89}" name="MW (g/mol)"/>
    <tableColumn id="4" xr3:uid="{4418BC5B-CA90-C647-8161-626812C4FF9D}" name="rxn" dataDxfId="39">
      <calculatedColumnFormula>"EX_"&amp;Table22[[#This Row],[compound]]</calculatedColumnFormula>
    </tableColumn>
    <tableColumn id="5" xr3:uid="{7951BC34-7365-DA44-A348-F9C5E82F553C}" name="flux">
      <calculatedColumnFormula>Table22[[#This Row],[mass (g/L)]]/(Table22[[#This Row],[MW (g/mol)]]/1000)</calculatedColumnFormula>
    </tableColumn>
    <tableColumn id="6" xr3:uid="{FF512063-5DCF-9847-83D6-E21F85CCF5E6}" name="flux (rounded up)" dataDxfId="38" dataCellStyle="Normal 2">
      <calculatedColumnFormula>_xlfn.LET(_xlpm.dec,_xlfn.TEXTAFTER(Table22[[#This Row],[flux]],".",,,,0),_xlpm.rounded,ROUNDUP(Table22[[#This Row],[flux]],6),Table22[[#This Row],[flux]])</calculatedColumnFormula>
    </tableColumn>
    <tableColumn id="7" xr3:uid="{106D200F-B9F2-7749-A124-D9C9C2F28027}" name="comments" dataDxfId="37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FE40B-4F0F-BF43-B84C-2E980FEB2607}" name="Table153" displayName="Table153" ref="A3:AI5" totalsRowShown="0" headerRowDxfId="36" dataDxfId="35">
  <autoFilter ref="A3:AI5" xr:uid="{7B5005A5-CA37-3241-B3A7-EA02697673A1}"/>
  <tableColumns count="35">
    <tableColumn id="22" xr3:uid="{3BAE8985-E60C-6848-94C5-489F810C9E4A}" name="volume (L)" dataDxfId="34"/>
    <tableColumn id="3" xr3:uid="{18A0C975-42CF-C84E-BA1F-DCDDB5576F9A}" name="Biomass - FAs (g/L)" dataDxfId="33">
      <calculatedColumnFormula>Table153[[#This Row],[Biomass (g/L)]]-Table153[[#This Row],[Total FAs (g/L)]]</calculatedColumnFormula>
    </tableColumn>
    <tableColumn id="1" xr3:uid="{B5F34CCB-06C5-AB40-AB8B-408030EDF5AA}" name="C/N ratio" dataDxfId="32"/>
    <tableColumn id="2" xr3:uid="{E95E82C9-A1D3-084A-8155-AFCF089FEDC4}" name="Time (h)" dataDxfId="31"/>
    <tableColumn id="27" xr3:uid="{74A246EF-DE50-704D-BB6F-BE3C68CF7F5F}" name="Biomass (g/L)" dataDxfId="30"/>
    <tableColumn id="4" xr3:uid="{D936350E-D8D1-724D-914E-1119ED6DBADE}" name="Oil (g/L)" dataDxfId="29"/>
    <tableColumn id="5" xr3:uid="{AF666B84-039A-3E49-B017-EE818B266978}" name="Intracellular FAs (g/L)" dataDxfId="28"/>
    <tableColumn id="6" xr3:uid="{B527D198-B31E-7E4A-95AD-309514C0C118}" name="Extracellular FAs (g/L)" dataDxfId="27"/>
    <tableColumn id="7" xr3:uid="{C8B69E5A-7D86-4746-B03D-D30BBC7C384D}" name="Total FAs (g/L)" dataDxfId="26"/>
    <tableColumn id="8" xr3:uid="{6F5FEAFA-A888-564D-A4C3-BCC8B1ED3245}" name="Productivity (g/L h)" dataDxfId="25"/>
    <tableColumn id="9" xr3:uid="{0CAFD87D-04D2-B945-BC3F-DC98668720B9}" name="Yield (g/g)" dataDxfId="24"/>
    <tableColumn id="31" xr3:uid="{A36C765E-4517-B243-A01A-0406F0651F24}" name="MW" dataDxfId="23"/>
    <tableColumn id="10" xr3:uid="{27D83581-C41C-5242-90B7-1D462041D140}" name="yield%" dataDxfId="22"/>
    <tableColumn id="11" xr3:uid="{539A4C72-AA87-4E40-8EDC-B658789DA54C}" name="yield error" dataDxfId="21"/>
    <tableColumn id="12" xr3:uid="{B1E61019-82CE-6642-B400-ABB9C224FB29}" name="min yield" dataDxfId="20">
      <calculatedColumnFormula>Table153[[#This Row],[Yield (g/g)]]*(M4-N4)/100</calculatedColumnFormula>
    </tableColumn>
    <tableColumn id="13" xr3:uid="{F0F54A23-F9D0-7849-8D5A-06E16284FFEA}" name="max yield" dataDxfId="19">
      <calculatedColumnFormula>Table153[[#This Row],[Yield (g/g)]]*(M4+N4)/100</calculatedColumnFormula>
    </tableColumn>
    <tableColumn id="30" xr3:uid="{97F7804E-98C8-FE4F-8236-2369C7A4F26F}" name="min flux" dataDxfId="18">
      <calculatedColumnFormula>Table153[[#This Row],[Total FAs (g/L)]]*((M4-N4)/100)*1000/(L4*Table153[[#This Row],[Biomass (g/L)]]*Table153[[#This Row],[Time (h)]])</calculatedColumnFormula>
    </tableColumn>
    <tableColumn id="32" xr3:uid="{C3E15B91-73E3-9F4C-8DD8-76DF5E19EE5D}" name="MW2" dataDxfId="17"/>
    <tableColumn id="14" xr3:uid="{70D948E2-E91A-344E-A195-147EB49158AD}" name="yield%2" dataDxfId="16"/>
    <tableColumn id="15" xr3:uid="{FA1D1047-DA47-AD46-A82E-027B87780758}" name="yield error2" dataDxfId="15"/>
    <tableColumn id="16" xr3:uid="{01B7C95A-ABB0-924C-8AA8-F0A22FD35ABE}" name="min yield4" dataDxfId="14">
      <calculatedColumnFormula>Table153[[#This Row],[Yield (g/g)]]*(S4-T4)/100</calculatedColumnFormula>
    </tableColumn>
    <tableColumn id="17" xr3:uid="{2757E71F-4D51-C64E-9B77-B5701E5BAA24}" name="max yield5" dataDxfId="13">
      <calculatedColumnFormula>Table153[[#This Row],[Yield (g/g)]]*(S4+T4)/100</calculatedColumnFormula>
    </tableColumn>
    <tableColumn id="34" xr3:uid="{85A01FA9-5CD3-114A-9B56-C63F648F3560}" name="min flux2" dataDxfId="12">
      <calculatedColumnFormula>Table153[[#This Row],[Total FAs (g/L)]]*((S4-T4)/100)*1000/(R4*Table153[[#This Row],[Biomass (g/L)]]*Table153[[#This Row],[Time (h)]])</calculatedColumnFormula>
    </tableColumn>
    <tableColumn id="33" xr3:uid="{2BA97D47-45FE-4642-922E-77F7C6C8E4E4}" name="MW3" dataDxfId="11"/>
    <tableColumn id="18" xr3:uid="{705A5331-0CFA-0E40-8FC5-A10F0EED12A5}" name="yield%3" dataDxfId="10"/>
    <tableColumn id="19" xr3:uid="{E9F69E79-FCF6-E742-873A-02172897E80A}" name="yield error3" dataDxfId="9"/>
    <tableColumn id="20" xr3:uid="{A87D5A00-F379-3248-9BCE-62D6B2FDAF3C}" name="min yield44" dataDxfId="8">
      <calculatedColumnFormula>Table153[[#This Row],[Yield (g/g)]]*(Y4-Z4)/100</calculatedColumnFormula>
    </tableColumn>
    <tableColumn id="21" xr3:uid="{AC08EE6F-6A76-854A-9091-71E074F88038}" name="max yield55" dataDxfId="7">
      <calculatedColumnFormula>Table153[[#This Row],[Yield (g/g)]]*(Y4+Z4)/100</calculatedColumnFormula>
    </tableColumn>
    <tableColumn id="35" xr3:uid="{24939D05-478B-3E4B-AFBE-31AD3798DA25}" name="min flux22" dataDxfId="6">
      <calculatedColumnFormula>Table153[[#This Row],[Total FAs (g/L)]]*((Y4-Z4)/100)*1000/(X4*Table153[[#This Row],[Biomass (g/L)]]*Table153[[#This Row],[Time (h)]])</calculatedColumnFormula>
    </tableColumn>
    <tableColumn id="23" xr3:uid="{9FC6202B-ECE9-9542-8209-701CD296659C}" name="biomass flux" dataDxfId="5">
      <calculatedColumnFormula>(1/Table153[[#This Row],[Time (h)]])</calculatedColumnFormula>
    </tableColumn>
    <tableColumn id="24" xr3:uid="{82DA6FCE-70D5-BC41-9B0C-7258571F5D2A}" name="max [substrate]" dataDxfId="4"/>
    <tableColumn id="25" xr3:uid="{09FC0505-6E2B-4449-A11D-C3A29D5C9688}" name="substrate uptake flux" dataDxfId="3">
      <calculatedColumnFormula>";EX_sucr_e:(-"&amp;((Table153[[#This Row],[Total FAs (g/L)]]/Table153[[#This Row],[Yield (g/g)]])/(Table153[[#This Row],[substrate MW (g/mol)]]/1000))/(Table153[[#This Row],[Biomass - FAs (g/L)]]*Table153[[#This Row],[Time (h)]])&amp;",1000)"</calculatedColumnFormula>
    </tableColumn>
    <tableColumn id="26" xr3:uid="{A8D15C8C-83FD-B641-B7CC-D1D28C4B0B66}" name="substrate MW (g/mol)" dataDxfId="2"/>
    <tableColumn id="28" xr3:uid="{7D0F8C3F-6E52-5445-8720-8B79397B4638}" name="gDW*h" dataDxfId="1">
      <calculatedColumnFormula>Table153[[#This Row],[Biomass - FAs (g/L)]]*Table153[[#This Row],[volume (L)]]*Table153[[#This Row],[Time (h)]]</calculatedColumnFormula>
    </tableColumn>
    <tableColumn id="29" xr3:uid="{C0CC2656-80FF-414D-8025-4E695760D80E}" name="time consuming sucrose (h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7-10T19:06:05.93" personId="{FDF2DE3E-089C-3A44-94F2-903BFE10782A}" id="{63C1FB0A-8030-494C-8033-A57BB641C368}">
    <text>Optional, but useful for checking necessary substrate uptakes if yield predictions fail under the given conditions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Nutritional-substances-contained-in-the-corn-steep-liquor_tbl1_342937941" TargetMode="External"/><Relationship Id="rId2" Type="http://schemas.openxmlformats.org/officeDocument/2006/relationships/hyperlink" Target="https://academic.oup.com/jimb/article/42/11/1463/5995377" TargetMode="External"/><Relationship Id="rId1" Type="http://schemas.openxmlformats.org/officeDocument/2006/relationships/hyperlink" Target="https://www.dow.com/en-us/pdp.tergitol-l-81-surfactant.77582z.html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chebi/searchId.do?chebiId=28866" TargetMode="External"/><Relationship Id="rId1" Type="http://schemas.openxmlformats.org/officeDocument/2006/relationships/hyperlink" Target="https://link.springer.com/article/10.1186/s13068-019-1478-8/tables/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alsciencejournals.onlinelibrary.wiley.com/doi/full/10.1002/bit.28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C1" zoomScale="75" zoomScaleNormal="75" workbookViewId="0">
      <pane ySplit="1" topLeftCell="A2" activePane="bottomLeft" state="frozen"/>
      <selection pane="bottomLeft" activeCell="G31" sqref="G31"/>
    </sheetView>
  </sheetViews>
  <sheetFormatPr baseColWidth="10" defaultColWidth="8.5" defaultRowHeight="15"/>
  <cols>
    <col min="1" max="1" width="14.5" customWidth="1"/>
    <col min="2" max="2" width="25.1640625" customWidth="1"/>
    <col min="3" max="3" width="34" customWidth="1"/>
    <col min="4" max="4" width="18" customWidth="1"/>
    <col min="5" max="5" width="25.5" bestFit="1" customWidth="1"/>
    <col min="6" max="6" width="25.6640625" bestFit="1" customWidth="1"/>
    <col min="7" max="7" width="25.6640625" customWidth="1"/>
    <col min="8" max="8" width="18.33203125" bestFit="1" customWidth="1"/>
    <col min="9" max="9" width="11.33203125" customWidth="1"/>
    <col min="10" max="10" width="33.1640625" bestFit="1" customWidth="1"/>
    <col min="1019" max="1025" width="9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75</v>
      </c>
      <c r="F1" s="3" t="s">
        <v>76</v>
      </c>
      <c r="G1" s="3" t="s">
        <v>90</v>
      </c>
      <c r="H1" s="3" t="s">
        <v>74</v>
      </c>
      <c r="I1" s="3" t="s">
        <v>77</v>
      </c>
      <c r="J1" s="7" t="s">
        <v>107</v>
      </c>
      <c r="K1" s="7" t="s">
        <v>106</v>
      </c>
    </row>
    <row r="2" spans="1:11" ht="16">
      <c r="A2" t="s">
        <v>4</v>
      </c>
      <c r="B2" s="2" t="s">
        <v>5</v>
      </c>
      <c r="C2" s="2" t="s">
        <v>6</v>
      </c>
      <c r="D2">
        <v>256.39999999999998</v>
      </c>
      <c r="E2">
        <v>0.1</v>
      </c>
    </row>
    <row r="3" spans="1:11" ht="16">
      <c r="A3" t="s">
        <v>7</v>
      </c>
      <c r="B3" s="2" t="s">
        <v>8</v>
      </c>
      <c r="C3" s="2" t="s">
        <v>6</v>
      </c>
      <c r="D3">
        <v>242.44</v>
      </c>
      <c r="E3">
        <v>5.0000000000000001E-3</v>
      </c>
    </row>
    <row r="4" spans="1:11" ht="16">
      <c r="A4" t="s">
        <v>9</v>
      </c>
      <c r="B4" s="2" t="s">
        <v>10</v>
      </c>
      <c r="C4" s="2" t="s">
        <v>11</v>
      </c>
      <c r="D4">
        <v>74.12</v>
      </c>
      <c r="E4">
        <v>0.04</v>
      </c>
    </row>
    <row r="5" spans="1:11" ht="16">
      <c r="A5" t="s">
        <v>12</v>
      </c>
      <c r="B5" s="2" t="s">
        <v>13</v>
      </c>
      <c r="C5" s="2" t="s">
        <v>13</v>
      </c>
      <c r="D5">
        <v>824.3</v>
      </c>
      <c r="E5">
        <v>0.14000000000000001</v>
      </c>
      <c r="G5" t="s">
        <v>440</v>
      </c>
      <c r="I5" s="4"/>
    </row>
    <row r="6" spans="1:11" ht="16">
      <c r="A6" t="s">
        <v>14</v>
      </c>
      <c r="B6" s="2" t="s">
        <v>15</v>
      </c>
      <c r="C6" s="2" t="s">
        <v>16</v>
      </c>
      <c r="D6">
        <v>272.25</v>
      </c>
    </row>
    <row r="7" spans="1:11" ht="16">
      <c r="A7" t="s">
        <v>17</v>
      </c>
      <c r="B7" s="2" t="s">
        <v>18</v>
      </c>
      <c r="C7" s="2" t="s">
        <v>19</v>
      </c>
      <c r="D7">
        <v>103.1</v>
      </c>
      <c r="E7">
        <v>0.13</v>
      </c>
    </row>
    <row r="8" spans="1:11" ht="16">
      <c r="A8" t="s">
        <v>20</v>
      </c>
      <c r="B8" s="2" t="s">
        <v>21</v>
      </c>
      <c r="C8" s="2" t="s">
        <v>22</v>
      </c>
      <c r="D8">
        <v>146.1</v>
      </c>
    </row>
    <row r="9" spans="1:11" ht="16">
      <c r="A9" t="s">
        <v>23</v>
      </c>
      <c r="B9" s="2" t="s">
        <v>24</v>
      </c>
      <c r="C9" s="2" t="s">
        <v>25</v>
      </c>
      <c r="D9">
        <v>234.33</v>
      </c>
    </row>
    <row r="10" spans="1:11" ht="16">
      <c r="A10" t="s">
        <v>26</v>
      </c>
      <c r="B10" s="2" t="s">
        <v>27</v>
      </c>
      <c r="C10" s="2" t="s">
        <v>25</v>
      </c>
      <c r="D10">
        <v>246.3</v>
      </c>
      <c r="E10">
        <v>3.0000000000000001E-3</v>
      </c>
    </row>
    <row r="11" spans="1:11" ht="16">
      <c r="A11" t="s">
        <v>28</v>
      </c>
      <c r="B11" s="2" t="s">
        <v>29</v>
      </c>
      <c r="C11" s="2" t="s">
        <v>29</v>
      </c>
      <c r="D11">
        <v>46.07</v>
      </c>
      <c r="E11">
        <v>0.44</v>
      </c>
    </row>
    <row r="12" spans="1:11" ht="16">
      <c r="A12" t="s">
        <v>30</v>
      </c>
      <c r="B12" s="2" t="s">
        <v>31</v>
      </c>
      <c r="C12" s="2" t="s">
        <v>32</v>
      </c>
      <c r="D12">
        <v>89.07</v>
      </c>
      <c r="E12">
        <v>0.69</v>
      </c>
    </row>
    <row r="13" spans="1:11" ht="16">
      <c r="A13" t="s">
        <v>33</v>
      </c>
      <c r="B13" s="2" t="s">
        <v>34</v>
      </c>
      <c r="C13" s="2" t="s">
        <v>32</v>
      </c>
      <c r="D13">
        <v>90.12</v>
      </c>
      <c r="E13">
        <v>0.11</v>
      </c>
    </row>
    <row r="14" spans="1:11" ht="16">
      <c r="A14" t="s">
        <v>35</v>
      </c>
      <c r="B14" s="2" t="s">
        <v>36</v>
      </c>
      <c r="C14" s="2" t="s">
        <v>36</v>
      </c>
      <c r="D14">
        <v>74.12</v>
      </c>
      <c r="E14">
        <v>0.06</v>
      </c>
    </row>
    <row r="15" spans="1:11" ht="16">
      <c r="A15" t="s">
        <v>37</v>
      </c>
      <c r="B15" s="2" t="s">
        <v>38</v>
      </c>
      <c r="C15" s="2" t="s">
        <v>39</v>
      </c>
      <c r="D15">
        <v>90.08</v>
      </c>
      <c r="E15">
        <v>0.13</v>
      </c>
    </row>
    <row r="16" spans="1:11" ht="16">
      <c r="A16" t="s">
        <v>40</v>
      </c>
      <c r="B16" s="2" t="s">
        <v>38</v>
      </c>
      <c r="C16" s="2" t="s">
        <v>41</v>
      </c>
      <c r="D16">
        <v>90.08</v>
      </c>
      <c r="E16">
        <v>0.14000000000000001</v>
      </c>
    </row>
    <row r="17" spans="1:16" ht="16">
      <c r="A17" t="s">
        <v>42</v>
      </c>
      <c r="B17" s="2" t="s">
        <v>43</v>
      </c>
      <c r="C17" s="2" t="s">
        <v>43</v>
      </c>
      <c r="D17">
        <v>116.07</v>
      </c>
      <c r="E17">
        <v>0.11</v>
      </c>
    </row>
    <row r="18" spans="1:16" ht="16">
      <c r="A18" t="s">
        <v>44</v>
      </c>
      <c r="B18" s="2" t="s">
        <v>45</v>
      </c>
      <c r="C18" s="2" t="s">
        <v>45</v>
      </c>
      <c r="D18">
        <v>132.07</v>
      </c>
      <c r="E18">
        <v>0.31</v>
      </c>
    </row>
    <row r="19" spans="1:16" ht="16">
      <c r="A19" t="s">
        <v>46</v>
      </c>
      <c r="B19" s="2" t="s">
        <v>47</v>
      </c>
      <c r="C19" s="2" t="s">
        <v>47</v>
      </c>
      <c r="D19">
        <v>174.15</v>
      </c>
    </row>
    <row r="20" spans="1:16" ht="16">
      <c r="A20" t="s">
        <v>48</v>
      </c>
      <c r="B20" s="2" t="s">
        <v>49</v>
      </c>
      <c r="C20" s="2" t="s">
        <v>50</v>
      </c>
      <c r="D20">
        <v>140.09</v>
      </c>
      <c r="E20">
        <v>7.0000000000000007E-2</v>
      </c>
    </row>
    <row r="21" spans="1:16" ht="16">
      <c r="A21" t="s">
        <v>51</v>
      </c>
      <c r="B21" s="2" t="s">
        <v>52</v>
      </c>
      <c r="C21" s="2" t="s">
        <v>53</v>
      </c>
      <c r="D21">
        <v>137.11000000000001</v>
      </c>
      <c r="E21">
        <v>7.0000000000000007E-2</v>
      </c>
    </row>
    <row r="22" spans="1:16" ht="16">
      <c r="A22" t="s">
        <v>54</v>
      </c>
      <c r="B22" s="2" t="s">
        <v>55</v>
      </c>
      <c r="C22" s="2" t="s">
        <v>55</v>
      </c>
      <c r="D22">
        <v>137.13999999999999</v>
      </c>
      <c r="E22">
        <v>0.01</v>
      </c>
    </row>
    <row r="23" spans="1:16" ht="16">
      <c r="A23" t="s">
        <v>56</v>
      </c>
      <c r="B23" s="2" t="s">
        <v>57</v>
      </c>
      <c r="C23" s="2" t="s">
        <v>58</v>
      </c>
      <c r="D23">
        <v>122.16</v>
      </c>
      <c r="E23">
        <v>0.08</v>
      </c>
    </row>
    <row r="24" spans="1:16" ht="16">
      <c r="A24" t="s">
        <v>59</v>
      </c>
      <c r="B24" s="2" t="s">
        <v>60</v>
      </c>
      <c r="C24" s="2" t="s">
        <v>61</v>
      </c>
      <c r="D24">
        <v>163.15</v>
      </c>
      <c r="E24">
        <v>0.15</v>
      </c>
    </row>
    <row r="25" spans="1:16" ht="16">
      <c r="A25" t="s">
        <v>62</v>
      </c>
      <c r="B25" s="2" t="s">
        <v>63</v>
      </c>
      <c r="C25" s="2" t="s">
        <v>64</v>
      </c>
      <c r="D25">
        <v>228.24</v>
      </c>
      <c r="E25">
        <v>2.0000000000000001E-4</v>
      </c>
    </row>
    <row r="26" spans="1:16" ht="16">
      <c r="A26" t="s">
        <v>65</v>
      </c>
      <c r="B26" s="2" t="s">
        <v>66</v>
      </c>
      <c r="C26" s="2" t="s">
        <v>58</v>
      </c>
      <c r="D26">
        <v>104.15</v>
      </c>
      <c r="E26">
        <v>1E-3</v>
      </c>
    </row>
    <row r="27" spans="1:16" ht="16">
      <c r="A27" t="s">
        <v>67</v>
      </c>
      <c r="B27" s="2" t="s">
        <v>68</v>
      </c>
      <c r="C27" s="2" t="s">
        <v>69</v>
      </c>
      <c r="D27">
        <v>329.4</v>
      </c>
    </row>
    <row r="28" spans="1:16" ht="16">
      <c r="A28" t="s">
        <v>70</v>
      </c>
      <c r="B28" s="2" t="s">
        <v>71</v>
      </c>
      <c r="C28" s="2" t="s">
        <v>71</v>
      </c>
      <c r="D28">
        <v>92.09</v>
      </c>
      <c r="E28">
        <v>0.5</v>
      </c>
    </row>
    <row r="29" spans="1:16" ht="16">
      <c r="A29" t="s">
        <v>72</v>
      </c>
      <c r="B29" s="2" t="s">
        <v>73</v>
      </c>
      <c r="C29" s="2" t="s">
        <v>71</v>
      </c>
      <c r="D29">
        <v>76.09</v>
      </c>
      <c r="G29" s="12"/>
    </row>
    <row r="30" spans="1:16" ht="16">
      <c r="A30" t="s">
        <v>78</v>
      </c>
      <c r="B30" s="2" t="s">
        <v>79</v>
      </c>
      <c r="C30" s="2" t="s">
        <v>80</v>
      </c>
      <c r="D30">
        <v>126.11004</v>
      </c>
      <c r="G30" t="s">
        <v>441</v>
      </c>
      <c r="I30" s="4"/>
      <c r="L30" t="s">
        <v>430</v>
      </c>
      <c r="M30" t="s">
        <v>431</v>
      </c>
    </row>
    <row r="31" spans="1:16" ht="16">
      <c r="A31" t="s">
        <v>81</v>
      </c>
      <c r="B31" s="2" t="s">
        <v>84</v>
      </c>
      <c r="C31" s="2" t="s">
        <v>87</v>
      </c>
      <c r="D31">
        <v>268.5</v>
      </c>
      <c r="G31" t="s">
        <v>439</v>
      </c>
      <c r="I31" s="4"/>
      <c r="L31" t="s">
        <v>432</v>
      </c>
      <c r="M31" t="s">
        <v>432</v>
      </c>
      <c r="N31" t="s">
        <v>434</v>
      </c>
      <c r="O31" t="s">
        <v>437</v>
      </c>
      <c r="P31" t="s">
        <v>438</v>
      </c>
    </row>
    <row r="32" spans="1:16" ht="16">
      <c r="A32" t="s">
        <v>82</v>
      </c>
      <c r="B32" s="2" t="s">
        <v>85</v>
      </c>
      <c r="C32" s="2" t="s">
        <v>88</v>
      </c>
      <c r="D32">
        <v>270.5</v>
      </c>
      <c r="G32" t="str">
        <f>G31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v>
      </c>
      <c r="I32" s="4"/>
      <c r="M32" s="12"/>
    </row>
    <row r="33" spans="1:9" ht="16">
      <c r="A33" t="s">
        <v>83</v>
      </c>
      <c r="B33" s="2" t="s">
        <v>86</v>
      </c>
      <c r="C33" s="2" t="s">
        <v>89</v>
      </c>
      <c r="D33">
        <v>242.44</v>
      </c>
      <c r="G33" t="str">
        <f>G32</f>
        <v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v>
      </c>
      <c r="I33" s="4"/>
    </row>
  </sheetData>
  <pageMargins left="0.75" right="0.75" top="1" bottom="1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16C9-934D-BC4B-8E9A-61C9D1C269A0}">
  <dimension ref="A1:AJ74"/>
  <sheetViews>
    <sheetView workbookViewId="0">
      <selection activeCell="AF11" sqref="AF11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115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116</v>
      </c>
      <c r="C2"/>
      <c r="D2"/>
      <c r="E2"/>
      <c r="F2"/>
      <c r="G2"/>
      <c r="H2"/>
      <c r="I2"/>
      <c r="J2"/>
      <c r="K2"/>
      <c r="L2" s="45" t="s">
        <v>126</v>
      </c>
      <c r="M2" s="46"/>
      <c r="N2" s="46"/>
      <c r="O2" s="46"/>
      <c r="P2" s="46"/>
      <c r="Q2" s="47"/>
      <c r="R2" s="45" t="s">
        <v>82</v>
      </c>
      <c r="S2" s="46"/>
      <c r="T2" s="46"/>
      <c r="U2" s="46"/>
      <c r="V2" s="46"/>
      <c r="W2" s="47"/>
      <c r="X2" s="45" t="s">
        <v>83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8">
      <c r="A3" s="21" t="s">
        <v>133</v>
      </c>
      <c r="B3" s="22" t="s">
        <v>138</v>
      </c>
      <c r="C3" s="21" t="s">
        <v>117</v>
      </c>
      <c r="D3" s="21" t="s">
        <v>118</v>
      </c>
      <c r="E3" s="21" t="s">
        <v>119</v>
      </c>
      <c r="F3" s="21" t="s">
        <v>120</v>
      </c>
      <c r="G3" s="21" t="s">
        <v>121</v>
      </c>
      <c r="H3" s="21" t="s">
        <v>122</v>
      </c>
      <c r="I3" s="21" t="s">
        <v>123</v>
      </c>
      <c r="J3" s="21" t="s">
        <v>124</v>
      </c>
      <c r="K3" s="21" t="s">
        <v>125</v>
      </c>
      <c r="L3" s="21" t="s">
        <v>266</v>
      </c>
      <c r="M3" s="21" t="s">
        <v>269</v>
      </c>
      <c r="N3" s="21" t="s">
        <v>263</v>
      </c>
      <c r="O3" s="21" t="s">
        <v>127</v>
      </c>
      <c r="P3" s="21" t="s">
        <v>128</v>
      </c>
      <c r="Q3" s="21" t="s">
        <v>262</v>
      </c>
      <c r="R3" s="21" t="s">
        <v>267</v>
      </c>
      <c r="S3" s="21" t="s">
        <v>270</v>
      </c>
      <c r="T3" s="21" t="s">
        <v>264</v>
      </c>
      <c r="U3" s="21" t="s">
        <v>129</v>
      </c>
      <c r="V3" s="21" t="s">
        <v>130</v>
      </c>
      <c r="W3" s="21" t="s">
        <v>272</v>
      </c>
      <c r="X3" s="21" t="s">
        <v>268</v>
      </c>
      <c r="Y3" s="21" t="s">
        <v>271</v>
      </c>
      <c r="Z3" s="21" t="s">
        <v>265</v>
      </c>
      <c r="AA3" s="21" t="s">
        <v>131</v>
      </c>
      <c r="AB3" s="21" t="s">
        <v>132</v>
      </c>
      <c r="AC3" s="21" t="s">
        <v>273</v>
      </c>
      <c r="AD3" s="21" t="s">
        <v>134</v>
      </c>
      <c r="AE3" s="21" t="s">
        <v>135</v>
      </c>
      <c r="AF3" s="21" t="s">
        <v>137</v>
      </c>
      <c r="AG3" s="21" t="s">
        <v>136</v>
      </c>
      <c r="AH3" s="24" t="s">
        <v>164</v>
      </c>
      <c r="AI3" s="44" t="s">
        <v>435</v>
      </c>
    </row>
    <row r="4" spans="1:36">
      <c r="A4" s="11">
        <v>2</v>
      </c>
      <c r="B4" s="11">
        <f>Table15[[#This Row],[Biomass (g/L)]]-Table15[[#This Row],[Total FAs (g/L)]]</f>
        <v>61.870000000000005</v>
      </c>
      <c r="C4" s="10">
        <v>20</v>
      </c>
      <c r="D4" s="10">
        <v>75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Table15[[#This Row],[Yield (g/g)]]*(M4-N4)/100</f>
        <v>0</v>
      </c>
      <c r="P4" s="11">
        <f>Table15[[#This Row],[Yield (g/g)]]*(M4+N4)/100</f>
        <v>0</v>
      </c>
      <c r="Q4" s="11">
        <f>Table15[[#This Row],[Total FAs (g/L)]]*((M4-N4)/100)*1000/(L4*Table15[[#This Row],[Biomass (g/L)]]*Table15[[#This Row],[Time (h)]])</f>
        <v>0</v>
      </c>
      <c r="R4" s="11">
        <v>270.5</v>
      </c>
      <c r="S4" s="11"/>
      <c r="T4" s="11"/>
      <c r="U4" s="11">
        <f>Table15[[#This Row],[Yield (g/g)]]*(S4-T4)/100</f>
        <v>0</v>
      </c>
      <c r="V4" s="11">
        <f>Table15[[#This Row],[Yield (g/g)]]*(S4+T4)/100</f>
        <v>0</v>
      </c>
      <c r="W4" s="11">
        <f>Table15[[#This Row],[Total FAs (g/L)]]*((S4-T4)/100)*1000/(R4*Table15[[#This Row],[Biomass (g/L)]]*Table15[[#This Row],[Time (h)]])</f>
        <v>0</v>
      </c>
      <c r="X4" s="11">
        <v>242.44</v>
      </c>
      <c r="Y4" s="11"/>
      <c r="Z4" s="11"/>
      <c r="AA4" s="11">
        <f>Table15[[#This Row],[Yield (g/g)]]*(Y4-Z4)/100</f>
        <v>0</v>
      </c>
      <c r="AB4" s="11">
        <f>Table15[[#This Row],[Yield (g/g)]]*(Y4+Z4)/100</f>
        <v>0</v>
      </c>
      <c r="AC4" s="11">
        <f>Table15[[#This Row],[Total FAs (g/L)]]*((Y4-Z4)/100)*1000/(X4*Table15[[#This Row],[Biomass (g/L)]]*Table15[[#This Row],[Time (h)]])</f>
        <v>0</v>
      </c>
      <c r="AD4" s="11">
        <f>(1/Table15[[#This Row],[Time (h)]])</f>
        <v>1.3333333333333334E-2</v>
      </c>
      <c r="AE4" s="11">
        <v>60</v>
      </c>
      <c r="AF4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;EX_sucr_e:(-0.0774392786639351,1000)</v>
      </c>
      <c r="AG4" s="11">
        <v>342.29647999999997</v>
      </c>
      <c r="AH4" s="20">
        <f>Table15[[#This Row],[Biomass - FAs (g/L)]]*Table15[[#This Row],[volume (L)]]*Table15[[#This Row],[Time (h)]]</f>
        <v>9280.5</v>
      </c>
      <c r="AI4" s="20">
        <v>60</v>
      </c>
    </row>
    <row r="5" spans="1:36">
      <c r="A5" s="11">
        <v>2</v>
      </c>
      <c r="B5" s="11">
        <f>Table15[[#This Row],[Biomass (g/L)]]-Table15[[#This Row],[Total FAs (g/L)]]</f>
        <v>46.800000000000004</v>
      </c>
      <c r="C5" s="10">
        <v>3</v>
      </c>
      <c r="D5" s="10">
        <v>75</v>
      </c>
      <c r="E5" s="10">
        <v>55.2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Table15[[#This Row],[Yield (g/g)]]*(M5-N5)/100</f>
        <v>2.7200000000000002E-2</v>
      </c>
      <c r="P5" s="11">
        <f>Table15[[#This Row],[Yield (g/g)]]*(M5+N5)/100</f>
        <v>2.8000000000000004E-2</v>
      </c>
      <c r="Q5" s="11">
        <f>Table15[[#This Row],[Total FAs (g/L)]]*((M5-N5)/100)*1000/(L5*Table15[[#This Row],[Biomass (g/L)]]*Table15[[#This Row],[Time (h)]])</f>
        <v>5.1385852697487392E-3</v>
      </c>
      <c r="R5" s="11">
        <f>R4</f>
        <v>270.5</v>
      </c>
      <c r="S5" s="11">
        <v>19</v>
      </c>
      <c r="T5" s="11">
        <v>4</v>
      </c>
      <c r="U5" s="11">
        <f>Table15[[#This Row],[Yield (g/g)]]*(S5-T5)/100</f>
        <v>6.0000000000000001E-3</v>
      </c>
      <c r="V5" s="11">
        <f>Table15[[#This Row],[Yield (g/g)]]*(S5+T5)/100</f>
        <v>9.1999999999999998E-3</v>
      </c>
      <c r="W5" s="11">
        <f>Table15[[#This Row],[Total FAs (g/L)]]*((S5-T5)/100)*1000/(R5*Table15[[#This Row],[Biomass (g/L)]]*Table15[[#This Row],[Time (h)]])</f>
        <v>1.1251305955155509E-3</v>
      </c>
      <c r="X5" s="11">
        <f>X4</f>
        <v>242.44</v>
      </c>
      <c r="Y5" s="11">
        <v>12</v>
      </c>
      <c r="Z5" s="11">
        <v>3</v>
      </c>
      <c r="AA5" s="11">
        <f>Table15[[#This Row],[Yield (g/g)]]*(Y5-Z5)/100</f>
        <v>3.5999999999999999E-3</v>
      </c>
      <c r="AB5" s="11">
        <f>Table15[[#This Row],[Yield (g/g)]]*(Y5+Z5)/100</f>
        <v>6.0000000000000001E-3</v>
      </c>
      <c r="AC5" s="11">
        <f>Table15[[#This Row],[Total FAs (g/L)]]*((Y5-Z5)/100)*1000/(X5*Table15[[#This Row],[Biomass (g/L)]]*Table15[[#This Row],[Time (h)]])</f>
        <v>7.5321191079101601E-4</v>
      </c>
      <c r="AD5" s="11">
        <f>(1/Table15[[#This Row],[Time (h)]])</f>
        <v>1.3333333333333334E-2</v>
      </c>
      <c r="AE5" s="11">
        <v>60</v>
      </c>
      <c r="AF5" s="11" t="str">
        <f>";EX_sucr_e:(-"&amp;((Table15[[#This Row],[Total FAs (g/L)]]/Table15[[#This Row],[Yield (g/g)]])/(Table15[[#This Row],[substrate MW (g/mol)]]/1000))/(Table15[[#This Row],[Biomass - FAs (g/L)]]*Table15[[#This Row],[Time (h)]])&amp;",1000)"</f>
        <v>;EX_sucr_e:(-0.174787248262266,1000)</v>
      </c>
      <c r="AG5" s="11">
        <v>342.29647999999997</v>
      </c>
      <c r="AH5" s="20">
        <f>Table15[[#This Row],[Biomass - FAs (g/L)]]*Table15[[#This Row],[volume (L)]]*Table15[[#This Row],[Time (h)]]</f>
        <v>7020.0000000000009</v>
      </c>
      <c r="AI5" s="20">
        <v>60</v>
      </c>
    </row>
    <row r="6" spans="1:36">
      <c r="A6" s="12" t="s">
        <v>139</v>
      </c>
      <c r="AF6" s="12">
        <f>(1/K5)*I5*A5/(AH5*AG5/1000)</f>
        <v>0.17478724826226616</v>
      </c>
    </row>
    <row r="7" spans="1:36">
      <c r="A7" s="12" t="s">
        <v>140</v>
      </c>
      <c r="K7" s="12">
        <f>I5/400</f>
        <v>2.1000000000000001E-2</v>
      </c>
      <c r="AF7" s="33" t="s">
        <v>278</v>
      </c>
      <c r="AG7" s="33" t="s">
        <v>279</v>
      </c>
      <c r="AH7" s="33" t="s">
        <v>280</v>
      </c>
      <c r="AJ7" s="33" t="s">
        <v>281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279</v>
      </c>
      <c r="AG8" s="33" t="s">
        <v>280</v>
      </c>
      <c r="AI8" s="33" t="s">
        <v>164</v>
      </c>
      <c r="AJ8" s="33" t="s">
        <v>278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  <c r="AF9" s="12">
        <f>AF6/3</f>
        <v>5.8262416087422053E-2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141</v>
      </c>
      <c r="B16" s="12">
        <v>100</v>
      </c>
      <c r="C16" s="12" t="e" cm="1">
        <f t="array" ref="C16:C22">_xlfn.NUMBERVALUE(_xlfn.TEXTBEFORE(B16:B22," "))</f>
        <v>#N/A</v>
      </c>
      <c r="D16" s="13" t="s">
        <v>142</v>
      </c>
      <c r="E16" s="12">
        <v>100</v>
      </c>
    </row>
    <row r="17" spans="1:27">
      <c r="A17" s="14" t="s">
        <v>143</v>
      </c>
      <c r="B17" s="12" t="s">
        <v>144</v>
      </c>
      <c r="C17" s="12">
        <v>0.75</v>
      </c>
      <c r="D17" s="12" t="s">
        <v>145</v>
      </c>
      <c r="E17" s="12">
        <v>0.75</v>
      </c>
      <c r="F17" s="13" t="s">
        <v>146</v>
      </c>
      <c r="G17" s="12">
        <v>0.75</v>
      </c>
    </row>
    <row r="18" spans="1:27">
      <c r="A18" s="14" t="s">
        <v>147</v>
      </c>
      <c r="B18" s="12" t="s">
        <v>148</v>
      </c>
      <c r="C18" s="12">
        <v>0.7</v>
      </c>
      <c r="D18" s="13" t="s">
        <v>149</v>
      </c>
      <c r="E18" s="12">
        <v>0.7</v>
      </c>
      <c r="F18" s="15" t="s">
        <v>150</v>
      </c>
      <c r="G18" s="12">
        <v>0.7</v>
      </c>
    </row>
    <row r="19" spans="1:27">
      <c r="A19" s="14" t="s">
        <v>151</v>
      </c>
      <c r="B19" s="12" t="s">
        <v>152</v>
      </c>
      <c r="C19" s="12">
        <v>0.4</v>
      </c>
      <c r="D19" s="13" t="s">
        <v>153</v>
      </c>
      <c r="E19" s="12">
        <v>0.4</v>
      </c>
      <c r="F19" s="12" t="s">
        <v>154</v>
      </c>
      <c r="G19" s="12">
        <v>0.8</v>
      </c>
    </row>
    <row r="20" spans="1:27">
      <c r="A20" s="14" t="s">
        <v>155</v>
      </c>
      <c r="B20" s="12" t="s">
        <v>152</v>
      </c>
      <c r="C20" s="12">
        <v>0.4</v>
      </c>
      <c r="D20" s="13" t="s">
        <v>156</v>
      </c>
      <c r="E20" s="12">
        <v>0.4</v>
      </c>
      <c r="F20" s="12" t="s">
        <v>157</v>
      </c>
      <c r="G20" s="12">
        <v>0.4</v>
      </c>
    </row>
    <row r="21" spans="1:27">
      <c r="A21" s="14" t="s">
        <v>158</v>
      </c>
      <c r="B21" s="12" t="s">
        <v>159</v>
      </c>
      <c r="C21" s="12">
        <v>22.5</v>
      </c>
    </row>
    <row r="22" spans="1:27">
      <c r="A22" s="14" t="s">
        <v>160</v>
      </c>
      <c r="B22" s="12" t="s">
        <v>161</v>
      </c>
      <c r="C22" s="12">
        <v>5</v>
      </c>
      <c r="D22" s="16" t="s">
        <v>162</v>
      </c>
      <c r="E22" s="12" t="s">
        <v>163</v>
      </c>
      <c r="I22" s="43"/>
    </row>
    <row r="23" spans="1:27">
      <c r="D23" s="13"/>
      <c r="H23" s="12" t="s">
        <v>436</v>
      </c>
    </row>
    <row r="24" spans="1:27">
      <c r="G24" s="31" t="s">
        <v>274</v>
      </c>
      <c r="H24" s="30" t="s">
        <v>275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_xlfn.TEXTJOIN(";",TRUE,_xlfn.VSTACK(Table2[rxn],"BIOMASS")&amp;":("&amp;_xlfn.VSTACK(-Table2[flux (rounded up)],AD5)&amp;",1000)")</f>
        <v>EX_sucr_e:(-0.332925,1000);EX_k_e:(-0.005466,1000);EX_nh4_e:(-0.011055,1000);EX_ca2_e:(-0.002844,1000);EX_mg2_e:(-0.004689,1000);EX_pi_e:(-0.00225,1000);EX_no3_e:(-0.003217,1000);EX_cl_e:(-0.00643,1000);EX_so4_e:(-0.001187,1000)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165</v>
      </c>
      <c r="B26" s="19" t="s">
        <v>166</v>
      </c>
      <c r="C26" s="19" t="s">
        <v>3</v>
      </c>
      <c r="D26" s="19" t="s">
        <v>167</v>
      </c>
      <c r="E26" s="19" t="s">
        <v>168</v>
      </c>
      <c r="F26" s="19" t="s">
        <v>433</v>
      </c>
      <c r="G26" s="19" t="s">
        <v>260</v>
      </c>
      <c r="L26" s="18" t="s">
        <v>192</v>
      </c>
      <c r="M26" s="18"/>
      <c r="N26" s="18"/>
      <c r="O26" s="4" t="s">
        <v>222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142</v>
      </c>
      <c r="B27" s="12">
        <v>400</v>
      </c>
      <c r="C27" s="12">
        <v>342.3</v>
      </c>
      <c r="D27" s="12" t="str">
        <f>"EX_"&amp;Table2[[#This Row],[compound]]</f>
        <v>EX_sucr_e</v>
      </c>
      <c r="E27" s="12">
        <f>($A$5*Table2[[#This Row],[mass (g/L)]]/(Table2[[#This Row],[MW (g/mol)]]/1000))/$AH$5</f>
        <v>0.33292466830299139</v>
      </c>
      <c r="F27" s="12">
        <f>_xlfn.LET(_xlpm.dec,_xlfn.TEXTAFTER(Table2[[#This Row],[flux]],".",,,,0),_xlpm.rounded,ROUNDUP(Table2[[#This Row],[flux]],6),_xlpm.rounded)</f>
        <v>0.33292499999999997</v>
      </c>
      <c r="G27" s="43"/>
      <c r="H27" s="12" t="str" cm="1">
        <f t="array" ref="H27:H74">"v.up('"&amp;Table2[rxn]&amp;"_REV-SPONT')="&amp;Table2[flux]&amp;" * %nscale%;"</f>
        <v>v.up('EX_sucr_e_REV-SPONT')=0.332924668302991 * %nscale%;</v>
      </c>
      <c r="K27" s="27"/>
      <c r="L27" s="28" t="s">
        <v>193</v>
      </c>
      <c r="M27" s="28"/>
      <c r="N27"/>
      <c r="O27"/>
      <c r="P27"/>
      <c r="Q27"/>
      <c r="R27"/>
      <c r="S27"/>
      <c r="T27" t="s">
        <v>261</v>
      </c>
      <c r="U27" s="12">
        <v>9.6</v>
      </c>
      <c r="W27" s="43"/>
    </row>
    <row r="28" spans="1:27">
      <c r="A28" s="12" t="s">
        <v>145</v>
      </c>
      <c r="B28" s="12">
        <v>0.75</v>
      </c>
      <c r="C28" s="12">
        <v>39.098300000000002</v>
      </c>
      <c r="D28" s="12" t="str">
        <f>"EX_"&amp;Table2[[#This Row],[compound]]</f>
        <v>EX_k_e</v>
      </c>
      <c r="E28" s="12">
        <f>($A$5*Table2[[#This Row],[mass (g/L)]]/(Table2[[#This Row],[MW (g/mol)]]/1000))/$AH$5</f>
        <v>5.465076836466385E-3</v>
      </c>
      <c r="F28" s="12">
        <f>_xlfn.LET(_xlpm.dec,_xlfn.TEXTAFTER(Table2[[#This Row],[flux]],".",,,,0),_xlpm.rounded,ROUNDUP(Table2[[#This Row],[flux]],6),_xlpm.rounded)</f>
        <v>5.4660000000000004E-3</v>
      </c>
      <c r="H28" s="12" t="str">
        <v>v.up('EX_k_e_REV-SPONT')=0.00546507683646639 * %nscale%;</v>
      </c>
      <c r="K28" s="27"/>
      <c r="L28" s="28" t="s">
        <v>194</v>
      </c>
      <c r="M28" s="28"/>
      <c r="N28" s="28" t="s">
        <v>195</v>
      </c>
      <c r="O28" s="28" t="s">
        <v>196</v>
      </c>
    </row>
    <row r="29" spans="1:27">
      <c r="A29" s="12" t="s">
        <v>149</v>
      </c>
      <c r="B29" s="12">
        <v>0.7</v>
      </c>
      <c r="C29" s="12">
        <v>18.04</v>
      </c>
      <c r="D29" s="12" t="str">
        <f>"EX_"&amp;Table2[[#This Row],[compound]]</f>
        <v>EX_nh4_e</v>
      </c>
      <c r="E29" s="12">
        <f>($A$5*Table2[[#This Row],[mass (g/L)]]/(Table2[[#This Row],[MW (g/mol)]]/1000))/$AH$5</f>
        <v>1.1054889103669589E-2</v>
      </c>
      <c r="F29" s="12">
        <f>_xlfn.LET(_xlpm.dec,_xlfn.TEXTAFTER(Table2[[#This Row],[flux]],".",,,,0),_xlpm.rounded,ROUNDUP(Table2[[#This Row],[flux]],6),_xlpm.rounded)</f>
        <v>1.1054999999999999E-2</v>
      </c>
      <c r="H29" s="12" t="str">
        <v>v.up('EX_nh4_e_REV-SPONT')=0.0110548891036696 * %nscale%;</v>
      </c>
      <c r="K29" s="27"/>
      <c r="L29" s="28" t="s">
        <v>197</v>
      </c>
      <c r="M29" s="28"/>
      <c r="N29" s="28" t="s">
        <v>198</v>
      </c>
      <c r="O29" s="28">
        <v>2.2200000000000002</v>
      </c>
      <c r="P29" s="29" t="s">
        <v>240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153</v>
      </c>
      <c r="B30" s="12">
        <v>0.4</v>
      </c>
      <c r="C30" s="12">
        <v>40.08</v>
      </c>
      <c r="D30" s="12" t="str">
        <f>"EX_"&amp;Table2[[#This Row],[compound]]</f>
        <v>EX_ca2_e</v>
      </c>
      <c r="E30" s="12">
        <f>($A$5*Table2[[#This Row],[mass (g/L)]]/(Table2[[#This Row],[MW (g/mol)]]/1000))/$AH$5</f>
        <v>2.8433162165697095E-3</v>
      </c>
      <c r="F30" s="12">
        <f>_xlfn.LET(_xlpm.dec,_xlfn.TEXTAFTER(Table2[[#This Row],[flux]],".",,,,0),_xlpm.rounded,ROUNDUP(Table2[[#This Row],[flux]],6),_xlpm.rounded)</f>
        <v>2.8440000000000002E-3</v>
      </c>
      <c r="H30" s="12" t="str">
        <v>v.up('EX_ca2_e_REV-SPONT')=0.00284331621656971 * %nscale%;</v>
      </c>
      <c r="K30" s="27"/>
      <c r="L30" s="28" t="s">
        <v>200</v>
      </c>
      <c r="M30" s="28"/>
      <c r="N30" s="28" t="s">
        <v>198</v>
      </c>
      <c r="O30" s="28">
        <v>1.2</v>
      </c>
      <c r="P30" s="29" t="s">
        <v>239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156</v>
      </c>
      <c r="B31" s="12">
        <v>0.4</v>
      </c>
      <c r="C31" s="12">
        <v>24.305</v>
      </c>
      <c r="D31" s="12" t="str">
        <f>"EX_"&amp;Table2[[#This Row],[compound]]</f>
        <v>EX_mg2_e</v>
      </c>
      <c r="E31" s="12">
        <f>($A$5*Table2[[#This Row],[mass (g/L)]]/(Table2[[#This Row],[MW (g/mol)]]/1000))/$AH$5</f>
        <v>4.688751860115776E-3</v>
      </c>
      <c r="F31" s="12">
        <f>_xlfn.LET(_xlpm.dec,_xlfn.TEXTAFTER(Table2[[#This Row],[flux]],".",,,,0),_xlpm.rounded,ROUNDUP(Table2[[#This Row],[flux]],6),_xlpm.rounded)</f>
        <v>4.6890000000000005E-3</v>
      </c>
      <c r="H31" s="12" t="str">
        <v>v.up('EX_mg2_e_REV-SPONT')=0.00468875186011578 * %nscale%;</v>
      </c>
      <c r="K31" s="27"/>
      <c r="L31" s="28" t="s">
        <v>202</v>
      </c>
      <c r="M31" s="28"/>
      <c r="N31" s="28" t="s">
        <v>203</v>
      </c>
      <c r="O31" s="28">
        <v>1.28</v>
      </c>
      <c r="P31" s="29" t="s">
        <v>238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146</v>
      </c>
      <c r="B32" s="12">
        <v>0.75</v>
      </c>
      <c r="C32" s="12">
        <v>94.971000000000004</v>
      </c>
      <c r="D32" s="12" t="str">
        <f>"EX_"&amp;Table2[[#This Row],[compound]]</f>
        <v>EX_pi_e</v>
      </c>
      <c r="E32" s="12">
        <f>($A$5*Table2[[#This Row],[mass (g/L)]]/(Table2[[#This Row],[MW (g/mol)]]/1000))/$AH$5</f>
        <v>2.2498995869814327E-3</v>
      </c>
      <c r="F32" s="12">
        <f>_xlfn.LET(_xlpm.dec,_xlfn.TEXTAFTER(Table2[[#This Row],[flux]],".",,,,0),_xlpm.rounded,ROUNDUP(Table2[[#This Row],[flux]],6),_xlpm.rounded)</f>
        <v>2.2500000000000003E-3</v>
      </c>
      <c r="H32" s="12" t="str">
        <v>v.up('EX_pi_e_REV-SPONT')=0.00224989958698143 * %nscale%;</v>
      </c>
      <c r="K32" s="27"/>
      <c r="L32" s="28" t="s">
        <v>205</v>
      </c>
      <c r="M32" s="28"/>
      <c r="N32" s="28" t="s">
        <v>203</v>
      </c>
      <c r="O32" s="28">
        <v>5.41</v>
      </c>
      <c r="P32" s="29" t="s">
        <v>237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150</v>
      </c>
      <c r="B33" s="12">
        <v>0.7</v>
      </c>
      <c r="C33" s="12">
        <v>62.005000000000003</v>
      </c>
      <c r="D33" s="12" t="str">
        <f>"EX_"&amp;Table2[[#This Row],[compound]]</f>
        <v>EX_no3_e</v>
      </c>
      <c r="E33" s="12">
        <f>($A$5*Table2[[#This Row],[mass (g/L)]]/(Table2[[#This Row],[MW (g/mol)]]/1000))/$AH$5</f>
        <v>3.2163567362341644E-3</v>
      </c>
      <c r="F33" s="12">
        <f>_xlfn.LET(_xlpm.dec,_xlfn.TEXTAFTER(Table2[[#This Row],[flux]],".",,,,0),_xlpm.rounded,ROUNDUP(Table2[[#This Row],[flux]],6),_xlpm.rounded)</f>
        <v>3.2170000000000002E-3</v>
      </c>
      <c r="H33" s="12" t="str">
        <v>v.up('EX_no3_e_REV-SPONT')=0.00321635673623416 * %nscale%;</v>
      </c>
      <c r="K33" s="27"/>
      <c r="L33" s="28" t="s">
        <v>207</v>
      </c>
      <c r="M33" s="28"/>
      <c r="N33" s="28" t="s">
        <v>203</v>
      </c>
      <c r="O33" s="28">
        <v>2.0499999999999998</v>
      </c>
      <c r="P33" s="29" t="s">
        <v>236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154</v>
      </c>
      <c r="B34" s="12">
        <v>0.8</v>
      </c>
      <c r="C34" s="12">
        <v>35.450000000000003</v>
      </c>
      <c r="D34" s="12" t="str">
        <f>"EX_"&amp;Table2[[#This Row],[compound]]</f>
        <v>EX_cl_e</v>
      </c>
      <c r="E34" s="12">
        <f>($A$5*Table2[[#This Row],[mass (g/L)]]/(Table2[[#This Row],[MW (g/mol)]]/1000))/$AH$5</f>
        <v>6.4293435238428178E-3</v>
      </c>
      <c r="F34" s="12">
        <f>_xlfn.LET(_xlpm.dec,_xlfn.TEXTAFTER(Table2[[#This Row],[flux]],".",,,,0),_xlpm.rounded,ROUNDUP(Table2[[#This Row],[flux]],6),_xlpm.rounded)</f>
        <v>6.43E-3</v>
      </c>
      <c r="H34" s="12" t="str">
        <v>v.up('EX_cl_e_REV-SPONT')=0.00642934352384282 * %nscale%;</v>
      </c>
      <c r="K34" s="27"/>
      <c r="L34" s="28" t="s">
        <v>209</v>
      </c>
      <c r="M34" s="28"/>
      <c r="N34" s="28" t="s">
        <v>198</v>
      </c>
      <c r="O34" s="28">
        <v>0.62</v>
      </c>
      <c r="P34" s="29" t="s">
        <v>235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157</v>
      </c>
      <c r="B35" s="12">
        <v>0.4</v>
      </c>
      <c r="C35" s="12">
        <v>96.07</v>
      </c>
      <c r="D35" s="12" t="str">
        <f>"EX_"&amp;Table2[[#This Row],[compound]]</f>
        <v>EX_so4_e</v>
      </c>
      <c r="E35" s="12">
        <f>($A$5*Table2[[#This Row],[mass (g/L)]]/(Table2[[#This Row],[MW (g/mol)]]/1000))/$AH$5</f>
        <v>1.1862195686490472E-3</v>
      </c>
      <c r="F35" s="12">
        <f>_xlfn.LET(_xlpm.dec,_xlfn.TEXTAFTER(Table2[[#This Row],[flux]],".",,,,0),_xlpm.rounded,ROUNDUP(Table2[[#This Row],[flux]],6),_xlpm.rounded)</f>
        <v>1.1869999999999999E-3</v>
      </c>
      <c r="H35" s="12" t="str">
        <v>v.up('EX_so4_e_REV-SPONT')=0.00118621956864905 * %nscale%;</v>
      </c>
      <c r="K35" s="27"/>
      <c r="L35" s="28" t="s">
        <v>211</v>
      </c>
      <c r="M35" s="28"/>
      <c r="N35" s="28" t="s">
        <v>203</v>
      </c>
      <c r="O35" s="28">
        <v>1.1599999999999999</v>
      </c>
      <c r="P35" s="29" t="s">
        <v>234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169</v>
      </c>
      <c r="C36" s="12">
        <v>1.008</v>
      </c>
      <c r="D36" s="12" t="str">
        <f>"EX_"&amp;Table2[[#This Row],[compound]]</f>
        <v>EX_h_e</v>
      </c>
      <c r="E36" s="12">
        <v>1000</v>
      </c>
      <c r="F36" s="12">
        <f>_xlfn.LET(_xlpm.dec,_xlfn.TEXTAFTER(Table2[[#This Row],[flux]],".",,,,0),_xlpm.rounded,ROUNDUP(Table2[[#This Row],[flux]],6),_xlpm.rounded)</f>
        <v>1000</v>
      </c>
      <c r="H36" s="12" t="str">
        <v>v.up('EX_h_e_REV-SPONT')=1000 * %nscale%;</v>
      </c>
      <c r="K36" s="27"/>
      <c r="L36" s="28" t="s">
        <v>213</v>
      </c>
      <c r="M36" s="28"/>
      <c r="N36" s="28" t="s">
        <v>198</v>
      </c>
      <c r="O36" s="28">
        <v>1.51</v>
      </c>
      <c r="P36" s="29" t="s">
        <v>233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170</v>
      </c>
      <c r="D37" s="12" t="str">
        <f>"EX_"&amp;Table2[[#This Row],[compound]]</f>
        <v>EX_h2o_e</v>
      </c>
      <c r="E37" s="12">
        <v>1000</v>
      </c>
      <c r="F37" s="12">
        <f>_xlfn.LET(_xlpm.dec,_xlfn.TEXTAFTER(Table2[[#This Row],[flux]],".",,,,0),_xlpm.rounded,ROUNDUP(Table2[[#This Row],[flux]],6),_xlpm.rounded)</f>
        <v>1000</v>
      </c>
      <c r="H37" s="12" t="str">
        <v>v.up('EX_h2o_e_REV-SPONT')=1000 * %nscale%;</v>
      </c>
      <c r="K37" s="27"/>
      <c r="L37" s="28" t="s">
        <v>215</v>
      </c>
      <c r="M37" s="28"/>
      <c r="N37" s="28" t="s">
        <v>203</v>
      </c>
      <c r="O37" s="28">
        <v>0.17</v>
      </c>
      <c r="P37" s="29" t="s">
        <v>232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171</v>
      </c>
      <c r="D38" s="12" t="str">
        <f>"EX_"&amp;Table2[[#This Row],[compound]]</f>
        <v>EX_btn_c</v>
      </c>
      <c r="E38" s="12">
        <v>0.01</v>
      </c>
      <c r="F38" s="12">
        <f>_xlfn.LET(_xlpm.dec,_xlfn.TEXTAFTER(Table2[[#This Row],[flux]],".",,,,0),_xlpm.rounded,ROUNDUP(Table2[[#This Row],[flux]],6),_xlpm.rounded)</f>
        <v>0.01</v>
      </c>
      <c r="H38" s="12" t="str">
        <v>v.up('EX_btn_c_REV-SPONT')=0.01 * %nscale%;</v>
      </c>
      <c r="K38" s="27"/>
      <c r="L38" s="28" t="s">
        <v>216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172</v>
      </c>
      <c r="D39" s="12" t="str">
        <f>"EX_"&amp;Table2[[#This Row],[compound]]</f>
        <v>EX_o2_e</v>
      </c>
      <c r="E39" s="12">
        <v>1000</v>
      </c>
      <c r="F39" s="12">
        <f>_xlfn.LET(_xlpm.dec,_xlfn.TEXTAFTER(Table2[[#This Row],[flux]],".",,,,0),_xlpm.rounded,ROUNDUP(Table2[[#This Row],[flux]],6),_xlpm.rounded)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173</v>
      </c>
      <c r="D40" s="12" t="str">
        <f>"EX_"&amp;Table2[[#This Row],[compound]]</f>
        <v>EX_co2_e</v>
      </c>
      <c r="E40" s="12">
        <v>0</v>
      </c>
      <c r="F40" s="12">
        <f>_xlfn.LET(_xlpm.dec,_xlfn.TEXTAFTER(Table2[[#This Row],[flux]],".",,,,0),_xlpm.rounded,ROUNDUP(Table2[[#This Row],[flux]],6),_xlpm.rounded)</f>
        <v>0</v>
      </c>
      <c r="H40" s="12" t="str">
        <v>v.up('EX_co2_e_REV-SPONT')=0 * %nscale%;</v>
      </c>
      <c r="K40" s="27"/>
      <c r="L40" s="28" t="s">
        <v>217</v>
      </c>
      <c r="M40" s="28"/>
      <c r="N40" s="28" t="s">
        <v>218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175</v>
      </c>
      <c r="D41" s="12" t="str">
        <f>"EX_"&amp;Table2[[#This Row],[compound]]</f>
        <v>EX_thm_e</v>
      </c>
      <c r="E41" s="12">
        <v>1000</v>
      </c>
      <c r="F41" s="12">
        <f>_xlfn.LET(_xlpm.dec,_xlfn.TEXTAFTER(Table2[[#This Row],[flux]],".",,,,0),_xlpm.rounded,ROUNDUP(Table2[[#This Row],[flux]],6),_xlpm.rounded)</f>
        <v>1000</v>
      </c>
      <c r="G41" s="26" t="s">
        <v>191</v>
      </c>
      <c r="H41" s="12" t="str">
        <v>v.up('EX_thm_e_REV-SPONT')=1000 * %nscale%;</v>
      </c>
      <c r="K41" s="27"/>
      <c r="L41" s="28" t="s">
        <v>221</v>
      </c>
      <c r="M41" s="28"/>
      <c r="N41" s="28" t="s">
        <v>220</v>
      </c>
      <c r="O41" s="28">
        <v>226</v>
      </c>
      <c r="P41" s="29" t="s">
        <v>174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191</v>
      </c>
    </row>
    <row r="42" spans="1:23">
      <c r="A42" s="25" t="s">
        <v>176</v>
      </c>
      <c r="D42" s="12" t="str">
        <f>"EX_"&amp;Table2[[#This Row],[compound]]</f>
        <v>EX_ribflv_e</v>
      </c>
      <c r="E42" s="12">
        <v>1000</v>
      </c>
      <c r="F42" s="12">
        <f>_xlfn.LET(_xlpm.dec,_xlfn.TEXTAFTER(Table2[[#This Row],[flux]],".",,,,0),_xlpm.rounded,ROUNDUP(Table2[[#This Row],[flux]],6),_xlpm.rounded)</f>
        <v>1000</v>
      </c>
      <c r="G42" s="26" t="s">
        <v>191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191</v>
      </c>
    </row>
    <row r="43" spans="1:23">
      <c r="A43" s="32" t="s">
        <v>177</v>
      </c>
      <c r="D43" s="12" t="str">
        <f>"EX_"&amp;Table2[[#This Row],[compound]]</f>
        <v>EX_nac_e</v>
      </c>
      <c r="E43" s="12">
        <v>1000</v>
      </c>
      <c r="F43" s="12">
        <f>_xlfn.LET(_xlpm.dec,_xlfn.TEXTAFTER(Table2[[#This Row],[flux]],".",,,,0),_xlpm.rounded,ROUNDUP(Table2[[#This Row],[flux]],6),_xlpm.rounded)</f>
        <v>1000</v>
      </c>
      <c r="G43" s="26" t="s">
        <v>191</v>
      </c>
      <c r="H43" s="12" t="str">
        <v>v.up('EX_nac_e_REV-SPONT')=1000 * %nscale%;</v>
      </c>
      <c r="K43" s="27"/>
      <c r="L43" s="28" t="s">
        <v>219</v>
      </c>
      <c r="M43" s="28"/>
      <c r="N43" s="28" t="s">
        <v>220</v>
      </c>
      <c r="O43" s="28">
        <v>344</v>
      </c>
      <c r="P43" s="29" t="s">
        <v>231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191</v>
      </c>
    </row>
    <row r="44" spans="1:23">
      <c r="A44" s="25" t="s">
        <v>178</v>
      </c>
      <c r="D44" s="12" t="str">
        <f>"EX_"&amp;Table2[[#This Row],[compound]]</f>
        <v>EX_pydxn_e</v>
      </c>
      <c r="E44" s="12">
        <v>1000</v>
      </c>
      <c r="F44" s="12">
        <f>_xlfn.LET(_xlpm.dec,_xlfn.TEXTAFTER(Table2[[#This Row],[flux]],".",,,,0),_xlpm.rounded,ROUNDUP(Table2[[#This Row],[flux]],6),_xlpm.rounded)</f>
        <v>1000</v>
      </c>
      <c r="G44" s="26" t="s">
        <v>191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191</v>
      </c>
    </row>
    <row r="45" spans="1:23">
      <c r="A45" s="32" t="s">
        <v>179</v>
      </c>
      <c r="D45" s="12" t="str">
        <f>"EX_"&amp;Table2[[#This Row],[compound]]</f>
        <v>EX_fol_e</v>
      </c>
      <c r="E45" s="12">
        <v>1000</v>
      </c>
      <c r="F45" s="12">
        <f>_xlfn.LET(_xlpm.dec,_xlfn.TEXTAFTER(Table2[[#This Row],[flux]],".",,,,0),_xlpm.rounded,ROUNDUP(Table2[[#This Row],[flux]],6),_xlpm.rounded)</f>
        <v>1000</v>
      </c>
      <c r="G45" s="26" t="s">
        <v>191</v>
      </c>
      <c r="H45" s="12" t="str">
        <v>v.up('EX_fol_e_REV-SPONT')=1000 * %nscale%;</v>
      </c>
      <c r="K45" s="27"/>
      <c r="L45" s="28" t="s">
        <v>199</v>
      </c>
      <c r="M45" s="28"/>
      <c r="N45" s="28" t="s">
        <v>198</v>
      </c>
      <c r="O45" s="28">
        <v>3.84</v>
      </c>
      <c r="P45" s="29" t="s">
        <v>230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191</v>
      </c>
    </row>
    <row r="46" spans="1:23">
      <c r="A46" s="32" t="s">
        <v>180</v>
      </c>
      <c r="D46" s="12" t="str">
        <f>"EX_"&amp;Table2[[#This Row],[compound]]</f>
        <v>EX_pnto__R_e</v>
      </c>
      <c r="E46" s="12">
        <v>1000</v>
      </c>
      <c r="F46" s="12">
        <f>_xlfn.LET(_xlpm.dec,_xlfn.TEXTAFTER(Table2[[#This Row],[flux]],".",,,,0),_xlpm.rounded,ROUNDUP(Table2[[#This Row],[flux]],6),_xlpm.rounded)</f>
        <v>1000</v>
      </c>
      <c r="G46" s="26" t="s">
        <v>191</v>
      </c>
      <c r="H46" s="12" t="str">
        <v>v.up('EX_pnto__R_e_REV-SPONT')=1000 * %nscale%;</v>
      </c>
      <c r="K46" s="27"/>
      <c r="L46" s="28" t="s">
        <v>201</v>
      </c>
      <c r="M46" s="28"/>
      <c r="N46" s="28" t="s">
        <v>198</v>
      </c>
      <c r="O46" s="28">
        <v>1.98</v>
      </c>
      <c r="P46" s="29" t="s">
        <v>229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191</v>
      </c>
    </row>
    <row r="47" spans="1:23">
      <c r="A47" s="25" t="s">
        <v>181</v>
      </c>
      <c r="D47" s="12" t="str">
        <f>"EX_"&amp;Table2[[#This Row],[compound]]</f>
        <v>EX_4abz_e</v>
      </c>
      <c r="E47" s="12">
        <v>1000</v>
      </c>
      <c r="F47" s="12">
        <f>_xlfn.LET(_xlpm.dec,_xlfn.TEXTAFTER(Table2[[#This Row],[flux]],".",,,,0),_xlpm.rounded,ROUNDUP(Table2[[#This Row],[flux]],6),_xlpm.rounded)</f>
        <v>1000</v>
      </c>
      <c r="G47" s="26" t="s">
        <v>191</v>
      </c>
      <c r="H47" s="12" t="str">
        <v>v.up('EX_4abz_e_REV-SPONT')=1000 * %nscale%;</v>
      </c>
      <c r="K47" s="27"/>
      <c r="L47" s="28" t="s">
        <v>204</v>
      </c>
      <c r="M47" s="28"/>
      <c r="N47" s="28" t="s">
        <v>198</v>
      </c>
      <c r="O47" s="28">
        <v>0.72</v>
      </c>
      <c r="P47" s="29" t="s">
        <v>223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191</v>
      </c>
    </row>
    <row r="48" spans="1:23">
      <c r="A48" s="32" t="s">
        <v>183</v>
      </c>
      <c r="D48" s="12" t="str">
        <f>"EX_"&amp;Table2[[#This Row],[compound]]</f>
        <v>EX_cu2_e</v>
      </c>
      <c r="E48" s="12">
        <v>1000</v>
      </c>
      <c r="F48" s="12">
        <f>_xlfn.LET(_xlpm.dec,_xlfn.TEXTAFTER(Table2[[#This Row],[flux]],".",,,,0),_xlpm.rounded,ROUNDUP(Table2[[#This Row],[flux]],6),_xlpm.rounded)</f>
        <v>1000</v>
      </c>
      <c r="G48" s="26" t="s">
        <v>191</v>
      </c>
      <c r="H48" s="12" t="str">
        <v>v.up('EX_cu2_e_REV-SPONT')=1000 * %nscale%;</v>
      </c>
      <c r="K48" s="27"/>
      <c r="L48" s="28" t="s">
        <v>206</v>
      </c>
      <c r="M48" s="28"/>
      <c r="N48" s="28" t="s">
        <v>198</v>
      </c>
      <c r="O48" s="28">
        <v>1.21</v>
      </c>
      <c r="P48" s="29" t="s">
        <v>224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191</v>
      </c>
    </row>
    <row r="49" spans="1:23">
      <c r="A49" s="32" t="s">
        <v>184</v>
      </c>
      <c r="D49" s="12" t="str">
        <f>"EX_"&amp;Table2[[#This Row],[compound]]</f>
        <v>EX_fe2_e</v>
      </c>
      <c r="E49" s="12">
        <v>1000</v>
      </c>
      <c r="F49" s="12">
        <f>_xlfn.LET(_xlpm.dec,_xlfn.TEXTAFTER(Table2[[#This Row],[flux]],".",,,,0),_xlpm.rounded,ROUNDUP(Table2[[#This Row],[flux]],6),_xlpm.rounded)</f>
        <v>1000</v>
      </c>
      <c r="G49" s="26" t="s">
        <v>191</v>
      </c>
      <c r="H49" s="12" t="str">
        <v>v.up('EX_fe2_e_REV-SPONT')=1000 * %nscale%;</v>
      </c>
      <c r="K49" s="27"/>
      <c r="L49" s="28" t="s">
        <v>208</v>
      </c>
      <c r="M49" s="28"/>
      <c r="N49" s="28" t="s">
        <v>198</v>
      </c>
      <c r="O49" s="28">
        <v>3.4</v>
      </c>
      <c r="P49" s="29" t="s">
        <v>225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191</v>
      </c>
    </row>
    <row r="50" spans="1:23">
      <c r="A50" s="25" t="s">
        <v>185</v>
      </c>
      <c r="D50" s="12" t="str">
        <f>"EX_"&amp;Table2[[#This Row],[compound]]</f>
        <v>EX_fe3_e</v>
      </c>
      <c r="E50" s="12">
        <v>1000</v>
      </c>
      <c r="F50" s="12">
        <f>_xlfn.LET(_xlpm.dec,_xlfn.TEXTAFTER(Table2[[#This Row],[flux]],".",,,,0),_xlpm.rounded,ROUNDUP(Table2[[#This Row],[flux]],6),_xlpm.rounded)</f>
        <v>1000</v>
      </c>
      <c r="G50" s="26" t="s">
        <v>191</v>
      </c>
      <c r="H50" s="12" t="str">
        <v>v.up('EX_fe3_e_REV-SPONT')=1000 * %nscale%;</v>
      </c>
      <c r="K50" s="27"/>
      <c r="L50" s="28" t="s">
        <v>210</v>
      </c>
      <c r="M50" s="28"/>
      <c r="N50" s="28" t="s">
        <v>198</v>
      </c>
      <c r="O50" s="28">
        <v>1.38</v>
      </c>
      <c r="P50" s="29" t="s">
        <v>226</v>
      </c>
      <c r="Q50" s="12">
        <f t="shared" si="0"/>
        <v>0.13247999999999999</v>
      </c>
      <c r="W50" s="26" t="s">
        <v>191</v>
      </c>
    </row>
    <row r="51" spans="1:23">
      <c r="A51" s="25" t="s">
        <v>186</v>
      </c>
      <c r="D51" s="12" t="str">
        <f>"EX_"&amp;Table2[[#This Row],[compound]]</f>
        <v>EX_mn2_e</v>
      </c>
      <c r="E51" s="12">
        <v>1000</v>
      </c>
      <c r="F51" s="12">
        <f>_xlfn.LET(_xlpm.dec,_xlfn.TEXTAFTER(Table2[[#This Row],[flux]],".",,,,0),_xlpm.rounded,ROUNDUP(Table2[[#This Row],[flux]],6),_xlpm.rounded)</f>
        <v>1000</v>
      </c>
      <c r="G51" s="26" t="s">
        <v>191</v>
      </c>
      <c r="H51" s="12" t="str">
        <v>v.up('EX_mn2_e_REV-SPONT')=1000 * %nscale%;</v>
      </c>
      <c r="K51" s="27"/>
      <c r="L51" s="28" t="s">
        <v>212</v>
      </c>
      <c r="M51" s="28"/>
      <c r="N51" s="28" t="s">
        <v>198</v>
      </c>
      <c r="O51" s="28">
        <v>1.1599999999999999</v>
      </c>
      <c r="P51" s="29" t="s">
        <v>227</v>
      </c>
      <c r="Q51" s="12">
        <f t="shared" si="0"/>
        <v>0.11135999999999999</v>
      </c>
      <c r="W51" s="26" t="s">
        <v>191</v>
      </c>
    </row>
    <row r="52" spans="1:23">
      <c r="A52" s="25" t="s">
        <v>187</v>
      </c>
      <c r="D52" s="12" t="str">
        <f>"EX_"&amp;Table2[[#This Row],[compound]]</f>
        <v>EX_na1_e</v>
      </c>
      <c r="E52" s="12">
        <v>1000</v>
      </c>
      <c r="F52" s="12">
        <f>_xlfn.LET(_xlpm.dec,_xlfn.TEXTAFTER(Table2[[#This Row],[flux]],".",,,,0),_xlpm.rounded,ROUNDUP(Table2[[#This Row],[flux]],6),_xlpm.rounded)</f>
        <v>1000</v>
      </c>
      <c r="G52" s="26" t="s">
        <v>191</v>
      </c>
      <c r="H52" s="12" t="str">
        <v>v.up('EX_na1_e_REV-SPONT')=1000 * %nscale%;</v>
      </c>
      <c r="K52" s="27"/>
      <c r="L52" s="28" t="s">
        <v>214</v>
      </c>
      <c r="M52" s="28"/>
      <c r="N52" s="28" t="s">
        <v>198</v>
      </c>
      <c r="O52" s="28">
        <v>3.2</v>
      </c>
      <c r="P52" s="29" t="s">
        <v>228</v>
      </c>
      <c r="Q52" s="12">
        <f t="shared" si="0"/>
        <v>0.30719999999999997</v>
      </c>
      <c r="W52" s="26" t="s">
        <v>191</v>
      </c>
    </row>
    <row r="53" spans="1:23">
      <c r="A53" s="25" t="s">
        <v>188</v>
      </c>
      <c r="D53" s="12" t="str">
        <f>"EX_"&amp;Table2[[#This Row],[compound]]</f>
        <v>EX_ni2_e</v>
      </c>
      <c r="E53" s="12">
        <v>1000</v>
      </c>
      <c r="F53" s="12">
        <f>_xlfn.LET(_xlpm.dec,_xlfn.TEXTAFTER(Table2[[#This Row],[flux]],".",,,,0),_xlpm.rounded,ROUNDUP(Table2[[#This Row],[flux]],6),_xlpm.rounded)</f>
        <v>1000</v>
      </c>
      <c r="G53" s="26" t="s">
        <v>191</v>
      </c>
      <c r="H53" s="12" t="str">
        <v>v.up('EX_ni2_e_REV-SPONT')=1000 * %nscale%;</v>
      </c>
      <c r="K53" s="27"/>
      <c r="W53" s="26" t="s">
        <v>191</v>
      </c>
    </row>
    <row r="54" spans="1:23">
      <c r="A54" s="32" t="s">
        <v>189</v>
      </c>
      <c r="D54" s="12" t="str">
        <f>"EX_"&amp;Table2[[#This Row],[compound]]</f>
        <v>EX_zn2_e</v>
      </c>
      <c r="E54" s="12">
        <v>1000</v>
      </c>
      <c r="F54" s="12">
        <f>_xlfn.LET(_xlpm.dec,_xlfn.TEXTAFTER(Table2[[#This Row],[flux]],".",,,,0),_xlpm.rounded,ROUNDUP(Table2[[#This Row],[flux]],6),_xlpm.rounded)</f>
        <v>1000</v>
      </c>
      <c r="G54" s="26" t="s">
        <v>191</v>
      </c>
      <c r="H54" s="12" t="str">
        <v>v.up('EX_zn2_e_REV-SPONT')=1000 * %nscale%;</v>
      </c>
      <c r="K54" s="27"/>
      <c r="W54" s="26" t="s">
        <v>191</v>
      </c>
    </row>
    <row r="55" spans="1:23">
      <c r="A55" s="25" t="s">
        <v>190</v>
      </c>
      <c r="D55" s="12" t="str">
        <f>"EX_"&amp;Table2[[#This Row],[compound]]</f>
        <v>EX_cobalt2_e</v>
      </c>
      <c r="E55" s="12">
        <v>1000</v>
      </c>
      <c r="F55" s="12">
        <f>_xlfn.LET(_xlpm.dec,_xlfn.TEXTAFTER(Table2[[#This Row],[flux]],".",,,,0),_xlpm.rounded,ROUNDUP(Table2[[#This Row],[flux]],6),_xlpm.rounded)</f>
        <v>1000</v>
      </c>
      <c r="G55" s="26" t="s">
        <v>191</v>
      </c>
      <c r="H55" s="12" t="str">
        <v>v.up('EX_cobalt2_e_REV-SPONT')=1000 * %nscale%;</v>
      </c>
      <c r="W55" s="26" t="s">
        <v>191</v>
      </c>
    </row>
    <row r="56" spans="1:23">
      <c r="A56" s="25" t="s">
        <v>182</v>
      </c>
      <c r="D56" s="12" t="str">
        <f>"EX_"&amp;Table2[[#This Row],[compound]]</f>
        <v>EX_inost_e</v>
      </c>
      <c r="E56" s="12">
        <v>1000</v>
      </c>
      <c r="F56" s="12">
        <f>_xlfn.LET(_xlpm.dec,_xlfn.TEXTAFTER(Table2[[#This Row],[flux]],".",,,,0),_xlpm.rounded,ROUNDUP(Table2[[#This Row],[flux]],6),_xlpm.rounded)</f>
        <v>1000</v>
      </c>
      <c r="G56" s="26"/>
      <c r="H56" s="12" t="str">
        <v>v.up('EX_inost_e_REV-SPONT')=1000 * %nscale%;</v>
      </c>
      <c r="W56" s="26"/>
    </row>
    <row r="57" spans="1:23">
      <c r="A57" s="12" t="s">
        <v>241</v>
      </c>
      <c r="B57" s="12">
        <v>0.21312</v>
      </c>
      <c r="C57" s="12">
        <v>132.09474</v>
      </c>
      <c r="D57" s="12" t="str">
        <f>"EX_"&amp;Table2[[#This Row],[compound]]</f>
        <v>EX_asp__L_e</v>
      </c>
      <c r="E57" s="12">
        <f>($A$5*Table2[[#This Row],[mass (g/L)]]/(Table2[[#This Row],[MW (g/mol)]]/1000))/$AH$5</f>
        <v>4.5965455337546913E-4</v>
      </c>
      <c r="F57" s="12">
        <f>_xlfn.LET(_xlpm.dec,_xlfn.TEXTAFTER(Table2[[#This Row],[flux]],".",,,,0),_xlpm.rounded,ROUNDUP(Table2[[#This Row],[flux]],6),_xlpm.rounded)</f>
        <v>4.6000000000000001E-4</v>
      </c>
      <c r="G57" s="26" t="s">
        <v>259</v>
      </c>
      <c r="H57" s="12" t="str">
        <v>v.up('EX_asp__L_e_REV-SPONT')=0.000459654553375469 * %nscale%;</v>
      </c>
      <c r="W57" s="26" t="s">
        <v>259</v>
      </c>
    </row>
    <row r="58" spans="1:23">
      <c r="A58" s="12" t="s">
        <v>242</v>
      </c>
      <c r="B58" s="12">
        <v>0.1152</v>
      </c>
      <c r="C58" s="12">
        <v>119.11915999999999</v>
      </c>
      <c r="D58" s="12" t="str">
        <f>"EX_"&amp;Table2[[#This Row],[compound]]</f>
        <v>EX_thr__L_e</v>
      </c>
      <c r="E58" s="12">
        <f>($A$5*Table2[[#This Row],[mass (g/L)]]/(Table2[[#This Row],[MW (g/mol)]]/1000))/$AH$5</f>
        <v>2.755267315561394E-4</v>
      </c>
      <c r="F58" s="12">
        <f>_xlfn.LET(_xlpm.dec,_xlfn.TEXTAFTER(Table2[[#This Row],[flux]],".",,,,0),_xlpm.rounded,ROUNDUP(Table2[[#This Row],[flux]],6),_xlpm.rounded)</f>
        <v>2.7600000000000004E-4</v>
      </c>
      <c r="G58" s="26" t="s">
        <v>259</v>
      </c>
      <c r="H58" s="12" t="str">
        <v>v.up('EX_thr__L_e_REV-SPONT')=0.000275526731556139 * %nscale%;</v>
      </c>
      <c r="W58" s="26" t="s">
        <v>259</v>
      </c>
    </row>
    <row r="59" spans="1:23">
      <c r="A59" s="12" t="s">
        <v>243</v>
      </c>
      <c r="B59" s="12">
        <v>0.12288</v>
      </c>
      <c r="C59" s="12">
        <v>105.09258</v>
      </c>
      <c r="D59" s="12" t="str">
        <f>"EX_"&amp;Table2[[#This Row],[compound]]</f>
        <v>EX_ser__L_e</v>
      </c>
      <c r="E59" s="12">
        <f>($A$5*Table2[[#This Row],[mass (g/L)]]/(Table2[[#This Row],[MW (g/mol)]]/1000))/$AH$5</f>
        <v>3.331210158561813E-4</v>
      </c>
      <c r="F59" s="12">
        <f>_xlfn.LET(_xlpm.dec,_xlfn.TEXTAFTER(Table2[[#This Row],[flux]],".",,,,0),_xlpm.rounded,ROUNDUP(Table2[[#This Row],[flux]],6),_xlpm.rounded)</f>
        <v>3.3400000000000004E-4</v>
      </c>
      <c r="G59" s="26" t="s">
        <v>259</v>
      </c>
      <c r="H59" s="12" t="str">
        <v>v.up('EX_ser__L_e_REV-SPONT')=0.000333121015856181 * %nscale%;</v>
      </c>
      <c r="W59" s="26" t="s">
        <v>259</v>
      </c>
    </row>
    <row r="60" spans="1:23">
      <c r="A60" s="12" t="s">
        <v>244</v>
      </c>
      <c r="B60" s="12">
        <v>0.51936000000000004</v>
      </c>
      <c r="C60" s="12">
        <v>146.12132</v>
      </c>
      <c r="D60" s="12" t="str">
        <f>"EX_"&amp;Table2[[#This Row],[compound]]</f>
        <v>EX_glu__L_e</v>
      </c>
      <c r="E60" s="12">
        <f>($A$5*Table2[[#This Row],[mass (g/L)]]/(Table2[[#This Row],[MW (g/mol)]]/1000))/$AH$5</f>
        <v>1.0126230174064398E-3</v>
      </c>
      <c r="F60" s="12">
        <f>_xlfn.LET(_xlpm.dec,_xlfn.TEXTAFTER(Table2[[#This Row],[flux]],".",,,,0),_xlpm.rounded,ROUNDUP(Table2[[#This Row],[flux]],6),_xlpm.rounded)</f>
        <v>1.013E-3</v>
      </c>
      <c r="G60" s="26" t="s">
        <v>259</v>
      </c>
      <c r="H60" s="12" t="str">
        <v>v.up('EX_glu__L_e_REV-SPONT')=0.00101262301740644 * %nscale%;</v>
      </c>
      <c r="W60" s="26" t="s">
        <v>259</v>
      </c>
    </row>
    <row r="61" spans="1:23">
      <c r="A61" s="12" t="s">
        <v>245</v>
      </c>
      <c r="B61" s="12">
        <v>0.19679999999999997</v>
      </c>
      <c r="C61" s="12">
        <v>75.066599999999994</v>
      </c>
      <c r="D61" s="12" t="str">
        <f>"EX_"&amp;Table2[[#This Row],[compound]]</f>
        <v>EX_gly_e</v>
      </c>
      <c r="E61" s="12">
        <f>($A$5*Table2[[#This Row],[mass (g/L)]]/(Table2[[#This Row],[MW (g/mol)]]/1000))/$AH$5</f>
        <v>7.469150869811082E-4</v>
      </c>
      <c r="F61" s="12">
        <f>_xlfn.LET(_xlpm.dec,_xlfn.TEXTAFTER(Table2[[#This Row],[flux]],".",,,,0),_xlpm.rounded,ROUNDUP(Table2[[#This Row],[flux]],6),_xlpm.rounded)</f>
        <v>7.4700000000000005E-4</v>
      </c>
      <c r="G61" s="26" t="s">
        <v>259</v>
      </c>
      <c r="H61" s="12" t="str">
        <v>v.up('EX_gly_e_REV-SPONT')=0.000746915086981108 * %nscale%;</v>
      </c>
      <c r="W61" s="26" t="s">
        <v>259</v>
      </c>
    </row>
    <row r="62" spans="1:23">
      <c r="A62" s="12" t="s">
        <v>246</v>
      </c>
      <c r="B62" s="12">
        <v>5.9519999999999997E-2</v>
      </c>
      <c r="C62" s="12">
        <v>181.18853999999999</v>
      </c>
      <c r="D62" s="12" t="str">
        <f>"EX_"&amp;Table2[[#This Row],[compound]]</f>
        <v>EX_tyr__L_e</v>
      </c>
      <c r="E62" s="12">
        <f>($A$5*Table2[[#This Row],[mass (g/L)]]/(Table2[[#This Row],[MW (g/mol)]]/1000))/$AH$5</f>
        <v>9.3589058983890229E-5</v>
      </c>
      <c r="F62" s="12">
        <f>_xlfn.LET(_xlpm.dec,_xlfn.TEXTAFTER(Table2[[#This Row],[flux]],".",,,,0),_xlpm.rounded,ROUNDUP(Table2[[#This Row],[flux]],6),_xlpm.rounded)</f>
        <v>9.3999999999999994E-5</v>
      </c>
      <c r="G62" s="26" t="s">
        <v>259</v>
      </c>
      <c r="H62" s="12" t="str">
        <v>v.up('EX_tyr__L_e_REV-SPONT')=9.35890589838902E-05 * %nscale%;</v>
      </c>
      <c r="W62" s="26" t="s">
        <v>259</v>
      </c>
    </row>
    <row r="63" spans="1:23">
      <c r="A63" s="12" t="s">
        <v>247</v>
      </c>
      <c r="B63" s="12">
        <v>0.11135999999999999</v>
      </c>
      <c r="C63" s="12">
        <v>147.19550000000001</v>
      </c>
      <c r="D63" s="12" t="str">
        <f>"EX_"&amp;Table2[[#This Row],[compound]]</f>
        <v>EX_lys__L_e</v>
      </c>
      <c r="E63" s="12">
        <f>($A$5*Table2[[#This Row],[mass (g/L)]]/(Table2[[#This Row],[MW (g/mol)]]/1000))/$AH$5</f>
        <v>2.1553984820524893E-4</v>
      </c>
      <c r="F63" s="12">
        <f>_xlfn.LET(_xlpm.dec,_xlfn.TEXTAFTER(Table2[[#This Row],[flux]],".",,,,0),_xlpm.rounded,ROUNDUP(Table2[[#This Row],[flux]],6),_xlpm.rounded)</f>
        <v>2.1599999999999999E-4</v>
      </c>
      <c r="G63" s="26" t="s">
        <v>259</v>
      </c>
      <c r="H63" s="12" t="str">
        <v>v.up('EX_lys__L_e_REV-SPONT')=0.000215539848205249 * %nscale%;</v>
      </c>
      <c r="W63" s="26" t="s">
        <v>259</v>
      </c>
    </row>
    <row r="64" spans="1:23">
      <c r="A64" s="12" t="s">
        <v>248</v>
      </c>
      <c r="B64" s="12">
        <v>0.14495999999999998</v>
      </c>
      <c r="C64" s="12">
        <v>175.2089</v>
      </c>
      <c r="D64" s="12" t="str">
        <f>"EX_"&amp;Table2[[#This Row],[compound]]</f>
        <v>EX_arg__L_e</v>
      </c>
      <c r="E64" s="12">
        <f>($A$5*Table2[[#This Row],[mass (g/L)]]/(Table2[[#This Row],[MW (g/mol)]]/1000))/$AH$5</f>
        <v>2.3571374113498395E-4</v>
      </c>
      <c r="F64" s="12">
        <f>_xlfn.LET(_xlpm.dec,_xlfn.TEXTAFTER(Table2[[#This Row],[flux]],".",,,,0),_xlpm.rounded,ROUNDUP(Table2[[#This Row],[flux]],6),_xlpm.rounded)</f>
        <v>2.3599999999999999E-4</v>
      </c>
      <c r="G64" s="26" t="s">
        <v>259</v>
      </c>
      <c r="H64" s="12" t="str">
        <v>v.up('EX_arg__L_e_REV-SPONT')=0.000235713741134984 * %nscale%;</v>
      </c>
      <c r="W64" s="26" t="s">
        <v>259</v>
      </c>
    </row>
    <row r="65" spans="1:23">
      <c r="A65" s="28" t="s">
        <v>249</v>
      </c>
      <c r="B65" s="12">
        <v>1.6320000000000001E-2</v>
      </c>
      <c r="C65" s="12">
        <v>204.22517999999999</v>
      </c>
      <c r="D65" s="12" t="str">
        <f>"EX_"&amp;Table2[[#This Row],[compound]]</f>
        <v>EX_trp__L_e</v>
      </c>
      <c r="E65" s="12">
        <f>($A$5*Table2[[#This Row],[mass (g/L)]]/(Table2[[#This Row],[MW (g/mol)]]/1000))/$AH$5</f>
        <v>2.2766892160764158E-5</v>
      </c>
      <c r="F65" s="12">
        <f>_xlfn.LET(_xlpm.dec,_xlfn.TEXTAFTER(Table2[[#This Row],[flux]],".",,,,0),_xlpm.rounded,ROUNDUP(Table2[[#This Row],[flux]],6),_xlpm.rounded)</f>
        <v>2.3E-5</v>
      </c>
      <c r="G65" s="26" t="s">
        <v>259</v>
      </c>
      <c r="H65" s="12" t="str">
        <v>v.up('EX_trp__L_e_REV-SPONT')=2.27668921607642E-05 * %nscale%;</v>
      </c>
      <c r="W65" s="26" t="s">
        <v>259</v>
      </c>
    </row>
    <row r="66" spans="1:23">
      <c r="A66" s="12" t="s">
        <v>250</v>
      </c>
      <c r="B66" s="12">
        <v>33.024000000000001</v>
      </c>
      <c r="C66" s="12">
        <v>104.17075999999901</v>
      </c>
      <c r="D66" s="12" t="str">
        <f>"EX_"&amp;Table2[[#This Row],[compound]]</f>
        <v>EX_chol_e</v>
      </c>
      <c r="E66" s="12">
        <f>($A$5*Table2[[#This Row],[mass (g/L)]]/(Table2[[#This Row],[MW (g/mol)]]/1000))/$AH$5</f>
        <v>9.0318502126192593E-2</v>
      </c>
      <c r="F66" s="12">
        <f>_xlfn.LET(_xlpm.dec,_xlfn.TEXTAFTER(Table2[[#This Row],[flux]],".",,,,0),_xlpm.rounded,ROUNDUP(Table2[[#This Row],[flux]],6),_xlpm.rounded)</f>
        <v>9.0318999999999997E-2</v>
      </c>
      <c r="G66" s="26" t="s">
        <v>259</v>
      </c>
      <c r="H66" s="12" t="str">
        <v>v.up('EX_chol_e_REV-SPONT')=0.0903185021261926 * %nscale%;</v>
      </c>
      <c r="W66" s="26" t="s">
        <v>259</v>
      </c>
    </row>
    <row r="67" spans="1:23">
      <c r="A67" s="28" t="s">
        <v>251</v>
      </c>
      <c r="B67" s="12">
        <v>0.36863999999999997</v>
      </c>
      <c r="C67" s="12">
        <v>89.093180000000004</v>
      </c>
      <c r="D67" s="12" t="str">
        <f>"EX_"&amp;Table2[[#This Row],[compound]]</f>
        <v>EX_ala__L_e</v>
      </c>
      <c r="E67" s="12">
        <f>($A$5*Table2[[#This Row],[mass (g/L)]]/(Table2[[#This Row],[MW (g/mol)]]/1000))/$AH$5</f>
        <v>1.1788291878866708E-3</v>
      </c>
      <c r="F67" s="12">
        <f>_xlfn.LET(_xlpm.dec,_xlfn.TEXTAFTER(Table2[[#This Row],[flux]],".",,,,0),_xlpm.rounded,ROUNDUP(Table2[[#This Row],[flux]],6),_xlpm.rounded)</f>
        <v>1.1789999999999999E-3</v>
      </c>
      <c r="G67" s="26" t="s">
        <v>259</v>
      </c>
      <c r="H67" s="12" t="str">
        <v>v.up('EX_ala__L_e_REV-SPONT')=0.00117882918788667 * %nscale%;</v>
      </c>
      <c r="W67" s="26" t="s">
        <v>259</v>
      </c>
    </row>
    <row r="68" spans="1:23">
      <c r="A68" s="12" t="s">
        <v>252</v>
      </c>
      <c r="B68" s="12">
        <v>0.19008</v>
      </c>
      <c r="C68" s="12">
        <v>117.14634</v>
      </c>
      <c r="D68" s="12" t="str">
        <f>"EX_"&amp;Table2[[#This Row],[compound]]</f>
        <v>EX_val__L_e</v>
      </c>
      <c r="E68" s="12">
        <f>($A$5*Table2[[#This Row],[mass (g/L)]]/(Table2[[#This Row],[MW (g/mol)]]/1000))/$AH$5</f>
        <v>4.6227518635107292E-4</v>
      </c>
      <c r="F68" s="12">
        <f>_xlfn.LET(_xlpm.dec,_xlfn.TEXTAFTER(Table2[[#This Row],[flux]],".",,,,0),_xlpm.rounded,ROUNDUP(Table2[[#This Row],[flux]],6),_xlpm.rounded)</f>
        <v>4.6300000000000003E-4</v>
      </c>
      <c r="G68" s="26" t="s">
        <v>259</v>
      </c>
      <c r="H68" s="12" t="str">
        <v>v.up('EX_val__L_e_REV-SPONT')=0.000462275186351073 * %nscale%;</v>
      </c>
      <c r="W68" s="26" t="s">
        <v>259</v>
      </c>
    </row>
    <row r="69" spans="1:23">
      <c r="A69" s="12" t="s">
        <v>253</v>
      </c>
      <c r="B69" s="12">
        <v>6.9120000000000001E-2</v>
      </c>
      <c r="C69" s="12">
        <v>149.21134000000001</v>
      </c>
      <c r="D69" s="12" t="str">
        <f>"EX_"&amp;Table2[[#This Row],[compound]]</f>
        <v>EX_met__L_e</v>
      </c>
      <c r="E69" s="12">
        <f>($A$5*Table2[[#This Row],[mass (g/L)]]/(Table2[[#This Row],[MW (g/mol)]]/1000))/$AH$5</f>
        <v>1.3197594561048572E-4</v>
      </c>
      <c r="F69" s="12">
        <f>_xlfn.LET(_xlpm.dec,_xlfn.TEXTAFTER(Table2[[#This Row],[flux]],".",,,,0),_xlpm.rounded,ROUNDUP(Table2[[#This Row],[flux]],6),_xlpm.rounded)</f>
        <v>1.3200000000000001E-4</v>
      </c>
      <c r="G69" s="26" t="s">
        <v>259</v>
      </c>
      <c r="H69" s="12" t="str">
        <v>v.up('EX_met__L_e_REV-SPONT')=0.000131975945610486 * %nscale%;</v>
      </c>
      <c r="W69" s="26" t="s">
        <v>259</v>
      </c>
    </row>
    <row r="70" spans="1:23">
      <c r="A70" s="12" t="s">
        <v>254</v>
      </c>
      <c r="B70" s="12">
        <v>0.11616</v>
      </c>
      <c r="C70" s="12">
        <v>131.17291999999901</v>
      </c>
      <c r="D70" s="12" t="str">
        <f>"EX_"&amp;Table2[[#This Row],[compound]]</f>
        <v>EX_ile__L_e</v>
      </c>
      <c r="E70" s="12">
        <f>($A$5*Table2[[#This Row],[mass (g/L)]]/(Table2[[#This Row],[MW (g/mol)]]/1000))/$AH$5</f>
        <v>2.5229305785079225E-4</v>
      </c>
      <c r="F70" s="12">
        <f>_xlfn.LET(_xlpm.dec,_xlfn.TEXTAFTER(Table2[[#This Row],[flux]],".",,,,0),_xlpm.rounded,ROUNDUP(Table2[[#This Row],[flux]],6),_xlpm.rounded)</f>
        <v>2.5300000000000002E-4</v>
      </c>
      <c r="G70" s="26" t="s">
        <v>259</v>
      </c>
      <c r="H70" s="12" t="str">
        <v>v.up('EX_ile__L_e_REV-SPONT')=0.000252293057850792 * %nscale%;</v>
      </c>
      <c r="W70" s="26" t="s">
        <v>259</v>
      </c>
    </row>
    <row r="71" spans="1:23">
      <c r="A71" s="12" t="s">
        <v>255</v>
      </c>
      <c r="B71" s="12">
        <v>0.32640000000000002</v>
      </c>
      <c r="C71" s="12">
        <v>131.17291999999901</v>
      </c>
      <c r="D71" s="12" t="str">
        <f>"EX_"&amp;Table2[[#This Row],[compound]]</f>
        <v>EX_leu__L_e</v>
      </c>
      <c r="E71" s="12">
        <f>($A$5*Table2[[#This Row],[mass (g/L)]]/(Table2[[#This Row],[MW (g/mol)]]/1000))/$AH$5</f>
        <v>7.0892264189478815E-4</v>
      </c>
      <c r="F71" s="12">
        <f>_xlfn.LET(_xlpm.dec,_xlfn.TEXTAFTER(Table2[[#This Row],[flux]],".",,,,0),_xlpm.rounded,ROUNDUP(Table2[[#This Row],[flux]],6),_xlpm.rounded)</f>
        <v>7.0899999999999999E-4</v>
      </c>
      <c r="G71" s="26" t="s">
        <v>259</v>
      </c>
      <c r="H71" s="12" t="str">
        <v>v.up('EX_leu__L_e_REV-SPONT')=0.000708922641894788 * %nscale%;</v>
      </c>
      <c r="W71" s="26" t="s">
        <v>259</v>
      </c>
    </row>
    <row r="72" spans="1:23">
      <c r="A72" s="12" t="s">
        <v>256</v>
      </c>
      <c r="B72" s="12">
        <v>0.13247999999999999</v>
      </c>
      <c r="C72" s="12">
        <v>165.18913999999899</v>
      </c>
      <c r="D72" s="12" t="str">
        <f>"EX_"&amp;Table2[[#This Row],[compound]]</f>
        <v>EX_phe__L_e</v>
      </c>
      <c r="E72" s="12">
        <f>($A$5*Table2[[#This Row],[mass (g/L)]]/(Table2[[#This Row],[MW (g/mol)]]/1000))/$AH$5</f>
        <v>2.2848711327869354E-4</v>
      </c>
      <c r="F72" s="12">
        <f>_xlfn.LET(_xlpm.dec,_xlfn.TEXTAFTER(Table2[[#This Row],[flux]],".",,,,0),_xlpm.rounded,ROUNDUP(Table2[[#This Row],[flux]],6),_xlpm.rounded)</f>
        <v>2.2900000000000001E-4</v>
      </c>
      <c r="G72" s="26" t="s">
        <v>259</v>
      </c>
      <c r="H72" s="12" t="str">
        <v>v.up('EX_phe__L_e_REV-SPONT')=0.000228487113278694 * %nscale%;</v>
      </c>
      <c r="W72" s="26" t="s">
        <v>259</v>
      </c>
    </row>
    <row r="73" spans="1:23">
      <c r="A73" s="12" t="s">
        <v>257</v>
      </c>
      <c r="B73" s="12">
        <v>0.11135999999999999</v>
      </c>
      <c r="C73" s="12">
        <v>155.15456</v>
      </c>
      <c r="D73" s="12" t="str">
        <f>"EX_"&amp;Table2[[#This Row],[compound]]</f>
        <v>EX_his__L_e</v>
      </c>
      <c r="E73" s="12">
        <f>($A$5*Table2[[#This Row],[mass (g/L)]]/(Table2[[#This Row],[MW (g/mol)]]/1000))/$AH$5</f>
        <v>2.0448316650503677E-4</v>
      </c>
      <c r="F73" s="12">
        <f>_xlfn.LET(_xlpm.dec,_xlfn.TEXTAFTER(Table2[[#This Row],[flux]],".",,,,0),_xlpm.rounded,ROUNDUP(Table2[[#This Row],[flux]],6),_xlpm.rounded)</f>
        <v>2.05E-4</v>
      </c>
      <c r="G73" s="26" t="s">
        <v>259</v>
      </c>
      <c r="H73" s="12" t="str">
        <v>v.up('EX_his__L_e_REV-SPONT')=0.000204483166505037 * %nscale%;</v>
      </c>
      <c r="W73" s="26" t="s">
        <v>259</v>
      </c>
    </row>
    <row r="74" spans="1:23">
      <c r="A74" s="12" t="s">
        <v>258</v>
      </c>
      <c r="B74" s="12">
        <v>0.30719999999999997</v>
      </c>
      <c r="C74" s="12">
        <v>115.13046</v>
      </c>
      <c r="D74" s="12" t="str">
        <f>"EX_"&amp;Table2[[#This Row],[compound]]</f>
        <v>EX_pro__L_e</v>
      </c>
      <c r="E74" s="12">
        <f>($A$5*Table2[[#This Row],[mass (g/L)]]/(Table2[[#This Row],[MW (g/mol)]]/1000))/$AH$5</f>
        <v>7.6019298039256935E-4</v>
      </c>
      <c r="F74" s="12">
        <f>_xlfn.LET(_xlpm.dec,_xlfn.TEXTAFTER(Table2[[#This Row],[flux]],".",,,,0),_xlpm.rounded,ROUNDUP(Table2[[#This Row],[flux]],6),_xlpm.rounded)</f>
        <v>7.6100000000000007E-4</v>
      </c>
      <c r="G74" s="26" t="s">
        <v>259</v>
      </c>
      <c r="H74" s="12" t="str">
        <v>v.up('EX_pro__L_e_REV-SPONT')=0.000760192980392569 * %nscale%;</v>
      </c>
      <c r="W74" s="26" t="s">
        <v>259</v>
      </c>
    </row>
  </sheetData>
  <mergeCells count="3">
    <mergeCell ref="L2:Q2"/>
    <mergeCell ref="R2:W2"/>
    <mergeCell ref="X2:AC2"/>
  </mergeCells>
  <phoneticPr fontId="23" type="noConversion"/>
  <hyperlinks>
    <hyperlink ref="D22" r:id="rId1" location="overview" display="https://www.dow.com/en-us/pdp.tergitol-l-81-surfactant.77582z.html - overview" xr:uid="{E8219058-2415-3F41-A762-01E716647A54}"/>
    <hyperlink ref="B1" r:id="rId2" display="https://academic.oup.com/jimb/article/42/11/1463/5995377" xr:uid="{36AA8AAE-B110-5E4A-86BE-0AE879CF03B5}"/>
    <hyperlink ref="O26" r:id="rId3" display="https://www.researchgate.net/figure/Nutritional-substances-contained-in-the-corn-steep-liquor_tbl1_342937941" xr:uid="{9CADB7E8-14B6-3A4D-82F3-F4D3A882BC70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6F3-917F-804D-956E-08CAC7DE70CE}">
  <dimension ref="A1:AJ74"/>
  <sheetViews>
    <sheetView topLeftCell="C1" workbookViewId="0">
      <selection activeCell="AF5" sqref="AF5"/>
    </sheetView>
  </sheetViews>
  <sheetFormatPr baseColWidth="10" defaultRowHeight="16"/>
  <cols>
    <col min="1" max="2" width="11" style="12" customWidth="1"/>
    <col min="3" max="3" width="14.6640625" style="12" bestFit="1" customWidth="1"/>
    <col min="4" max="4" width="11" style="12" customWidth="1"/>
    <col min="5" max="5" width="10.83203125" style="12"/>
    <col min="6" max="6" width="12.1640625" style="12" customWidth="1"/>
    <col min="7" max="10" width="10.83203125" style="12"/>
    <col min="11" max="11" width="12.6640625" style="12" bestFit="1" customWidth="1"/>
    <col min="12" max="12" width="12.6640625" style="12" customWidth="1"/>
    <col min="13" max="13" width="7.83203125" style="12" bestFit="1" customWidth="1"/>
    <col min="14" max="14" width="12.83203125" style="12" bestFit="1" customWidth="1"/>
    <col min="15" max="15" width="11.6640625" style="12" bestFit="1" customWidth="1"/>
    <col min="16" max="16" width="12" style="12" bestFit="1" customWidth="1"/>
    <col min="17" max="18" width="12" style="12" customWidth="1"/>
    <col min="19" max="19" width="8.83203125" style="12" bestFit="1" customWidth="1"/>
    <col min="20" max="20" width="13.83203125" style="12" bestFit="1" customWidth="1"/>
    <col min="21" max="21" width="12.6640625" style="12" bestFit="1" customWidth="1"/>
    <col min="22" max="22" width="13" style="12" bestFit="1" customWidth="1"/>
    <col min="23" max="24" width="13" style="12" customWidth="1"/>
    <col min="25" max="25" width="9.83203125" style="12" bestFit="1" customWidth="1"/>
    <col min="26" max="26" width="10.1640625" style="12" bestFit="1" customWidth="1"/>
    <col min="27" max="27" width="13.6640625" style="12" bestFit="1" customWidth="1"/>
    <col min="28" max="28" width="14" style="12" bestFit="1" customWidth="1"/>
    <col min="29" max="29" width="14" style="12" customWidth="1"/>
    <col min="30" max="30" width="16" style="12" customWidth="1"/>
    <col min="31" max="31" width="13.33203125" style="12" bestFit="1" customWidth="1"/>
    <col min="32" max="32" width="35.33203125" style="12" bestFit="1" customWidth="1"/>
    <col min="33" max="33" width="13.6640625" style="12" bestFit="1" customWidth="1"/>
    <col min="34" max="34" width="9.83203125" style="12" customWidth="1"/>
    <col min="35" max="35" width="13" style="12" customWidth="1"/>
    <col min="36" max="16384" width="10.83203125" style="12"/>
  </cols>
  <sheetData>
    <row r="1" spans="1:36" ht="17" thickBot="1">
      <c r="A1"/>
      <c r="B1" s="4" t="s">
        <v>115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6" ht="20" thickBot="1">
      <c r="A2"/>
      <c r="B2" s="9" t="s">
        <v>116</v>
      </c>
      <c r="C2"/>
      <c r="D2"/>
      <c r="E2"/>
      <c r="F2"/>
      <c r="G2"/>
      <c r="H2"/>
      <c r="I2"/>
      <c r="J2"/>
      <c r="K2"/>
      <c r="L2" s="45" t="s">
        <v>126</v>
      </c>
      <c r="M2" s="46"/>
      <c r="N2" s="46"/>
      <c r="O2" s="46"/>
      <c r="P2" s="46"/>
      <c r="Q2" s="47"/>
      <c r="R2" s="45" t="s">
        <v>82</v>
      </c>
      <c r="S2" s="46"/>
      <c r="T2" s="46"/>
      <c r="U2" s="46"/>
      <c r="V2" s="46"/>
      <c r="W2" s="47"/>
      <c r="X2" s="45" t="s">
        <v>83</v>
      </c>
      <c r="Y2" s="46"/>
      <c r="Z2" s="46"/>
      <c r="AA2" s="46"/>
      <c r="AB2" s="46"/>
      <c r="AC2" s="47"/>
      <c r="AD2"/>
      <c r="AE2"/>
      <c r="AF2"/>
      <c r="AG2"/>
    </row>
    <row r="3" spans="1:36" s="23" customFormat="1" ht="48">
      <c r="A3" s="21" t="s">
        <v>133</v>
      </c>
      <c r="B3" s="22" t="s">
        <v>138</v>
      </c>
      <c r="C3" s="21" t="s">
        <v>117</v>
      </c>
      <c r="D3" s="21" t="s">
        <v>118</v>
      </c>
      <c r="E3" s="21" t="s">
        <v>119</v>
      </c>
      <c r="F3" s="21" t="s">
        <v>120</v>
      </c>
      <c r="G3" s="21" t="s">
        <v>121</v>
      </c>
      <c r="H3" s="21" t="s">
        <v>122</v>
      </c>
      <c r="I3" s="21" t="s">
        <v>123</v>
      </c>
      <c r="J3" s="21" t="s">
        <v>124</v>
      </c>
      <c r="K3" s="21" t="s">
        <v>125</v>
      </c>
      <c r="L3" s="21" t="s">
        <v>266</v>
      </c>
      <c r="M3" s="21" t="s">
        <v>269</v>
      </c>
      <c r="N3" s="21" t="s">
        <v>263</v>
      </c>
      <c r="O3" s="21" t="s">
        <v>127</v>
      </c>
      <c r="P3" s="21" t="s">
        <v>128</v>
      </c>
      <c r="Q3" s="21" t="s">
        <v>262</v>
      </c>
      <c r="R3" s="21" t="s">
        <v>267</v>
      </c>
      <c r="S3" s="21" t="s">
        <v>270</v>
      </c>
      <c r="T3" s="21" t="s">
        <v>264</v>
      </c>
      <c r="U3" s="21" t="s">
        <v>129</v>
      </c>
      <c r="V3" s="21" t="s">
        <v>130</v>
      </c>
      <c r="W3" s="21" t="s">
        <v>272</v>
      </c>
      <c r="X3" s="21" t="s">
        <v>268</v>
      </c>
      <c r="Y3" s="21" t="s">
        <v>271</v>
      </c>
      <c r="Z3" s="21" t="s">
        <v>265</v>
      </c>
      <c r="AA3" s="21" t="s">
        <v>131</v>
      </c>
      <c r="AB3" s="21" t="s">
        <v>132</v>
      </c>
      <c r="AC3" s="21" t="s">
        <v>273</v>
      </c>
      <c r="AD3" s="21" t="s">
        <v>134</v>
      </c>
      <c r="AE3" s="21" t="s">
        <v>135</v>
      </c>
      <c r="AF3" s="21" t="s">
        <v>137</v>
      </c>
      <c r="AG3" s="21" t="s">
        <v>136</v>
      </c>
      <c r="AH3" s="24" t="s">
        <v>164</v>
      </c>
      <c r="AI3" s="44" t="s">
        <v>435</v>
      </c>
    </row>
    <row r="4" spans="1:36">
      <c r="A4" s="11">
        <v>2</v>
      </c>
      <c r="B4" s="11">
        <f>Table153[[#This Row],[Biomass (g/L)]]-Table153[[#This Row],[Total FAs (g/L)]]</f>
        <v>61.870000000000005</v>
      </c>
      <c r="C4" s="10">
        <v>20</v>
      </c>
      <c r="D4" s="10">
        <f>75-24</f>
        <v>51</v>
      </c>
      <c r="E4" s="10">
        <v>63.1</v>
      </c>
      <c r="F4" s="10">
        <v>58</v>
      </c>
      <c r="G4" s="10">
        <v>0.31</v>
      </c>
      <c r="H4" s="10">
        <v>0.92</v>
      </c>
      <c r="I4" s="10">
        <v>1.23</v>
      </c>
      <c r="J4" s="10">
        <v>0.02</v>
      </c>
      <c r="K4" s="10">
        <v>0.01</v>
      </c>
      <c r="L4" s="10">
        <v>268.5</v>
      </c>
      <c r="M4" s="11"/>
      <c r="N4" s="11"/>
      <c r="O4" s="11">
        <f>Table153[[#This Row],[Yield (g/g)]]*(M4-N4)/100</f>
        <v>0</v>
      </c>
      <c r="P4" s="11">
        <f>Table153[[#This Row],[Yield (g/g)]]*(M4+N4)/100</f>
        <v>0</v>
      </c>
      <c r="Q4" s="11">
        <f>Table153[[#This Row],[Total FAs (g/L)]]*((M4-N4)/100)*1000/(L4*Table153[[#This Row],[Biomass (g/L)]]*Table153[[#This Row],[Time (h)]])</f>
        <v>0</v>
      </c>
      <c r="R4" s="11">
        <v>270.5</v>
      </c>
      <c r="S4" s="11"/>
      <c r="T4" s="11"/>
      <c r="U4" s="11">
        <f>Table153[[#This Row],[Yield (g/g)]]*(S4-T4)/100</f>
        <v>0</v>
      </c>
      <c r="V4" s="11">
        <f>Table153[[#This Row],[Yield (g/g)]]*(S4+T4)/100</f>
        <v>0</v>
      </c>
      <c r="W4" s="11">
        <f>Table153[[#This Row],[Total FAs (g/L)]]*((S4-T4)/100)*1000/(R4*Table153[[#This Row],[Biomass (g/L)]]*Table153[[#This Row],[Time (h)]])</f>
        <v>0</v>
      </c>
      <c r="X4" s="11">
        <v>242.44</v>
      </c>
      <c r="Y4" s="11"/>
      <c r="Z4" s="11"/>
      <c r="AA4" s="11">
        <f>Table153[[#This Row],[Yield (g/g)]]*(Y4-Z4)/100</f>
        <v>0</v>
      </c>
      <c r="AB4" s="11">
        <f>Table153[[#This Row],[Yield (g/g)]]*(Y4+Z4)/100</f>
        <v>0</v>
      </c>
      <c r="AC4" s="11">
        <f>Table153[[#This Row],[Total FAs (g/L)]]*((Y4-Z4)/100)*1000/(X4*Table153[[#This Row],[Biomass (g/L)]]*Table153[[#This Row],[Time (h)]])</f>
        <v>0</v>
      </c>
      <c r="AD4" s="11">
        <f>(1/Table153[[#This Row],[Time (h)]])</f>
        <v>1.9607843137254902E-2</v>
      </c>
      <c r="AE4" s="11">
        <v>60</v>
      </c>
      <c r="AF4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;EX_sucr_e:(-0.113881292152846,1000)</v>
      </c>
      <c r="AG4" s="11">
        <v>342.29647999999997</v>
      </c>
      <c r="AH4" s="20">
        <f>Table153[[#This Row],[Biomass - FAs (g/L)]]*Table153[[#This Row],[volume (L)]]*Table153[[#This Row],[Time (h)]]</f>
        <v>6310.7400000000007</v>
      </c>
      <c r="AI4" s="20">
        <v>60</v>
      </c>
    </row>
    <row r="5" spans="1:36">
      <c r="A5" s="11">
        <v>2</v>
      </c>
      <c r="B5" s="11">
        <f>Table153[[#This Row],[Biomass (g/L)]]-Table153[[#This Row],[Total FAs (g/L)]]</f>
        <v>6.8000000000000025</v>
      </c>
      <c r="C5" s="10">
        <v>3</v>
      </c>
      <c r="D5" s="10">
        <f>75-24</f>
        <v>51</v>
      </c>
      <c r="E5" s="10">
        <f>55.2-40</f>
        <v>15.200000000000003</v>
      </c>
      <c r="F5" s="10">
        <v>6.5</v>
      </c>
      <c r="G5" s="10">
        <v>2.2999999999999998</v>
      </c>
      <c r="H5" s="10">
        <v>6.1</v>
      </c>
      <c r="I5" s="10">
        <v>8.4</v>
      </c>
      <c r="J5" s="10">
        <v>0.11</v>
      </c>
      <c r="K5" s="10">
        <v>0.04</v>
      </c>
      <c r="L5" s="10">
        <f>L4</f>
        <v>268.5</v>
      </c>
      <c r="M5" s="11">
        <v>69</v>
      </c>
      <c r="N5" s="11">
        <v>1</v>
      </c>
      <c r="O5" s="11">
        <f>Table153[[#This Row],[Yield (g/g)]]*(M5-N5)/100</f>
        <v>2.7200000000000002E-2</v>
      </c>
      <c r="P5" s="11">
        <f>Table153[[#This Row],[Yield (g/g)]]*(M5+N5)/100</f>
        <v>2.8000000000000004E-2</v>
      </c>
      <c r="Q5" s="11">
        <f>Table153[[#This Row],[Total FAs (g/L)]]*((M5-N5)/100)*1000/(L5*Table153[[#This Row],[Biomass (g/L)]]*Table153[[#This Row],[Time (h)]])</f>
        <v>2.7442908948348523E-2</v>
      </c>
      <c r="R5" s="11">
        <f>R4</f>
        <v>270.5</v>
      </c>
      <c r="S5" s="11">
        <v>19</v>
      </c>
      <c r="T5" s="11">
        <v>4</v>
      </c>
      <c r="U5" s="11">
        <f>Table153[[#This Row],[Yield (g/g)]]*(S5-T5)/100</f>
        <v>6.0000000000000001E-3</v>
      </c>
      <c r="V5" s="11">
        <f>Table153[[#This Row],[Yield (g/g)]]*(S5+T5)/100</f>
        <v>9.1999999999999998E-3</v>
      </c>
      <c r="W5" s="11">
        <f>Table153[[#This Row],[Total FAs (g/L)]]*((S5-T5)/100)*1000/(R5*Table153[[#This Row],[Biomass (g/L)]]*Table153[[#This Row],[Time (h)]])</f>
        <v>6.0088243878152481E-3</v>
      </c>
      <c r="X5" s="11">
        <f>X4</f>
        <v>242.44</v>
      </c>
      <c r="Y5" s="11">
        <v>12</v>
      </c>
      <c r="Z5" s="11">
        <v>3</v>
      </c>
      <c r="AA5" s="11">
        <f>Table153[[#This Row],[Yield (g/g)]]*(Y5-Z5)/100</f>
        <v>3.5999999999999999E-3</v>
      </c>
      <c r="AB5" s="11">
        <f>Table153[[#This Row],[Yield (g/g)]]*(Y5+Z5)/100</f>
        <v>6.0000000000000001E-3</v>
      </c>
      <c r="AC5" s="11">
        <f>Table153[[#This Row],[Total FAs (g/L)]]*((Y5-Z5)/100)*1000/(X5*Table153[[#This Row],[Biomass (g/L)]]*Table153[[#This Row],[Time (h)]])</f>
        <v>4.0225713501996973E-3</v>
      </c>
      <c r="AD5" s="11">
        <f>(1/Table153[[#This Row],[Time (h)]])</f>
        <v>1.9607843137254902E-2</v>
      </c>
      <c r="AE5" s="11">
        <v>60</v>
      </c>
      <c r="AF5" s="11" t="str">
        <f>";EX_sucr_e:(-"&amp;((Table153[[#This Row],[Total FAs (g/L)]]/Table153[[#This Row],[Yield (g/g)]])/(Table153[[#This Row],[substrate MW (g/mol)]]/1000))/(Table153[[#This Row],[Biomass - FAs (g/L)]]*Table153[[#This Row],[Time (h)]])&amp;",1000)"</f>
        <v>;EX_sucr_e:(-1.76904048846757,1000)</v>
      </c>
      <c r="AG5" s="11">
        <v>342.29647999999997</v>
      </c>
      <c r="AH5" s="20">
        <f>Table153[[#This Row],[Biomass - FAs (g/L)]]*Table153[[#This Row],[volume (L)]]*Table153[[#This Row],[Time (h)]]</f>
        <v>693.60000000000025</v>
      </c>
      <c r="AI5" s="20">
        <v>60</v>
      </c>
    </row>
    <row r="6" spans="1:36">
      <c r="A6" s="12" t="s">
        <v>139</v>
      </c>
      <c r="AF6" s="12">
        <f>(1/K5)*I5*A5/(AH5*AG5/1000)</f>
        <v>1.7690404884675723</v>
      </c>
    </row>
    <row r="7" spans="1:36">
      <c r="A7" s="12" t="s">
        <v>140</v>
      </c>
      <c r="AF7" s="33" t="s">
        <v>278</v>
      </c>
      <c r="AG7" s="33" t="s">
        <v>279</v>
      </c>
      <c r="AH7" s="33" t="s">
        <v>280</v>
      </c>
      <c r="AJ7" s="33" t="s">
        <v>281</v>
      </c>
    </row>
    <row r="8" spans="1:36">
      <c r="A8" s="12" t="str" cm="1">
        <f t="array" ref="A8:H12">_xlfn.TEXTSPLIT(A7," ",", ")</f>
        <v>supplemented</v>
      </c>
      <c r="B8" s="12" t="str">
        <v>with</v>
      </c>
      <c r="C8" s="12" t="str">
        <v>KH2PO4 0.75 g/L</v>
      </c>
      <c r="D8" s="12" t="e">
        <v>#N/A</v>
      </c>
      <c r="E8" s="12" t="e">
        <v>#N/A</v>
      </c>
      <c r="F8" s="12" t="e">
        <v>#N/A</v>
      </c>
      <c r="G8" s="12" t="e">
        <v>#N/A</v>
      </c>
      <c r="H8" s="12" t="e">
        <v>#N/A</v>
      </c>
      <c r="AF8" s="33" t="s">
        <v>279</v>
      </c>
      <c r="AG8" s="33" t="s">
        <v>280</v>
      </c>
      <c r="AI8" s="33" t="s">
        <v>164</v>
      </c>
      <c r="AJ8" s="33" t="s">
        <v>278</v>
      </c>
    </row>
    <row r="9" spans="1:36">
      <c r="A9" s="12" t="str">
        <v>NH4NO3 0.7 g/L</v>
      </c>
      <c r="B9" s="12" t="e">
        <v>#N/A</v>
      </c>
      <c r="C9" s="12" t="e">
        <v>#N/A</v>
      </c>
      <c r="D9" s="12" t="e">
        <v>#N/A</v>
      </c>
      <c r="E9" s="12" t="e">
        <v>#N/A</v>
      </c>
      <c r="F9" s="12" t="e">
        <v>#N/A</v>
      </c>
      <c r="G9" s="12" t="e">
        <v>#N/A</v>
      </c>
      <c r="H9" s="12" t="e">
        <v>#N/A</v>
      </c>
    </row>
    <row r="10" spans="1:36">
      <c r="A10" s="12" t="str">
        <v>CaCl2·2H2O</v>
      </c>
      <c r="B10" s="12" t="str">
        <v>0.4 g/L</v>
      </c>
      <c r="C10" s="12" t="e">
        <v>#N/A</v>
      </c>
      <c r="D10" s="12" t="e">
        <v>#N/A</v>
      </c>
      <c r="E10" s="12" t="e">
        <v>#N/A</v>
      </c>
      <c r="F10" s="12" t="e">
        <v>#N/A</v>
      </c>
      <c r="G10" s="12" t="e">
        <v>#N/A</v>
      </c>
      <c r="H10" s="12" t="e">
        <v>#N/A</v>
      </c>
    </row>
    <row r="11" spans="1:36">
      <c r="A11" s="12" t="str">
        <v>MgSO4·7H2O</v>
      </c>
      <c r="B11" s="12" t="str">
        <v>0.4 g/L</v>
      </c>
      <c r="C11" s="12" t="e">
        <v>#N/A</v>
      </c>
      <c r="D11" s="12" t="e">
        <v>#N/A</v>
      </c>
      <c r="E11" s="12" t="e">
        <v>#N/A</v>
      </c>
      <c r="F11" s="12" t="e">
        <v>#N/A</v>
      </c>
      <c r="G11" s="12" t="e">
        <v>#N/A</v>
      </c>
      <c r="H11" s="12" t="e">
        <v>#N/A</v>
      </c>
    </row>
    <row r="12" spans="1:36">
      <c r="A12" s="12" t="str">
        <v>corn</v>
      </c>
      <c r="B12" s="12" t="str">
        <v>steep</v>
      </c>
      <c r="C12" s="12" t="str">
        <v>liquor</v>
      </c>
      <c r="D12" s="12" t="str">
        <v>22.5 g/L</v>
      </c>
      <c r="E12" s="12" t="str">
        <v>and</v>
      </c>
      <c r="F12" s="12" t="str">
        <v>Tergitol™</v>
      </c>
      <c r="G12" s="12" t="str">
        <v>L-81</v>
      </c>
      <c r="H12" s="12" t="str">
        <v>5 g/L</v>
      </c>
    </row>
    <row r="16" spans="1:36">
      <c r="A16" s="12" t="s">
        <v>141</v>
      </c>
      <c r="B16" s="12">
        <v>100</v>
      </c>
      <c r="C16" s="12" t="e" cm="1">
        <f t="array" ref="C16:C22">_xlfn.NUMBERVALUE(_xlfn.TEXTBEFORE(B16:B22," "))</f>
        <v>#N/A</v>
      </c>
      <c r="D16" s="13" t="s">
        <v>142</v>
      </c>
      <c r="E16" s="12">
        <v>100</v>
      </c>
    </row>
    <row r="17" spans="1:27">
      <c r="A17" s="14" t="s">
        <v>143</v>
      </c>
      <c r="B17" s="12" t="s">
        <v>144</v>
      </c>
      <c r="C17" s="12">
        <v>0.75</v>
      </c>
      <c r="D17" s="12" t="s">
        <v>145</v>
      </c>
      <c r="E17" s="12">
        <v>0.75</v>
      </c>
      <c r="F17" s="13" t="s">
        <v>146</v>
      </c>
      <c r="G17" s="12">
        <v>0.75</v>
      </c>
    </row>
    <row r="18" spans="1:27">
      <c r="A18" s="14" t="s">
        <v>147</v>
      </c>
      <c r="B18" s="12" t="s">
        <v>148</v>
      </c>
      <c r="C18" s="12">
        <v>0.7</v>
      </c>
      <c r="D18" s="13" t="s">
        <v>149</v>
      </c>
      <c r="E18" s="12">
        <v>0.7</v>
      </c>
      <c r="F18" s="15" t="s">
        <v>150</v>
      </c>
      <c r="G18" s="12">
        <v>0.7</v>
      </c>
    </row>
    <row r="19" spans="1:27">
      <c r="A19" s="14" t="s">
        <v>151</v>
      </c>
      <c r="B19" s="12" t="s">
        <v>152</v>
      </c>
      <c r="C19" s="12">
        <v>0.4</v>
      </c>
      <c r="D19" s="13" t="s">
        <v>153</v>
      </c>
      <c r="E19" s="12">
        <v>0.4</v>
      </c>
      <c r="F19" s="12" t="s">
        <v>154</v>
      </c>
      <c r="G19" s="12">
        <v>0.8</v>
      </c>
    </row>
    <row r="20" spans="1:27">
      <c r="A20" s="14" t="s">
        <v>155</v>
      </c>
      <c r="B20" s="12" t="s">
        <v>152</v>
      </c>
      <c r="C20" s="12">
        <v>0.4</v>
      </c>
      <c r="D20" s="13" t="s">
        <v>156</v>
      </c>
      <c r="E20" s="12">
        <v>0.4</v>
      </c>
      <c r="F20" s="12" t="s">
        <v>157</v>
      </c>
      <c r="G20" s="12">
        <v>0.4</v>
      </c>
    </row>
    <row r="21" spans="1:27">
      <c r="A21" s="14" t="s">
        <v>158</v>
      </c>
      <c r="B21" s="12" t="s">
        <v>159</v>
      </c>
      <c r="C21" s="12">
        <v>22.5</v>
      </c>
    </row>
    <row r="22" spans="1:27">
      <c r="A22" s="14" t="s">
        <v>160</v>
      </c>
      <c r="B22" s="12" t="s">
        <v>161</v>
      </c>
      <c r="C22" s="12">
        <v>5</v>
      </c>
      <c r="D22" s="16" t="s">
        <v>162</v>
      </c>
      <c r="E22" s="12" t="s">
        <v>163</v>
      </c>
      <c r="I22" s="43"/>
    </row>
    <row r="23" spans="1:27">
      <c r="D23" s="13"/>
    </row>
    <row r="24" spans="1:27">
      <c r="G24" s="31" t="s">
        <v>274</v>
      </c>
      <c r="H24" s="30" t="s">
        <v>275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H25" s="12" t="str" cm="1">
        <f t="array" ref="H25">_xlfn.TEXTJOIN(";",TRUE,_xlfn.VSTACK(Table22[rxn],"BIOMASS")&amp;":("&amp;_xlfn.VSTACK(-Table22[flux],AD5)&amp;",1000)")</f>
        <v>EX_sucr_e:(-3.3695662795372,1000);EX_k_e:(-0.0553126288811909,1000);EX_nh4_e:(-0.111887718436794,1000);EX_ca2_e:(-0.028777508420299,1000);EX_mg2_e:(-0.047455360521933,1000);EX_pi_e:(-0.0227714750585491,1000);EX_no3_e:(-0.0325530915345499,1000);EX_cl_e:(-0.0650720754575787,1000);EX_so4_e:(-0.0120058554958424,1000)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-0.00465221304021885,1000);EX_thr__L_e:(-0.0027886356048502,1000);EX_ser__L_e:(-0.00337155353418453,1000);EX_glu__L_e:(-0.0102488661796326,1000);EX_gly_e:(-0.00755960771425516,1000);EX_tyr__L_e:(-0.000947224904940757,1000);EX_lys__L_e:(-0.00218150192387665,1000);EX_arg__L_e:(-0.0023856840582001,1000);EX_trp__L_e:(-0.000230426157682475,1000);EX_chol_e:(-0.914123248163022,1000);EX_ala__L_e:(-0.0119310566594066,1000);EX_val__L_e:(-0.00467873674767089,1000);EX_met__L_e:(-0.00133574270211305,1000);EX_ile__L_e:(-0.00255348510108501,1000);EX_leu__L_e:(-0.00717508210222233,1000);EX_phe__L_e:(-0.00231254258249197,1000);EX_his__L_e:(-0.00206959606237797,1000);EX_pro__L_e:(-0.00769399469774486,1000);BIOMASS:(0.0196078431372549,1000)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>
      <c r="A26" s="19" t="s">
        <v>165</v>
      </c>
      <c r="B26" s="19" t="s">
        <v>166</v>
      </c>
      <c r="C26" s="19" t="s">
        <v>3</v>
      </c>
      <c r="D26" s="19" t="s">
        <v>167</v>
      </c>
      <c r="E26" s="19" t="s">
        <v>168</v>
      </c>
      <c r="F26" s="19" t="s">
        <v>433</v>
      </c>
      <c r="G26" s="19" t="s">
        <v>260</v>
      </c>
      <c r="L26" s="18" t="s">
        <v>192</v>
      </c>
      <c r="M26" s="18"/>
      <c r="N26" s="18"/>
      <c r="O26" s="4" t="s">
        <v>222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>
      <c r="A27" s="12" t="s">
        <v>142</v>
      </c>
      <c r="B27" s="12">
        <v>400</v>
      </c>
      <c r="C27" s="12">
        <v>342.3</v>
      </c>
      <c r="D27" s="12" t="str">
        <f>"EX_"&amp;Table22[[#This Row],[compound]]</f>
        <v>EX_sucr_e</v>
      </c>
      <c r="E27" s="12">
        <f>($A$5*Table22[[#This Row],[mass (g/L)]]/(Table22[[#This Row],[MW (g/mol)]]/1000))/$AH$5</f>
        <v>3.3695662795371959</v>
      </c>
      <c r="F27" s="12">
        <f>_xlfn.LET(_xlpm.dec,_xlfn.TEXTAFTER(Table22[[#This Row],[flux]],".",,,,0),_xlpm.rounded,ROUNDUP(Table22[[#This Row],[flux]],6),Table22[[#This Row],[flux]])</f>
        <v>3.3695662795371959</v>
      </c>
      <c r="G27" s="43"/>
      <c r="H27" s="12" t="str" cm="1">
        <f t="array" ref="H27:H74">"v.up('"&amp;Table22[rxn]&amp;"_REV-SPONT')="&amp;Table22[flux]&amp;" * %nscale%;"</f>
        <v>v.up('EX_sucr_e_REV-SPONT')=3.3695662795372 * %nscale%;</v>
      </c>
      <c r="K27" s="27"/>
      <c r="L27" s="28" t="s">
        <v>193</v>
      </c>
      <c r="M27" s="28"/>
      <c r="N27"/>
      <c r="O27"/>
      <c r="P27"/>
      <c r="Q27"/>
      <c r="R27"/>
      <c r="S27"/>
      <c r="T27" t="s">
        <v>261</v>
      </c>
      <c r="U27" s="12">
        <v>9.6</v>
      </c>
      <c r="W27" s="43"/>
    </row>
    <row r="28" spans="1:27">
      <c r="A28" s="12" t="s">
        <v>145</v>
      </c>
      <c r="B28" s="12">
        <v>0.75</v>
      </c>
      <c r="C28" s="12">
        <v>39.098300000000002</v>
      </c>
      <c r="D28" s="12" t="str">
        <f>"EX_"&amp;Table22[[#This Row],[compound]]</f>
        <v>EX_k_e</v>
      </c>
      <c r="E28" s="12">
        <f>($A$5*Table22[[#This Row],[mass (g/L)]]/(Table22[[#This Row],[MW (g/mol)]]/1000))/$AH$5</f>
        <v>5.5312628881190901E-2</v>
      </c>
      <c r="F28" s="12">
        <f>_xlfn.LET(_xlpm.dec,_xlfn.TEXTAFTER(Table22[[#This Row],[flux]],".",,,,0),_xlpm.rounded,ROUNDUP(Table22[[#This Row],[flux]],6),Table22[[#This Row],[flux]])</f>
        <v>5.5312628881190901E-2</v>
      </c>
      <c r="H28" s="12" t="str">
        <v>v.up('EX_k_e_REV-SPONT')=0.0553126288811909 * %nscale%;</v>
      </c>
      <c r="K28" s="27"/>
      <c r="L28" s="28" t="s">
        <v>194</v>
      </c>
      <c r="M28" s="28"/>
      <c r="N28" s="28" t="s">
        <v>195</v>
      </c>
      <c r="O28" s="28" t="s">
        <v>196</v>
      </c>
    </row>
    <row r="29" spans="1:27">
      <c r="A29" s="12" t="s">
        <v>149</v>
      </c>
      <c r="B29" s="12">
        <v>0.7</v>
      </c>
      <c r="C29" s="12">
        <v>18.04</v>
      </c>
      <c r="D29" s="12" t="str">
        <f>"EX_"&amp;Table22[[#This Row],[compound]]</f>
        <v>EX_nh4_e</v>
      </c>
      <c r="E29" s="12">
        <f>($A$5*Table22[[#This Row],[mass (g/L)]]/(Table22[[#This Row],[MW (g/mol)]]/1000))/$AH$5</f>
        <v>0.11188771843679425</v>
      </c>
      <c r="F29" s="12">
        <f>_xlfn.LET(_xlpm.dec,_xlfn.TEXTAFTER(Table22[[#This Row],[flux]],".",,,,0),_xlpm.rounded,ROUNDUP(Table22[[#This Row],[flux]],6),Table22[[#This Row],[flux]])</f>
        <v>0.11188771843679425</v>
      </c>
      <c r="H29" s="12" t="str">
        <v>v.up('EX_nh4_e_REV-SPONT')=0.111887718436794 * %nscale%;</v>
      </c>
      <c r="K29" s="27"/>
      <c r="L29" s="28" t="s">
        <v>197</v>
      </c>
      <c r="M29" s="28"/>
      <c r="N29" s="28" t="s">
        <v>198</v>
      </c>
      <c r="O29" s="28">
        <v>2.2200000000000002</v>
      </c>
      <c r="P29" s="29" t="s">
        <v>240</v>
      </c>
      <c r="Q29" s="12">
        <f t="shared" ref="Q29:Q52" si="0">$U$27*O29/100</f>
        <v>0.21312</v>
      </c>
      <c r="T29" s="12" t="str" cm="1">
        <f t="array" ref="T29:U49">_xlfn.UNIQUE(_xlfn.HSTACK(_xlfn.TEXTAFTER(P29:P52,"EX_",,,,""),Q29:Q52))</f>
        <v>asp__L_e</v>
      </c>
      <c r="U29" s="12">
        <v>0.21312</v>
      </c>
    </row>
    <row r="30" spans="1:27">
      <c r="A30" s="12" t="s">
        <v>153</v>
      </c>
      <c r="B30" s="12">
        <v>0.4</v>
      </c>
      <c r="C30" s="12">
        <v>40.08</v>
      </c>
      <c r="D30" s="12" t="str">
        <f>"EX_"&amp;Table22[[#This Row],[compound]]</f>
        <v>EX_ca2_e</v>
      </c>
      <c r="E30" s="12">
        <f>($A$5*Table22[[#This Row],[mass (g/L)]]/(Table22[[#This Row],[MW (g/mol)]]/1000))/$AH$5</f>
        <v>2.8777508420298956E-2</v>
      </c>
      <c r="F30" s="12">
        <f>_xlfn.LET(_xlpm.dec,_xlfn.TEXTAFTER(Table22[[#This Row],[flux]],".",,,,0),_xlpm.rounded,ROUNDUP(Table22[[#This Row],[flux]],6),Table22[[#This Row],[flux]])</f>
        <v>2.8777508420298956E-2</v>
      </c>
      <c r="H30" s="12" t="str">
        <v>v.up('EX_ca2_e_REV-SPONT')=0.028777508420299 * %nscale%;</v>
      </c>
      <c r="K30" s="27"/>
      <c r="L30" s="28" t="s">
        <v>200</v>
      </c>
      <c r="M30" s="28"/>
      <c r="N30" s="28" t="s">
        <v>198</v>
      </c>
      <c r="O30" s="28">
        <v>1.2</v>
      </c>
      <c r="P30" s="29" t="s">
        <v>239</v>
      </c>
      <c r="Q30" s="12">
        <f t="shared" si="0"/>
        <v>0.1152</v>
      </c>
      <c r="T30" s="12" t="str">
        <v>thr__L_e</v>
      </c>
      <c r="U30" s="12">
        <v>0.1152</v>
      </c>
    </row>
    <row r="31" spans="1:27">
      <c r="A31" s="12" t="s">
        <v>156</v>
      </c>
      <c r="B31" s="12">
        <v>0.4</v>
      </c>
      <c r="C31" s="12">
        <v>24.305</v>
      </c>
      <c r="D31" s="12" t="str">
        <f>"EX_"&amp;Table22[[#This Row],[compound]]</f>
        <v>EX_mg2_e</v>
      </c>
      <c r="E31" s="12">
        <f>($A$5*Table22[[#This Row],[mass (g/L)]]/(Table22[[#This Row],[MW (g/mol)]]/1000))/$AH$5</f>
        <v>4.745536052193302E-2</v>
      </c>
      <c r="F31" s="12">
        <f>_xlfn.LET(_xlpm.dec,_xlfn.TEXTAFTER(Table22[[#This Row],[flux]],".",,,,0),_xlpm.rounded,ROUNDUP(Table22[[#This Row],[flux]],6),Table22[[#This Row],[flux]])</f>
        <v>4.745536052193302E-2</v>
      </c>
      <c r="H31" s="12" t="str">
        <v>v.up('EX_mg2_e_REV-SPONT')=0.047455360521933 * %nscale%;</v>
      </c>
      <c r="K31" s="27"/>
      <c r="L31" s="28" t="s">
        <v>202</v>
      </c>
      <c r="M31" s="28"/>
      <c r="N31" s="28" t="s">
        <v>203</v>
      </c>
      <c r="O31" s="28">
        <v>1.28</v>
      </c>
      <c r="P31" s="29" t="s">
        <v>238</v>
      </c>
      <c r="Q31" s="12">
        <f t="shared" si="0"/>
        <v>0.12288</v>
      </c>
      <c r="T31" s="12" t="str">
        <v>ser__L_e</v>
      </c>
      <c r="U31" s="12">
        <v>0.12288</v>
      </c>
    </row>
    <row r="32" spans="1:27">
      <c r="A32" s="12" t="s">
        <v>146</v>
      </c>
      <c r="B32" s="12">
        <v>0.75</v>
      </c>
      <c r="C32" s="12">
        <v>94.971000000000004</v>
      </c>
      <c r="D32" s="12" t="str">
        <f>"EX_"&amp;Table22[[#This Row],[compound]]</f>
        <v>EX_pi_e</v>
      </c>
      <c r="E32" s="12">
        <f>($A$5*Table22[[#This Row],[mass (g/L)]]/(Table22[[#This Row],[MW (g/mol)]]/1000))/$AH$5</f>
        <v>2.2771475058549095E-2</v>
      </c>
      <c r="F32" s="12">
        <f>_xlfn.LET(_xlpm.dec,_xlfn.TEXTAFTER(Table22[[#This Row],[flux]],".",,,,0),_xlpm.rounded,ROUNDUP(Table22[[#This Row],[flux]],6),Table22[[#This Row],[flux]])</f>
        <v>2.2771475058549095E-2</v>
      </c>
      <c r="H32" s="12" t="str">
        <v>v.up('EX_pi_e_REV-SPONT')=0.0227714750585491 * %nscale%;</v>
      </c>
      <c r="K32" s="27"/>
      <c r="L32" s="28" t="s">
        <v>205</v>
      </c>
      <c r="M32" s="28"/>
      <c r="N32" s="28" t="s">
        <v>203</v>
      </c>
      <c r="O32" s="28">
        <v>5.41</v>
      </c>
      <c r="P32" s="29" t="s">
        <v>237</v>
      </c>
      <c r="Q32" s="12">
        <f t="shared" si="0"/>
        <v>0.51936000000000004</v>
      </c>
      <c r="T32" s="12" t="str">
        <v>glu__L_e</v>
      </c>
      <c r="U32" s="12">
        <v>0.51936000000000004</v>
      </c>
    </row>
    <row r="33" spans="1:23">
      <c r="A33" s="12" t="s">
        <v>150</v>
      </c>
      <c r="B33" s="12">
        <v>0.7</v>
      </c>
      <c r="C33" s="12">
        <v>62.005000000000003</v>
      </c>
      <c r="D33" s="12" t="str">
        <f>"EX_"&amp;Table22[[#This Row],[compound]]</f>
        <v>EX_no3_e</v>
      </c>
      <c r="E33" s="12">
        <f>($A$5*Table22[[#This Row],[mass (g/L)]]/(Table22[[#This Row],[MW (g/mol)]]/1000))/$AH$5</f>
        <v>3.2553091534549924E-2</v>
      </c>
      <c r="F33" s="12">
        <f>_xlfn.LET(_xlpm.dec,_xlfn.TEXTAFTER(Table22[[#This Row],[flux]],".",,,,0),_xlpm.rounded,ROUNDUP(Table22[[#This Row],[flux]],6),Table22[[#This Row],[flux]])</f>
        <v>3.2553091534549924E-2</v>
      </c>
      <c r="H33" s="12" t="str">
        <v>v.up('EX_no3_e_REV-SPONT')=0.0325530915345499 * %nscale%;</v>
      </c>
      <c r="K33" s="27"/>
      <c r="L33" s="28" t="s">
        <v>207</v>
      </c>
      <c r="M33" s="28"/>
      <c r="N33" s="28" t="s">
        <v>203</v>
      </c>
      <c r="O33" s="28">
        <v>2.0499999999999998</v>
      </c>
      <c r="P33" s="29" t="s">
        <v>236</v>
      </c>
      <c r="Q33" s="12">
        <f t="shared" si="0"/>
        <v>0.19679999999999997</v>
      </c>
      <c r="T33" s="12" t="str">
        <v>gly_e</v>
      </c>
      <c r="U33" s="12">
        <v>0.19679999999999997</v>
      </c>
    </row>
    <row r="34" spans="1:23">
      <c r="A34" s="12" t="s">
        <v>154</v>
      </c>
      <c r="B34" s="12">
        <v>0.8</v>
      </c>
      <c r="C34" s="12">
        <v>35.450000000000003</v>
      </c>
      <c r="D34" s="12" t="str">
        <f>"EX_"&amp;Table22[[#This Row],[compound]]</f>
        <v>EX_cl_e</v>
      </c>
      <c r="E34" s="12">
        <f>($A$5*Table22[[#This Row],[mass (g/L)]]/(Table22[[#This Row],[MW (g/mol)]]/1000))/$AH$5</f>
        <v>6.5072075457578676E-2</v>
      </c>
      <c r="F34" s="12">
        <f>_xlfn.LET(_xlpm.dec,_xlfn.TEXTAFTER(Table22[[#This Row],[flux]],".",,,,0),_xlpm.rounded,ROUNDUP(Table22[[#This Row],[flux]],6),Table22[[#This Row],[flux]])</f>
        <v>6.5072075457578676E-2</v>
      </c>
      <c r="H34" s="12" t="str">
        <v>v.up('EX_cl_e_REV-SPONT')=0.0650720754575787 * %nscale%;</v>
      </c>
      <c r="K34" s="27"/>
      <c r="L34" s="28" t="s">
        <v>209</v>
      </c>
      <c r="M34" s="28"/>
      <c r="N34" s="28" t="s">
        <v>198</v>
      </c>
      <c r="O34" s="28">
        <v>0.62</v>
      </c>
      <c r="P34" s="29" t="s">
        <v>235</v>
      </c>
      <c r="Q34" s="12">
        <f t="shared" si="0"/>
        <v>5.9519999999999997E-2</v>
      </c>
      <c r="T34" s="12" t="str">
        <v>tyr__L_e</v>
      </c>
      <c r="U34" s="12">
        <v>5.9519999999999997E-2</v>
      </c>
    </row>
    <row r="35" spans="1:23">
      <c r="A35" s="12" t="s">
        <v>157</v>
      </c>
      <c r="B35" s="12">
        <v>0.4</v>
      </c>
      <c r="C35" s="12">
        <v>96.07</v>
      </c>
      <c r="D35" s="12" t="str">
        <f>"EX_"&amp;Table22[[#This Row],[compound]]</f>
        <v>EX_so4_e</v>
      </c>
      <c r="E35" s="12">
        <f>($A$5*Table22[[#This Row],[mass (g/L)]]/(Table22[[#This Row],[MW (g/mol)]]/1000))/$AH$5</f>
        <v>1.2005855495842431E-2</v>
      </c>
      <c r="F35" s="12">
        <f>_xlfn.LET(_xlpm.dec,_xlfn.TEXTAFTER(Table22[[#This Row],[flux]],".",,,,0),_xlpm.rounded,ROUNDUP(Table22[[#This Row],[flux]],6),Table22[[#This Row],[flux]])</f>
        <v>1.2005855495842431E-2</v>
      </c>
      <c r="H35" s="12" t="str">
        <v>v.up('EX_so4_e_REV-SPONT')=0.0120058554958424 * %nscale%;</v>
      </c>
      <c r="K35" s="27"/>
      <c r="L35" s="28" t="s">
        <v>211</v>
      </c>
      <c r="M35" s="28"/>
      <c r="N35" s="28" t="s">
        <v>203</v>
      </c>
      <c r="O35" s="28">
        <v>1.1599999999999999</v>
      </c>
      <c r="P35" s="29" t="s">
        <v>234</v>
      </c>
      <c r="Q35" s="12">
        <f t="shared" si="0"/>
        <v>0.11135999999999999</v>
      </c>
      <c r="T35" s="12" t="str">
        <v>lys__L_e</v>
      </c>
      <c r="U35" s="12">
        <v>0.11135999999999999</v>
      </c>
    </row>
    <row r="36" spans="1:23">
      <c r="A36" s="12" t="s">
        <v>169</v>
      </c>
      <c r="C36" s="12">
        <v>1.008</v>
      </c>
      <c r="D36" s="12" t="str">
        <f>"EX_"&amp;Table22[[#This Row],[compound]]</f>
        <v>EX_h_e</v>
      </c>
      <c r="E36" s="12">
        <v>1000</v>
      </c>
      <c r="F36" s="12">
        <f>_xlfn.LET(_xlpm.dec,_xlfn.TEXTAFTER(Table22[[#This Row],[flux]],".",,,,0),_xlpm.rounded,ROUNDUP(Table22[[#This Row],[flux]],6),Table22[[#This Row],[flux]])</f>
        <v>1000</v>
      </c>
      <c r="H36" s="12" t="str">
        <v>v.up('EX_h_e_REV-SPONT')=1000 * %nscale%;</v>
      </c>
      <c r="K36" s="27"/>
      <c r="L36" s="28" t="s">
        <v>213</v>
      </c>
      <c r="M36" s="28"/>
      <c r="N36" s="28" t="s">
        <v>198</v>
      </c>
      <c r="O36" s="28">
        <v>1.51</v>
      </c>
      <c r="P36" s="29" t="s">
        <v>233</v>
      </c>
      <c r="Q36" s="12">
        <f t="shared" si="0"/>
        <v>0.14495999999999998</v>
      </c>
      <c r="T36" s="12" t="str">
        <v>arg__L_e</v>
      </c>
      <c r="U36" s="12">
        <v>0.14495999999999998</v>
      </c>
    </row>
    <row r="37" spans="1:23">
      <c r="A37" s="12" t="s">
        <v>170</v>
      </c>
      <c r="D37" s="12" t="str">
        <f>"EX_"&amp;Table22[[#This Row],[compound]]</f>
        <v>EX_h2o_e</v>
      </c>
      <c r="E37" s="12">
        <v>1000</v>
      </c>
      <c r="F37" s="12">
        <f>_xlfn.LET(_xlpm.dec,_xlfn.TEXTAFTER(Table22[[#This Row],[flux]],".",,,,0),_xlpm.rounded,ROUNDUP(Table22[[#This Row],[flux]],6),Table22[[#This Row],[flux]])</f>
        <v>1000</v>
      </c>
      <c r="H37" s="12" t="str">
        <v>v.up('EX_h2o_e_REV-SPONT')=1000 * %nscale%;</v>
      </c>
      <c r="K37" s="27"/>
      <c r="L37" s="28" t="s">
        <v>215</v>
      </c>
      <c r="M37" s="28"/>
      <c r="N37" s="28" t="s">
        <v>203</v>
      </c>
      <c r="O37" s="28">
        <v>0.17</v>
      </c>
      <c r="P37" s="29" t="s">
        <v>232</v>
      </c>
      <c r="Q37" s="12">
        <f t="shared" si="0"/>
        <v>1.6320000000000001E-2</v>
      </c>
      <c r="T37" s="28" t="str">
        <v>trp__L_e</v>
      </c>
      <c r="U37" s="12">
        <v>1.6320000000000001E-2</v>
      </c>
    </row>
    <row r="38" spans="1:23">
      <c r="A38" s="12" t="s">
        <v>171</v>
      </c>
      <c r="D38" s="12" t="str">
        <f>"EX_"&amp;Table22[[#This Row],[compound]]</f>
        <v>EX_btn_c</v>
      </c>
      <c r="E38" s="12">
        <v>0.01</v>
      </c>
      <c r="F38" s="12">
        <f>_xlfn.LET(_xlpm.dec,_xlfn.TEXTAFTER(Table22[[#This Row],[flux]],".",,,,0),_xlpm.rounded,ROUNDUP(Table22[[#This Row],[flux]],6),Table22[[#This Row],[flux]])</f>
        <v>0.01</v>
      </c>
      <c r="H38" s="12" t="str">
        <v>v.up('EX_btn_c_REV-SPONT')=0.01 * %nscale%;</v>
      </c>
      <c r="K38" s="27"/>
      <c r="L38" s="28" t="s">
        <v>216</v>
      </c>
      <c r="M38" s="28"/>
      <c r="N38" s="28"/>
      <c r="O38" s="28"/>
      <c r="P38" s="28"/>
      <c r="Q38" s="12">
        <f t="shared" si="0"/>
        <v>0</v>
      </c>
      <c r="T38" s="28" t="str">
        <v/>
      </c>
      <c r="U38" s="12">
        <v>0</v>
      </c>
    </row>
    <row r="39" spans="1:23">
      <c r="A39" s="12" t="s">
        <v>172</v>
      </c>
      <c r="D39" s="12" t="str">
        <f>"EX_"&amp;Table22[[#This Row],[compound]]</f>
        <v>EX_o2_e</v>
      </c>
      <c r="E39" s="12">
        <v>1000</v>
      </c>
      <c r="F39" s="12">
        <f>_xlfn.LET(_xlpm.dec,_xlfn.TEXTAFTER(Table22[[#This Row],[flux]],".",,,,0),_xlpm.rounded,ROUNDUP(Table22[[#This Row],[flux]],6),Table22[[#This Row],[flux]])</f>
        <v>1000</v>
      </c>
      <c r="H39" s="12" t="str">
        <v>v.up('EX_o2_e_REV-SPONT')=1000 * %nscale%;</v>
      </c>
      <c r="K39" s="27"/>
      <c r="L39" s="28"/>
      <c r="M39" s="28"/>
      <c r="N39" s="28"/>
      <c r="O39" s="28"/>
      <c r="Q39" s="12">
        <f t="shared" si="0"/>
        <v>0</v>
      </c>
      <c r="T39" s="12" t="str">
        <v/>
      </c>
      <c r="U39" s="12">
        <v>1.0944</v>
      </c>
    </row>
    <row r="40" spans="1:23">
      <c r="A40" s="12" t="s">
        <v>173</v>
      </c>
      <c r="D40" s="12" t="str">
        <f>"EX_"&amp;Table22[[#This Row],[compound]]</f>
        <v>EX_co2_e</v>
      </c>
      <c r="E40" s="12">
        <v>0</v>
      </c>
      <c r="F40" s="12">
        <f>_xlfn.LET(_xlpm.dec,_xlfn.TEXTAFTER(Table22[[#This Row],[flux]],".",,,,0),_xlpm.rounded,ROUNDUP(Table22[[#This Row],[flux]],6),Table22[[#This Row],[flux]])</f>
        <v>0</v>
      </c>
      <c r="H40" s="12" t="str">
        <v>v.up('EX_co2_e_REV-SPONT')=0 * %nscale%;</v>
      </c>
      <c r="K40" s="27"/>
      <c r="L40" s="28" t="s">
        <v>217</v>
      </c>
      <c r="M40" s="28"/>
      <c r="N40" s="28" t="s">
        <v>218</v>
      </c>
      <c r="O40" s="28">
        <v>11.4</v>
      </c>
      <c r="Q40" s="12">
        <f t="shared" si="0"/>
        <v>1.0944</v>
      </c>
      <c r="T40" s="12" t="str">
        <v>inost_e</v>
      </c>
      <c r="U40" s="12">
        <v>21.695999999999998</v>
      </c>
    </row>
    <row r="41" spans="1:23">
      <c r="A41" s="32" t="s">
        <v>175</v>
      </c>
      <c r="D41" s="12" t="str">
        <f>"EX_"&amp;Table22[[#This Row],[compound]]</f>
        <v>EX_thm_e</v>
      </c>
      <c r="E41" s="12">
        <v>1000</v>
      </c>
      <c r="F41" s="12">
        <f>_xlfn.LET(_xlpm.dec,_xlfn.TEXTAFTER(Table22[[#This Row],[flux]],".",,,,0),_xlpm.rounded,ROUNDUP(Table22[[#This Row],[flux]],6),Table22[[#This Row],[flux]])</f>
        <v>1000</v>
      </c>
      <c r="G41" s="26" t="s">
        <v>191</v>
      </c>
      <c r="H41" s="12" t="str">
        <v>v.up('EX_thm_e_REV-SPONT')=1000 * %nscale%;</v>
      </c>
      <c r="K41" s="27"/>
      <c r="L41" s="28" t="s">
        <v>221</v>
      </c>
      <c r="M41" s="28"/>
      <c r="N41" s="28" t="s">
        <v>220</v>
      </c>
      <c r="O41" s="28">
        <v>226</v>
      </c>
      <c r="P41" s="29" t="s">
        <v>174</v>
      </c>
      <c r="Q41" s="12">
        <f t="shared" si="0"/>
        <v>21.695999999999998</v>
      </c>
      <c r="T41" s="28" t="str">
        <v>chol_e</v>
      </c>
      <c r="U41" s="12">
        <v>33.024000000000001</v>
      </c>
      <c r="W41" s="26" t="s">
        <v>191</v>
      </c>
    </row>
    <row r="42" spans="1:23">
      <c r="A42" s="25" t="s">
        <v>176</v>
      </c>
      <c r="D42" s="12" t="str">
        <f>"EX_"&amp;Table22[[#This Row],[compound]]</f>
        <v>EX_ribflv_e</v>
      </c>
      <c r="E42" s="12">
        <v>1000</v>
      </c>
      <c r="F42" s="12">
        <f>_xlfn.LET(_xlpm.dec,_xlfn.TEXTAFTER(Table22[[#This Row],[flux]],".",,,,0),_xlpm.rounded,ROUNDUP(Table22[[#This Row],[flux]],6),Table22[[#This Row],[flux]])</f>
        <v>1000</v>
      </c>
      <c r="G42" s="26" t="s">
        <v>191</v>
      </c>
      <c r="H42" s="12" t="str">
        <v>v.up('EX_ribflv_e_REV-SPONT')=1000 * %nscale%;</v>
      </c>
      <c r="K42" s="27"/>
      <c r="L42" s="28"/>
      <c r="M42" s="28"/>
      <c r="N42" s="28"/>
      <c r="O42" s="28"/>
      <c r="Q42" s="12">
        <f t="shared" si="0"/>
        <v>0</v>
      </c>
      <c r="T42" s="12" t="str">
        <v>ala__L_e</v>
      </c>
      <c r="U42" s="12">
        <v>0.36863999999999997</v>
      </c>
      <c r="W42" s="26" t="s">
        <v>191</v>
      </c>
    </row>
    <row r="43" spans="1:23">
      <c r="A43" s="32" t="s">
        <v>177</v>
      </c>
      <c r="D43" s="12" t="str">
        <f>"EX_"&amp;Table22[[#This Row],[compound]]</f>
        <v>EX_nac_e</v>
      </c>
      <c r="E43" s="12">
        <v>1000</v>
      </c>
      <c r="F43" s="12">
        <f>_xlfn.LET(_xlpm.dec,_xlfn.TEXTAFTER(Table22[[#This Row],[flux]],".",,,,0),_xlpm.rounded,ROUNDUP(Table22[[#This Row],[flux]],6),Table22[[#This Row],[flux]])</f>
        <v>1000</v>
      </c>
      <c r="G43" s="26" t="s">
        <v>191</v>
      </c>
      <c r="H43" s="12" t="str">
        <v>v.up('EX_nac_e_REV-SPONT')=1000 * %nscale%;</v>
      </c>
      <c r="K43" s="27"/>
      <c r="L43" s="28" t="s">
        <v>219</v>
      </c>
      <c r="M43" s="28"/>
      <c r="N43" s="28" t="s">
        <v>220</v>
      </c>
      <c r="O43" s="28">
        <v>344</v>
      </c>
      <c r="P43" s="29" t="s">
        <v>231</v>
      </c>
      <c r="Q43" s="12">
        <f t="shared" si="0"/>
        <v>33.024000000000001</v>
      </c>
      <c r="T43" s="12" t="str">
        <v>val__L_e</v>
      </c>
      <c r="U43" s="12">
        <v>0.19008</v>
      </c>
      <c r="W43" s="26" t="s">
        <v>191</v>
      </c>
    </row>
    <row r="44" spans="1:23">
      <c r="A44" s="25" t="s">
        <v>178</v>
      </c>
      <c r="D44" s="12" t="str">
        <f>"EX_"&amp;Table22[[#This Row],[compound]]</f>
        <v>EX_pydxn_e</v>
      </c>
      <c r="E44" s="12">
        <v>1000</v>
      </c>
      <c r="F44" s="12">
        <f>_xlfn.LET(_xlpm.dec,_xlfn.TEXTAFTER(Table22[[#This Row],[flux]],".",,,,0),_xlpm.rounded,ROUNDUP(Table22[[#This Row],[flux]],6),Table22[[#This Row],[flux]])</f>
        <v>1000</v>
      </c>
      <c r="G44" s="26" t="s">
        <v>191</v>
      </c>
      <c r="H44" s="12" t="str">
        <v>v.up('EX_pydxn_e_REV-SPONT')=1000 * %nscale%;</v>
      </c>
      <c r="K44" s="27"/>
      <c r="L44" s="28"/>
      <c r="M44" s="28"/>
      <c r="N44" s="28"/>
      <c r="O44" s="28"/>
      <c r="Q44" s="12">
        <f t="shared" si="0"/>
        <v>0</v>
      </c>
      <c r="T44" s="12" t="str">
        <v>met__L_e</v>
      </c>
      <c r="U44" s="12">
        <v>6.9120000000000001E-2</v>
      </c>
      <c r="W44" s="26" t="s">
        <v>191</v>
      </c>
    </row>
    <row r="45" spans="1:23">
      <c r="A45" s="32" t="s">
        <v>179</v>
      </c>
      <c r="D45" s="12" t="str">
        <f>"EX_"&amp;Table22[[#This Row],[compound]]</f>
        <v>EX_fol_e</v>
      </c>
      <c r="E45" s="12">
        <v>1000</v>
      </c>
      <c r="F45" s="12">
        <f>_xlfn.LET(_xlpm.dec,_xlfn.TEXTAFTER(Table22[[#This Row],[flux]],".",,,,0),_xlpm.rounded,ROUNDUP(Table22[[#This Row],[flux]],6),Table22[[#This Row],[flux]])</f>
        <v>1000</v>
      </c>
      <c r="G45" s="26" t="s">
        <v>191</v>
      </c>
      <c r="H45" s="12" t="str">
        <v>v.up('EX_fol_e_REV-SPONT')=1000 * %nscale%;</v>
      </c>
      <c r="K45" s="27"/>
      <c r="L45" s="28" t="s">
        <v>199</v>
      </c>
      <c r="M45" s="28"/>
      <c r="N45" s="28" t="s">
        <v>198</v>
      </c>
      <c r="O45" s="28">
        <v>3.84</v>
      </c>
      <c r="P45" s="29" t="s">
        <v>230</v>
      </c>
      <c r="Q45" s="12">
        <f t="shared" si="0"/>
        <v>0.36863999999999997</v>
      </c>
      <c r="T45" s="12" t="str">
        <v>ile__L_e</v>
      </c>
      <c r="U45" s="12">
        <v>0.11616</v>
      </c>
      <c r="W45" s="26" t="s">
        <v>191</v>
      </c>
    </row>
    <row r="46" spans="1:23">
      <c r="A46" s="32" t="s">
        <v>180</v>
      </c>
      <c r="D46" s="12" t="str">
        <f>"EX_"&amp;Table22[[#This Row],[compound]]</f>
        <v>EX_pnto__R_e</v>
      </c>
      <c r="E46" s="12">
        <v>1000</v>
      </c>
      <c r="F46" s="12">
        <f>_xlfn.LET(_xlpm.dec,_xlfn.TEXTAFTER(Table22[[#This Row],[flux]],".",,,,0),_xlpm.rounded,ROUNDUP(Table22[[#This Row],[flux]],6),Table22[[#This Row],[flux]])</f>
        <v>1000</v>
      </c>
      <c r="G46" s="26" t="s">
        <v>191</v>
      </c>
      <c r="H46" s="12" t="str">
        <v>v.up('EX_pnto__R_e_REV-SPONT')=1000 * %nscale%;</v>
      </c>
      <c r="K46" s="27"/>
      <c r="L46" s="28" t="s">
        <v>201</v>
      </c>
      <c r="M46" s="28"/>
      <c r="N46" s="28" t="s">
        <v>198</v>
      </c>
      <c r="O46" s="28">
        <v>1.98</v>
      </c>
      <c r="P46" s="29" t="s">
        <v>229</v>
      </c>
      <c r="Q46" s="12">
        <f t="shared" si="0"/>
        <v>0.19008</v>
      </c>
      <c r="T46" s="12" t="str">
        <v>leu__L_e</v>
      </c>
      <c r="U46" s="12">
        <v>0.32640000000000002</v>
      </c>
      <c r="W46" s="26" t="s">
        <v>191</v>
      </c>
    </row>
    <row r="47" spans="1:23">
      <c r="A47" s="25" t="s">
        <v>181</v>
      </c>
      <c r="D47" s="12" t="str">
        <f>"EX_"&amp;Table22[[#This Row],[compound]]</f>
        <v>EX_4abz_e</v>
      </c>
      <c r="E47" s="12">
        <v>1000</v>
      </c>
      <c r="F47" s="12">
        <f>_xlfn.LET(_xlpm.dec,_xlfn.TEXTAFTER(Table22[[#This Row],[flux]],".",,,,0),_xlpm.rounded,ROUNDUP(Table22[[#This Row],[flux]],6),Table22[[#This Row],[flux]])</f>
        <v>1000</v>
      </c>
      <c r="G47" s="26" t="s">
        <v>191</v>
      </c>
      <c r="H47" s="12" t="str">
        <v>v.up('EX_4abz_e_REV-SPONT')=1000 * %nscale%;</v>
      </c>
      <c r="K47" s="27"/>
      <c r="L47" s="28" t="s">
        <v>204</v>
      </c>
      <c r="M47" s="28"/>
      <c r="N47" s="28" t="s">
        <v>198</v>
      </c>
      <c r="O47" s="28">
        <v>0.72</v>
      </c>
      <c r="P47" s="29" t="s">
        <v>223</v>
      </c>
      <c r="Q47" s="12">
        <f t="shared" si="0"/>
        <v>6.9120000000000001E-2</v>
      </c>
      <c r="T47" s="12" t="str">
        <v>phe__L_e</v>
      </c>
      <c r="U47" s="12">
        <v>0.13247999999999999</v>
      </c>
      <c r="W47" s="26" t="s">
        <v>191</v>
      </c>
    </row>
    <row r="48" spans="1:23">
      <c r="A48" s="32" t="s">
        <v>183</v>
      </c>
      <c r="D48" s="12" t="str">
        <f>"EX_"&amp;Table22[[#This Row],[compound]]</f>
        <v>EX_cu2_e</v>
      </c>
      <c r="E48" s="12">
        <v>1000</v>
      </c>
      <c r="F48" s="12">
        <f>_xlfn.LET(_xlpm.dec,_xlfn.TEXTAFTER(Table22[[#This Row],[flux]],".",,,,0),_xlpm.rounded,ROUNDUP(Table22[[#This Row],[flux]],6),Table22[[#This Row],[flux]])</f>
        <v>1000</v>
      </c>
      <c r="G48" s="26" t="s">
        <v>191</v>
      </c>
      <c r="H48" s="12" t="str">
        <v>v.up('EX_cu2_e_REV-SPONT')=1000 * %nscale%;</v>
      </c>
      <c r="K48" s="27"/>
      <c r="L48" s="28" t="s">
        <v>206</v>
      </c>
      <c r="M48" s="28"/>
      <c r="N48" s="28" t="s">
        <v>198</v>
      </c>
      <c r="O48" s="28">
        <v>1.21</v>
      </c>
      <c r="P48" s="29" t="s">
        <v>224</v>
      </c>
      <c r="Q48" s="12">
        <f t="shared" si="0"/>
        <v>0.11616</v>
      </c>
      <c r="T48" s="12" t="str">
        <v>his__L_e</v>
      </c>
      <c r="U48" s="12">
        <v>0.11135999999999999</v>
      </c>
      <c r="W48" s="26" t="s">
        <v>191</v>
      </c>
    </row>
    <row r="49" spans="1:23">
      <c r="A49" s="32" t="s">
        <v>184</v>
      </c>
      <c r="D49" s="12" t="str">
        <f>"EX_"&amp;Table22[[#This Row],[compound]]</f>
        <v>EX_fe2_e</v>
      </c>
      <c r="E49" s="12">
        <v>1000</v>
      </c>
      <c r="F49" s="12">
        <f>_xlfn.LET(_xlpm.dec,_xlfn.TEXTAFTER(Table22[[#This Row],[flux]],".",,,,0),_xlpm.rounded,ROUNDUP(Table22[[#This Row],[flux]],6),Table22[[#This Row],[flux]])</f>
        <v>1000</v>
      </c>
      <c r="G49" s="26" t="s">
        <v>191</v>
      </c>
      <c r="H49" s="12" t="str">
        <v>v.up('EX_fe2_e_REV-SPONT')=1000 * %nscale%;</v>
      </c>
      <c r="K49" s="27"/>
      <c r="L49" s="28" t="s">
        <v>208</v>
      </c>
      <c r="M49" s="28"/>
      <c r="N49" s="28" t="s">
        <v>198</v>
      </c>
      <c r="O49" s="28">
        <v>3.4</v>
      </c>
      <c r="P49" s="29" t="s">
        <v>225</v>
      </c>
      <c r="Q49" s="12">
        <f t="shared" si="0"/>
        <v>0.32640000000000002</v>
      </c>
      <c r="T49" s="12" t="str">
        <v>pro__L_e</v>
      </c>
      <c r="U49" s="12">
        <v>0.30719999999999997</v>
      </c>
      <c r="W49" s="26" t="s">
        <v>191</v>
      </c>
    </row>
    <row r="50" spans="1:23">
      <c r="A50" s="25" t="s">
        <v>185</v>
      </c>
      <c r="D50" s="12" t="str">
        <f>"EX_"&amp;Table22[[#This Row],[compound]]</f>
        <v>EX_fe3_e</v>
      </c>
      <c r="E50" s="12">
        <v>1000</v>
      </c>
      <c r="F50" s="12">
        <f>_xlfn.LET(_xlpm.dec,_xlfn.TEXTAFTER(Table22[[#This Row],[flux]],".",,,,0),_xlpm.rounded,ROUNDUP(Table22[[#This Row],[flux]],6),Table22[[#This Row],[flux]])</f>
        <v>1000</v>
      </c>
      <c r="G50" s="26" t="s">
        <v>191</v>
      </c>
      <c r="H50" s="12" t="str">
        <v>v.up('EX_fe3_e_REV-SPONT')=1000 * %nscale%;</v>
      </c>
      <c r="K50" s="27"/>
      <c r="L50" s="28" t="s">
        <v>210</v>
      </c>
      <c r="M50" s="28"/>
      <c r="N50" s="28" t="s">
        <v>198</v>
      </c>
      <c r="O50" s="28">
        <v>1.38</v>
      </c>
      <c r="P50" s="29" t="s">
        <v>226</v>
      </c>
      <c r="Q50" s="12">
        <f t="shared" si="0"/>
        <v>0.13247999999999999</v>
      </c>
      <c r="W50" s="26" t="s">
        <v>191</v>
      </c>
    </row>
    <row r="51" spans="1:23">
      <c r="A51" s="25" t="s">
        <v>186</v>
      </c>
      <c r="D51" s="12" t="str">
        <f>"EX_"&amp;Table22[[#This Row],[compound]]</f>
        <v>EX_mn2_e</v>
      </c>
      <c r="E51" s="12">
        <v>1000</v>
      </c>
      <c r="F51" s="12">
        <f>_xlfn.LET(_xlpm.dec,_xlfn.TEXTAFTER(Table22[[#This Row],[flux]],".",,,,0),_xlpm.rounded,ROUNDUP(Table22[[#This Row],[flux]],6),Table22[[#This Row],[flux]])</f>
        <v>1000</v>
      </c>
      <c r="G51" s="26" t="s">
        <v>191</v>
      </c>
      <c r="H51" s="12" t="str">
        <v>v.up('EX_mn2_e_REV-SPONT')=1000 * %nscale%;</v>
      </c>
      <c r="K51" s="27"/>
      <c r="L51" s="28" t="s">
        <v>212</v>
      </c>
      <c r="M51" s="28"/>
      <c r="N51" s="28" t="s">
        <v>198</v>
      </c>
      <c r="O51" s="28">
        <v>1.1599999999999999</v>
      </c>
      <c r="P51" s="29" t="s">
        <v>227</v>
      </c>
      <c r="Q51" s="12">
        <f t="shared" si="0"/>
        <v>0.11135999999999999</v>
      </c>
      <c r="W51" s="26" t="s">
        <v>191</v>
      </c>
    </row>
    <row r="52" spans="1:23">
      <c r="A52" s="25" t="s">
        <v>187</v>
      </c>
      <c r="D52" s="12" t="str">
        <f>"EX_"&amp;Table22[[#This Row],[compound]]</f>
        <v>EX_na1_e</v>
      </c>
      <c r="E52" s="12">
        <v>1000</v>
      </c>
      <c r="F52" s="12">
        <f>_xlfn.LET(_xlpm.dec,_xlfn.TEXTAFTER(Table22[[#This Row],[flux]],".",,,,0),_xlpm.rounded,ROUNDUP(Table22[[#This Row],[flux]],6),Table22[[#This Row],[flux]])</f>
        <v>1000</v>
      </c>
      <c r="G52" s="26" t="s">
        <v>191</v>
      </c>
      <c r="H52" s="12" t="str">
        <v>v.up('EX_na1_e_REV-SPONT')=1000 * %nscale%;</v>
      </c>
      <c r="K52" s="27"/>
      <c r="L52" s="28" t="s">
        <v>214</v>
      </c>
      <c r="M52" s="28"/>
      <c r="N52" s="28" t="s">
        <v>198</v>
      </c>
      <c r="O52" s="28">
        <v>3.2</v>
      </c>
      <c r="P52" s="29" t="s">
        <v>228</v>
      </c>
      <c r="Q52" s="12">
        <f t="shared" si="0"/>
        <v>0.30719999999999997</v>
      </c>
      <c r="W52" s="26" t="s">
        <v>191</v>
      </c>
    </row>
    <row r="53" spans="1:23">
      <c r="A53" s="25" t="s">
        <v>188</v>
      </c>
      <c r="D53" s="12" t="str">
        <f>"EX_"&amp;Table22[[#This Row],[compound]]</f>
        <v>EX_ni2_e</v>
      </c>
      <c r="E53" s="12">
        <v>1000</v>
      </c>
      <c r="F53" s="12">
        <f>_xlfn.LET(_xlpm.dec,_xlfn.TEXTAFTER(Table22[[#This Row],[flux]],".",,,,0),_xlpm.rounded,ROUNDUP(Table22[[#This Row],[flux]],6),Table22[[#This Row],[flux]])</f>
        <v>1000</v>
      </c>
      <c r="G53" s="26" t="s">
        <v>191</v>
      </c>
      <c r="H53" s="12" t="str">
        <v>v.up('EX_ni2_e_REV-SPONT')=1000 * %nscale%;</v>
      </c>
      <c r="K53" s="27"/>
      <c r="W53" s="26" t="s">
        <v>191</v>
      </c>
    </row>
    <row r="54" spans="1:23">
      <c r="A54" s="32" t="s">
        <v>189</v>
      </c>
      <c r="D54" s="12" t="str">
        <f>"EX_"&amp;Table22[[#This Row],[compound]]</f>
        <v>EX_zn2_e</v>
      </c>
      <c r="E54" s="12">
        <v>1000</v>
      </c>
      <c r="F54" s="12">
        <f>_xlfn.LET(_xlpm.dec,_xlfn.TEXTAFTER(Table22[[#This Row],[flux]],".",,,,0),_xlpm.rounded,ROUNDUP(Table22[[#This Row],[flux]],6),Table22[[#This Row],[flux]])</f>
        <v>1000</v>
      </c>
      <c r="G54" s="26" t="s">
        <v>191</v>
      </c>
      <c r="H54" s="12" t="str">
        <v>v.up('EX_zn2_e_REV-SPONT')=1000 * %nscale%;</v>
      </c>
      <c r="K54" s="27"/>
      <c r="W54" s="26" t="s">
        <v>191</v>
      </c>
    </row>
    <row r="55" spans="1:23">
      <c r="A55" s="25" t="s">
        <v>190</v>
      </c>
      <c r="D55" s="12" t="str">
        <f>"EX_"&amp;Table22[[#This Row],[compound]]</f>
        <v>EX_cobalt2_e</v>
      </c>
      <c r="E55" s="12">
        <v>1000</v>
      </c>
      <c r="F55" s="12">
        <f>_xlfn.LET(_xlpm.dec,_xlfn.TEXTAFTER(Table22[[#This Row],[flux]],".",,,,0),_xlpm.rounded,ROUNDUP(Table22[[#This Row],[flux]],6),Table22[[#This Row],[flux]])</f>
        <v>1000</v>
      </c>
      <c r="G55" s="26" t="s">
        <v>191</v>
      </c>
      <c r="H55" s="12" t="str">
        <v>v.up('EX_cobalt2_e_REV-SPONT')=1000 * %nscale%;</v>
      </c>
      <c r="W55" s="26" t="s">
        <v>191</v>
      </c>
    </row>
    <row r="56" spans="1:23">
      <c r="A56" s="25" t="s">
        <v>182</v>
      </c>
      <c r="D56" s="12" t="str">
        <f>"EX_"&amp;Table22[[#This Row],[compound]]</f>
        <v>EX_inost_e</v>
      </c>
      <c r="E56" s="12">
        <v>1000</v>
      </c>
      <c r="F56" s="12">
        <f>_xlfn.LET(_xlpm.dec,_xlfn.TEXTAFTER(Table22[[#This Row],[flux]],".",,,,0),_xlpm.rounded,ROUNDUP(Table22[[#This Row],[flux]],6),Table22[[#This Row],[flux]])</f>
        <v>1000</v>
      </c>
      <c r="G56" s="26"/>
      <c r="H56" s="12" t="str">
        <v>v.up('EX_inost_e_REV-SPONT')=1000 * %nscale%;</v>
      </c>
      <c r="W56" s="26"/>
    </row>
    <row r="57" spans="1:23">
      <c r="A57" s="12" t="s">
        <v>241</v>
      </c>
      <c r="B57" s="12">
        <v>0.21312</v>
      </c>
      <c r="C57" s="12">
        <v>132.09474</v>
      </c>
      <c r="D57" s="12" t="str">
        <f>"EX_"&amp;Table22[[#This Row],[compound]]</f>
        <v>EX_asp__L_e</v>
      </c>
      <c r="E57" s="12">
        <f>($A$5*Table22[[#This Row],[mass (g/L)]]/(Table22[[#This Row],[MW (g/mol)]]/1000))/$AH$5</f>
        <v>4.652213040218847E-3</v>
      </c>
      <c r="F57" s="12">
        <f>_xlfn.LET(_xlpm.dec,_xlfn.TEXTAFTER(Table22[[#This Row],[flux]],".",,,,0),_xlpm.rounded,ROUNDUP(Table22[[#This Row],[flux]],6),Table22[[#This Row],[flux]])</f>
        <v>4.652213040218847E-3</v>
      </c>
      <c r="G57" s="26" t="s">
        <v>259</v>
      </c>
      <c r="H57" s="12" t="str">
        <v>v.up('EX_asp__L_e_REV-SPONT')=0.00465221304021885 * %nscale%;</v>
      </c>
      <c r="W57" s="26" t="s">
        <v>259</v>
      </c>
    </row>
    <row r="58" spans="1:23">
      <c r="A58" s="12" t="s">
        <v>242</v>
      </c>
      <c r="B58" s="12">
        <v>0.1152</v>
      </c>
      <c r="C58" s="12">
        <v>119.11915999999999</v>
      </c>
      <c r="D58" s="12" t="str">
        <f>"EX_"&amp;Table22[[#This Row],[compound]]</f>
        <v>EX_thr__L_e</v>
      </c>
      <c r="E58" s="12">
        <f>($A$5*Table22[[#This Row],[mass (g/L)]]/(Table22[[#This Row],[MW (g/mol)]]/1000))/$AH$5</f>
        <v>2.7886356048501993E-3</v>
      </c>
      <c r="F58" s="12">
        <f>_xlfn.LET(_xlpm.dec,_xlfn.TEXTAFTER(Table22[[#This Row],[flux]],".",,,,0),_xlpm.rounded,ROUNDUP(Table22[[#This Row],[flux]],6),Table22[[#This Row],[flux]])</f>
        <v>2.7886356048501993E-3</v>
      </c>
      <c r="G58" s="26" t="s">
        <v>259</v>
      </c>
      <c r="H58" s="12" t="str">
        <v>v.up('EX_thr__L_e_REV-SPONT')=0.0027886356048502 * %nscale%;</v>
      </c>
      <c r="W58" s="26" t="s">
        <v>259</v>
      </c>
    </row>
    <row r="59" spans="1:23">
      <c r="A59" s="12" t="s">
        <v>243</v>
      </c>
      <c r="B59" s="12">
        <v>0.12288</v>
      </c>
      <c r="C59" s="12">
        <v>105.09258</v>
      </c>
      <c r="D59" s="12" t="str">
        <f>"EX_"&amp;Table22[[#This Row],[compound]]</f>
        <v>EX_ser__L_e</v>
      </c>
      <c r="E59" s="12">
        <f>($A$5*Table22[[#This Row],[mass (g/L)]]/(Table22[[#This Row],[MW (g/mol)]]/1000))/$AH$5</f>
        <v>3.3715535341845332E-3</v>
      </c>
      <c r="F59" s="12">
        <f>_xlfn.LET(_xlpm.dec,_xlfn.TEXTAFTER(Table22[[#This Row],[flux]],".",,,,0),_xlpm.rounded,ROUNDUP(Table22[[#This Row],[flux]],6),Table22[[#This Row],[flux]])</f>
        <v>3.3715535341845332E-3</v>
      </c>
      <c r="G59" s="26" t="s">
        <v>259</v>
      </c>
      <c r="H59" s="12" t="str">
        <v>v.up('EX_ser__L_e_REV-SPONT')=0.00337155353418453 * %nscale%;</v>
      </c>
      <c r="W59" s="26" t="s">
        <v>259</v>
      </c>
    </row>
    <row r="60" spans="1:23">
      <c r="A60" s="12" t="s">
        <v>244</v>
      </c>
      <c r="B60" s="12">
        <v>0.51936000000000004</v>
      </c>
      <c r="C60" s="12">
        <v>146.12132</v>
      </c>
      <c r="D60" s="12" t="str">
        <f>"EX_"&amp;Table22[[#This Row],[compound]]</f>
        <v>EX_glu__L_e</v>
      </c>
      <c r="E60" s="12">
        <f>($A$5*Table22[[#This Row],[mass (g/L)]]/(Table22[[#This Row],[MW (g/mol)]]/1000))/$AH$5</f>
        <v>1.024886617963265E-2</v>
      </c>
      <c r="F60" s="12">
        <f>_xlfn.LET(_xlpm.dec,_xlfn.TEXTAFTER(Table22[[#This Row],[flux]],".",,,,0),_xlpm.rounded,ROUNDUP(Table22[[#This Row],[flux]],6),Table22[[#This Row],[flux]])</f>
        <v>1.024886617963265E-2</v>
      </c>
      <c r="G60" s="26" t="s">
        <v>259</v>
      </c>
      <c r="H60" s="12" t="str">
        <v>v.up('EX_glu__L_e_REV-SPONT')=0.0102488661796326 * %nscale%;</v>
      </c>
      <c r="W60" s="26" t="s">
        <v>259</v>
      </c>
    </row>
    <row r="61" spans="1:23">
      <c r="A61" s="12" t="s">
        <v>245</v>
      </c>
      <c r="B61" s="12">
        <v>0.19679999999999997</v>
      </c>
      <c r="C61" s="12">
        <v>75.066599999999994</v>
      </c>
      <c r="D61" s="12" t="str">
        <f>"EX_"&amp;Table22[[#This Row],[compound]]</f>
        <v>EX_gly_e</v>
      </c>
      <c r="E61" s="12">
        <f>($A$5*Table22[[#This Row],[mass (g/L)]]/(Table22[[#This Row],[MW (g/mol)]]/1000))/$AH$5</f>
        <v>7.5596077142551588E-3</v>
      </c>
      <c r="F61" s="12">
        <f>_xlfn.LET(_xlpm.dec,_xlfn.TEXTAFTER(Table22[[#This Row],[flux]],".",,,,0),_xlpm.rounded,ROUNDUP(Table22[[#This Row],[flux]],6),Table22[[#This Row],[flux]])</f>
        <v>7.5596077142551588E-3</v>
      </c>
      <c r="G61" s="26" t="s">
        <v>259</v>
      </c>
      <c r="H61" s="12" t="str">
        <v>v.up('EX_gly_e_REV-SPONT')=0.00755960771425516 * %nscale%;</v>
      </c>
      <c r="W61" s="26" t="s">
        <v>259</v>
      </c>
    </row>
    <row r="62" spans="1:23">
      <c r="A62" s="12" t="s">
        <v>246</v>
      </c>
      <c r="B62" s="12">
        <v>5.9519999999999997E-2</v>
      </c>
      <c r="C62" s="12">
        <v>181.18853999999999</v>
      </c>
      <c r="D62" s="12" t="str">
        <f>"EX_"&amp;Table22[[#This Row],[compound]]</f>
        <v>EX_tyr__L_e</v>
      </c>
      <c r="E62" s="12">
        <f>($A$5*Table22[[#This Row],[mass (g/L)]]/(Table22[[#This Row],[MW (g/mol)]]/1000))/$AH$5</f>
        <v>9.472249049407574E-4</v>
      </c>
      <c r="F62" s="12">
        <f>_xlfn.LET(_xlpm.dec,_xlfn.TEXTAFTER(Table22[[#This Row],[flux]],".",,,,0),_xlpm.rounded,ROUNDUP(Table22[[#This Row],[flux]],6),Table22[[#This Row],[flux]])</f>
        <v>9.472249049407574E-4</v>
      </c>
      <c r="G62" s="26" t="s">
        <v>259</v>
      </c>
      <c r="H62" s="12" t="str">
        <v>v.up('EX_tyr__L_e_REV-SPONT')=0.000947224904940757 * %nscale%;</v>
      </c>
      <c r="W62" s="26" t="s">
        <v>259</v>
      </c>
    </row>
    <row r="63" spans="1:23">
      <c r="A63" s="12" t="s">
        <v>247</v>
      </c>
      <c r="B63" s="12">
        <v>0.11135999999999999</v>
      </c>
      <c r="C63" s="12">
        <v>147.19550000000001</v>
      </c>
      <c r="D63" s="12" t="str">
        <f>"EX_"&amp;Table22[[#This Row],[compound]]</f>
        <v>EX_lys__L_e</v>
      </c>
      <c r="E63" s="12">
        <f>($A$5*Table22[[#This Row],[mass (g/L)]]/(Table22[[#This Row],[MW (g/mol)]]/1000))/$AH$5</f>
        <v>2.1815019238766538E-3</v>
      </c>
      <c r="F63" s="12">
        <f>_xlfn.LET(_xlpm.dec,_xlfn.TEXTAFTER(Table22[[#This Row],[flux]],".",,,,0),_xlpm.rounded,ROUNDUP(Table22[[#This Row],[flux]],6),Table22[[#This Row],[flux]])</f>
        <v>2.1815019238766538E-3</v>
      </c>
      <c r="G63" s="26" t="s">
        <v>259</v>
      </c>
      <c r="H63" s="12" t="str">
        <v>v.up('EX_lys__L_e_REV-SPONT')=0.00218150192387665 * %nscale%;</v>
      </c>
      <c r="W63" s="26" t="s">
        <v>259</v>
      </c>
    </row>
    <row r="64" spans="1:23">
      <c r="A64" s="12" t="s">
        <v>248</v>
      </c>
      <c r="B64" s="12">
        <v>0.14495999999999998</v>
      </c>
      <c r="C64" s="12">
        <v>175.2089</v>
      </c>
      <c r="D64" s="12" t="str">
        <f>"EX_"&amp;Table22[[#This Row],[compound]]</f>
        <v>EX_arg__L_e</v>
      </c>
      <c r="E64" s="12">
        <f>($A$5*Table22[[#This Row],[mass (g/L)]]/(Table22[[#This Row],[MW (g/mol)]]/1000))/$AH$5</f>
        <v>2.3856840582000965E-3</v>
      </c>
      <c r="F64" s="12">
        <f>_xlfn.LET(_xlpm.dec,_xlfn.TEXTAFTER(Table22[[#This Row],[flux]],".",,,,0),_xlpm.rounded,ROUNDUP(Table22[[#This Row],[flux]],6),Table22[[#This Row],[flux]])</f>
        <v>2.3856840582000965E-3</v>
      </c>
      <c r="G64" s="26" t="s">
        <v>259</v>
      </c>
      <c r="H64" s="12" t="str">
        <v>v.up('EX_arg__L_e_REV-SPONT')=0.0023856840582001 * %nscale%;</v>
      </c>
      <c r="W64" s="26" t="s">
        <v>259</v>
      </c>
    </row>
    <row r="65" spans="1:23">
      <c r="A65" s="28" t="s">
        <v>249</v>
      </c>
      <c r="B65" s="12">
        <v>1.6320000000000001E-2</v>
      </c>
      <c r="C65" s="12">
        <v>204.22517999999999</v>
      </c>
      <c r="D65" s="12" t="str">
        <f>"EX_"&amp;Table22[[#This Row],[compound]]</f>
        <v>EX_trp__L_e</v>
      </c>
      <c r="E65" s="12">
        <f>($A$5*Table22[[#This Row],[mass (g/L)]]/(Table22[[#This Row],[MW (g/mol)]]/1000))/$AH$5</f>
        <v>2.3042615768247457E-4</v>
      </c>
      <c r="F65" s="12">
        <f>_xlfn.LET(_xlpm.dec,_xlfn.TEXTAFTER(Table22[[#This Row],[flux]],".",,,,0),_xlpm.rounded,ROUNDUP(Table22[[#This Row],[flux]],6),Table22[[#This Row],[flux]])</f>
        <v>2.3042615768247457E-4</v>
      </c>
      <c r="G65" s="26" t="s">
        <v>259</v>
      </c>
      <c r="H65" s="12" t="str">
        <v>v.up('EX_trp__L_e_REV-SPONT')=0.000230426157682475 * %nscale%;</v>
      </c>
      <c r="W65" s="26" t="s">
        <v>259</v>
      </c>
    </row>
    <row r="66" spans="1:23">
      <c r="A66" s="12" t="s">
        <v>250</v>
      </c>
      <c r="B66" s="12">
        <v>33.024000000000001</v>
      </c>
      <c r="C66" s="12">
        <v>104.17075999999901</v>
      </c>
      <c r="D66" s="12" t="str">
        <f>"EX_"&amp;Table22[[#This Row],[compound]]</f>
        <v>EX_chol_e</v>
      </c>
      <c r="E66" s="12">
        <f>($A$5*Table22[[#This Row],[mass (g/L)]]/(Table22[[#This Row],[MW (g/mol)]]/1000))/$AH$5</f>
        <v>0.91412324816302171</v>
      </c>
      <c r="F66" s="12">
        <f>_xlfn.LET(_xlpm.dec,_xlfn.TEXTAFTER(Table22[[#This Row],[flux]],".",,,,0),_xlpm.rounded,ROUNDUP(Table22[[#This Row],[flux]],6),Table22[[#This Row],[flux]])</f>
        <v>0.91412324816302171</v>
      </c>
      <c r="G66" s="26" t="s">
        <v>259</v>
      </c>
      <c r="H66" s="12" t="str">
        <v>v.up('EX_chol_e_REV-SPONT')=0.914123248163022 * %nscale%;</v>
      </c>
      <c r="W66" s="26" t="s">
        <v>259</v>
      </c>
    </row>
    <row r="67" spans="1:23">
      <c r="A67" s="28" t="s">
        <v>251</v>
      </c>
      <c r="B67" s="12">
        <v>0.36863999999999997</v>
      </c>
      <c r="C67" s="12">
        <v>89.093180000000004</v>
      </c>
      <c r="D67" s="12" t="str">
        <f>"EX_"&amp;Table22[[#This Row],[compound]]</f>
        <v>EX_ala__L_e</v>
      </c>
      <c r="E67" s="12">
        <f>($A$5*Table22[[#This Row],[mass (g/L)]]/(Table22[[#This Row],[MW (g/mol)]]/1000))/$AH$5</f>
        <v>1.1931056659406613E-2</v>
      </c>
      <c r="F67" s="12">
        <f>_xlfn.LET(_xlpm.dec,_xlfn.TEXTAFTER(Table22[[#This Row],[flux]],".",,,,0),_xlpm.rounded,ROUNDUP(Table22[[#This Row],[flux]],6),Table22[[#This Row],[flux]])</f>
        <v>1.1931056659406613E-2</v>
      </c>
      <c r="G67" s="26" t="s">
        <v>259</v>
      </c>
      <c r="H67" s="12" t="str">
        <v>v.up('EX_ala__L_e_REV-SPONT')=0.0119310566594066 * %nscale%;</v>
      </c>
      <c r="W67" s="26" t="s">
        <v>259</v>
      </c>
    </row>
    <row r="68" spans="1:23">
      <c r="A68" s="12" t="s">
        <v>252</v>
      </c>
      <c r="B68" s="12">
        <v>0.19008</v>
      </c>
      <c r="C68" s="12">
        <v>117.14634</v>
      </c>
      <c r="D68" s="12" t="str">
        <f>"EX_"&amp;Table22[[#This Row],[compound]]</f>
        <v>EX_val__L_e</v>
      </c>
      <c r="E68" s="12">
        <f>($A$5*Table22[[#This Row],[mass (g/L)]]/(Table22[[#This Row],[MW (g/mol)]]/1000))/$AH$5</f>
        <v>4.6787367476708924E-3</v>
      </c>
      <c r="F68" s="12">
        <f>_xlfn.LET(_xlpm.dec,_xlfn.TEXTAFTER(Table22[[#This Row],[flux]],".",,,,0),_xlpm.rounded,ROUNDUP(Table22[[#This Row],[flux]],6),Table22[[#This Row],[flux]])</f>
        <v>4.6787367476708924E-3</v>
      </c>
      <c r="G68" s="26" t="s">
        <v>259</v>
      </c>
      <c r="H68" s="12" t="str">
        <v>v.up('EX_val__L_e_REV-SPONT')=0.00467873674767089 * %nscale%;</v>
      </c>
      <c r="W68" s="26" t="s">
        <v>259</v>
      </c>
    </row>
    <row r="69" spans="1:23">
      <c r="A69" s="12" t="s">
        <v>253</v>
      </c>
      <c r="B69" s="12">
        <v>6.9120000000000001E-2</v>
      </c>
      <c r="C69" s="12">
        <v>149.21134000000001</v>
      </c>
      <c r="D69" s="12" t="str">
        <f>"EX_"&amp;Table22[[#This Row],[compound]]</f>
        <v>EX_met__L_e</v>
      </c>
      <c r="E69" s="12">
        <f>($A$5*Table22[[#This Row],[mass (g/L)]]/(Table22[[#This Row],[MW (g/mol)]]/1000))/$AH$5</f>
        <v>1.335742702113047E-3</v>
      </c>
      <c r="F69" s="12">
        <f>_xlfn.LET(_xlpm.dec,_xlfn.TEXTAFTER(Table22[[#This Row],[flux]],".",,,,0),_xlpm.rounded,ROUNDUP(Table22[[#This Row],[flux]],6),Table22[[#This Row],[flux]])</f>
        <v>1.335742702113047E-3</v>
      </c>
      <c r="G69" s="26" t="s">
        <v>259</v>
      </c>
      <c r="H69" s="12" t="str">
        <v>v.up('EX_met__L_e_REV-SPONT')=0.00133574270211305 * %nscale%;</v>
      </c>
      <c r="W69" s="26" t="s">
        <v>259</v>
      </c>
    </row>
    <row r="70" spans="1:23">
      <c r="A70" s="12" t="s">
        <v>254</v>
      </c>
      <c r="B70" s="12">
        <v>0.11616</v>
      </c>
      <c r="C70" s="12">
        <v>131.17291999999901</v>
      </c>
      <c r="D70" s="12" t="str">
        <f>"EX_"&amp;Table22[[#This Row],[compound]]</f>
        <v>EX_ile__L_e</v>
      </c>
      <c r="E70" s="12">
        <f>($A$5*Table22[[#This Row],[mass (g/L)]]/(Table22[[#This Row],[MW (g/mol)]]/1000))/$AH$5</f>
        <v>2.5534851010850074E-3</v>
      </c>
      <c r="F70" s="12">
        <f>_xlfn.LET(_xlpm.dec,_xlfn.TEXTAFTER(Table22[[#This Row],[flux]],".",,,,0),_xlpm.rounded,ROUNDUP(Table22[[#This Row],[flux]],6),Table22[[#This Row],[flux]])</f>
        <v>2.5534851010850074E-3</v>
      </c>
      <c r="G70" s="26" t="s">
        <v>259</v>
      </c>
      <c r="H70" s="12" t="str">
        <v>v.up('EX_ile__L_e_REV-SPONT')=0.00255348510108501 * %nscale%;</v>
      </c>
      <c r="W70" s="26" t="s">
        <v>259</v>
      </c>
    </row>
    <row r="71" spans="1:23">
      <c r="A71" s="12" t="s">
        <v>255</v>
      </c>
      <c r="B71" s="12">
        <v>0.32640000000000002</v>
      </c>
      <c r="C71" s="12">
        <v>131.17291999999901</v>
      </c>
      <c r="D71" s="12" t="str">
        <f>"EX_"&amp;Table22[[#This Row],[compound]]</f>
        <v>EX_leu__L_e</v>
      </c>
      <c r="E71" s="12">
        <f>($A$5*Table22[[#This Row],[mass (g/L)]]/(Table22[[#This Row],[MW (g/mol)]]/1000))/$AH$5</f>
        <v>7.1750821022223349E-3</v>
      </c>
      <c r="F71" s="12">
        <f>_xlfn.LET(_xlpm.dec,_xlfn.TEXTAFTER(Table22[[#This Row],[flux]],".",,,,0),_xlpm.rounded,ROUNDUP(Table22[[#This Row],[flux]],6),Table22[[#This Row],[flux]])</f>
        <v>7.1750821022223349E-3</v>
      </c>
      <c r="G71" s="26" t="s">
        <v>259</v>
      </c>
      <c r="H71" s="12" t="str">
        <v>v.up('EX_leu__L_e_REV-SPONT')=0.00717508210222233 * %nscale%;</v>
      </c>
      <c r="W71" s="26" t="s">
        <v>259</v>
      </c>
    </row>
    <row r="72" spans="1:23">
      <c r="A72" s="12" t="s">
        <v>256</v>
      </c>
      <c r="B72" s="12">
        <v>0.13247999999999999</v>
      </c>
      <c r="C72" s="12">
        <v>165.18913999999899</v>
      </c>
      <c r="D72" s="12" t="str">
        <f>"EX_"&amp;Table22[[#This Row],[compound]]</f>
        <v>EX_phe__L_e</v>
      </c>
      <c r="E72" s="12">
        <f>($A$5*Table22[[#This Row],[mass (g/L)]]/(Table22[[#This Row],[MW (g/mol)]]/1000))/$AH$5</f>
        <v>2.3125425824919669E-3</v>
      </c>
      <c r="F72" s="12">
        <f>_xlfn.LET(_xlpm.dec,_xlfn.TEXTAFTER(Table22[[#This Row],[flux]],".",,,,0),_xlpm.rounded,ROUNDUP(Table22[[#This Row],[flux]],6),Table22[[#This Row],[flux]])</f>
        <v>2.3125425824919669E-3</v>
      </c>
      <c r="G72" s="26" t="s">
        <v>259</v>
      </c>
      <c r="H72" s="12" t="str">
        <v>v.up('EX_phe__L_e_REV-SPONT')=0.00231254258249197 * %nscale%;</v>
      </c>
      <c r="W72" s="26" t="s">
        <v>259</v>
      </c>
    </row>
    <row r="73" spans="1:23">
      <c r="A73" s="12" t="s">
        <v>257</v>
      </c>
      <c r="B73" s="12">
        <v>0.11135999999999999</v>
      </c>
      <c r="C73" s="12">
        <v>155.15456</v>
      </c>
      <c r="D73" s="12" t="str">
        <f>"EX_"&amp;Table22[[#This Row],[compound]]</f>
        <v>EX_his__L_e</v>
      </c>
      <c r="E73" s="12">
        <f>($A$5*Table22[[#This Row],[mass (g/L)]]/(Table22[[#This Row],[MW (g/mol)]]/1000))/$AH$5</f>
        <v>2.0695960623779669E-3</v>
      </c>
      <c r="F73" s="12">
        <f>_xlfn.LET(_xlpm.dec,_xlfn.TEXTAFTER(Table22[[#This Row],[flux]],".",,,,0),_xlpm.rounded,ROUNDUP(Table22[[#This Row],[flux]],6),Table22[[#This Row],[flux]])</f>
        <v>2.0695960623779669E-3</v>
      </c>
      <c r="G73" s="26" t="s">
        <v>259</v>
      </c>
      <c r="H73" s="12" t="str">
        <v>v.up('EX_his__L_e_REV-SPONT')=0.00206959606237797 * %nscale%;</v>
      </c>
      <c r="W73" s="26" t="s">
        <v>259</v>
      </c>
    </row>
    <row r="74" spans="1:23">
      <c r="A74" s="12" t="s">
        <v>258</v>
      </c>
      <c r="B74" s="12">
        <v>0.30719999999999997</v>
      </c>
      <c r="C74" s="12">
        <v>115.13046</v>
      </c>
      <c r="D74" s="12" t="str">
        <f>"EX_"&amp;Table22[[#This Row],[compound]]</f>
        <v>EX_pro__L_e</v>
      </c>
      <c r="E74" s="12">
        <f>($A$5*Table22[[#This Row],[mass (g/L)]]/(Table22[[#This Row],[MW (g/mol)]]/1000))/$AH$5</f>
        <v>7.693994697744861E-3</v>
      </c>
      <c r="F74" s="12">
        <f>_xlfn.LET(_xlpm.dec,_xlfn.TEXTAFTER(Table22[[#This Row],[flux]],".",,,,0),_xlpm.rounded,ROUNDUP(Table22[[#This Row],[flux]],6),Table22[[#This Row],[flux]])</f>
        <v>7.693994697744861E-3</v>
      </c>
      <c r="G74" s="26" t="s">
        <v>259</v>
      </c>
      <c r="H74" s="12" t="str">
        <v>v.up('EX_pro__L_e_REV-SPONT')=0.00769399469774486 * %nscale%;</v>
      </c>
      <c r="W74" s="26" t="s">
        <v>259</v>
      </c>
    </row>
  </sheetData>
  <mergeCells count="3">
    <mergeCell ref="L2:Q2"/>
    <mergeCell ref="R2:W2"/>
    <mergeCell ref="X2:AC2"/>
  </mergeCells>
  <hyperlinks>
    <hyperlink ref="D22" r:id="rId1" location="overview" display="https://www.dow.com/en-us/pdp.tergitol-l-81-surfactant.77582z.html - overview" xr:uid="{A5FF7B4A-AA6E-2D48-A5F2-E264A69326DD}"/>
    <hyperlink ref="B1" r:id="rId2" display="https://academic.oup.com/jimb/article/42/11/1463/5995377" xr:uid="{82033123-1DA9-6E4E-B979-674F43D363D4}"/>
    <hyperlink ref="O26" r:id="rId3" display="https://www.researchgate.net/figure/Nutritional-substances-contained-in-the-corn-steep-liquor_tbl1_342937941" xr:uid="{67C1BDA4-BE40-B148-BC87-3C9CEBD61F4F}"/>
  </hyperlinks>
  <pageMargins left="0.7" right="0.7" top="0.75" bottom="0.75" header="0.3" footer="0.3"/>
  <pageSetup orientation="portrait" horizontalDpi="0" verticalDpi="0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A8A7-2400-3C4C-A223-40FACD8162E5}">
  <dimension ref="A1:B543"/>
  <sheetViews>
    <sheetView workbookViewId="0">
      <selection activeCell="C14" sqref="C14"/>
    </sheetView>
  </sheetViews>
  <sheetFormatPr baseColWidth="10" defaultRowHeight="15"/>
  <sheetData>
    <row r="1" spans="1:2">
      <c r="A1" t="s">
        <v>442</v>
      </c>
    </row>
    <row r="2" spans="1:2">
      <c r="A2" t="s">
        <v>443</v>
      </c>
      <c r="B2" t="s">
        <v>444</v>
      </c>
    </row>
    <row r="3" spans="1:2">
      <c r="A3" t="s">
        <v>445</v>
      </c>
      <c r="B3">
        <v>1.9461994324903999E-2</v>
      </c>
    </row>
    <row r="4" spans="1:2">
      <c r="A4" t="s">
        <v>446</v>
      </c>
      <c r="B4" s="50">
        <v>1.6788294999999999E-8</v>
      </c>
    </row>
    <row r="5" spans="1:2">
      <c r="A5" t="s">
        <v>447</v>
      </c>
      <c r="B5">
        <v>0.30280670228890899</v>
      </c>
    </row>
    <row r="6" spans="1:2">
      <c r="A6" t="s">
        <v>448</v>
      </c>
      <c r="B6">
        <v>4.2478372526499998E-3</v>
      </c>
    </row>
    <row r="7" spans="1:2">
      <c r="A7" t="s">
        <v>449</v>
      </c>
      <c r="B7">
        <v>1.3108488096844E-2</v>
      </c>
    </row>
    <row r="8" spans="1:2">
      <c r="A8" t="s">
        <v>225</v>
      </c>
      <c r="B8">
        <v>-7.0899999999999999E-4</v>
      </c>
    </row>
    <row r="9" spans="1:2">
      <c r="A9" t="s">
        <v>450</v>
      </c>
      <c r="B9">
        <v>-1.9165464577620001E-3</v>
      </c>
    </row>
    <row r="10" spans="1:2">
      <c r="A10" t="s">
        <v>451</v>
      </c>
      <c r="B10">
        <v>1.76694376134E-4</v>
      </c>
    </row>
    <row r="11" spans="1:2">
      <c r="A11" t="s">
        <v>452</v>
      </c>
      <c r="B11">
        <v>1.6259819329396401</v>
      </c>
    </row>
    <row r="12" spans="1:2">
      <c r="A12" t="s">
        <v>453</v>
      </c>
      <c r="B12" s="50">
        <v>1.7525498116999998E-5</v>
      </c>
    </row>
    <row r="13" spans="1:2">
      <c r="A13" t="s">
        <v>454</v>
      </c>
      <c r="B13">
        <v>1.47805190503263</v>
      </c>
    </row>
    <row r="14" spans="1:2">
      <c r="A14" t="s">
        <v>455</v>
      </c>
      <c r="B14" s="50">
        <v>2.1596762609999998E-5</v>
      </c>
    </row>
    <row r="15" spans="1:2">
      <c r="A15" t="s">
        <v>456</v>
      </c>
      <c r="B15">
        <v>-0.42366820889951501</v>
      </c>
    </row>
    <row r="16" spans="1:2">
      <c r="A16" t="s">
        <v>457</v>
      </c>
      <c r="B16">
        <v>4.8434464427319999E-3</v>
      </c>
    </row>
    <row r="17" spans="1:2">
      <c r="A17" t="s">
        <v>458</v>
      </c>
      <c r="B17" s="50">
        <v>-8.5441196500000002E-7</v>
      </c>
    </row>
    <row r="18" spans="1:2">
      <c r="A18" t="s">
        <v>459</v>
      </c>
      <c r="B18">
        <v>8.5727456723379992E-3</v>
      </c>
    </row>
    <row r="19" spans="1:2">
      <c r="A19" t="s">
        <v>460</v>
      </c>
      <c r="B19" s="50">
        <v>8.5441196500000002E-7</v>
      </c>
    </row>
    <row r="20" spans="1:2">
      <c r="A20" t="s">
        <v>461</v>
      </c>
      <c r="B20" s="50">
        <v>-1.5728825607000001E-5</v>
      </c>
    </row>
    <row r="21" spans="1:2">
      <c r="A21" t="s">
        <v>462</v>
      </c>
      <c r="B21">
        <v>0.43677669699635902</v>
      </c>
    </row>
    <row r="22" spans="1:2">
      <c r="A22" t="s">
        <v>463</v>
      </c>
      <c r="B22">
        <v>1.3108488096844E-2</v>
      </c>
    </row>
    <row r="23" spans="1:2">
      <c r="A23" t="s">
        <v>464</v>
      </c>
      <c r="B23">
        <v>1.2381303176469999E-3</v>
      </c>
    </row>
    <row r="24" spans="1:2">
      <c r="A24" t="s">
        <v>465</v>
      </c>
      <c r="B24">
        <v>1.5216665776900001E-4</v>
      </c>
    </row>
    <row r="25" spans="1:2">
      <c r="A25" t="s">
        <v>466</v>
      </c>
      <c r="B25" s="50">
        <v>1.7525498116999998E-5</v>
      </c>
    </row>
    <row r="26" spans="1:2">
      <c r="A26" t="s">
        <v>467</v>
      </c>
      <c r="B26">
        <v>1.5711336486920999E-2</v>
      </c>
    </row>
    <row r="27" spans="1:2">
      <c r="A27" t="s">
        <v>468</v>
      </c>
      <c r="B27">
        <v>0.855650744301934</v>
      </c>
    </row>
    <row r="28" spans="1:2">
      <c r="A28" t="s">
        <v>469</v>
      </c>
      <c r="B28" s="50">
        <v>1.7525498116999998E-5</v>
      </c>
    </row>
    <row r="29" spans="1:2">
      <c r="A29" t="s">
        <v>470</v>
      </c>
      <c r="B29" s="50">
        <v>3.5050996230000001E-6</v>
      </c>
    </row>
    <row r="30" spans="1:2">
      <c r="A30" t="s">
        <v>471</v>
      </c>
      <c r="B30" s="50">
        <v>-7.7946180000000003E-9</v>
      </c>
    </row>
    <row r="31" spans="1:2">
      <c r="A31" t="s">
        <v>472</v>
      </c>
      <c r="B31" s="50">
        <v>5.2576494350000001E-6</v>
      </c>
    </row>
    <row r="32" spans="1:2">
      <c r="A32" t="s">
        <v>473</v>
      </c>
      <c r="B32" s="50">
        <v>-2.7119645342000002E-5</v>
      </c>
    </row>
    <row r="33" spans="1:2">
      <c r="A33" t="s">
        <v>474</v>
      </c>
      <c r="B33" s="50">
        <v>-9.2042068000000006E-8</v>
      </c>
    </row>
    <row r="34" spans="1:2">
      <c r="A34" t="s">
        <v>475</v>
      </c>
      <c r="B34">
        <v>1.5215867877000001E-4</v>
      </c>
    </row>
    <row r="35" spans="1:2">
      <c r="A35" t="s">
        <v>476</v>
      </c>
      <c r="B35">
        <v>-1.95890693293964</v>
      </c>
    </row>
    <row r="36" spans="1:2">
      <c r="A36" t="s">
        <v>477</v>
      </c>
      <c r="B36">
        <v>2.5736102524440002E-3</v>
      </c>
    </row>
    <row r="37" spans="1:2">
      <c r="A37" t="s">
        <v>478</v>
      </c>
      <c r="B37">
        <v>1.493114335092E-3</v>
      </c>
    </row>
    <row r="38" spans="1:2">
      <c r="A38" t="s">
        <v>479</v>
      </c>
      <c r="B38" s="50">
        <v>3.5050996230000001E-6</v>
      </c>
    </row>
    <row r="39" spans="1:2">
      <c r="A39" t="s">
        <v>480</v>
      </c>
      <c r="B39">
        <v>4.6706782428430002E-3</v>
      </c>
    </row>
    <row r="40" spans="1:2">
      <c r="A40" t="s">
        <v>481</v>
      </c>
      <c r="B40">
        <v>5.1786766880650001E-3</v>
      </c>
    </row>
    <row r="41" spans="1:2">
      <c r="A41" t="s">
        <v>482</v>
      </c>
      <c r="B41">
        <v>6.8650144922200004E-4</v>
      </c>
    </row>
    <row r="42" spans="1:2">
      <c r="A42" t="s">
        <v>483</v>
      </c>
      <c r="B42">
        <v>4.6706782428430002E-3</v>
      </c>
    </row>
    <row r="43" spans="1:2">
      <c r="A43" t="s">
        <v>484</v>
      </c>
      <c r="B43">
        <v>3.9761581253660002E-3</v>
      </c>
    </row>
    <row r="44" spans="1:2">
      <c r="A44" t="s">
        <v>485</v>
      </c>
      <c r="B44">
        <v>-1.5657139771130001E-2</v>
      </c>
    </row>
    <row r="45" spans="1:2">
      <c r="A45" t="s">
        <v>486</v>
      </c>
      <c r="B45">
        <v>3.08777005069E-4</v>
      </c>
    </row>
    <row r="46" spans="1:2">
      <c r="A46" t="s">
        <v>487</v>
      </c>
      <c r="B46">
        <v>2.7314170827535001E-2</v>
      </c>
    </row>
    <row r="47" spans="1:2">
      <c r="A47" t="s">
        <v>488</v>
      </c>
      <c r="B47" s="50">
        <v>-3.1576615092000002E-5</v>
      </c>
    </row>
    <row r="48" spans="1:2">
      <c r="A48" t="s">
        <v>489</v>
      </c>
      <c r="B48">
        <v>6.8650144922200004E-4</v>
      </c>
    </row>
    <row r="49" spans="1:2">
      <c r="A49" t="s">
        <v>490</v>
      </c>
      <c r="B49">
        <v>-2.805647627437E-3</v>
      </c>
    </row>
    <row r="50" spans="1:2">
      <c r="A50" t="s">
        <v>491</v>
      </c>
      <c r="B50" s="50">
        <v>2.576670085E-6</v>
      </c>
    </row>
    <row r="51" spans="1:2">
      <c r="A51" t="s">
        <v>492</v>
      </c>
      <c r="B51">
        <v>-0.42366820889951501</v>
      </c>
    </row>
    <row r="52" spans="1:2">
      <c r="A52" t="s">
        <v>493</v>
      </c>
      <c r="B52">
        <v>-1.17497013204E-4</v>
      </c>
    </row>
    <row r="53" spans="1:2">
      <c r="A53" t="s">
        <v>494</v>
      </c>
      <c r="B53">
        <v>1.013E-3</v>
      </c>
    </row>
    <row r="54" spans="1:2">
      <c r="A54" t="s">
        <v>495</v>
      </c>
      <c r="B54">
        <v>-1.17497013204E-4</v>
      </c>
    </row>
    <row r="55" spans="1:2">
      <c r="A55" t="s">
        <v>496</v>
      </c>
      <c r="B55">
        <v>0.71696759339754401</v>
      </c>
    </row>
    <row r="56" spans="1:2">
      <c r="A56" t="s">
        <v>497</v>
      </c>
      <c r="B56" s="50">
        <v>2.2894701510000001E-6</v>
      </c>
    </row>
    <row r="57" spans="1:2">
      <c r="A57" t="s">
        <v>498</v>
      </c>
      <c r="B57">
        <v>0.33292500000000003</v>
      </c>
    </row>
    <row r="58" spans="1:2">
      <c r="A58" t="s">
        <v>499</v>
      </c>
      <c r="B58">
        <v>-1.3121989622499999E-4</v>
      </c>
    </row>
    <row r="59" spans="1:2">
      <c r="A59" t="s">
        <v>500</v>
      </c>
      <c r="B59">
        <v>8.9663164103869999E-2</v>
      </c>
    </row>
    <row r="60" spans="1:2">
      <c r="A60" t="s">
        <v>501</v>
      </c>
      <c r="B60" s="50">
        <v>1.7525498116999998E-5</v>
      </c>
    </row>
    <row r="61" spans="1:2">
      <c r="A61" t="s">
        <v>502</v>
      </c>
      <c r="B61" s="50">
        <v>7.7946180000000003E-9</v>
      </c>
    </row>
    <row r="62" spans="1:2">
      <c r="A62" t="s">
        <v>503</v>
      </c>
      <c r="B62">
        <v>0.33292500000000003</v>
      </c>
    </row>
    <row r="63" spans="1:2">
      <c r="A63" t="s">
        <v>504</v>
      </c>
      <c r="B63">
        <v>4.8957602356700005E-4</v>
      </c>
    </row>
    <row r="64" spans="1:2">
      <c r="A64" t="s">
        <v>505</v>
      </c>
      <c r="B64">
        <v>3.3399999999999999E-4</v>
      </c>
    </row>
    <row r="65" spans="1:2">
      <c r="A65" t="s">
        <v>506</v>
      </c>
      <c r="B65">
        <v>3.9761581253660002E-3</v>
      </c>
    </row>
    <row r="66" spans="1:2">
      <c r="A66" t="s">
        <v>507</v>
      </c>
      <c r="B66" s="50">
        <v>1.7525498116999998E-5</v>
      </c>
    </row>
    <row r="67" spans="1:2">
      <c r="A67" t="s">
        <v>508</v>
      </c>
      <c r="B67" s="50">
        <v>-6.7519539229999997E-6</v>
      </c>
    </row>
    <row r="68" spans="1:2">
      <c r="A68" t="s">
        <v>509</v>
      </c>
      <c r="B68" s="50">
        <v>8.7627490580000007E-6</v>
      </c>
    </row>
    <row r="69" spans="1:2">
      <c r="A69" t="s">
        <v>510</v>
      </c>
      <c r="B69" s="50">
        <v>6.7705999749999996E-6</v>
      </c>
    </row>
    <row r="70" spans="1:2">
      <c r="A70" t="s">
        <v>511</v>
      </c>
      <c r="B70" s="50">
        <v>-1.4925347900000001E-7</v>
      </c>
    </row>
    <row r="71" spans="1:2">
      <c r="A71" t="s">
        <v>512</v>
      </c>
      <c r="B71">
        <v>1.493114335092E-3</v>
      </c>
    </row>
    <row r="72" spans="1:2">
      <c r="A72" t="s">
        <v>513</v>
      </c>
      <c r="B72">
        <v>7.5563224715260004E-3</v>
      </c>
    </row>
    <row r="73" spans="1:2">
      <c r="A73" t="s">
        <v>514</v>
      </c>
      <c r="B73">
        <v>-3.78483725265E-3</v>
      </c>
    </row>
    <row r="74" spans="1:2">
      <c r="A74" t="s">
        <v>515</v>
      </c>
      <c r="B74">
        <v>0.24497119998957201</v>
      </c>
    </row>
    <row r="75" spans="1:2">
      <c r="A75" t="s">
        <v>516</v>
      </c>
      <c r="B75">
        <v>1.5215867877000001E-4</v>
      </c>
    </row>
    <row r="76" spans="1:2">
      <c r="A76" t="s">
        <v>517</v>
      </c>
      <c r="B76" s="50">
        <v>6.1339243409000004E-5</v>
      </c>
    </row>
    <row r="77" spans="1:2">
      <c r="A77" t="s">
        <v>518</v>
      </c>
      <c r="B77">
        <v>-8.6761492261199999E-4</v>
      </c>
    </row>
    <row r="78" spans="1:2">
      <c r="A78" t="s">
        <v>519</v>
      </c>
      <c r="B78">
        <v>3.6750315822640001E-3</v>
      </c>
    </row>
    <row r="79" spans="1:2">
      <c r="A79" t="s">
        <v>520</v>
      </c>
      <c r="B79" s="50">
        <v>1.4925347900000001E-7</v>
      </c>
    </row>
    <row r="80" spans="1:2">
      <c r="A80" t="s">
        <v>521</v>
      </c>
      <c r="B80">
        <v>0.238333535825408</v>
      </c>
    </row>
    <row r="81" spans="1:2">
      <c r="A81" t="s">
        <v>522</v>
      </c>
      <c r="B81">
        <v>-0.100884625149915</v>
      </c>
    </row>
    <row r="82" spans="1:2">
      <c r="A82" t="s">
        <v>523</v>
      </c>
      <c r="B82">
        <v>0.71696759339754401</v>
      </c>
    </row>
    <row r="83" spans="1:2">
      <c r="A83" t="s">
        <v>524</v>
      </c>
      <c r="B83">
        <v>9.1299274208900001E-4</v>
      </c>
    </row>
    <row r="84" spans="1:2">
      <c r="A84" t="s">
        <v>525</v>
      </c>
      <c r="B84" s="50">
        <v>-2.5766793929999999E-6</v>
      </c>
    </row>
    <row r="85" spans="1:2">
      <c r="A85" t="s">
        <v>526</v>
      </c>
      <c r="B85">
        <v>1.5016356142849999E-3</v>
      </c>
    </row>
    <row r="86" spans="1:2">
      <c r="A86" t="s">
        <v>527</v>
      </c>
      <c r="B86">
        <v>-6.4740039474679998E-3</v>
      </c>
    </row>
    <row r="87" spans="1:2">
      <c r="A87" t="s">
        <v>234</v>
      </c>
      <c r="B87">
        <v>-2.1599999999999999E-4</v>
      </c>
    </row>
    <row r="88" spans="1:2">
      <c r="A88" t="s">
        <v>528</v>
      </c>
      <c r="B88" s="50">
        <v>1.7525498116999998E-5</v>
      </c>
    </row>
    <row r="89" spans="1:2">
      <c r="A89" t="s">
        <v>529</v>
      </c>
      <c r="B89">
        <v>3.6750315822640001E-3</v>
      </c>
    </row>
    <row r="90" spans="1:2">
      <c r="A90" t="s">
        <v>530</v>
      </c>
      <c r="B90" s="50">
        <v>8.5441196500000002E-7</v>
      </c>
    </row>
    <row r="91" spans="1:2">
      <c r="A91" t="s">
        <v>531</v>
      </c>
      <c r="B91" s="50">
        <v>4.9015251108999999E-5</v>
      </c>
    </row>
    <row r="92" spans="1:2">
      <c r="A92" t="s">
        <v>532</v>
      </c>
      <c r="B92">
        <v>-1.76694376134E-4</v>
      </c>
    </row>
    <row r="93" spans="1:2">
      <c r="A93" t="s">
        <v>533</v>
      </c>
      <c r="B93">
        <v>0.10121433797828699</v>
      </c>
    </row>
    <row r="94" spans="1:2">
      <c r="A94" t="s">
        <v>534</v>
      </c>
      <c r="B94" s="50">
        <v>-3.5050996233999997E-5</v>
      </c>
    </row>
    <row r="95" spans="1:2">
      <c r="A95" t="s">
        <v>231</v>
      </c>
      <c r="B95">
        <v>-1.17497013204E-4</v>
      </c>
    </row>
    <row r="96" spans="1:2">
      <c r="A96" t="s">
        <v>535</v>
      </c>
      <c r="B96">
        <v>3.8972499994600001E-4</v>
      </c>
    </row>
    <row r="97" spans="1:2">
      <c r="A97" t="s">
        <v>536</v>
      </c>
      <c r="B97" s="50">
        <v>3.1576615092000002E-5</v>
      </c>
    </row>
    <row r="98" spans="1:2">
      <c r="A98" t="s">
        <v>537</v>
      </c>
      <c r="B98">
        <v>5.1257602356699996E-4</v>
      </c>
    </row>
    <row r="99" spans="1:2">
      <c r="A99" t="s">
        <v>538</v>
      </c>
      <c r="B99">
        <v>0.10079226992701699</v>
      </c>
    </row>
    <row r="100" spans="1:2">
      <c r="A100" t="s">
        <v>539</v>
      </c>
      <c r="B100" s="50">
        <v>3.9894989999999996E-9</v>
      </c>
    </row>
    <row r="101" spans="1:2">
      <c r="A101" t="s">
        <v>540</v>
      </c>
      <c r="B101" s="50">
        <v>5.8696260434999997E-5</v>
      </c>
    </row>
    <row r="102" spans="1:2">
      <c r="A102" t="s">
        <v>541</v>
      </c>
      <c r="B102">
        <v>2.5736102524440002E-3</v>
      </c>
    </row>
    <row r="103" spans="1:2">
      <c r="A103" t="s">
        <v>542</v>
      </c>
      <c r="B103" s="50">
        <v>5.2576494350000001E-6</v>
      </c>
    </row>
    <row r="104" spans="1:2">
      <c r="A104" t="s">
        <v>543</v>
      </c>
      <c r="B104">
        <v>3.7760714610245001E-2</v>
      </c>
    </row>
    <row r="105" spans="1:2">
      <c r="A105" t="s">
        <v>544</v>
      </c>
      <c r="B105">
        <v>3.9761581253660002E-3</v>
      </c>
    </row>
    <row r="106" spans="1:2">
      <c r="A106" t="s">
        <v>545</v>
      </c>
      <c r="B106">
        <v>2.2626356142849999E-3</v>
      </c>
    </row>
    <row r="107" spans="1:2">
      <c r="A107" t="s">
        <v>546</v>
      </c>
      <c r="B107" s="50">
        <v>-1.6788294999999999E-8</v>
      </c>
    </row>
    <row r="108" spans="1:2">
      <c r="A108" t="s">
        <v>547</v>
      </c>
      <c r="B108">
        <v>7.6099999999999996E-4</v>
      </c>
    </row>
    <row r="109" spans="1:2">
      <c r="A109" t="s">
        <v>548</v>
      </c>
      <c r="B109">
        <v>3.6750315822640001E-3</v>
      </c>
    </row>
    <row r="110" spans="1:2">
      <c r="A110" t="s">
        <v>549</v>
      </c>
      <c r="B110">
        <v>4.0040608556097999E-2</v>
      </c>
    </row>
    <row r="111" spans="1:2">
      <c r="A111" t="s">
        <v>550</v>
      </c>
      <c r="B111">
        <v>6.4740039474679998E-3</v>
      </c>
    </row>
    <row r="112" spans="1:2">
      <c r="A112" t="s">
        <v>551</v>
      </c>
      <c r="B112" s="50">
        <v>1.7525498116999998E-5</v>
      </c>
    </row>
    <row r="113" spans="1:2">
      <c r="A113" t="s">
        <v>552</v>
      </c>
      <c r="B113">
        <v>2.4277955401899999E-4</v>
      </c>
    </row>
    <row r="114" spans="1:2">
      <c r="A114" t="s">
        <v>553</v>
      </c>
      <c r="B114">
        <v>9.1299274208900001E-4</v>
      </c>
    </row>
    <row r="115" spans="1:2">
      <c r="A115" t="s">
        <v>554</v>
      </c>
      <c r="B115">
        <v>3.9761581253660002E-3</v>
      </c>
    </row>
    <row r="116" spans="1:2">
      <c r="A116" t="s">
        <v>224</v>
      </c>
      <c r="B116">
        <v>-2.5300000000000002E-4</v>
      </c>
    </row>
    <row r="117" spans="1:2">
      <c r="A117" t="s">
        <v>555</v>
      </c>
      <c r="B117">
        <v>1.269687988551E-3</v>
      </c>
    </row>
    <row r="118" spans="1:2">
      <c r="A118" t="s">
        <v>556</v>
      </c>
      <c r="B118" s="50">
        <v>8.7627490580000007E-6</v>
      </c>
    </row>
    <row r="119" spans="1:2">
      <c r="A119" t="s">
        <v>557</v>
      </c>
      <c r="B119" s="50">
        <v>8.5441196500000002E-7</v>
      </c>
    </row>
    <row r="120" spans="1:2">
      <c r="A120" t="s">
        <v>558</v>
      </c>
      <c r="B120">
        <v>-6.4740039474679998E-3</v>
      </c>
    </row>
    <row r="121" spans="1:2">
      <c r="A121" t="s">
        <v>559</v>
      </c>
      <c r="B121">
        <v>1.3121989622499999E-4</v>
      </c>
    </row>
    <row r="122" spans="1:2">
      <c r="A122" t="s">
        <v>560</v>
      </c>
      <c r="B122">
        <v>1.7077857515364501</v>
      </c>
    </row>
    <row r="123" spans="1:2">
      <c r="A123" t="s">
        <v>561</v>
      </c>
      <c r="B123">
        <v>2.1733959679780001E-3</v>
      </c>
    </row>
    <row r="124" spans="1:2">
      <c r="A124" t="s">
        <v>562</v>
      </c>
      <c r="B124">
        <v>2.0219813840190001E-3</v>
      </c>
    </row>
    <row r="125" spans="1:2">
      <c r="A125" t="s">
        <v>563</v>
      </c>
      <c r="B125">
        <v>2.38931407769E-4</v>
      </c>
    </row>
    <row r="126" spans="1:2">
      <c r="A126" t="s">
        <v>564</v>
      </c>
      <c r="B126">
        <v>1.3108488096844E-2</v>
      </c>
    </row>
    <row r="127" spans="1:2">
      <c r="A127" t="s">
        <v>565</v>
      </c>
      <c r="B127" s="50">
        <v>9.3999999999999994E-5</v>
      </c>
    </row>
    <row r="128" spans="1:2">
      <c r="A128" t="s">
        <v>566</v>
      </c>
      <c r="B128" s="50">
        <v>5.4196715792E-5</v>
      </c>
    </row>
    <row r="129" spans="1:2">
      <c r="A129" t="s">
        <v>567</v>
      </c>
      <c r="B129">
        <v>0.84195552527135398</v>
      </c>
    </row>
    <row r="130" spans="1:2">
      <c r="A130" t="s">
        <v>568</v>
      </c>
      <c r="B130" s="50">
        <v>4.9015251108999999E-5</v>
      </c>
    </row>
    <row r="131" spans="1:2">
      <c r="A131" t="s">
        <v>569</v>
      </c>
      <c r="B131">
        <v>0.12870286633971301</v>
      </c>
    </row>
    <row r="132" spans="1:2">
      <c r="A132" t="s">
        <v>570</v>
      </c>
      <c r="B132" s="50">
        <v>1.7525498116999998E-5</v>
      </c>
    </row>
    <row r="133" spans="1:2">
      <c r="A133" t="s">
        <v>571</v>
      </c>
      <c r="B133">
        <v>2.38931407769E-4</v>
      </c>
    </row>
    <row r="134" spans="1:2">
      <c r="A134" t="s">
        <v>572</v>
      </c>
      <c r="B134" s="50">
        <v>1.3556488999999999E-8</v>
      </c>
    </row>
    <row r="135" spans="1:2">
      <c r="A135" t="s">
        <v>573</v>
      </c>
      <c r="B135" s="50">
        <v>-3.1576615092000002E-5</v>
      </c>
    </row>
    <row r="136" spans="1:2">
      <c r="A136" t="s">
        <v>574</v>
      </c>
      <c r="B136">
        <v>1.255555992915E-3</v>
      </c>
    </row>
    <row r="137" spans="1:2">
      <c r="A137" t="s">
        <v>575</v>
      </c>
      <c r="B137" s="50">
        <v>8.2328811494999997E-5</v>
      </c>
    </row>
    <row r="138" spans="1:2">
      <c r="A138" t="s">
        <v>576</v>
      </c>
      <c r="B138">
        <v>1.0216957931008099</v>
      </c>
    </row>
    <row r="139" spans="1:2">
      <c r="A139" t="s">
        <v>577</v>
      </c>
      <c r="B139">
        <v>3.0433091403000003E-4</v>
      </c>
    </row>
    <row r="140" spans="1:2">
      <c r="A140" t="s">
        <v>578</v>
      </c>
      <c r="B140">
        <v>1.5657139771130001E-2</v>
      </c>
    </row>
    <row r="141" spans="1:2">
      <c r="A141" t="s">
        <v>579</v>
      </c>
      <c r="B141">
        <v>5.4969084196870004E-3</v>
      </c>
    </row>
    <row r="142" spans="1:2">
      <c r="A142" t="s">
        <v>580</v>
      </c>
      <c r="B142">
        <v>5.5183439691760001E-3</v>
      </c>
    </row>
    <row r="143" spans="1:2">
      <c r="A143" t="s">
        <v>581</v>
      </c>
      <c r="B143">
        <v>-3.4637855302099998E-4</v>
      </c>
    </row>
    <row r="144" spans="1:2">
      <c r="A144" t="s">
        <v>582</v>
      </c>
      <c r="B144" s="50">
        <v>1.6113033352000001E-5</v>
      </c>
    </row>
    <row r="145" spans="1:2">
      <c r="A145" t="s">
        <v>583</v>
      </c>
      <c r="B145">
        <v>7.5563224715260004E-3</v>
      </c>
    </row>
    <row r="146" spans="1:2">
      <c r="A146" t="s">
        <v>584</v>
      </c>
      <c r="B146">
        <v>1.2287066723370001E-3</v>
      </c>
    </row>
    <row r="147" spans="1:2">
      <c r="A147" t="s">
        <v>585</v>
      </c>
      <c r="B147">
        <v>0.91224279663151597</v>
      </c>
    </row>
    <row r="148" spans="1:2">
      <c r="A148" t="s">
        <v>586</v>
      </c>
      <c r="B148">
        <v>1.07711511544E-4</v>
      </c>
    </row>
    <row r="149" spans="1:2">
      <c r="A149" t="s">
        <v>587</v>
      </c>
      <c r="B149" s="50">
        <v>2.5766793929999999E-6</v>
      </c>
    </row>
    <row r="150" spans="1:2">
      <c r="A150" t="s">
        <v>588</v>
      </c>
      <c r="B150">
        <v>0.10092308647133399</v>
      </c>
    </row>
    <row r="151" spans="1:2">
      <c r="A151" t="s">
        <v>589</v>
      </c>
      <c r="B151" s="50">
        <v>1.7525498116999998E-5</v>
      </c>
    </row>
    <row r="152" spans="1:2">
      <c r="A152" t="s">
        <v>590</v>
      </c>
      <c r="B152">
        <v>2.8630847849710002E-3</v>
      </c>
    </row>
    <row r="153" spans="1:2">
      <c r="A153" t="s">
        <v>591</v>
      </c>
      <c r="B153" s="50">
        <v>-5.4196715792E-5</v>
      </c>
    </row>
    <row r="154" spans="1:2">
      <c r="A154" t="s">
        <v>592</v>
      </c>
      <c r="B154">
        <v>1.493114335092E-3</v>
      </c>
    </row>
    <row r="155" spans="1:2">
      <c r="A155" t="s">
        <v>593</v>
      </c>
      <c r="B155">
        <v>1.493114335092E-3</v>
      </c>
    </row>
    <row r="156" spans="1:2">
      <c r="A156" t="s">
        <v>594</v>
      </c>
      <c r="B156">
        <v>-0.202490015199982</v>
      </c>
    </row>
    <row r="157" spans="1:2">
      <c r="A157" t="s">
        <v>595</v>
      </c>
      <c r="B157">
        <v>2.1733959679780001E-3</v>
      </c>
    </row>
    <row r="158" spans="1:2">
      <c r="A158" t="s">
        <v>596</v>
      </c>
      <c r="B158" s="50">
        <v>4.2271760000000003E-9</v>
      </c>
    </row>
    <row r="159" spans="1:2">
      <c r="A159" t="s">
        <v>597</v>
      </c>
      <c r="B159">
        <v>2.7599999999999999E-4</v>
      </c>
    </row>
    <row r="160" spans="1:2">
      <c r="A160" t="s">
        <v>598</v>
      </c>
      <c r="B160">
        <v>0.96955598726399495</v>
      </c>
    </row>
    <row r="161" spans="1:2">
      <c r="A161" t="s">
        <v>599</v>
      </c>
      <c r="B161" s="50">
        <v>1.7525498116999998E-5</v>
      </c>
    </row>
    <row r="162" spans="1:2">
      <c r="A162" t="s">
        <v>600</v>
      </c>
      <c r="B162">
        <v>-2.1956091975397E-2</v>
      </c>
    </row>
    <row r="163" spans="1:2">
      <c r="A163" t="s">
        <v>601</v>
      </c>
      <c r="B163">
        <v>4.9790435954150001E-3</v>
      </c>
    </row>
    <row r="164" spans="1:2">
      <c r="A164" t="s">
        <v>223</v>
      </c>
      <c r="B164">
        <v>-1.3200000000000001E-4</v>
      </c>
    </row>
    <row r="165" spans="1:2">
      <c r="A165" t="s">
        <v>602</v>
      </c>
      <c r="B165" s="50">
        <v>-8.7627490580000007E-6</v>
      </c>
    </row>
    <row r="166" spans="1:2">
      <c r="A166" t="s">
        <v>603</v>
      </c>
      <c r="B166">
        <v>0.39614828446436701</v>
      </c>
    </row>
    <row r="167" spans="1:2">
      <c r="A167" t="s">
        <v>604</v>
      </c>
      <c r="B167" s="50">
        <v>3.1576615092000002E-5</v>
      </c>
    </row>
    <row r="168" spans="1:2">
      <c r="A168" t="s">
        <v>605</v>
      </c>
      <c r="B168">
        <v>-1.5657139771130001E-2</v>
      </c>
    </row>
    <row r="169" spans="1:2">
      <c r="A169" t="s">
        <v>606</v>
      </c>
      <c r="B169">
        <v>2.1733959679780001E-3</v>
      </c>
    </row>
    <row r="170" spans="1:2">
      <c r="A170" t="s">
        <v>607</v>
      </c>
      <c r="B170">
        <v>1.493114335092E-3</v>
      </c>
    </row>
    <row r="171" spans="1:2">
      <c r="A171" t="s">
        <v>608</v>
      </c>
      <c r="B171" s="50">
        <v>1.752549812E-6</v>
      </c>
    </row>
    <row r="172" spans="1:2">
      <c r="A172" t="s">
        <v>609</v>
      </c>
      <c r="B172" s="50">
        <v>5.4196715792E-5</v>
      </c>
    </row>
    <row r="173" spans="1:2">
      <c r="A173" t="s">
        <v>610</v>
      </c>
      <c r="B173" s="50">
        <v>2.3E-5</v>
      </c>
    </row>
    <row r="174" spans="1:2">
      <c r="A174" t="s">
        <v>611</v>
      </c>
      <c r="B174" s="50">
        <v>3.9894989999999996E-9</v>
      </c>
    </row>
    <row r="175" spans="1:2">
      <c r="A175" t="s">
        <v>612</v>
      </c>
      <c r="B175">
        <v>1.5215867877000001E-4</v>
      </c>
    </row>
    <row r="176" spans="1:2">
      <c r="A176" t="s">
        <v>613</v>
      </c>
      <c r="B176">
        <v>3.9760246180400001E-3</v>
      </c>
    </row>
    <row r="177" spans="1:2">
      <c r="A177" t="s">
        <v>614</v>
      </c>
      <c r="B177">
        <v>1.5067772865945801</v>
      </c>
    </row>
    <row r="178" spans="1:2">
      <c r="A178" t="s">
        <v>615</v>
      </c>
      <c r="B178">
        <v>7.5563224715260004E-3</v>
      </c>
    </row>
    <row r="179" spans="1:2">
      <c r="A179" t="s">
        <v>616</v>
      </c>
      <c r="B179">
        <v>1.493114335092E-3</v>
      </c>
    </row>
    <row r="180" spans="1:2">
      <c r="A180" t="s">
        <v>617</v>
      </c>
      <c r="B180">
        <v>2.805647627437E-3</v>
      </c>
    </row>
    <row r="181" spans="1:2">
      <c r="A181" t="s">
        <v>618</v>
      </c>
      <c r="B181">
        <v>3.3195706198509999E-3</v>
      </c>
    </row>
    <row r="182" spans="1:2">
      <c r="A182" t="s">
        <v>619</v>
      </c>
      <c r="B182" s="50">
        <v>2.2689966878999999E-5</v>
      </c>
    </row>
    <row r="183" spans="1:2">
      <c r="A183" t="s">
        <v>620</v>
      </c>
      <c r="B183" s="50">
        <v>8.2328811494999997E-5</v>
      </c>
    </row>
    <row r="184" spans="1:2">
      <c r="A184" t="s">
        <v>621</v>
      </c>
      <c r="B184" s="50">
        <v>1.6788294999999999E-8</v>
      </c>
    </row>
    <row r="185" spans="1:2">
      <c r="A185" t="s">
        <v>622</v>
      </c>
      <c r="B185">
        <v>-3.9681026364858201</v>
      </c>
    </row>
    <row r="186" spans="1:2">
      <c r="A186" t="s">
        <v>623</v>
      </c>
      <c r="B186">
        <v>4.8957602356700005E-4</v>
      </c>
    </row>
    <row r="187" spans="1:2">
      <c r="A187" t="s">
        <v>624</v>
      </c>
      <c r="B187">
        <v>3.4093625165290001E-3</v>
      </c>
    </row>
    <row r="188" spans="1:2">
      <c r="A188" t="s">
        <v>625</v>
      </c>
      <c r="B188">
        <v>2.1429509651296998E-2</v>
      </c>
    </row>
    <row r="189" spans="1:2">
      <c r="A189" t="s">
        <v>626</v>
      </c>
      <c r="B189">
        <v>3.6750315822640001E-3</v>
      </c>
    </row>
    <row r="190" spans="1:2">
      <c r="A190" t="s">
        <v>627</v>
      </c>
      <c r="B190">
        <v>-0.40206159277376402</v>
      </c>
    </row>
    <row r="191" spans="1:2">
      <c r="A191" t="s">
        <v>628</v>
      </c>
      <c r="B191">
        <v>2.37512222373E-4</v>
      </c>
    </row>
    <row r="192" spans="1:2">
      <c r="A192" t="s">
        <v>629</v>
      </c>
      <c r="B192">
        <v>3.9761581253660002E-3</v>
      </c>
    </row>
    <row r="193" spans="1:2">
      <c r="A193" t="s">
        <v>630</v>
      </c>
      <c r="B193" s="50">
        <v>4.4346416221E-5</v>
      </c>
    </row>
    <row r="194" spans="1:2">
      <c r="A194" t="s">
        <v>631</v>
      </c>
      <c r="B194">
        <v>6.8650144922200004E-4</v>
      </c>
    </row>
    <row r="195" spans="1:2">
      <c r="A195" t="s">
        <v>632</v>
      </c>
      <c r="B195">
        <v>-1.8084516580701E-2</v>
      </c>
    </row>
    <row r="196" spans="1:2">
      <c r="A196" t="s">
        <v>633</v>
      </c>
      <c r="B196">
        <v>1.4752462574051901</v>
      </c>
    </row>
    <row r="197" spans="1:2">
      <c r="A197" t="s">
        <v>634</v>
      </c>
      <c r="B197">
        <v>1.3200000000000001E-4</v>
      </c>
    </row>
    <row r="198" spans="1:2">
      <c r="A198" t="s">
        <v>635</v>
      </c>
      <c r="B198" s="50">
        <v>2.7098357896E-5</v>
      </c>
    </row>
    <row r="199" spans="1:2">
      <c r="A199" t="s">
        <v>636</v>
      </c>
      <c r="B199">
        <v>-6.4740039474679998E-3</v>
      </c>
    </row>
    <row r="200" spans="1:2">
      <c r="A200" t="s">
        <v>235</v>
      </c>
      <c r="B200" s="50">
        <v>-9.3999999999999994E-5</v>
      </c>
    </row>
    <row r="201" spans="1:2">
      <c r="A201" t="s">
        <v>637</v>
      </c>
      <c r="B201" s="50">
        <v>3.1557783219000001E-5</v>
      </c>
    </row>
    <row r="202" spans="1:2">
      <c r="A202" t="s">
        <v>638</v>
      </c>
      <c r="B202">
        <v>-2.805647627437E-3</v>
      </c>
    </row>
    <row r="203" spans="1:2">
      <c r="A203" t="s">
        <v>639</v>
      </c>
      <c r="B203" s="50">
        <v>1.7525498116999998E-5</v>
      </c>
    </row>
    <row r="204" spans="1:2">
      <c r="A204" t="s">
        <v>640</v>
      </c>
      <c r="B204" s="50">
        <v>-1.7440133634E-5</v>
      </c>
    </row>
    <row r="205" spans="1:2">
      <c r="A205" t="s">
        <v>641</v>
      </c>
      <c r="B205">
        <v>2.2716623427430999E-2</v>
      </c>
    </row>
    <row r="206" spans="1:2">
      <c r="A206" t="s">
        <v>642</v>
      </c>
      <c r="B206" s="50">
        <v>3.1557783219000001E-5</v>
      </c>
    </row>
    <row r="207" spans="1:2">
      <c r="A207" t="s">
        <v>643</v>
      </c>
      <c r="B207">
        <v>0.39590935305659802</v>
      </c>
    </row>
    <row r="208" spans="1:2">
      <c r="A208" t="s">
        <v>644</v>
      </c>
      <c r="B208">
        <v>0.81063109215042095</v>
      </c>
    </row>
    <row r="209" spans="1:2">
      <c r="A209" t="s">
        <v>645</v>
      </c>
      <c r="B209">
        <v>1.7077857515364501</v>
      </c>
    </row>
    <row r="210" spans="1:2">
      <c r="A210" t="s">
        <v>646</v>
      </c>
      <c r="B210">
        <v>-0.50485704546976595</v>
      </c>
    </row>
    <row r="211" spans="1:2">
      <c r="A211" t="s">
        <v>647</v>
      </c>
      <c r="B211">
        <v>0.99351585318265601</v>
      </c>
    </row>
    <row r="212" spans="1:2">
      <c r="A212" t="s">
        <v>648</v>
      </c>
      <c r="B212" s="50">
        <v>-1.7525498116999998E-5</v>
      </c>
    </row>
    <row r="213" spans="1:2">
      <c r="A213" t="s">
        <v>649</v>
      </c>
      <c r="B213" s="50">
        <v>8.7627490580000007E-6</v>
      </c>
    </row>
    <row r="214" spans="1:2">
      <c r="A214" t="s">
        <v>650</v>
      </c>
      <c r="B214" s="50">
        <v>8.5441196500000002E-7</v>
      </c>
    </row>
    <row r="215" spans="1:2">
      <c r="A215" t="s">
        <v>651</v>
      </c>
      <c r="B215" s="50">
        <v>-1.371596402E-6</v>
      </c>
    </row>
    <row r="216" spans="1:2">
      <c r="A216" t="s">
        <v>652</v>
      </c>
      <c r="B216">
        <v>2.3599999999999999E-4</v>
      </c>
    </row>
    <row r="217" spans="1:2">
      <c r="A217" t="s">
        <v>653</v>
      </c>
      <c r="B217">
        <v>1.5216665776900001E-4</v>
      </c>
    </row>
    <row r="218" spans="1:2">
      <c r="A218" t="s">
        <v>654</v>
      </c>
      <c r="B218">
        <v>4.787908419687E-3</v>
      </c>
    </row>
    <row r="219" spans="1:2">
      <c r="A219" t="s">
        <v>655</v>
      </c>
      <c r="B219">
        <v>1.4752462574051901</v>
      </c>
    </row>
    <row r="220" spans="1:2">
      <c r="A220" t="s">
        <v>656</v>
      </c>
      <c r="B220" s="50">
        <v>1.7525498116999998E-5</v>
      </c>
    </row>
    <row r="221" spans="1:2">
      <c r="A221" t="s">
        <v>657</v>
      </c>
      <c r="B221">
        <v>-999.99984784132096</v>
      </c>
    </row>
    <row r="222" spans="1:2">
      <c r="A222" t="s">
        <v>658</v>
      </c>
      <c r="B222">
        <v>-6.4740039474679998E-3</v>
      </c>
    </row>
    <row r="223" spans="1:2">
      <c r="A223" t="s">
        <v>228</v>
      </c>
      <c r="B223">
        <v>-7.6099999999999996E-4</v>
      </c>
    </row>
    <row r="224" spans="1:2">
      <c r="A224" t="s">
        <v>659</v>
      </c>
      <c r="B224">
        <v>1.5215867877000001E-4</v>
      </c>
    </row>
    <row r="225" spans="1:2">
      <c r="A225" t="s">
        <v>660</v>
      </c>
      <c r="B225">
        <v>3.08777005069E-4</v>
      </c>
    </row>
    <row r="226" spans="1:2">
      <c r="A226" t="s">
        <v>661</v>
      </c>
      <c r="B226">
        <v>2.805647627437E-3</v>
      </c>
    </row>
    <row r="227" spans="1:2">
      <c r="A227" t="s">
        <v>662</v>
      </c>
      <c r="B227">
        <v>3.260111701666E-3</v>
      </c>
    </row>
    <row r="228" spans="1:2">
      <c r="A228" t="s">
        <v>663</v>
      </c>
      <c r="B228">
        <v>0.10079226992701699</v>
      </c>
    </row>
    <row r="229" spans="1:2">
      <c r="A229" t="s">
        <v>664</v>
      </c>
      <c r="B229">
        <v>2.1429509651296998E-2</v>
      </c>
    </row>
    <row r="230" spans="1:2">
      <c r="A230" t="s">
        <v>665</v>
      </c>
      <c r="B230">
        <v>6.8650144922200004E-4</v>
      </c>
    </row>
    <row r="231" spans="1:2">
      <c r="A231" t="s">
        <v>666</v>
      </c>
      <c r="B231" s="50">
        <v>9.7482659569000002E-5</v>
      </c>
    </row>
    <row r="232" spans="1:2">
      <c r="A232" t="s">
        <v>667</v>
      </c>
      <c r="B232">
        <v>1.255555992915E-3</v>
      </c>
    </row>
    <row r="233" spans="1:2">
      <c r="A233" t="s">
        <v>668</v>
      </c>
      <c r="B233">
        <v>0.100950407095966</v>
      </c>
    </row>
    <row r="234" spans="1:2">
      <c r="A234" t="s">
        <v>669</v>
      </c>
      <c r="B234">
        <v>1.4874539434200001E-4</v>
      </c>
    </row>
    <row r="235" spans="1:2">
      <c r="A235" t="s">
        <v>670</v>
      </c>
      <c r="B235">
        <v>1.5215867877000001E-4</v>
      </c>
    </row>
    <row r="236" spans="1:2">
      <c r="A236" t="s">
        <v>226</v>
      </c>
      <c r="B236">
        <v>-2.2900000000000001E-4</v>
      </c>
    </row>
    <row r="237" spans="1:2">
      <c r="A237" t="s">
        <v>671</v>
      </c>
      <c r="B237" s="50">
        <v>-8.5441196500000002E-7</v>
      </c>
    </row>
    <row r="238" spans="1:2">
      <c r="A238" t="s">
        <v>672</v>
      </c>
      <c r="B238">
        <v>3.6623625165289999E-3</v>
      </c>
    </row>
    <row r="239" spans="1:2">
      <c r="A239" t="s">
        <v>673</v>
      </c>
      <c r="B239">
        <v>3.4637855302099998E-4</v>
      </c>
    </row>
    <row r="240" spans="1:2">
      <c r="A240" t="s">
        <v>674</v>
      </c>
      <c r="B240">
        <v>2.37512222373E-4</v>
      </c>
    </row>
    <row r="241" spans="1:2">
      <c r="A241" t="s">
        <v>675</v>
      </c>
      <c r="B241">
        <v>0.10079226992701699</v>
      </c>
    </row>
    <row r="242" spans="1:2">
      <c r="A242" t="s">
        <v>676</v>
      </c>
      <c r="B242" s="50">
        <v>6.7705999749999996E-6</v>
      </c>
    </row>
    <row r="243" spans="1:2">
      <c r="A243" t="s">
        <v>677</v>
      </c>
      <c r="B243">
        <v>3.0433091403000003E-4</v>
      </c>
    </row>
    <row r="244" spans="1:2">
      <c r="A244" t="s">
        <v>678</v>
      </c>
      <c r="B244">
        <v>2.805647627437E-3</v>
      </c>
    </row>
    <row r="245" spans="1:2">
      <c r="A245" t="s">
        <v>679</v>
      </c>
      <c r="B245" s="50">
        <v>2.2844300000000001E-9</v>
      </c>
    </row>
    <row r="246" spans="1:2">
      <c r="A246" t="s">
        <v>680</v>
      </c>
      <c r="B246">
        <v>2.4277955401899999E-4</v>
      </c>
    </row>
    <row r="247" spans="1:2">
      <c r="A247" t="s">
        <v>681</v>
      </c>
      <c r="B247">
        <v>2.05E-4</v>
      </c>
    </row>
    <row r="248" spans="1:2">
      <c r="A248" t="s">
        <v>227</v>
      </c>
      <c r="B248">
        <v>-2.05E-4</v>
      </c>
    </row>
    <row r="249" spans="1:2">
      <c r="A249" t="s">
        <v>682</v>
      </c>
      <c r="B249" s="50">
        <v>3.9894989999999996E-9</v>
      </c>
    </row>
    <row r="250" spans="1:2">
      <c r="A250" t="s">
        <v>683</v>
      </c>
      <c r="B250">
        <v>2.0819379672011001E-2</v>
      </c>
    </row>
    <row r="251" spans="1:2">
      <c r="A251" t="s">
        <v>174</v>
      </c>
      <c r="B251" s="50">
        <v>-4.9015251108999999E-5</v>
      </c>
    </row>
    <row r="252" spans="1:2">
      <c r="A252" t="s">
        <v>684</v>
      </c>
      <c r="B252">
        <v>0.913735910966608</v>
      </c>
    </row>
    <row r="253" spans="1:2">
      <c r="A253" t="s">
        <v>685</v>
      </c>
      <c r="B253" s="50">
        <v>8.5441196500000002E-7</v>
      </c>
    </row>
    <row r="254" spans="1:2">
      <c r="A254" t="s">
        <v>686</v>
      </c>
      <c r="B254">
        <v>6.8650144922200004E-4</v>
      </c>
    </row>
    <row r="255" spans="1:2">
      <c r="A255" t="s">
        <v>687</v>
      </c>
      <c r="B255" s="50">
        <v>2.06714E-9</v>
      </c>
    </row>
    <row r="256" spans="1:2">
      <c r="A256" t="s">
        <v>688</v>
      </c>
      <c r="B256">
        <v>6.8650144922200004E-4</v>
      </c>
    </row>
    <row r="257" spans="1:2">
      <c r="A257" t="s">
        <v>689</v>
      </c>
      <c r="B257" s="50">
        <v>3.1557783219000001E-5</v>
      </c>
    </row>
    <row r="258" spans="1:2">
      <c r="A258" t="s">
        <v>690</v>
      </c>
      <c r="B258">
        <v>-0.43677669699635902</v>
      </c>
    </row>
    <row r="259" spans="1:2">
      <c r="A259" t="s">
        <v>691</v>
      </c>
      <c r="B259">
        <v>4.6706782428430002E-3</v>
      </c>
    </row>
    <row r="260" spans="1:2">
      <c r="A260" t="s">
        <v>692</v>
      </c>
      <c r="B260">
        <v>-5.1585535598099995E-4</v>
      </c>
    </row>
    <row r="261" spans="1:2">
      <c r="A261" t="s">
        <v>693</v>
      </c>
      <c r="B261">
        <v>1.2381303176469999E-3</v>
      </c>
    </row>
    <row r="262" spans="1:2">
      <c r="A262" t="s">
        <v>233</v>
      </c>
      <c r="B262">
        <v>-2.3599999999999999E-4</v>
      </c>
    </row>
    <row r="263" spans="1:2">
      <c r="A263" t="s">
        <v>694</v>
      </c>
      <c r="B263">
        <v>-8.1865794692680006E-3</v>
      </c>
    </row>
    <row r="264" spans="1:2">
      <c r="A264" t="s">
        <v>695</v>
      </c>
      <c r="B264" s="50">
        <v>-2.1596762609999998E-5</v>
      </c>
    </row>
    <row r="265" spans="1:2">
      <c r="A265" t="s">
        <v>696</v>
      </c>
      <c r="B265">
        <v>1.5474244386354001E-2</v>
      </c>
    </row>
    <row r="266" spans="1:2">
      <c r="A266" t="s">
        <v>697</v>
      </c>
      <c r="B266">
        <v>9.1299274208900001E-4</v>
      </c>
    </row>
    <row r="267" spans="1:2">
      <c r="A267" t="s">
        <v>698</v>
      </c>
      <c r="B267">
        <v>4.8957602356700005E-4</v>
      </c>
    </row>
    <row r="268" spans="1:2">
      <c r="A268" t="s">
        <v>699</v>
      </c>
      <c r="B268">
        <v>3.8714832055300002E-4</v>
      </c>
    </row>
    <row r="269" spans="1:2">
      <c r="A269" t="s">
        <v>700</v>
      </c>
      <c r="B269" s="50">
        <v>-2.3028932169999999E-6</v>
      </c>
    </row>
    <row r="270" spans="1:2">
      <c r="A270" t="s">
        <v>701</v>
      </c>
      <c r="B270">
        <v>1.2381303176469999E-3</v>
      </c>
    </row>
    <row r="271" spans="1:2">
      <c r="A271" t="s">
        <v>702</v>
      </c>
      <c r="B271">
        <v>4.8957602356700005E-4</v>
      </c>
    </row>
    <row r="272" spans="1:2">
      <c r="A272" t="s">
        <v>703</v>
      </c>
      <c r="B272">
        <v>2.5736102524440002E-3</v>
      </c>
    </row>
    <row r="273" spans="1:2">
      <c r="A273" t="s">
        <v>704</v>
      </c>
      <c r="B273" s="50">
        <v>1.7525498116999998E-5</v>
      </c>
    </row>
    <row r="274" spans="1:2">
      <c r="A274" t="s">
        <v>705</v>
      </c>
      <c r="B274">
        <v>1.04965033591E-4</v>
      </c>
    </row>
    <row r="275" spans="1:2">
      <c r="A275" t="s">
        <v>706</v>
      </c>
      <c r="B275">
        <v>2.7314170827535001E-2</v>
      </c>
    </row>
    <row r="276" spans="1:2">
      <c r="A276" t="s">
        <v>707</v>
      </c>
      <c r="B276">
        <v>2.643754145947E-3</v>
      </c>
    </row>
    <row r="277" spans="1:2">
      <c r="A277" t="s">
        <v>708</v>
      </c>
      <c r="B277">
        <v>6.8650144922200004E-4</v>
      </c>
    </row>
    <row r="278" spans="1:2">
      <c r="A278" t="s">
        <v>709</v>
      </c>
      <c r="B278" s="50">
        <v>2.9583671999999999E-7</v>
      </c>
    </row>
    <row r="279" spans="1:2">
      <c r="A279" t="s">
        <v>710</v>
      </c>
      <c r="B279">
        <v>1.1745016088299001E-2</v>
      </c>
    </row>
    <row r="280" spans="1:2">
      <c r="A280" t="s">
        <v>711</v>
      </c>
      <c r="B280">
        <v>-3.7760714610245001E-2</v>
      </c>
    </row>
    <row r="281" spans="1:2">
      <c r="A281" t="s">
        <v>712</v>
      </c>
      <c r="B281">
        <v>0.33292500000000003</v>
      </c>
    </row>
    <row r="282" spans="1:2">
      <c r="A282" t="s">
        <v>713</v>
      </c>
      <c r="B282">
        <v>6.063208136434E-3</v>
      </c>
    </row>
    <row r="283" spans="1:2">
      <c r="A283" t="s">
        <v>714</v>
      </c>
      <c r="B283" s="50">
        <v>5.2860556591E-5</v>
      </c>
    </row>
    <row r="284" spans="1:2">
      <c r="A284" t="s">
        <v>715</v>
      </c>
      <c r="B284">
        <v>1.5215867877000001E-4</v>
      </c>
    </row>
    <row r="285" spans="1:2">
      <c r="A285" t="s">
        <v>716</v>
      </c>
      <c r="B285">
        <v>2.0219813840190001E-3</v>
      </c>
    </row>
    <row r="286" spans="1:2">
      <c r="A286" t="s">
        <v>717</v>
      </c>
      <c r="B286">
        <v>-6.1276253944469996E-3</v>
      </c>
    </row>
    <row r="287" spans="1:2">
      <c r="A287" t="s">
        <v>718</v>
      </c>
      <c r="B287">
        <v>1.2353893351460001E-3</v>
      </c>
    </row>
    <row r="288" spans="1:2">
      <c r="A288" t="s">
        <v>719</v>
      </c>
      <c r="B288">
        <v>0.73903613552925895</v>
      </c>
    </row>
    <row r="289" spans="1:2">
      <c r="A289" t="s">
        <v>720</v>
      </c>
      <c r="B289">
        <v>-1.3121989622499999E-4</v>
      </c>
    </row>
    <row r="290" spans="1:2">
      <c r="A290" t="s">
        <v>240</v>
      </c>
      <c r="B290">
        <v>-4.6000000000000001E-4</v>
      </c>
    </row>
    <row r="291" spans="1:2">
      <c r="A291" t="s">
        <v>721</v>
      </c>
      <c r="B291" s="50">
        <v>-6.1339243409000004E-5</v>
      </c>
    </row>
    <row r="292" spans="1:2">
      <c r="A292" t="s">
        <v>722</v>
      </c>
      <c r="B292" s="50">
        <v>2.933937099E-6</v>
      </c>
    </row>
    <row r="293" spans="1:2">
      <c r="A293" t="s">
        <v>723</v>
      </c>
      <c r="B293" s="50">
        <v>1.7525498116999998E-5</v>
      </c>
    </row>
    <row r="294" spans="1:2">
      <c r="A294" t="s">
        <v>724</v>
      </c>
      <c r="B294">
        <v>1.5215867877000001E-4</v>
      </c>
    </row>
    <row r="295" spans="1:2">
      <c r="A295" t="s">
        <v>725</v>
      </c>
      <c r="B295">
        <v>0.44852171308465799</v>
      </c>
    </row>
    <row r="296" spans="1:2">
      <c r="A296" t="s">
        <v>726</v>
      </c>
      <c r="B296">
        <v>2.37512222373E-4</v>
      </c>
    </row>
    <row r="297" spans="1:2">
      <c r="A297" t="s">
        <v>727</v>
      </c>
      <c r="B297">
        <v>-2.5730059669850001E-3</v>
      </c>
    </row>
    <row r="298" spans="1:2">
      <c r="A298" t="s">
        <v>728</v>
      </c>
      <c r="B298" s="50">
        <v>3.1248381138000002E-5</v>
      </c>
    </row>
    <row r="299" spans="1:2">
      <c r="A299" t="s">
        <v>729</v>
      </c>
      <c r="B299">
        <v>2.5736102524440002E-3</v>
      </c>
    </row>
    <row r="300" spans="1:2">
      <c r="A300" t="s">
        <v>730</v>
      </c>
      <c r="B300">
        <v>1.4752462574051901</v>
      </c>
    </row>
    <row r="301" spans="1:2">
      <c r="A301" t="s">
        <v>731</v>
      </c>
      <c r="B301">
        <v>1.7492464754900001E-4</v>
      </c>
    </row>
    <row r="302" spans="1:2">
      <c r="A302" t="s">
        <v>732</v>
      </c>
      <c r="B302">
        <v>0.50592920154897303</v>
      </c>
    </row>
    <row r="303" spans="1:2">
      <c r="A303" t="s">
        <v>733</v>
      </c>
      <c r="B303">
        <v>0.09</v>
      </c>
    </row>
    <row r="304" spans="1:2">
      <c r="A304" t="s">
        <v>734</v>
      </c>
      <c r="B304">
        <v>-0.33292500000000003</v>
      </c>
    </row>
    <row r="305" spans="1:2">
      <c r="A305" t="s">
        <v>735</v>
      </c>
      <c r="B305">
        <v>0.233662857582565</v>
      </c>
    </row>
    <row r="306" spans="1:2">
      <c r="A306" t="s">
        <v>736</v>
      </c>
      <c r="B306">
        <v>8.1865794692680006E-3</v>
      </c>
    </row>
    <row r="307" spans="1:2">
      <c r="A307" t="s">
        <v>737</v>
      </c>
      <c r="B307">
        <v>2.37512222373E-4</v>
      </c>
    </row>
    <row r="308" spans="1:2">
      <c r="A308" t="s">
        <v>738</v>
      </c>
      <c r="B308">
        <v>1.5216665776900001E-4</v>
      </c>
    </row>
    <row r="309" spans="1:2">
      <c r="A309" t="s">
        <v>739</v>
      </c>
      <c r="B309">
        <v>3.6750315822640001E-3</v>
      </c>
    </row>
    <row r="310" spans="1:2">
      <c r="A310" t="s">
        <v>740</v>
      </c>
      <c r="B310">
        <v>0.96931705585622596</v>
      </c>
    </row>
    <row r="311" spans="1:2">
      <c r="A311" t="s">
        <v>741</v>
      </c>
      <c r="B311">
        <v>1.4752462574051901</v>
      </c>
    </row>
    <row r="312" spans="1:2">
      <c r="A312" t="s">
        <v>742</v>
      </c>
      <c r="B312">
        <v>6.4740039474679998E-3</v>
      </c>
    </row>
    <row r="313" spans="1:2">
      <c r="A313" t="s">
        <v>743</v>
      </c>
      <c r="B313">
        <v>1.5016356142849999E-3</v>
      </c>
    </row>
    <row r="314" spans="1:2">
      <c r="A314" t="s">
        <v>744</v>
      </c>
      <c r="B314" s="50">
        <v>8.2328811494999997E-5</v>
      </c>
    </row>
    <row r="315" spans="1:2">
      <c r="A315" t="s">
        <v>745</v>
      </c>
      <c r="B315" s="50">
        <v>-3.1576615092000002E-5</v>
      </c>
    </row>
    <row r="316" spans="1:2">
      <c r="A316" t="s">
        <v>746</v>
      </c>
      <c r="B316">
        <v>6.063208136434E-3</v>
      </c>
    </row>
    <row r="317" spans="1:2">
      <c r="A317" t="s">
        <v>747</v>
      </c>
      <c r="B317">
        <v>1.5215867877000001E-4</v>
      </c>
    </row>
    <row r="318" spans="1:2">
      <c r="A318" t="s">
        <v>748</v>
      </c>
      <c r="B318" s="50">
        <v>8.3260126100000002E-6</v>
      </c>
    </row>
    <row r="319" spans="1:2">
      <c r="A319" t="s">
        <v>749</v>
      </c>
      <c r="B319" s="50">
        <v>1.7525498116999998E-5</v>
      </c>
    </row>
    <row r="320" spans="1:2">
      <c r="A320" t="s">
        <v>750</v>
      </c>
      <c r="B320">
        <v>2.5098899429890002E-3</v>
      </c>
    </row>
    <row r="321" spans="1:2">
      <c r="A321" t="s">
        <v>751</v>
      </c>
      <c r="B321">
        <v>-9.1299274208900001E-4</v>
      </c>
    </row>
    <row r="322" spans="1:2">
      <c r="A322" t="s">
        <v>752</v>
      </c>
      <c r="B322" s="50">
        <v>2.1302795210000001E-5</v>
      </c>
    </row>
    <row r="323" spans="1:2">
      <c r="A323" t="s">
        <v>753</v>
      </c>
      <c r="B323">
        <v>1.5215867877000001E-4</v>
      </c>
    </row>
    <row r="324" spans="1:2">
      <c r="A324" t="s">
        <v>754</v>
      </c>
      <c r="B324">
        <v>2.5300000000000002E-4</v>
      </c>
    </row>
    <row r="325" spans="1:2">
      <c r="A325" t="s">
        <v>755</v>
      </c>
      <c r="B325">
        <v>0.471996393407972</v>
      </c>
    </row>
    <row r="326" spans="1:2">
      <c r="A326" t="s">
        <v>756</v>
      </c>
      <c r="B326" s="50">
        <v>8.7627490580000007E-6</v>
      </c>
    </row>
    <row r="327" spans="1:2">
      <c r="A327" t="s">
        <v>757</v>
      </c>
      <c r="B327">
        <v>1.5215867877000001E-4</v>
      </c>
    </row>
    <row r="328" spans="1:2">
      <c r="A328" t="s">
        <v>758</v>
      </c>
      <c r="B328" s="50">
        <v>1.7525498116999998E-5</v>
      </c>
    </row>
    <row r="329" spans="1:2">
      <c r="A329" t="s">
        <v>759</v>
      </c>
      <c r="B329">
        <v>0.33292500000000003</v>
      </c>
    </row>
    <row r="330" spans="1:2">
      <c r="A330" t="s">
        <v>760</v>
      </c>
      <c r="B330">
        <v>1.5215867877000001E-4</v>
      </c>
    </row>
    <row r="331" spans="1:2">
      <c r="A331" t="s">
        <v>761</v>
      </c>
      <c r="B331">
        <v>2.5736102524440002E-3</v>
      </c>
    </row>
    <row r="332" spans="1:2">
      <c r="A332" t="s">
        <v>762</v>
      </c>
      <c r="B332">
        <v>1.5215867877000001E-4</v>
      </c>
    </row>
    <row r="333" spans="1:2">
      <c r="A333" t="s">
        <v>763</v>
      </c>
      <c r="B333" s="50">
        <v>3.8000335061999998E-5</v>
      </c>
    </row>
    <row r="334" spans="1:2">
      <c r="A334" t="s">
        <v>764</v>
      </c>
      <c r="B334">
        <v>4.6299999999999998E-4</v>
      </c>
    </row>
    <row r="335" spans="1:2">
      <c r="A335" t="s">
        <v>765</v>
      </c>
      <c r="B335">
        <v>-3.4093625165290001E-3</v>
      </c>
    </row>
    <row r="336" spans="1:2">
      <c r="A336" t="s">
        <v>766</v>
      </c>
      <c r="B336" s="50">
        <v>-1.6113033352000001E-5</v>
      </c>
    </row>
    <row r="337" spans="1:2">
      <c r="A337" t="s">
        <v>767</v>
      </c>
      <c r="B337">
        <v>-3.78483725265E-3</v>
      </c>
    </row>
    <row r="338" spans="1:2">
      <c r="A338" t="s">
        <v>768</v>
      </c>
      <c r="B338" s="50">
        <v>2.8275077240000001E-6</v>
      </c>
    </row>
    <row r="339" spans="1:2">
      <c r="A339" t="s">
        <v>769</v>
      </c>
      <c r="B339" s="50">
        <v>1.752549812E-6</v>
      </c>
    </row>
    <row r="340" spans="1:2">
      <c r="A340" t="s">
        <v>770</v>
      </c>
      <c r="B340">
        <v>1.5657139771130001E-2</v>
      </c>
    </row>
    <row r="341" spans="1:2">
      <c r="A341" t="s">
        <v>239</v>
      </c>
      <c r="B341">
        <v>-2.7599999999999999E-4</v>
      </c>
    </row>
    <row r="342" spans="1:2">
      <c r="A342" t="s">
        <v>771</v>
      </c>
      <c r="B342">
        <v>3.8972499994600001E-4</v>
      </c>
    </row>
    <row r="343" spans="1:2">
      <c r="A343" t="s">
        <v>772</v>
      </c>
      <c r="B343" s="50">
        <v>6.7570434849999999E-6</v>
      </c>
    </row>
    <row r="344" spans="1:2">
      <c r="A344" t="s">
        <v>773</v>
      </c>
      <c r="B344">
        <v>1000</v>
      </c>
    </row>
    <row r="345" spans="1:2">
      <c r="A345" t="s">
        <v>774</v>
      </c>
      <c r="B345" s="50">
        <v>3.1248381138000002E-5</v>
      </c>
    </row>
    <row r="346" spans="1:2">
      <c r="A346" t="s">
        <v>775</v>
      </c>
      <c r="B346">
        <v>-3.4093625165290001E-3</v>
      </c>
    </row>
    <row r="347" spans="1:2">
      <c r="A347" t="s">
        <v>776</v>
      </c>
      <c r="B347">
        <v>1.47805190503263</v>
      </c>
    </row>
    <row r="348" spans="1:2">
      <c r="A348" t="s">
        <v>777</v>
      </c>
      <c r="B348" s="50">
        <v>3.2412195183999999E-5</v>
      </c>
    </row>
    <row r="349" spans="1:2">
      <c r="A349" t="s">
        <v>778</v>
      </c>
      <c r="B349">
        <v>4.6706782428430002E-3</v>
      </c>
    </row>
    <row r="350" spans="1:2">
      <c r="A350" t="s">
        <v>779</v>
      </c>
      <c r="B350">
        <v>4.3393439691759997E-3</v>
      </c>
    </row>
    <row r="351" spans="1:2">
      <c r="A351" t="s">
        <v>780</v>
      </c>
      <c r="B351">
        <v>1000</v>
      </c>
    </row>
    <row r="352" spans="1:2">
      <c r="A352" t="s">
        <v>781</v>
      </c>
      <c r="B352">
        <v>2.2697023937202999E-2</v>
      </c>
    </row>
    <row r="353" spans="1:2">
      <c r="A353" t="s">
        <v>782</v>
      </c>
      <c r="B353">
        <v>0.39614828446436701</v>
      </c>
    </row>
    <row r="354" spans="1:2">
      <c r="A354" t="s">
        <v>783</v>
      </c>
      <c r="B354" s="50">
        <v>-6.7519539229999997E-6</v>
      </c>
    </row>
    <row r="355" spans="1:2">
      <c r="A355" t="s">
        <v>784</v>
      </c>
      <c r="B355" s="50">
        <v>9.2042068000000006E-8</v>
      </c>
    </row>
    <row r="356" spans="1:2">
      <c r="A356" t="s">
        <v>785</v>
      </c>
      <c r="B356" s="50">
        <v>-3.74109607E-6</v>
      </c>
    </row>
    <row r="357" spans="1:2">
      <c r="A357" t="s">
        <v>786</v>
      </c>
      <c r="B357">
        <v>4.6000000000000001E-4</v>
      </c>
    </row>
    <row r="358" spans="1:2">
      <c r="A358" t="s">
        <v>787</v>
      </c>
      <c r="B358" s="50">
        <v>1.7440133634E-5</v>
      </c>
    </row>
    <row r="359" spans="1:2">
      <c r="A359" t="s">
        <v>788</v>
      </c>
      <c r="B359" s="50">
        <v>8.5441196500000002E-7</v>
      </c>
    </row>
    <row r="360" spans="1:2">
      <c r="A360" t="s">
        <v>789</v>
      </c>
      <c r="B360" s="50">
        <v>-3.1248381138000002E-5</v>
      </c>
    </row>
    <row r="361" spans="1:2">
      <c r="A361" t="s">
        <v>236</v>
      </c>
      <c r="B361">
        <v>-7.4700000000000005E-4</v>
      </c>
    </row>
    <row r="362" spans="1:2">
      <c r="A362" t="s">
        <v>790</v>
      </c>
      <c r="B362">
        <v>0.238333535825408</v>
      </c>
    </row>
    <row r="363" spans="1:2">
      <c r="A363" t="s">
        <v>791</v>
      </c>
      <c r="B363">
        <v>8.5727456723379992E-3</v>
      </c>
    </row>
    <row r="364" spans="1:2">
      <c r="A364" t="s">
        <v>792</v>
      </c>
      <c r="B364">
        <v>4.6706782428430002E-3</v>
      </c>
    </row>
    <row r="365" spans="1:2">
      <c r="A365" t="s">
        <v>793</v>
      </c>
      <c r="B365">
        <v>4.6706782428430002E-3</v>
      </c>
    </row>
    <row r="366" spans="1:2">
      <c r="A366" t="s">
        <v>238</v>
      </c>
      <c r="B366">
        <v>-3.3399999999999999E-4</v>
      </c>
    </row>
    <row r="367" spans="1:2">
      <c r="A367" t="s">
        <v>794</v>
      </c>
      <c r="B367">
        <v>1.5988353577980001E-3</v>
      </c>
    </row>
    <row r="368" spans="1:2">
      <c r="A368" t="s">
        <v>795</v>
      </c>
      <c r="B368" s="50">
        <v>-1.7525498116999998E-5</v>
      </c>
    </row>
    <row r="369" spans="1:2">
      <c r="A369" t="s">
        <v>796</v>
      </c>
      <c r="B369">
        <v>-1.07711511544E-4</v>
      </c>
    </row>
    <row r="370" spans="1:2">
      <c r="A370" t="s">
        <v>797</v>
      </c>
      <c r="B370">
        <v>1.493114335092E-3</v>
      </c>
    </row>
    <row r="371" spans="1:2">
      <c r="A371" t="s">
        <v>798</v>
      </c>
      <c r="B371">
        <v>1.5016356142849999E-3</v>
      </c>
    </row>
    <row r="372" spans="1:2">
      <c r="A372" t="s">
        <v>799</v>
      </c>
      <c r="B372">
        <v>0.71696759339754401</v>
      </c>
    </row>
    <row r="373" spans="1:2">
      <c r="A373" t="s">
        <v>800</v>
      </c>
      <c r="B373">
        <v>4.787908419687E-3</v>
      </c>
    </row>
    <row r="374" spans="1:2">
      <c r="A374" t="s">
        <v>801</v>
      </c>
      <c r="B374">
        <v>1000</v>
      </c>
    </row>
    <row r="375" spans="1:2">
      <c r="A375" t="s">
        <v>802</v>
      </c>
      <c r="B375">
        <v>0.73902595251631797</v>
      </c>
    </row>
    <row r="376" spans="1:2">
      <c r="A376" t="s">
        <v>803</v>
      </c>
      <c r="B376">
        <v>1.0262100711270901</v>
      </c>
    </row>
    <row r="377" spans="1:2">
      <c r="A377" t="s">
        <v>804</v>
      </c>
      <c r="B377" s="50">
        <v>-3.1489752992E-5</v>
      </c>
    </row>
    <row r="378" spans="1:2">
      <c r="A378" t="s">
        <v>805</v>
      </c>
      <c r="B378" s="50">
        <v>1.3556488999999999E-8</v>
      </c>
    </row>
    <row r="379" spans="1:2">
      <c r="A379" t="s">
        <v>806</v>
      </c>
      <c r="B379">
        <v>2.4611532868162998E-2</v>
      </c>
    </row>
    <row r="380" spans="1:2">
      <c r="A380" t="s">
        <v>807</v>
      </c>
      <c r="B380">
        <v>6.8650144922200004E-4</v>
      </c>
    </row>
    <row r="381" spans="1:2">
      <c r="A381" t="s">
        <v>808</v>
      </c>
      <c r="B381" s="50">
        <v>-8.5441196500000002E-7</v>
      </c>
    </row>
    <row r="382" spans="1:2">
      <c r="A382" t="s">
        <v>809</v>
      </c>
      <c r="B382" s="50">
        <v>2.576670085E-6</v>
      </c>
    </row>
    <row r="383" spans="1:2">
      <c r="A383" t="s">
        <v>810</v>
      </c>
      <c r="B383" s="50">
        <v>3.4430490000000001E-9</v>
      </c>
    </row>
    <row r="384" spans="1:2">
      <c r="A384" t="s">
        <v>811</v>
      </c>
      <c r="B384" s="50">
        <v>1.3556488999999999E-8</v>
      </c>
    </row>
    <row r="385" spans="1:2">
      <c r="A385" t="s">
        <v>230</v>
      </c>
      <c r="B385">
        <v>-1.1789999999999999E-3</v>
      </c>
    </row>
    <row r="386" spans="1:2">
      <c r="A386" t="s">
        <v>812</v>
      </c>
      <c r="B386" s="50">
        <v>2.1302773371999999E-5</v>
      </c>
    </row>
    <row r="387" spans="1:2">
      <c r="A387" t="s">
        <v>813</v>
      </c>
      <c r="B387">
        <v>3.0433091403000003E-4</v>
      </c>
    </row>
    <row r="388" spans="1:2">
      <c r="A388" t="s">
        <v>814</v>
      </c>
      <c r="B388" s="50">
        <v>-2.9583671999999999E-7</v>
      </c>
    </row>
    <row r="389" spans="1:2">
      <c r="A389" t="s">
        <v>815</v>
      </c>
      <c r="B389" s="50">
        <v>6.774589474E-6</v>
      </c>
    </row>
    <row r="390" spans="1:2">
      <c r="A390" t="s">
        <v>816</v>
      </c>
      <c r="B390" s="50">
        <v>8.7627490580000007E-6</v>
      </c>
    </row>
    <row r="391" spans="1:2">
      <c r="A391" t="s">
        <v>817</v>
      </c>
      <c r="B391">
        <v>2.805647627437E-3</v>
      </c>
    </row>
    <row r="392" spans="1:2">
      <c r="A392" t="s">
        <v>818</v>
      </c>
      <c r="B392">
        <v>-2.8608703819000002E-4</v>
      </c>
    </row>
    <row r="393" spans="1:2">
      <c r="A393" t="s">
        <v>819</v>
      </c>
      <c r="B393">
        <v>8.5727456723379992E-3</v>
      </c>
    </row>
    <row r="394" spans="1:2">
      <c r="A394" t="s">
        <v>820</v>
      </c>
      <c r="B394">
        <v>2.8608703819000002E-4</v>
      </c>
    </row>
    <row r="395" spans="1:2">
      <c r="A395" t="s">
        <v>821</v>
      </c>
      <c r="B395" s="50">
        <v>8.5441196500000002E-7</v>
      </c>
    </row>
    <row r="396" spans="1:2">
      <c r="A396" t="s">
        <v>822</v>
      </c>
      <c r="B396">
        <v>4.787908419687E-3</v>
      </c>
    </row>
    <row r="397" spans="1:2">
      <c r="A397" t="s">
        <v>823</v>
      </c>
      <c r="B397">
        <v>2.5098899429890002E-3</v>
      </c>
    </row>
    <row r="398" spans="1:2">
      <c r="A398" t="s">
        <v>824</v>
      </c>
      <c r="B398">
        <v>0.99889590029956099</v>
      </c>
    </row>
    <row r="399" spans="1:2">
      <c r="A399" t="s">
        <v>825</v>
      </c>
      <c r="B399" s="50">
        <v>-8.5441196500000002E-7</v>
      </c>
    </row>
    <row r="400" spans="1:2">
      <c r="A400" t="s">
        <v>826</v>
      </c>
      <c r="B400">
        <v>-4.787908419687E-3</v>
      </c>
    </row>
    <row r="401" spans="1:2">
      <c r="A401" t="s">
        <v>827</v>
      </c>
      <c r="B401">
        <v>2.38931407769E-4</v>
      </c>
    </row>
    <row r="402" spans="1:2">
      <c r="A402" t="s">
        <v>828</v>
      </c>
      <c r="B402">
        <v>3.4093625165290001E-3</v>
      </c>
    </row>
    <row r="403" spans="1:2">
      <c r="A403" t="s">
        <v>829</v>
      </c>
      <c r="B403">
        <v>0.98955454381387498</v>
      </c>
    </row>
    <row r="404" spans="1:2">
      <c r="A404" t="s">
        <v>830</v>
      </c>
      <c r="B404">
        <v>1.5215867877000001E-4</v>
      </c>
    </row>
    <row r="405" spans="1:2">
      <c r="A405" t="s">
        <v>831</v>
      </c>
      <c r="B405" s="50">
        <v>8.7627490580000007E-6</v>
      </c>
    </row>
    <row r="406" spans="1:2">
      <c r="A406" t="s">
        <v>832</v>
      </c>
      <c r="B406">
        <v>-4.3393439691759997E-3</v>
      </c>
    </row>
    <row r="407" spans="1:2">
      <c r="A407" t="s">
        <v>833</v>
      </c>
      <c r="B407" s="50">
        <v>1.5728825607000001E-5</v>
      </c>
    </row>
    <row r="408" spans="1:2">
      <c r="A408" t="s">
        <v>834</v>
      </c>
      <c r="B408">
        <v>1.5215867877000001E-4</v>
      </c>
    </row>
    <row r="409" spans="1:2">
      <c r="A409" t="s">
        <v>835</v>
      </c>
      <c r="B409">
        <v>-0.84195552527135398</v>
      </c>
    </row>
    <row r="410" spans="1:2">
      <c r="A410" t="s">
        <v>836</v>
      </c>
      <c r="B410">
        <v>-1.04965033591E-4</v>
      </c>
    </row>
    <row r="411" spans="1:2">
      <c r="A411" t="s">
        <v>837</v>
      </c>
      <c r="B411">
        <v>2.5736102524440002E-3</v>
      </c>
    </row>
    <row r="412" spans="1:2">
      <c r="A412" t="s">
        <v>838</v>
      </c>
      <c r="B412">
        <v>3.9761581253660002E-3</v>
      </c>
    </row>
    <row r="413" spans="1:2">
      <c r="A413" t="s">
        <v>839</v>
      </c>
      <c r="B413">
        <v>1.7020962522910001E-3</v>
      </c>
    </row>
    <row r="414" spans="1:2">
      <c r="A414" t="s">
        <v>840</v>
      </c>
      <c r="B414">
        <v>2.5730059669850001E-3</v>
      </c>
    </row>
    <row r="415" spans="1:2">
      <c r="A415" t="s">
        <v>841</v>
      </c>
      <c r="B415">
        <v>3.1405940559051E-2</v>
      </c>
    </row>
    <row r="416" spans="1:2">
      <c r="A416" t="s">
        <v>842</v>
      </c>
      <c r="B416">
        <v>1.5215867877000001E-4</v>
      </c>
    </row>
    <row r="417" spans="1:2">
      <c r="A417" t="s">
        <v>843</v>
      </c>
      <c r="B417" s="50">
        <v>1.7525498116999998E-5</v>
      </c>
    </row>
    <row r="418" spans="1:2">
      <c r="A418" t="s">
        <v>844</v>
      </c>
      <c r="B418">
        <v>6.4740039474679998E-3</v>
      </c>
    </row>
    <row r="419" spans="1:2">
      <c r="A419" t="s">
        <v>845</v>
      </c>
      <c r="B419">
        <v>1.17497013204E-4</v>
      </c>
    </row>
    <row r="420" spans="1:2">
      <c r="A420" t="s">
        <v>846</v>
      </c>
      <c r="B420">
        <v>3.4093625165290001E-3</v>
      </c>
    </row>
    <row r="421" spans="1:2">
      <c r="A421" t="s">
        <v>847</v>
      </c>
      <c r="B421">
        <v>0.96931705585622596</v>
      </c>
    </row>
    <row r="422" spans="1:2">
      <c r="A422" t="s">
        <v>848</v>
      </c>
      <c r="B422">
        <v>-0.10121433797828699</v>
      </c>
    </row>
    <row r="423" spans="1:2">
      <c r="A423" t="s">
        <v>849</v>
      </c>
      <c r="B423">
        <v>1.0216949251323599</v>
      </c>
    </row>
    <row r="424" spans="1:2">
      <c r="A424" t="s">
        <v>850</v>
      </c>
      <c r="B424">
        <v>2.2778520414E-4</v>
      </c>
    </row>
    <row r="425" spans="1:2">
      <c r="A425" t="s">
        <v>851</v>
      </c>
      <c r="B425" s="50">
        <v>-3.5555010000000002E-7</v>
      </c>
    </row>
    <row r="426" spans="1:2">
      <c r="A426" t="s">
        <v>852</v>
      </c>
      <c r="B426">
        <v>1.5215867877000001E-4</v>
      </c>
    </row>
    <row r="427" spans="1:2">
      <c r="A427" t="s">
        <v>853</v>
      </c>
      <c r="B427">
        <v>-1.5595787697186E-2</v>
      </c>
    </row>
    <row r="428" spans="1:2">
      <c r="A428" t="s">
        <v>854</v>
      </c>
      <c r="B428">
        <v>7.0899999999999999E-4</v>
      </c>
    </row>
    <row r="429" spans="1:2">
      <c r="A429" t="s">
        <v>855</v>
      </c>
      <c r="B429">
        <v>1.7776219822201001E-2</v>
      </c>
    </row>
    <row r="430" spans="1:2">
      <c r="A430" t="s">
        <v>856</v>
      </c>
      <c r="B430" s="50">
        <v>2.1302795210000001E-5</v>
      </c>
    </row>
    <row r="431" spans="1:2">
      <c r="A431" t="s">
        <v>857</v>
      </c>
      <c r="B431">
        <v>5.158631506E-4</v>
      </c>
    </row>
    <row r="432" spans="1:2">
      <c r="A432" t="s">
        <v>858</v>
      </c>
      <c r="B432">
        <v>0.99889590029956099</v>
      </c>
    </row>
    <row r="433" spans="1:2">
      <c r="A433" t="s">
        <v>859</v>
      </c>
      <c r="B433">
        <v>1.5215867877000001E-4</v>
      </c>
    </row>
    <row r="434" spans="1:2">
      <c r="A434" t="s">
        <v>860</v>
      </c>
      <c r="B434">
        <v>8.6761492261199999E-4</v>
      </c>
    </row>
    <row r="435" spans="1:2">
      <c r="A435" t="s">
        <v>861</v>
      </c>
      <c r="B435" s="50">
        <v>6.7519539229999997E-6</v>
      </c>
    </row>
    <row r="436" spans="1:2">
      <c r="A436" t="s">
        <v>862</v>
      </c>
      <c r="B436" s="50">
        <v>2.5766793929999999E-6</v>
      </c>
    </row>
    <row r="437" spans="1:2">
      <c r="A437" t="s">
        <v>863</v>
      </c>
      <c r="B437" s="50">
        <v>6.3153230185000004E-5</v>
      </c>
    </row>
    <row r="438" spans="1:2">
      <c r="A438" t="s">
        <v>864</v>
      </c>
      <c r="B438">
        <v>-4.787908419687E-3</v>
      </c>
    </row>
    <row r="439" spans="1:2">
      <c r="A439" t="s">
        <v>865</v>
      </c>
      <c r="B439">
        <v>2.2900000000000001E-4</v>
      </c>
    </row>
    <row r="440" spans="1:2">
      <c r="A440" t="s">
        <v>866</v>
      </c>
      <c r="B440">
        <v>3.5501671639722798</v>
      </c>
    </row>
    <row r="441" spans="1:2">
      <c r="A441" t="s">
        <v>867</v>
      </c>
      <c r="B441" s="50">
        <v>8.5441196500000002E-7</v>
      </c>
    </row>
    <row r="442" spans="1:2">
      <c r="A442" t="s">
        <v>868</v>
      </c>
      <c r="B442">
        <v>9.1299274208900001E-4</v>
      </c>
    </row>
    <row r="443" spans="1:2">
      <c r="A443" t="s">
        <v>869</v>
      </c>
      <c r="B443" s="50">
        <v>8.5441196500000002E-7</v>
      </c>
    </row>
    <row r="444" spans="1:2">
      <c r="A444" t="s">
        <v>870</v>
      </c>
      <c r="B444" s="50">
        <v>8.7627490580000007E-6</v>
      </c>
    </row>
    <row r="445" spans="1:2">
      <c r="A445" t="s">
        <v>871</v>
      </c>
      <c r="B445">
        <v>2.8020059669850001E-3</v>
      </c>
    </row>
    <row r="446" spans="1:2">
      <c r="A446" t="s">
        <v>872</v>
      </c>
      <c r="B446">
        <v>-7.170932182245E-3</v>
      </c>
    </row>
    <row r="447" spans="1:2">
      <c r="A447" t="s">
        <v>873</v>
      </c>
      <c r="B447" s="50">
        <v>6.7519539229999997E-6</v>
      </c>
    </row>
    <row r="448" spans="1:2">
      <c r="A448" t="s">
        <v>874</v>
      </c>
      <c r="B448">
        <v>3.0196375165829998E-3</v>
      </c>
    </row>
    <row r="449" spans="1:2">
      <c r="A449" t="s">
        <v>875</v>
      </c>
      <c r="B449">
        <v>1.1789999999999999E-3</v>
      </c>
    </row>
    <row r="450" spans="1:2">
      <c r="A450" t="s">
        <v>876</v>
      </c>
      <c r="B450" s="50">
        <v>8.2328811494999997E-5</v>
      </c>
    </row>
    <row r="451" spans="1:2">
      <c r="A451" t="s">
        <v>877</v>
      </c>
      <c r="B451">
        <v>0.37927378207844498</v>
      </c>
    </row>
    <row r="452" spans="1:2">
      <c r="A452" t="s">
        <v>878</v>
      </c>
      <c r="B452">
        <v>1.3108488096844E-2</v>
      </c>
    </row>
    <row r="453" spans="1:2">
      <c r="A453" t="s">
        <v>879</v>
      </c>
      <c r="B453" s="50">
        <v>6.7705999749999996E-6</v>
      </c>
    </row>
    <row r="454" spans="1:2">
      <c r="A454" t="s">
        <v>880</v>
      </c>
      <c r="B454" s="50">
        <v>-8.2328811494999997E-5</v>
      </c>
    </row>
    <row r="455" spans="1:2">
      <c r="A455" t="s">
        <v>881</v>
      </c>
      <c r="B455" s="50">
        <v>-1.275916733E-6</v>
      </c>
    </row>
    <row r="456" spans="1:2">
      <c r="A456" t="s">
        <v>882</v>
      </c>
      <c r="B456" s="50">
        <v>3.3852999870000001E-6</v>
      </c>
    </row>
    <row r="457" spans="1:2">
      <c r="A457" t="s">
        <v>232</v>
      </c>
      <c r="B457" s="50">
        <v>-2.3E-5</v>
      </c>
    </row>
    <row r="458" spans="1:2">
      <c r="A458" t="s">
        <v>883</v>
      </c>
      <c r="B458" s="50">
        <v>6.774589474E-6</v>
      </c>
    </row>
    <row r="459" spans="1:2">
      <c r="A459" t="s">
        <v>884</v>
      </c>
      <c r="B459">
        <v>9.1299274208900001E-4</v>
      </c>
    </row>
    <row r="460" spans="1:2">
      <c r="A460" t="s">
        <v>885</v>
      </c>
      <c r="B460" s="50">
        <v>2.5766793929999999E-6</v>
      </c>
    </row>
    <row r="461" spans="1:2">
      <c r="A461" t="s">
        <v>886</v>
      </c>
      <c r="B461" s="50">
        <v>1.7525498116999998E-5</v>
      </c>
    </row>
    <row r="462" spans="1:2">
      <c r="A462" t="s">
        <v>887</v>
      </c>
      <c r="B462">
        <v>4.181102219276E-3</v>
      </c>
    </row>
    <row r="463" spans="1:2">
      <c r="A463" t="s">
        <v>888</v>
      </c>
      <c r="B463" s="50">
        <v>1.4925347900000001E-7</v>
      </c>
    </row>
    <row r="464" spans="1:2">
      <c r="A464" t="s">
        <v>889</v>
      </c>
      <c r="B464">
        <v>1.17497013204E-4</v>
      </c>
    </row>
    <row r="465" spans="1:2">
      <c r="A465" t="s">
        <v>890</v>
      </c>
      <c r="B465" s="50">
        <v>1.752549812E-6</v>
      </c>
    </row>
    <row r="466" spans="1:2">
      <c r="A466" t="s">
        <v>891</v>
      </c>
      <c r="B466">
        <v>0.91224279663151597</v>
      </c>
    </row>
    <row r="467" spans="1:2">
      <c r="A467" t="s">
        <v>892</v>
      </c>
      <c r="B467">
        <v>3.5521624764869998E-3</v>
      </c>
    </row>
    <row r="468" spans="1:2">
      <c r="A468" t="s">
        <v>893</v>
      </c>
      <c r="B468">
        <v>1.17497013204E-4</v>
      </c>
    </row>
    <row r="469" spans="1:2">
      <c r="A469" t="s">
        <v>894</v>
      </c>
      <c r="B469">
        <v>1.0262100711270901</v>
      </c>
    </row>
    <row r="470" spans="1:2">
      <c r="A470" t="s">
        <v>895</v>
      </c>
      <c r="B470">
        <v>1.47805190503263</v>
      </c>
    </row>
    <row r="471" spans="1:2">
      <c r="A471" t="s">
        <v>896</v>
      </c>
      <c r="B471" s="50">
        <v>-2.8275077240000001E-6</v>
      </c>
    </row>
    <row r="472" spans="1:2">
      <c r="A472" t="s">
        <v>897</v>
      </c>
      <c r="B472">
        <v>1.5657139771130001E-2</v>
      </c>
    </row>
    <row r="473" spans="1:2">
      <c r="A473" t="s">
        <v>898</v>
      </c>
      <c r="B473">
        <v>9.1299274208900001E-4</v>
      </c>
    </row>
    <row r="474" spans="1:2">
      <c r="A474" t="s">
        <v>899</v>
      </c>
      <c r="B474">
        <v>2.38931407769E-4</v>
      </c>
    </row>
    <row r="475" spans="1:2">
      <c r="A475" t="s">
        <v>900</v>
      </c>
      <c r="B475">
        <v>1.5657139771130001E-2</v>
      </c>
    </row>
    <row r="476" spans="1:2">
      <c r="A476" t="s">
        <v>901</v>
      </c>
      <c r="B476" s="50">
        <v>6.7705999749999996E-6</v>
      </c>
    </row>
    <row r="477" spans="1:2">
      <c r="A477" t="s">
        <v>902</v>
      </c>
      <c r="B477">
        <v>7.4700000000000005E-4</v>
      </c>
    </row>
    <row r="478" spans="1:2">
      <c r="A478" t="s">
        <v>903</v>
      </c>
      <c r="B478" s="50">
        <v>-8.7627490580000007E-6</v>
      </c>
    </row>
    <row r="479" spans="1:2">
      <c r="A479" t="s">
        <v>904</v>
      </c>
      <c r="B479">
        <v>3.9761581253660002E-3</v>
      </c>
    </row>
    <row r="480" spans="1:2">
      <c r="A480" t="s">
        <v>905</v>
      </c>
      <c r="B480">
        <v>1.5215867877000001E-4</v>
      </c>
    </row>
    <row r="481" spans="1:2">
      <c r="A481" t="s">
        <v>906</v>
      </c>
      <c r="B481" s="50">
        <v>1.3556488999999999E-8</v>
      </c>
    </row>
    <row r="482" spans="1:2">
      <c r="A482" t="s">
        <v>907</v>
      </c>
      <c r="B482">
        <v>1.07711511544E-4</v>
      </c>
    </row>
    <row r="483" spans="1:2">
      <c r="A483" t="s">
        <v>908</v>
      </c>
      <c r="B483" s="50">
        <v>6.7705999749999996E-6</v>
      </c>
    </row>
    <row r="484" spans="1:2">
      <c r="A484" t="s">
        <v>909</v>
      </c>
      <c r="B484">
        <v>4.1921581253660002E-3</v>
      </c>
    </row>
    <row r="485" spans="1:2">
      <c r="A485" t="s">
        <v>910</v>
      </c>
      <c r="B485">
        <v>7.170932182245E-3</v>
      </c>
    </row>
    <row r="486" spans="1:2">
      <c r="A486" t="s">
        <v>911</v>
      </c>
      <c r="B486">
        <v>1.608096252291E-3</v>
      </c>
    </row>
    <row r="487" spans="1:2">
      <c r="A487" t="s">
        <v>912</v>
      </c>
      <c r="B487">
        <v>0.10121433797828699</v>
      </c>
    </row>
    <row r="488" spans="1:2">
      <c r="A488" t="s">
        <v>363</v>
      </c>
      <c r="B488">
        <v>-0.09</v>
      </c>
    </row>
    <row r="489" spans="1:2">
      <c r="A489" t="s">
        <v>913</v>
      </c>
      <c r="B489">
        <v>2.4093959679780002E-3</v>
      </c>
    </row>
    <row r="490" spans="1:2">
      <c r="A490" t="s">
        <v>914</v>
      </c>
      <c r="B490">
        <v>1.17497013204E-4</v>
      </c>
    </row>
    <row r="491" spans="1:2">
      <c r="A491" t="s">
        <v>915</v>
      </c>
      <c r="B491" s="50">
        <v>-3.1248381138000002E-5</v>
      </c>
    </row>
    <row r="492" spans="1:2">
      <c r="A492" t="s">
        <v>916</v>
      </c>
      <c r="B492" s="50">
        <v>2.5766793929999999E-6</v>
      </c>
    </row>
    <row r="493" spans="1:2">
      <c r="A493" t="s">
        <v>917</v>
      </c>
      <c r="B493">
        <v>2.1599999999999999E-4</v>
      </c>
    </row>
    <row r="494" spans="1:2">
      <c r="A494" t="s">
        <v>918</v>
      </c>
      <c r="B494">
        <v>4.8957602356700005E-4</v>
      </c>
    </row>
    <row r="495" spans="1:2">
      <c r="A495" t="s">
        <v>919</v>
      </c>
      <c r="B495" s="50">
        <v>-2.933937099E-6</v>
      </c>
    </row>
    <row r="496" spans="1:2">
      <c r="A496" t="s">
        <v>920</v>
      </c>
      <c r="B496" s="50">
        <v>-3.1557783219000001E-5</v>
      </c>
    </row>
    <row r="497" spans="1:2">
      <c r="A497" t="s">
        <v>921</v>
      </c>
      <c r="B497">
        <v>6.8650144922200004E-4</v>
      </c>
    </row>
    <row r="498" spans="1:2">
      <c r="A498" t="s">
        <v>922</v>
      </c>
      <c r="B498" s="50">
        <v>5.8696260434999997E-5</v>
      </c>
    </row>
    <row r="499" spans="1:2">
      <c r="A499" t="s">
        <v>923</v>
      </c>
      <c r="B499">
        <v>3.9761581253660002E-3</v>
      </c>
    </row>
    <row r="500" spans="1:2">
      <c r="A500" t="s">
        <v>924</v>
      </c>
      <c r="B500">
        <v>0.100905560973217</v>
      </c>
    </row>
    <row r="501" spans="1:2">
      <c r="A501" t="s">
        <v>925</v>
      </c>
      <c r="B501" s="50">
        <v>8.7627490580000007E-6</v>
      </c>
    </row>
    <row r="502" spans="1:2">
      <c r="A502" t="s">
        <v>926</v>
      </c>
      <c r="B502">
        <v>2.5736102524440002E-3</v>
      </c>
    </row>
    <row r="503" spans="1:2">
      <c r="A503" t="s">
        <v>927</v>
      </c>
      <c r="B503" s="50">
        <v>4.9015251108999999E-5</v>
      </c>
    </row>
    <row r="504" spans="1:2">
      <c r="A504" t="s">
        <v>928</v>
      </c>
      <c r="B504">
        <v>1.3121989622499999E-4</v>
      </c>
    </row>
    <row r="505" spans="1:2">
      <c r="A505" t="s">
        <v>929</v>
      </c>
      <c r="B505" s="50">
        <v>1.4925347900000001E-7</v>
      </c>
    </row>
    <row r="506" spans="1:2">
      <c r="A506" t="s">
        <v>930</v>
      </c>
      <c r="B506" s="50">
        <v>1.7525498116999998E-5</v>
      </c>
    </row>
    <row r="507" spans="1:2">
      <c r="A507" t="s">
        <v>931</v>
      </c>
      <c r="B507">
        <v>6.7689876044419997E-3</v>
      </c>
    </row>
    <row r="508" spans="1:2">
      <c r="A508" t="s">
        <v>229</v>
      </c>
      <c r="B508">
        <v>-4.6299999999999998E-4</v>
      </c>
    </row>
    <row r="509" spans="1:2">
      <c r="A509" t="s">
        <v>932</v>
      </c>
      <c r="B509" s="50">
        <v>2.7320624631999999E-5</v>
      </c>
    </row>
    <row r="510" spans="1:2">
      <c r="A510" t="s">
        <v>933</v>
      </c>
      <c r="B510" s="50">
        <v>-8.5441196500000002E-7</v>
      </c>
    </row>
    <row r="511" spans="1:2">
      <c r="A511" t="s">
        <v>934</v>
      </c>
      <c r="B511" s="50">
        <v>3.1557783219000001E-5</v>
      </c>
    </row>
    <row r="512" spans="1:2">
      <c r="A512" t="s">
        <v>935</v>
      </c>
      <c r="B512">
        <v>8.9150144922200004E-4</v>
      </c>
    </row>
    <row r="513" spans="1:2">
      <c r="A513" t="s">
        <v>936</v>
      </c>
      <c r="B513">
        <v>2.5736102524440002E-3</v>
      </c>
    </row>
    <row r="514" spans="1:2">
      <c r="A514" t="s">
        <v>937</v>
      </c>
      <c r="B514">
        <v>1.1793955882024501</v>
      </c>
    </row>
    <row r="515" spans="1:2">
      <c r="A515" t="s">
        <v>938</v>
      </c>
      <c r="B515">
        <v>0.33292500000000003</v>
      </c>
    </row>
    <row r="516" spans="1:2">
      <c r="A516" t="s">
        <v>939</v>
      </c>
      <c r="B516">
        <v>6.6376641641639998E-3</v>
      </c>
    </row>
    <row r="517" spans="1:2">
      <c r="A517" t="s">
        <v>940</v>
      </c>
      <c r="B517">
        <v>2.37512222373E-4</v>
      </c>
    </row>
    <row r="518" spans="1:2">
      <c r="A518" t="s">
        <v>941</v>
      </c>
      <c r="B518">
        <v>1.7776219822201001E-2</v>
      </c>
    </row>
    <row r="519" spans="1:2">
      <c r="A519" t="s">
        <v>942</v>
      </c>
      <c r="B519">
        <v>-1000</v>
      </c>
    </row>
    <row r="520" spans="1:2">
      <c r="A520" t="s">
        <v>943</v>
      </c>
      <c r="B520">
        <v>3.260111701666E-3</v>
      </c>
    </row>
    <row r="521" spans="1:2">
      <c r="A521" t="s">
        <v>944</v>
      </c>
      <c r="B521">
        <v>3.9761581253660002E-3</v>
      </c>
    </row>
    <row r="522" spans="1:2">
      <c r="A522" t="s">
        <v>945</v>
      </c>
      <c r="B522" s="50">
        <v>8.5441196500000002E-7</v>
      </c>
    </row>
    <row r="523" spans="1:2">
      <c r="A523" t="s">
        <v>946</v>
      </c>
      <c r="B523">
        <v>9.1299274208900001E-4</v>
      </c>
    </row>
    <row r="524" spans="1:2">
      <c r="A524" t="s">
        <v>947</v>
      </c>
      <c r="B524">
        <v>-2.2520852474699999E-4</v>
      </c>
    </row>
    <row r="525" spans="1:2">
      <c r="A525" t="s">
        <v>948</v>
      </c>
      <c r="B525">
        <v>4.23785162755E-4</v>
      </c>
    </row>
    <row r="526" spans="1:2">
      <c r="A526" t="s">
        <v>237</v>
      </c>
      <c r="B526">
        <v>-1.013E-3</v>
      </c>
    </row>
    <row r="527" spans="1:2">
      <c r="A527" t="s">
        <v>949</v>
      </c>
      <c r="B527">
        <v>2.7314170827535001E-2</v>
      </c>
    </row>
    <row r="528" spans="1:2">
      <c r="A528" t="s">
        <v>950</v>
      </c>
      <c r="B528">
        <v>1.608096252291E-3</v>
      </c>
    </row>
    <row r="529" spans="1:2">
      <c r="A529" t="s">
        <v>951</v>
      </c>
      <c r="B529">
        <v>1.9165464577620001E-3</v>
      </c>
    </row>
    <row r="530" spans="1:2">
      <c r="A530" t="s">
        <v>952</v>
      </c>
      <c r="B530">
        <v>-4.787908419687E-3</v>
      </c>
    </row>
    <row r="531" spans="1:2">
      <c r="A531" t="s">
        <v>953</v>
      </c>
      <c r="B531">
        <v>0.20170721834085201</v>
      </c>
    </row>
    <row r="532" spans="1:2">
      <c r="A532" t="s">
        <v>954</v>
      </c>
      <c r="B532">
        <v>2.7752443290039999E-3</v>
      </c>
    </row>
    <row r="533" spans="1:2">
      <c r="A533" t="s">
        <v>955</v>
      </c>
      <c r="B533" s="50">
        <v>1.752549812E-6</v>
      </c>
    </row>
    <row r="534" spans="1:2">
      <c r="A534" t="s">
        <v>956</v>
      </c>
      <c r="B534" s="50">
        <v>8.5441196500000002E-7</v>
      </c>
    </row>
    <row r="535" spans="1:2">
      <c r="A535" t="s">
        <v>957</v>
      </c>
      <c r="B535" s="50">
        <v>-7.7946180000000003E-9</v>
      </c>
    </row>
    <row r="536" spans="1:2">
      <c r="A536" t="s">
        <v>958</v>
      </c>
      <c r="B536">
        <v>3.4093625165290001E-3</v>
      </c>
    </row>
    <row r="537" spans="1:2">
      <c r="A537" t="s">
        <v>959</v>
      </c>
      <c r="B537">
        <v>-4.787908419687E-3</v>
      </c>
    </row>
    <row r="538" spans="1:2">
      <c r="A538" t="s">
        <v>960</v>
      </c>
      <c r="B538" s="50">
        <v>9.2042068000000006E-8</v>
      </c>
    </row>
    <row r="539" spans="1:2">
      <c r="A539" t="s">
        <v>961</v>
      </c>
      <c r="B539">
        <v>-0.20170721834085201</v>
      </c>
    </row>
    <row r="540" spans="1:2">
      <c r="A540" t="s">
        <v>962</v>
      </c>
      <c r="B540">
        <v>-999.99996898402003</v>
      </c>
    </row>
    <row r="541" spans="1:2">
      <c r="A541" t="s">
        <v>963</v>
      </c>
      <c r="B541">
        <v>4.6706782428430002E-3</v>
      </c>
    </row>
    <row r="542" spans="1:2">
      <c r="A542" t="s">
        <v>964</v>
      </c>
      <c r="B542">
        <v>1.0046239679502E-2</v>
      </c>
    </row>
    <row r="543" spans="1:2">
      <c r="A543" t="s">
        <v>965</v>
      </c>
      <c r="B543" s="50">
        <v>3.1557670904000001E-5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C597-08A9-C84F-8B33-EE45750F76C3}">
  <dimension ref="A1:AB38"/>
  <sheetViews>
    <sheetView workbookViewId="0">
      <selection activeCell="F24" sqref="F24"/>
    </sheetView>
  </sheetViews>
  <sheetFormatPr baseColWidth="10" defaultRowHeight="15"/>
  <cols>
    <col min="1" max="1" width="25.1640625" customWidth="1"/>
    <col min="25" max="25" width="20.5" customWidth="1"/>
  </cols>
  <sheetData>
    <row r="1" spans="1:28">
      <c r="A1" s="4" t="s">
        <v>283</v>
      </c>
      <c r="O1" t="s">
        <v>316</v>
      </c>
    </row>
    <row r="2" spans="1:28">
      <c r="C2" s="34"/>
      <c r="F2" s="37" t="s">
        <v>312</v>
      </c>
      <c r="K2" s="37" t="s">
        <v>315</v>
      </c>
      <c r="O2" s="37" t="s">
        <v>312</v>
      </c>
      <c r="Q2" s="37" t="s">
        <v>315</v>
      </c>
      <c r="W2" s="48"/>
      <c r="Y2" s="48" t="s">
        <v>323</v>
      </c>
    </row>
    <row r="3" spans="1:28">
      <c r="A3" s="34"/>
      <c r="B3" s="34" t="s">
        <v>284</v>
      </c>
      <c r="C3" s="34" t="s">
        <v>285</v>
      </c>
      <c r="F3" s="38" t="s">
        <v>313</v>
      </c>
      <c r="G3" s="35" t="s">
        <v>314</v>
      </c>
      <c r="H3" t="s">
        <v>96</v>
      </c>
      <c r="I3" t="s">
        <v>94</v>
      </c>
      <c r="J3" t="s">
        <v>320</v>
      </c>
      <c r="K3" s="38" t="s">
        <v>313</v>
      </c>
      <c r="L3" s="35" t="s">
        <v>314</v>
      </c>
      <c r="M3" t="s">
        <v>96</v>
      </c>
      <c r="N3" t="s">
        <v>94</v>
      </c>
      <c r="O3" t="s">
        <v>96</v>
      </c>
      <c r="P3" t="s">
        <v>94</v>
      </c>
      <c r="Q3" t="s">
        <v>96</v>
      </c>
      <c r="R3" t="s">
        <v>94</v>
      </c>
      <c r="U3" s="34" t="s">
        <v>322</v>
      </c>
      <c r="W3" s="48"/>
      <c r="Y3" s="48"/>
    </row>
    <row r="4" spans="1:28">
      <c r="A4" s="35" t="s">
        <v>286</v>
      </c>
      <c r="B4" s="35">
        <v>8</v>
      </c>
      <c r="C4" s="35">
        <v>16</v>
      </c>
      <c r="D4" t="str" cm="1">
        <f t="array" ref="D4:E14">SUBSTITUTE(SUBSTITUTE(B4:C14," ","")," ","")</f>
        <v>8</v>
      </c>
      <c r="E4" t="str">
        <v>16</v>
      </c>
      <c r="F4" cm="1">
        <f t="array" ref="F4:G14">_xlfn.LET(_xlpm.str,"±",_xlpm.d,_xlfn.CHOOSECOLS(_xlfn.ANCHORARRAY(D4),1),_xlfn.HSTACK(_xlfn.NUMBERVALUE(_xlfn.TEXTBEFORE(_xlpm.d,_xlpm.str,,,,_xlpm.d)),_xlfn.NUMBERVALUE(_xlfn.TEXTAFTER(_xlpm.d,_xlpm.str,,,,0))))</f>
        <v>8</v>
      </c>
      <c r="G4">
        <v>0</v>
      </c>
      <c r="H4" cm="1">
        <f t="array" ref="H4:H14">_xlfn.CHOOSECOLS(_xlfn.ANCHORARRAY(F4),1)-_xlfn.CHOOSECOLS(_xlfn.ANCHORARRAY(F4),2)</f>
        <v>8</v>
      </c>
      <c r="I4" cm="1">
        <f t="array" ref="I4:I14">_xlfn.CHOOSECOLS(_xlfn.ANCHORARRAY(F4),1)+_xlfn.CHOOSECOLS(_xlfn.ANCHORARRAY(F4),2)</f>
        <v>8</v>
      </c>
      <c r="K4" cm="1">
        <f t="array" ref="K4:L14">_xlfn.LET(_xlpm.str,"±",_xlpm.d,_xlfn.CHOOSECOLS(_xlfn.ANCHORARRAY(D4),2),_xlfn.HSTACK(_xlfn.NUMBERVALUE(_xlfn.TEXTBEFORE(_xlpm.d,_xlpm.str,,,,_xlpm.d)),_xlfn.NUMBERVALUE(_xlfn.TEXTAFTER(_xlpm.d,_xlpm.str,,,,0))))</f>
        <v>16</v>
      </c>
      <c r="L4">
        <v>0</v>
      </c>
      <c r="M4" cm="1">
        <f t="array" ref="M4:M14">_xlfn.CHOOSECOLS(_xlfn.ANCHORARRAY(K4),1)-_xlfn.CHOOSECOLS(_xlfn.ANCHORARRAY(K4),2)</f>
        <v>16</v>
      </c>
      <c r="N4" cm="1">
        <f t="array" ref="N4:N14">_xlfn.CHOOSECOLS(_xlfn.ANCHORARRAY(K4),1)+_xlfn.CHOOSECOLS(_xlfn.ANCHORARRAY(K4),2)</f>
        <v>16</v>
      </c>
      <c r="U4" s="34" t="s">
        <v>284</v>
      </c>
      <c r="W4" s="34" t="s">
        <v>285</v>
      </c>
      <c r="Y4" s="34" t="s">
        <v>284</v>
      </c>
      <c r="AA4" s="34" t="s">
        <v>285</v>
      </c>
    </row>
    <row r="5" spans="1:28">
      <c r="A5" s="35" t="s">
        <v>287</v>
      </c>
      <c r="B5" s="35">
        <v>54</v>
      </c>
      <c r="C5" s="35">
        <v>80</v>
      </c>
      <c r="D5" t="str">
        <v>54</v>
      </c>
      <c r="E5" t="str">
        <v>80</v>
      </c>
      <c r="F5">
        <v>54</v>
      </c>
      <c r="G5">
        <v>0</v>
      </c>
      <c r="H5">
        <v>54</v>
      </c>
      <c r="I5">
        <v>54</v>
      </c>
      <c r="K5">
        <v>80</v>
      </c>
      <c r="L5">
        <v>0</v>
      </c>
      <c r="M5">
        <v>80</v>
      </c>
      <c r="N5">
        <v>80</v>
      </c>
      <c r="U5" s="34" t="s">
        <v>324</v>
      </c>
      <c r="V5" s="34" t="s">
        <v>325</v>
      </c>
      <c r="W5" s="34" t="s">
        <v>324</v>
      </c>
      <c r="X5" s="34" t="s">
        <v>325</v>
      </c>
      <c r="Y5" s="34" t="s">
        <v>324</v>
      </c>
      <c r="Z5" s="34" t="s">
        <v>325</v>
      </c>
      <c r="AA5" s="34" t="s">
        <v>324</v>
      </c>
      <c r="AB5" s="34" t="s">
        <v>325</v>
      </c>
    </row>
    <row r="6" spans="1:28" ht="17">
      <c r="A6" s="36" t="s">
        <v>288</v>
      </c>
      <c r="B6" s="35">
        <v>0.14000000000000001</v>
      </c>
      <c r="C6" s="35">
        <v>7.0000000000000007E-2</v>
      </c>
      <c r="D6" t="str">
        <v>0.14</v>
      </c>
      <c r="E6" t="str">
        <v>0.07</v>
      </c>
      <c r="F6">
        <v>0.14000000000000001</v>
      </c>
      <c r="G6">
        <v>0</v>
      </c>
      <c r="H6">
        <v>0.14000000000000001</v>
      </c>
      <c r="I6">
        <v>0.14000000000000001</v>
      </c>
      <c r="J6">
        <f>I6</f>
        <v>0.14000000000000001</v>
      </c>
      <c r="K6">
        <v>7.0000000000000007E-2</v>
      </c>
      <c r="L6">
        <v>0</v>
      </c>
      <c r="M6">
        <v>7.0000000000000007E-2</v>
      </c>
      <c r="N6">
        <v>7.0000000000000007E-2</v>
      </c>
      <c r="O6" t="str" cm="1">
        <f t="array" ref="O6:R6">"BIOMASS:("&amp;_xlfn.HSTACK(H24:I24,M24:N24)&amp;","&amp;_xlfn.HSTACK(H6:I6,M6:N6)&amp;")"</f>
        <v>BIOMASS:(0.009615384615,0.14)</v>
      </c>
      <c r="P6" t="str">
        <v>BIOMASS:(0.009615384615,0.14)</v>
      </c>
      <c r="Q6" t="str">
        <v>BIOMASS:(0.009615384615,0.07)</v>
      </c>
      <c r="R6" t="str">
        <v>BIOMASS:(0.009615384615,0.07)</v>
      </c>
      <c r="T6" s="35" t="s">
        <v>326</v>
      </c>
      <c r="U6" s="35" t="s">
        <v>327</v>
      </c>
      <c r="V6" s="35">
        <v>13.71</v>
      </c>
      <c r="W6" s="35" t="s">
        <v>328</v>
      </c>
      <c r="X6" s="35">
        <v>17.559999999999999</v>
      </c>
      <c r="Y6" s="35" t="s">
        <v>329</v>
      </c>
      <c r="Z6" s="35">
        <v>19.53</v>
      </c>
      <c r="AA6" s="35" t="s">
        <v>330</v>
      </c>
      <c r="AB6" s="35">
        <v>18.37</v>
      </c>
    </row>
    <row r="7" spans="1:28">
      <c r="A7" s="35" t="s">
        <v>289</v>
      </c>
      <c r="B7" s="35" t="s">
        <v>290</v>
      </c>
      <c r="C7" s="35" t="s">
        <v>291</v>
      </c>
      <c r="D7" t="str">
        <v>13.8±0.13</v>
      </c>
      <c r="E7" t="str">
        <v>11.1±0.1</v>
      </c>
      <c r="F7">
        <v>13.8</v>
      </c>
      <c r="G7">
        <v>0.13</v>
      </c>
      <c r="H7">
        <v>13.67</v>
      </c>
      <c r="I7">
        <v>13.930000000000001</v>
      </c>
      <c r="J7">
        <f>H7</f>
        <v>13.67</v>
      </c>
      <c r="K7">
        <v>11.1</v>
      </c>
      <c r="L7">
        <v>0.1</v>
      </c>
      <c r="M7">
        <v>11</v>
      </c>
      <c r="N7">
        <v>11.2</v>
      </c>
      <c r="T7" s="35" t="s">
        <v>331</v>
      </c>
      <c r="U7" s="35" t="s">
        <v>332</v>
      </c>
      <c r="V7" s="35">
        <v>0.93</v>
      </c>
      <c r="W7" s="35" t="s">
        <v>333</v>
      </c>
      <c r="X7" s="35">
        <v>1.46</v>
      </c>
      <c r="Y7" s="35" t="s">
        <v>334</v>
      </c>
      <c r="Z7" s="35" t="s">
        <v>334</v>
      </c>
      <c r="AA7" s="35" t="s">
        <v>334</v>
      </c>
      <c r="AB7" s="35" t="s">
        <v>334</v>
      </c>
    </row>
    <row r="8" spans="1:28">
      <c r="A8" s="35" t="s">
        <v>292</v>
      </c>
      <c r="B8" s="35" t="s">
        <v>293</v>
      </c>
      <c r="C8" s="35" t="s">
        <v>294</v>
      </c>
      <c r="D8" t="str">
        <v>40.8±0.3</v>
      </c>
      <c r="E8" t="str">
        <v>39.4±0.25</v>
      </c>
      <c r="F8">
        <v>40.799999999999997</v>
      </c>
      <c r="G8">
        <v>0.3</v>
      </c>
      <c r="H8">
        <v>40.5</v>
      </c>
      <c r="I8">
        <v>41.099999999999994</v>
      </c>
      <c r="J8">
        <f>I8</f>
        <v>41.099999999999994</v>
      </c>
      <c r="K8">
        <v>39.4</v>
      </c>
      <c r="L8">
        <v>0.25</v>
      </c>
      <c r="M8">
        <v>39.15</v>
      </c>
      <c r="N8">
        <v>39.65</v>
      </c>
      <c r="T8" s="35" t="s">
        <v>335</v>
      </c>
      <c r="U8" s="35" t="s">
        <v>336</v>
      </c>
      <c r="V8" s="35">
        <v>7.59</v>
      </c>
      <c r="W8" s="35" t="s">
        <v>337</v>
      </c>
      <c r="X8" s="35">
        <v>8.5</v>
      </c>
      <c r="Y8" s="35" t="s">
        <v>338</v>
      </c>
      <c r="Z8" s="35">
        <v>23.28</v>
      </c>
      <c r="AA8" s="35" t="s">
        <v>339</v>
      </c>
      <c r="AB8" s="35">
        <v>18.93</v>
      </c>
    </row>
    <row r="9" spans="1:28">
      <c r="A9" s="35" t="s">
        <v>295</v>
      </c>
      <c r="B9" s="35" t="s">
        <v>296</v>
      </c>
      <c r="C9" s="35" t="s">
        <v>297</v>
      </c>
      <c r="D9" t="str">
        <v>3.19±0.81</v>
      </c>
      <c r="E9" t="str">
        <v>1.1±1</v>
      </c>
      <c r="F9">
        <v>3.19</v>
      </c>
      <c r="G9">
        <v>0.81</v>
      </c>
      <c r="H9">
        <v>2.38</v>
      </c>
      <c r="I9">
        <v>4</v>
      </c>
      <c r="J9">
        <f>H9</f>
        <v>2.38</v>
      </c>
      <c r="K9">
        <v>1.1000000000000001</v>
      </c>
      <c r="L9">
        <v>1</v>
      </c>
      <c r="M9">
        <v>0.10000000000000009</v>
      </c>
      <c r="N9">
        <v>2.1</v>
      </c>
      <c r="T9" s="35" t="s">
        <v>340</v>
      </c>
      <c r="U9" s="35" t="s">
        <v>341</v>
      </c>
      <c r="V9" s="35">
        <v>12.82</v>
      </c>
      <c r="W9" s="35" t="s">
        <v>342</v>
      </c>
      <c r="X9" s="35">
        <v>15.76</v>
      </c>
      <c r="Y9" s="35" t="s">
        <v>343</v>
      </c>
      <c r="Z9" s="35">
        <v>30.83</v>
      </c>
      <c r="AA9" s="35" t="s">
        <v>344</v>
      </c>
      <c r="AB9" s="35">
        <v>26.71</v>
      </c>
    </row>
    <row r="10" spans="1:28" ht="17">
      <c r="A10" s="35" t="s">
        <v>298</v>
      </c>
      <c r="B10" s="35" t="s">
        <v>299</v>
      </c>
      <c r="C10" s="35" t="s">
        <v>300</v>
      </c>
      <c r="D10" t="str">
        <v>0.36±0.004</v>
      </c>
      <c r="E10" t="str">
        <v>0.28±0.003</v>
      </c>
      <c r="F10">
        <v>0.36</v>
      </c>
      <c r="G10">
        <v>4.0000000000000001E-3</v>
      </c>
      <c r="H10">
        <v>0.35599999999999998</v>
      </c>
      <c r="I10">
        <v>0.36399999999999999</v>
      </c>
      <c r="K10">
        <v>0.28000000000000003</v>
      </c>
      <c r="L10">
        <v>3.0000000000000001E-3</v>
      </c>
      <c r="M10">
        <v>0.27700000000000002</v>
      </c>
      <c r="N10">
        <v>0.28300000000000003</v>
      </c>
      <c r="T10" s="35" t="s">
        <v>345</v>
      </c>
      <c r="U10" s="35" t="s">
        <v>346</v>
      </c>
      <c r="V10" s="35">
        <v>34.659999999999997</v>
      </c>
      <c r="W10" s="35" t="s">
        <v>347</v>
      </c>
      <c r="X10" s="35">
        <v>43.99</v>
      </c>
      <c r="Y10" s="35" t="s">
        <v>348</v>
      </c>
      <c r="Z10" s="35">
        <v>56.54</v>
      </c>
      <c r="AA10" s="35" t="s">
        <v>349</v>
      </c>
      <c r="AB10" s="35">
        <v>50.87</v>
      </c>
    </row>
    <row r="11" spans="1:28" ht="17">
      <c r="A11" s="35" t="s">
        <v>301</v>
      </c>
      <c r="B11" s="35" t="s">
        <v>302</v>
      </c>
      <c r="C11" s="35"/>
      <c r="D11" t="str">
        <v>7.59±1.54</v>
      </c>
      <c r="E11" t="str">
        <v/>
      </c>
      <c r="F11">
        <v>7.59</v>
      </c>
      <c r="G11">
        <v>1.54</v>
      </c>
      <c r="H11">
        <v>6.05</v>
      </c>
      <c r="I11">
        <v>9.129999999999999</v>
      </c>
      <c r="K11">
        <v>0</v>
      </c>
      <c r="L11">
        <v>0</v>
      </c>
      <c r="M11">
        <v>0</v>
      </c>
      <c r="N11">
        <v>0</v>
      </c>
      <c r="T11" s="35" t="s">
        <v>350</v>
      </c>
      <c r="U11" s="35" t="s">
        <v>351</v>
      </c>
      <c r="V11" s="35">
        <v>21.64</v>
      </c>
      <c r="W11" s="35" t="s">
        <v>352</v>
      </c>
      <c r="X11" s="35">
        <v>20.92</v>
      </c>
      <c r="Y11" s="35" t="s">
        <v>353</v>
      </c>
      <c r="Z11" s="35">
        <v>345.11</v>
      </c>
      <c r="AA11" s="35" t="s">
        <v>354</v>
      </c>
      <c r="AB11" s="35">
        <v>356.12</v>
      </c>
    </row>
    <row r="12" spans="1:28" ht="17">
      <c r="A12" s="35" t="s">
        <v>303</v>
      </c>
      <c r="B12" s="35" t="s">
        <v>304</v>
      </c>
      <c r="C12" s="35" t="s">
        <v>305</v>
      </c>
      <c r="D12" t="str">
        <v>10.58±1.00</v>
      </c>
      <c r="E12" t="str">
        <v>13.99±1.5</v>
      </c>
      <c r="F12">
        <v>10.58</v>
      </c>
      <c r="G12">
        <v>1</v>
      </c>
      <c r="H12">
        <v>9.58</v>
      </c>
      <c r="I12">
        <v>11.58</v>
      </c>
      <c r="K12">
        <v>13.99</v>
      </c>
      <c r="L12">
        <v>1.5</v>
      </c>
      <c r="M12">
        <v>12.49</v>
      </c>
      <c r="N12">
        <v>15.49</v>
      </c>
      <c r="T12" s="35" t="s">
        <v>355</v>
      </c>
      <c r="U12" s="35">
        <v>1.58</v>
      </c>
      <c r="V12" s="35"/>
      <c r="W12" s="35">
        <v>1.19</v>
      </c>
      <c r="X12" s="35"/>
      <c r="Y12" s="35">
        <v>17.66</v>
      </c>
      <c r="Z12" s="35"/>
      <c r="AA12" s="35">
        <v>19.37</v>
      </c>
      <c r="AB12" s="35"/>
    </row>
    <row r="13" spans="1:28" ht="17">
      <c r="A13" s="35" t="s">
        <v>306</v>
      </c>
      <c r="B13" s="35" t="s">
        <v>307</v>
      </c>
      <c r="C13" s="35" t="s">
        <v>308</v>
      </c>
      <c r="D13" t="str">
        <v>47.51±1.81</v>
      </c>
      <c r="E13" t="str">
        <v>47.05±1.4</v>
      </c>
      <c r="F13">
        <v>47.51</v>
      </c>
      <c r="G13">
        <v>1.81</v>
      </c>
      <c r="H13">
        <v>45.699999999999996</v>
      </c>
      <c r="I13">
        <v>49.32</v>
      </c>
      <c r="K13">
        <v>47.05</v>
      </c>
      <c r="L13">
        <v>1.4</v>
      </c>
      <c r="M13">
        <v>45.65</v>
      </c>
      <c r="N13">
        <v>48.449999999999996</v>
      </c>
      <c r="T13" s="35" t="s">
        <v>356</v>
      </c>
      <c r="U13" s="35" t="s">
        <v>357</v>
      </c>
      <c r="V13" s="35"/>
      <c r="W13" s="35" t="s">
        <v>358</v>
      </c>
      <c r="X13" s="35"/>
      <c r="Y13" s="35" t="s">
        <v>359</v>
      </c>
      <c r="Z13" s="35"/>
      <c r="AA13" s="35" t="s">
        <v>360</v>
      </c>
    </row>
    <row r="14" spans="1:28" ht="16">
      <c r="A14" s="35" t="s">
        <v>309</v>
      </c>
      <c r="B14" s="35" t="s">
        <v>310</v>
      </c>
      <c r="C14" s="35" t="s">
        <v>311</v>
      </c>
      <c r="D14" t="str">
        <v>0.19±0.01</v>
      </c>
      <c r="E14" t="str">
        <v>0.15±0.009</v>
      </c>
      <c r="F14">
        <v>0.19</v>
      </c>
      <c r="G14">
        <v>0.01</v>
      </c>
      <c r="H14">
        <v>0.18</v>
      </c>
      <c r="I14">
        <v>0.2</v>
      </c>
      <c r="K14">
        <v>0.15</v>
      </c>
      <c r="L14">
        <v>8.9999999999999993E-3</v>
      </c>
      <c r="M14">
        <v>0.14099999999999999</v>
      </c>
      <c r="N14">
        <v>0.159</v>
      </c>
      <c r="Z14">
        <f>Z11/1000</f>
        <v>0.34511000000000003</v>
      </c>
    </row>
    <row r="15" spans="1:28">
      <c r="A15" s="6" t="s">
        <v>317</v>
      </c>
      <c r="H15">
        <f t="shared" ref="H15:N15" si="0">H8-H9</f>
        <v>38.119999999999997</v>
      </c>
      <c r="I15">
        <f t="shared" si="0"/>
        <v>37.099999999999994</v>
      </c>
      <c r="J15">
        <f t="shared" si="0"/>
        <v>38.719999999999992</v>
      </c>
      <c r="K15">
        <f t="shared" si="0"/>
        <v>38.299999999999997</v>
      </c>
      <c r="L15">
        <f t="shared" si="0"/>
        <v>-0.75</v>
      </c>
      <c r="M15">
        <f t="shared" si="0"/>
        <v>39.049999999999997</v>
      </c>
      <c r="N15">
        <f t="shared" si="0"/>
        <v>37.549999999999997</v>
      </c>
    </row>
    <row r="16" spans="1:28">
      <c r="A16" s="6" t="s">
        <v>319</v>
      </c>
      <c r="H16">
        <f>tal_calculations!G3/1000</f>
        <v>0.18015587999999999</v>
      </c>
      <c r="I16">
        <f t="shared" ref="I16:J16" si="1">H16</f>
        <v>0.18015587999999999</v>
      </c>
      <c r="J16">
        <f t="shared" si="1"/>
        <v>0.18015587999999999</v>
      </c>
      <c r="K16">
        <f>tal_calculations!F3/1000</f>
        <v>0.15012989999999998</v>
      </c>
      <c r="L16">
        <f>K16</f>
        <v>0.15012989999999998</v>
      </c>
      <c r="M16">
        <f t="shared" ref="M16:N16" si="2">L16</f>
        <v>0.15012989999999998</v>
      </c>
      <c r="N16">
        <f t="shared" si="2"/>
        <v>0.15012989999999998</v>
      </c>
    </row>
    <row r="17" spans="1:28">
      <c r="A17" s="6" t="s">
        <v>318</v>
      </c>
      <c r="H17">
        <f>(H15/H16)/(H7/H6)</f>
        <v>2.1670252499805462</v>
      </c>
      <c r="I17">
        <f>(I15/I16)/(I7/I6)</f>
        <v>2.0696761138633955</v>
      </c>
      <c r="J17">
        <f>(J15/J16)*J6/(J7)</f>
        <v>2.2011337271575746</v>
      </c>
      <c r="M17">
        <f>(M15/M16)/(M7/M6)</f>
        <v>1.6552332346854293</v>
      </c>
      <c r="N17">
        <f>(N15/N16)/(N7/N6)</f>
        <v>1.5632295765200672</v>
      </c>
      <c r="T17" t="s">
        <v>365</v>
      </c>
      <c r="Z17">
        <f>J6*Z14/(882.4/1000)</f>
        <v>5.4754533091568462E-2</v>
      </c>
    </row>
    <row r="18" spans="1:28">
      <c r="A18" s="6" t="s">
        <v>321</v>
      </c>
      <c r="T18" t="s">
        <v>366</v>
      </c>
      <c r="Z18">
        <f>J6*Z14/(89.07/1000)</f>
        <v>0.54244302234197839</v>
      </c>
    </row>
    <row r="19" spans="1:28">
      <c r="A19" s="6" t="s">
        <v>362</v>
      </c>
      <c r="B19">
        <v>1.173</v>
      </c>
      <c r="C19">
        <f>B19</f>
        <v>1.173</v>
      </c>
      <c r="D19">
        <f t="shared" ref="D19:N19" si="3">C19</f>
        <v>1.173</v>
      </c>
      <c r="E19">
        <f t="shared" si="3"/>
        <v>1.173</v>
      </c>
      <c r="F19">
        <f t="shared" si="3"/>
        <v>1.173</v>
      </c>
      <c r="G19">
        <f t="shared" si="3"/>
        <v>1.173</v>
      </c>
      <c r="H19">
        <f t="shared" si="3"/>
        <v>1.173</v>
      </c>
      <c r="I19">
        <f t="shared" si="3"/>
        <v>1.173</v>
      </c>
      <c r="J19">
        <f t="shared" si="3"/>
        <v>1.173</v>
      </c>
      <c r="K19">
        <f t="shared" si="3"/>
        <v>1.173</v>
      </c>
      <c r="L19">
        <f t="shared" si="3"/>
        <v>1.173</v>
      </c>
      <c r="M19">
        <f t="shared" si="3"/>
        <v>1.173</v>
      </c>
      <c r="N19">
        <f t="shared" si="3"/>
        <v>1.173</v>
      </c>
      <c r="T19" t="s">
        <v>367</v>
      </c>
      <c r="Z19">
        <f>J6*Z14/((89.07+3*(270.45))/1000)</f>
        <v>5.3658737033828674E-2</v>
      </c>
    </row>
    <row r="20" spans="1:28" ht="18">
      <c r="A20" s="6" t="s">
        <v>266</v>
      </c>
      <c r="B20" s="40">
        <v>132.13999999999999</v>
      </c>
      <c r="C20" s="41">
        <f>B20</f>
        <v>132.13999999999999</v>
      </c>
      <c r="D20" s="41">
        <f t="shared" ref="D20:N20" si="4">C20</f>
        <v>132.13999999999999</v>
      </c>
      <c r="E20" s="41">
        <f t="shared" si="4"/>
        <v>132.13999999999999</v>
      </c>
      <c r="F20" s="41">
        <f t="shared" si="4"/>
        <v>132.13999999999999</v>
      </c>
      <c r="G20" s="41">
        <f t="shared" si="4"/>
        <v>132.13999999999999</v>
      </c>
      <c r="H20" s="41">
        <f t="shared" si="4"/>
        <v>132.13999999999999</v>
      </c>
      <c r="I20" s="41">
        <f t="shared" si="4"/>
        <v>132.13999999999999</v>
      </c>
      <c r="J20" s="41">
        <f t="shared" si="4"/>
        <v>132.13999999999999</v>
      </c>
      <c r="K20" s="41">
        <f t="shared" si="4"/>
        <v>132.13999999999999</v>
      </c>
      <c r="L20" s="41">
        <f t="shared" si="4"/>
        <v>132.13999999999999</v>
      </c>
      <c r="M20" s="41">
        <f t="shared" si="4"/>
        <v>132.13999999999999</v>
      </c>
      <c r="N20" s="41">
        <f t="shared" si="4"/>
        <v>132.13999999999999</v>
      </c>
      <c r="T20" t="s">
        <v>369</v>
      </c>
      <c r="Z20">
        <f>J6*Z14/((89.07+(3*368.6367))/1000)</f>
        <v>4.0431970373397859E-2</v>
      </c>
      <c r="AA20" s="4" t="s">
        <v>368</v>
      </c>
      <c r="AB20" s="42"/>
    </row>
    <row r="21" spans="1:28">
      <c r="A21" s="6" t="s">
        <v>370</v>
      </c>
      <c r="B21">
        <v>18.04</v>
      </c>
      <c r="C21">
        <v>18.04</v>
      </c>
      <c r="D21">
        <v>18.04</v>
      </c>
      <c r="E21">
        <v>18.04</v>
      </c>
      <c r="F21">
        <v>18.04</v>
      </c>
      <c r="G21">
        <v>18.04</v>
      </c>
      <c r="H21">
        <v>18.04</v>
      </c>
      <c r="I21">
        <v>18.04</v>
      </c>
      <c r="J21">
        <v>18.04</v>
      </c>
      <c r="K21">
        <v>18.04</v>
      </c>
      <c r="L21">
        <v>18.04</v>
      </c>
      <c r="M21">
        <v>18.04</v>
      </c>
      <c r="N21">
        <v>18.04</v>
      </c>
    </row>
    <row r="22" spans="1:28">
      <c r="A22" s="6" t="s">
        <v>364</v>
      </c>
      <c r="B22">
        <f t="shared" ref="B22:N22" si="5">(2*18.04)/B20</f>
        <v>0.27304374148630245</v>
      </c>
      <c r="C22">
        <f t="shared" si="5"/>
        <v>0.27304374148630245</v>
      </c>
      <c r="D22">
        <f t="shared" si="5"/>
        <v>0.27304374148630245</v>
      </c>
      <c r="E22">
        <f t="shared" si="5"/>
        <v>0.27304374148630245</v>
      </c>
      <c r="F22">
        <f t="shared" si="5"/>
        <v>0.27304374148630245</v>
      </c>
      <c r="G22">
        <f t="shared" si="5"/>
        <v>0.27304374148630245</v>
      </c>
      <c r="H22">
        <f t="shared" si="5"/>
        <v>0.27304374148630245</v>
      </c>
      <c r="I22">
        <f t="shared" si="5"/>
        <v>0.27304374148630245</v>
      </c>
      <c r="J22">
        <f t="shared" si="5"/>
        <v>0.27304374148630245</v>
      </c>
      <c r="K22">
        <f t="shared" si="5"/>
        <v>0.27304374148630245</v>
      </c>
      <c r="L22">
        <f t="shared" si="5"/>
        <v>0.27304374148630245</v>
      </c>
      <c r="M22">
        <f t="shared" si="5"/>
        <v>0.27304374148630245</v>
      </c>
      <c r="N22">
        <f t="shared" si="5"/>
        <v>0.27304374148630245</v>
      </c>
    </row>
    <row r="23" spans="1:28">
      <c r="A23" s="6" t="s">
        <v>363</v>
      </c>
      <c r="H23">
        <f>(2*H19/(H20/1000))*H6/(H7)</f>
        <v>0.18182484516599134</v>
      </c>
      <c r="I23">
        <f t="shared" ref="I23:J23" si="6">(2*I19/(I20/1000))*I6/(I7)</f>
        <v>0.17843112946296494</v>
      </c>
      <c r="J23">
        <f t="shared" si="6"/>
        <v>0.18182484516599134</v>
      </c>
      <c r="L23">
        <f t="shared" ref="L23:N23" si="7">(2*L19/(L20/1000))*L6/(L7)</f>
        <v>0</v>
      </c>
      <c r="M23">
        <f t="shared" si="7"/>
        <v>0.11297934697359553</v>
      </c>
      <c r="N23">
        <f t="shared" si="7"/>
        <v>0.11096185863478134</v>
      </c>
    </row>
    <row r="24" spans="1:28">
      <c r="A24" s="6" t="s">
        <v>371</v>
      </c>
      <c r="H24">
        <v>9.615384615E-3</v>
      </c>
      <c r="I24">
        <v>9.615384615E-3</v>
      </c>
      <c r="J24">
        <v>9.615384615E-3</v>
      </c>
      <c r="K24">
        <v>9.615384615E-3</v>
      </c>
      <c r="L24">
        <v>9.615384615E-3</v>
      </c>
      <c r="M24">
        <v>9.615384615E-3</v>
      </c>
      <c r="N24">
        <v>9.615384615E-3</v>
      </c>
    </row>
    <row r="25" spans="1:28">
      <c r="A25" s="6"/>
    </row>
    <row r="26" spans="1:28">
      <c r="A26" s="6"/>
    </row>
    <row r="27" spans="1:28">
      <c r="A27" s="6"/>
    </row>
    <row r="28" spans="1:28">
      <c r="A28" s="6"/>
    </row>
    <row r="29" spans="1:28">
      <c r="A29" s="6"/>
    </row>
    <row r="30" spans="1:28">
      <c r="A30" s="6"/>
    </row>
    <row r="31" spans="1:28">
      <c r="A31" s="6"/>
    </row>
    <row r="32" spans="1:2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 ht="23">
      <c r="A38" s="39" t="s">
        <v>361</v>
      </c>
    </row>
  </sheetData>
  <mergeCells count="2">
    <mergeCell ref="W2:W3"/>
    <mergeCell ref="Y2:Y3"/>
  </mergeCells>
  <conditionalFormatting sqref="H14:J1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5:J1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7:J1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4:N1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5:N15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hyperlinks>
    <hyperlink ref="A1" r:id="rId1" display="https://link.springer.com/article/10.1186/s13068-019-1478-8/tables/1" xr:uid="{12DECB10-13BE-D448-A529-82590C593460}"/>
    <hyperlink ref="AA20" r:id="rId2" display="https://www.ebi.ac.uk/chebi/searchId.do?chebiId=28866" xr:uid="{DE2D2420-69A1-4940-8C35-5E0FC54F2EE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9C04-4BAF-FA4F-AC11-287F5F092455}">
  <dimension ref="A1:AI24"/>
  <sheetViews>
    <sheetView topLeftCell="F1" workbookViewId="0">
      <selection activeCell="Y3" sqref="Y3"/>
    </sheetView>
  </sheetViews>
  <sheetFormatPr baseColWidth="10" defaultRowHeight="15"/>
  <cols>
    <col min="1" max="1" width="3.5" bestFit="1" customWidth="1"/>
    <col min="2" max="2" width="6.1640625" bestFit="1" customWidth="1"/>
    <col min="3" max="3" width="16.83203125" bestFit="1" customWidth="1"/>
    <col min="8" max="9" width="9.33203125" customWidth="1"/>
    <col min="10" max="10" width="13.33203125" customWidth="1"/>
    <col min="11" max="12" width="11.1640625" customWidth="1"/>
    <col min="13" max="14" width="12.1640625" bestFit="1" customWidth="1"/>
    <col min="19" max="20" width="7.33203125" customWidth="1"/>
    <col min="21" max="24" width="5.83203125" customWidth="1"/>
    <col min="25" max="25" width="16.6640625" bestFit="1" customWidth="1"/>
    <col min="27" max="28" width="5.83203125" customWidth="1"/>
    <col min="30" max="31" width="14.83203125" customWidth="1"/>
  </cols>
  <sheetData>
    <row r="1" spans="1:35" s="2" customFormat="1" ht="192" customHeight="1">
      <c r="D1" s="49" t="s">
        <v>101</v>
      </c>
      <c r="E1" s="49"/>
      <c r="F1" s="49" t="s">
        <v>3</v>
      </c>
      <c r="G1" s="49"/>
      <c r="H1" s="49" t="s">
        <v>95</v>
      </c>
      <c r="I1" s="49"/>
      <c r="J1" s="8" t="s">
        <v>111</v>
      </c>
      <c r="K1" s="49" t="s">
        <v>114</v>
      </c>
      <c r="L1" s="49"/>
      <c r="M1" s="49" t="s">
        <v>104</v>
      </c>
      <c r="N1" s="49"/>
      <c r="P1" s="49" t="s">
        <v>93</v>
      </c>
      <c r="Q1" s="49"/>
      <c r="R1" s="49"/>
      <c r="S1" s="49" t="s">
        <v>97</v>
      </c>
      <c r="T1" s="49"/>
      <c r="U1" s="49" t="s">
        <v>112</v>
      </c>
      <c r="V1" s="49"/>
      <c r="W1" s="49" t="s">
        <v>113</v>
      </c>
      <c r="X1" s="49"/>
      <c r="Y1" s="49" t="s">
        <v>102</v>
      </c>
      <c r="Z1" s="49"/>
      <c r="AA1" s="49" t="s">
        <v>277</v>
      </c>
      <c r="AB1" s="49"/>
      <c r="AD1" s="49" t="s">
        <v>108</v>
      </c>
      <c r="AE1" s="49"/>
      <c r="AF1" s="2" t="s">
        <v>378</v>
      </c>
      <c r="AH1" s="2" t="s">
        <v>380</v>
      </c>
      <c r="AI1" s="2" t="s">
        <v>381</v>
      </c>
    </row>
    <row r="2" spans="1:35">
      <c r="A2" t="s">
        <v>98</v>
      </c>
      <c r="B2" t="s">
        <v>105</v>
      </c>
      <c r="C2" t="s">
        <v>110</v>
      </c>
      <c r="D2" t="s">
        <v>99</v>
      </c>
      <c r="E2" t="s">
        <v>100</v>
      </c>
      <c r="F2" t="s">
        <v>99</v>
      </c>
      <c r="G2" t="s">
        <v>100</v>
      </c>
      <c r="H2" t="s">
        <v>96</v>
      </c>
      <c r="I2" t="s">
        <v>94</v>
      </c>
      <c r="K2" t="s">
        <v>96</v>
      </c>
      <c r="L2" t="s">
        <v>94</v>
      </c>
      <c r="M2" t="s">
        <v>96</v>
      </c>
      <c r="N2" t="s">
        <v>94</v>
      </c>
      <c r="O2" t="s">
        <v>91</v>
      </c>
      <c r="P2" t="s">
        <v>109</v>
      </c>
      <c r="Q2" t="s">
        <v>96</v>
      </c>
      <c r="R2" t="s">
        <v>94</v>
      </c>
      <c r="S2" t="s">
        <v>96</v>
      </c>
      <c r="T2" t="s">
        <v>94</v>
      </c>
      <c r="U2" t="s">
        <v>96</v>
      </c>
      <c r="V2" t="s">
        <v>94</v>
      </c>
      <c r="W2" t="s">
        <v>96</v>
      </c>
      <c r="X2" t="s">
        <v>94</v>
      </c>
      <c r="Y2" t="s">
        <v>99</v>
      </c>
      <c r="Z2" t="s">
        <v>100</v>
      </c>
      <c r="AA2" t="s">
        <v>99</v>
      </c>
      <c r="AB2" t="s">
        <v>100</v>
      </c>
      <c r="AC2" t="s">
        <v>103</v>
      </c>
      <c r="AD2" t="s">
        <v>96</v>
      </c>
      <c r="AE2" t="s">
        <v>94</v>
      </c>
      <c r="AF2" t="s">
        <v>379</v>
      </c>
    </row>
    <row r="3" spans="1:35" ht="16">
      <c r="A3">
        <v>72</v>
      </c>
      <c r="B3">
        <f>0.014</f>
        <v>1.4E-2</v>
      </c>
      <c r="C3">
        <v>126.11004</v>
      </c>
      <c r="D3">
        <v>0.6</v>
      </c>
      <c r="E3">
        <v>1.4</v>
      </c>
      <c r="F3">
        <v>150.12989999999999</v>
      </c>
      <c r="G3">
        <v>180.15588</v>
      </c>
      <c r="H3">
        <f>((62-2.6-0.2)/3)*$B$3</f>
        <v>0.27626666666666666</v>
      </c>
      <c r="I3">
        <f>((62+2.6-0.2)/3)*$B$3</f>
        <v>0.30053333333333332</v>
      </c>
      <c r="J3" s="2">
        <v>1</v>
      </c>
      <c r="K3">
        <f>((62-2.6-0.2)/3)*$B$3*$J$3</f>
        <v>0.27626666666666666</v>
      </c>
      <c r="L3">
        <f>((62+2.6-0.2)/3)*$B$3*$J$3</f>
        <v>0.30053333333333332</v>
      </c>
      <c r="M3" s="6">
        <f>1/$A$3</f>
        <v>1.3888888888888888E-2</v>
      </c>
      <c r="N3" s="6">
        <f>1/$A$3</f>
        <v>1.3888888888888888E-2</v>
      </c>
      <c r="O3">
        <f>O18*B3</f>
        <v>0.26530496453900709</v>
      </c>
      <c r="P3" s="5" t="s">
        <v>92</v>
      </c>
      <c r="Q3" s="5">
        <f>(_xlfn.NUMBERVALUE(_xlfn.TEXTBEFORE(P3,"±"))-_xlfn.NUMBERVALUE(_xlfn.TEXTAFTER(P3,"±")))</f>
        <v>2.17</v>
      </c>
      <c r="R3" s="5">
        <f>(_xlfn.NUMBERVALUE(_xlfn.TEXTBEFORE(P3,"±"))+_xlfn.NUMBERVALUE(_xlfn.TEXTAFTER(P3,"±")))</f>
        <v>2.29</v>
      </c>
      <c r="S3">
        <f>(Q3)/(O3/$B$3)</f>
        <v>0.11450973053892215</v>
      </c>
      <c r="T3">
        <f>(R3)/(O3/$B$3)</f>
        <v>0.12084206586826347</v>
      </c>
      <c r="U3">
        <f>S3*SUM($D$3:$E$3)/$E$3</f>
        <v>0.16358532934131736</v>
      </c>
      <c r="V3">
        <f>T3*SUM($D$3:$E$3)/$E$3</f>
        <v>0.17263152266894782</v>
      </c>
      <c r="W3">
        <f>S3*SUM($D$3:$E$3)/$D$3</f>
        <v>0.38169910179640715</v>
      </c>
      <c r="X3">
        <f>T3*SUM($D$3:$E$3)/$D$3</f>
        <v>0.4028068862275449</v>
      </c>
      <c r="Y3">
        <f>$O$3*(D3/2)/($K$3*$A$3*F3/1000)</f>
        <v>2.6652530690416863E-2</v>
      </c>
      <c r="Z3">
        <f>$O$3*(E3/2)*(1000/G3)/($K$3*$A$3)</f>
        <v>5.1824365231366125E-2</v>
      </c>
      <c r="AA3">
        <f>AB3*Y3/Z3</f>
        <v>0.1644154331606712</v>
      </c>
      <c r="AB3">
        <v>0.31969667559019399</v>
      </c>
      <c r="AC3" t="str" cm="1">
        <f t="array" ref="AC3">_xlfn.TEXTJOIN(";",TRUE,"EX_"&amp;Y2:Z2&amp;"__D_e:(-"&amp;AA3:AB3&amp;",1000)","BIOMASS:("&amp;M3&amp;","&amp;N3&amp;")")</f>
        <v>EX_xyl__D_e:(-0.164415433160671,1000);EX_glc__D_e:(-0.319696675590194,1000);BIOMASS:(0.0138888888888889,0.0138888888888889)</v>
      </c>
      <c r="AD3">
        <f>Q3*(1/I3)*(1000/$C$3)*$B$3/$A$3</f>
        <v>1.1133019284161489E-2</v>
      </c>
      <c r="AE3">
        <f>R3*(1/H3)*(1000/$C$3)*$B$3/$A$3</f>
        <v>1.2780647900976147E-2</v>
      </c>
      <c r="AF3">
        <v>40.99</v>
      </c>
      <c r="AI3">
        <v>8.8999999999999996E-2</v>
      </c>
    </row>
    <row r="4" spans="1:35">
      <c r="O4" s="37" t="s">
        <v>372</v>
      </c>
      <c r="S4" t="s">
        <v>429</v>
      </c>
      <c r="Z4">
        <f>U3*G3/C3</f>
        <v>0.23369161537475405</v>
      </c>
      <c r="AD4">
        <f>Z3*(G3/1000)*1000*U3/C3</f>
        <v>1.211091962668919E-2</v>
      </c>
    </row>
    <row r="5" spans="1:35">
      <c r="A5" t="s">
        <v>427</v>
      </c>
      <c r="O5">
        <f>(Q3)/((1.67*2/(0.47*0.3)*2/2.5))</f>
        <v>0.11450973053892215</v>
      </c>
      <c r="S5" t="s">
        <v>96</v>
      </c>
      <c r="T5" t="s">
        <v>94</v>
      </c>
    </row>
    <row r="6" spans="1:35">
      <c r="B6" t="s">
        <v>386</v>
      </c>
      <c r="C6" t="s">
        <v>387</v>
      </c>
      <c r="D6" t="s">
        <v>388</v>
      </c>
      <c r="E6" t="s">
        <v>93</v>
      </c>
      <c r="G6" t="s">
        <v>428</v>
      </c>
      <c r="S6">
        <f>O16*(2.23-0.06)/P13</f>
        <v>8.5235068992449869E-2</v>
      </c>
      <c r="T6">
        <f>P16*(2.23+0.06)/O13</f>
        <v>0.10390158934467515</v>
      </c>
    </row>
    <row r="7" spans="1:35">
      <c r="B7" t="s">
        <v>389</v>
      </c>
      <c r="C7" t="s">
        <v>390</v>
      </c>
      <c r="D7">
        <v>0</v>
      </c>
      <c r="E7" t="s">
        <v>391</v>
      </c>
      <c r="G7">
        <v>16.2</v>
      </c>
    </row>
    <row r="8" spans="1:35" ht="16">
      <c r="B8" t="s">
        <v>392</v>
      </c>
      <c r="C8" s="2" t="s">
        <v>393</v>
      </c>
      <c r="D8" s="2" t="s">
        <v>394</v>
      </c>
      <c r="E8" s="2" t="s">
        <v>395</v>
      </c>
      <c r="F8" s="2"/>
      <c r="G8" s="2"/>
      <c r="H8" s="2"/>
      <c r="I8" s="2"/>
    </row>
    <row r="9" spans="1:35">
      <c r="B9" t="s">
        <v>396</v>
      </c>
      <c r="C9" t="s">
        <v>397</v>
      </c>
      <c r="D9">
        <v>0</v>
      </c>
      <c r="E9" t="s">
        <v>398</v>
      </c>
      <c r="O9" s="37" t="s">
        <v>373</v>
      </c>
    </row>
    <row r="10" spans="1:35">
      <c r="B10" t="s">
        <v>399</v>
      </c>
      <c r="C10" t="s">
        <v>400</v>
      </c>
      <c r="D10" t="s">
        <v>401</v>
      </c>
      <c r="E10" t="s">
        <v>402</v>
      </c>
      <c r="O10">
        <f>Q16/(2/2.5)</f>
        <v>0.17624999999999996</v>
      </c>
    </row>
    <row r="11" spans="1:35">
      <c r="B11" t="s">
        <v>403</v>
      </c>
      <c r="C11" t="s">
        <v>404</v>
      </c>
      <c r="D11" t="s">
        <v>405</v>
      </c>
      <c r="E11" t="s">
        <v>406</v>
      </c>
      <c r="O11" s="37" t="s">
        <v>383</v>
      </c>
    </row>
    <row r="12" spans="1:35">
      <c r="B12" t="s">
        <v>407</v>
      </c>
      <c r="C12" t="s">
        <v>408</v>
      </c>
      <c r="D12">
        <v>0</v>
      </c>
      <c r="E12" t="s">
        <v>92</v>
      </c>
      <c r="O12" t="s">
        <v>96</v>
      </c>
      <c r="P12" t="s">
        <v>94</v>
      </c>
      <c r="Q12" t="s">
        <v>384</v>
      </c>
    </row>
    <row r="13" spans="1:35">
      <c r="B13" t="s">
        <v>379</v>
      </c>
      <c r="C13" t="s">
        <v>409</v>
      </c>
      <c r="D13">
        <v>0</v>
      </c>
      <c r="E13" t="s">
        <v>410</v>
      </c>
      <c r="O13">
        <f>3.33-0.12</f>
        <v>3.21</v>
      </c>
      <c r="P13">
        <f>3.33+0.12</f>
        <v>3.45</v>
      </c>
      <c r="Q13">
        <f>2*1.67</f>
        <v>3.34</v>
      </c>
    </row>
    <row r="14" spans="1:35">
      <c r="B14" t="s">
        <v>411</v>
      </c>
      <c r="C14" t="s">
        <v>412</v>
      </c>
      <c r="D14" t="s">
        <v>413</v>
      </c>
      <c r="E14" t="s">
        <v>414</v>
      </c>
      <c r="O14" s="37" t="s">
        <v>385</v>
      </c>
    </row>
    <row r="15" spans="1:35" ht="32">
      <c r="B15" t="s">
        <v>415</v>
      </c>
      <c r="C15" t="s">
        <v>416</v>
      </c>
      <c r="D15" t="s">
        <v>417</v>
      </c>
      <c r="E15" t="s">
        <v>418</v>
      </c>
      <c r="O15" t="s">
        <v>96</v>
      </c>
      <c r="P15" t="s">
        <v>94</v>
      </c>
      <c r="Q15" s="2" t="s">
        <v>382</v>
      </c>
    </row>
    <row r="16" spans="1:35">
      <c r="B16" t="s">
        <v>419</v>
      </c>
      <c r="C16" t="s">
        <v>420</v>
      </c>
      <c r="D16" t="s">
        <v>421</v>
      </c>
      <c r="E16" t="s">
        <v>422</v>
      </c>
      <c r="O16">
        <f>Q16*O13/Q13</f>
        <v>0.13551197604790419</v>
      </c>
      <c r="P16">
        <f>Q16*P13/Q13</f>
        <v>0.14564371257485031</v>
      </c>
      <c r="Q16">
        <f>(0.47*0.3)</f>
        <v>0.14099999999999999</v>
      </c>
    </row>
    <row r="17" spans="1:15">
      <c r="B17" t="s">
        <v>423</v>
      </c>
      <c r="C17" t="s">
        <v>424</v>
      </c>
      <c r="D17" t="s">
        <v>425</v>
      </c>
      <c r="E17" t="s">
        <v>426</v>
      </c>
      <c r="O17" s="37" t="s">
        <v>374</v>
      </c>
    </row>
    <row r="18" spans="1:15">
      <c r="O18">
        <f>(1/O16)*O13*(2/(2+0.5))</f>
        <v>18.950354609929079</v>
      </c>
    </row>
    <row r="19" spans="1:15">
      <c r="O19" s="37" t="s">
        <v>375</v>
      </c>
    </row>
    <row r="20" spans="1:15">
      <c r="O20">
        <f>O18*1.4/2</f>
        <v>13.265248226950355</v>
      </c>
    </row>
    <row r="21" spans="1:15">
      <c r="O21" s="37" t="s">
        <v>376</v>
      </c>
    </row>
    <row r="22" spans="1:15">
      <c r="O22">
        <f>(1.67*2*B3/(0.47*0.3)*2/2.5)</f>
        <v>0.26530496453900709</v>
      </c>
    </row>
    <row r="23" spans="1:15" ht="32">
      <c r="A23" s="4" t="s">
        <v>282</v>
      </c>
      <c r="J23" s="2" t="s">
        <v>276</v>
      </c>
      <c r="O23" s="37" t="s">
        <v>377</v>
      </c>
    </row>
    <row r="24" spans="1:15">
      <c r="J24" s="2">
        <v>0.92586684699999999</v>
      </c>
      <c r="O24">
        <f>O18*B3</f>
        <v>0.26530496453900709</v>
      </c>
    </row>
  </sheetData>
  <mergeCells count="12">
    <mergeCell ref="F1:G1"/>
    <mergeCell ref="D1:E1"/>
    <mergeCell ref="Y1:Z1"/>
    <mergeCell ref="M1:N1"/>
    <mergeCell ref="AD1:AE1"/>
    <mergeCell ref="W1:X1"/>
    <mergeCell ref="U1:V1"/>
    <mergeCell ref="H1:I1"/>
    <mergeCell ref="P1:R1"/>
    <mergeCell ref="K1:L1"/>
    <mergeCell ref="S1:T1"/>
    <mergeCell ref="AA1:AB1"/>
  </mergeCells>
  <hyperlinks>
    <hyperlink ref="A23" r:id="rId1" display="https://analyticalsciencejournals.onlinelibrary.wiley.com/doi/full/10.1002/bit.28159" xr:uid="{465281EC-8B34-5B44-9D35-3855906C7B9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fatty alcohol (FA) calculations</vt:lpstr>
      <vt:lpstr>FA (24-75 h)</vt:lpstr>
      <vt:lpstr>FA adjustments</vt:lpstr>
      <vt:lpstr>tag calculations</vt:lpstr>
      <vt:lpstr>tal_calculations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137</cp:revision>
  <dcterms:created xsi:type="dcterms:W3CDTF">2021-10-04T10:56:17Z</dcterms:created>
  <dcterms:modified xsi:type="dcterms:W3CDTF">2025-03-24T00:29:54Z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