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7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2EDE142A-74B0-0643-A0C9-57302C8598C3}" xr6:coauthVersionLast="47" xr6:coauthVersionMax="47" xr10:uidLastSave="{00000000-0000-0000-0000-000000000000}"/>
  <bookViews>
    <workbookView xWindow="0" yWindow="500" windowWidth="38400" windowHeight="19640" tabRatio="500" activeTab="3" xr2:uid="{00000000-000D-0000-FFFF-FFFF00000000}"/>
  </bookViews>
  <sheets>
    <sheet name="RBABioRxns" sheetId="1" r:id="rId1"/>
    <sheet name="batch-Rabinowitz" sheetId="5" r:id="rId2"/>
    <sheet name="MFA" sheetId="9" r:id="rId3"/>
    <sheet name="batch-Rabinowitz-MFA" sheetId="8" r:id="rId4"/>
    <sheet name="metaboliteInfo" sheetId="4" r:id="rId5"/>
    <sheet name="RBABiomass" sheetId="7" r:id="rId6"/>
    <sheet name="RBABiomass-HVD" sheetId="3" r:id="rId7"/>
  </sheets>
  <externalReferences>
    <externalReference r:id="rId8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 localSheetId="3">_xlfn.LAMBDA(_xlpm.array,_xlop.match_case,_xlfn.LET(_xlpm.col,_xlfn.TOCOL(_xlpm.array),IF('batch-Rabinowitz-MFA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 localSheetId="3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 localSheetId="3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localSheetId="3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 localSheetId="3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 localSheetId="3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-MFA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3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-MFA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 localSheetId="3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 localSheetId="3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 localSheetId="3">_xlfn.LAMBDA(_xlpm.cells,_xlop.delimiter,_xlfn.LET(_xlpm.str,'batch-Rabinowitz-MFA'!IfBlank_DIY(_xlpm.delimiter,"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8" i="8" l="1" a="1"/>
  <c r="P38" i="8" s="1"/>
  <c r="F6" i="8"/>
  <c r="B6" i="8"/>
  <c r="C6" i="8" s="1"/>
  <c r="F37" i="8"/>
  <c r="B37" i="8"/>
  <c r="C37" i="8" s="1"/>
  <c r="F22" i="8"/>
  <c r="B22" i="8"/>
  <c r="C22" i="8" s="1"/>
  <c r="F21" i="8"/>
  <c r="B21" i="8"/>
  <c r="C21" i="8" s="1"/>
  <c r="F9" i="8"/>
  <c r="B9" i="8"/>
  <c r="C9" i="8" s="1"/>
  <c r="D9" i="8" s="1"/>
  <c r="K9" i="8" s="1" a="1"/>
  <c r="K9" i="8" s="1"/>
  <c r="F20" i="8"/>
  <c r="B20" i="8"/>
  <c r="C20" i="8" s="1"/>
  <c r="F61" i="8"/>
  <c r="B61" i="8"/>
  <c r="C61" i="8" s="1"/>
  <c r="E61" i="8" s="1"/>
  <c r="F62" i="8"/>
  <c r="B62" i="8"/>
  <c r="C62" i="8" s="1"/>
  <c r="E62" i="8" s="1"/>
  <c r="F35" i="8"/>
  <c r="B35" i="8"/>
  <c r="C35" i="8" s="1"/>
  <c r="F34" i="8"/>
  <c r="B34" i="8"/>
  <c r="C34" i="8" s="1"/>
  <c r="D34" i="8" s="1"/>
  <c r="K34" i="8" s="1" a="1"/>
  <c r="K34" i="8" s="1"/>
  <c r="F33" i="8"/>
  <c r="B33" i="8"/>
  <c r="C33" i="8" s="1"/>
  <c r="E33" i="8" s="1"/>
  <c r="F32" i="8"/>
  <c r="B32" i="8"/>
  <c r="C32" i="8" s="1"/>
  <c r="F31" i="8"/>
  <c r="B31" i="8"/>
  <c r="C31" i="8" s="1"/>
  <c r="F30" i="8"/>
  <c r="B30" i="8"/>
  <c r="C30" i="8" s="1"/>
  <c r="D30" i="8" s="1"/>
  <c r="F29" i="8"/>
  <c r="B29" i="8"/>
  <c r="C29" i="8" s="1"/>
  <c r="D29" i="8" s="1"/>
  <c r="K29" i="8" s="1" a="1"/>
  <c r="K29" i="8" s="1"/>
  <c r="F19" i="8"/>
  <c r="B19" i="8"/>
  <c r="C19" i="8" s="1"/>
  <c r="D19" i="8" s="1"/>
  <c r="F18" i="8"/>
  <c r="B18" i="8"/>
  <c r="C18" i="8" s="1"/>
  <c r="F17" i="8"/>
  <c r="B17" i="8"/>
  <c r="C17" i="8" s="1"/>
  <c r="F16" i="8"/>
  <c r="B16" i="8"/>
  <c r="C16" i="8" s="1"/>
  <c r="F60" i="8"/>
  <c r="B60" i="8"/>
  <c r="C60" i="8" s="1"/>
  <c r="D60" i="8" s="1"/>
  <c r="F59" i="8"/>
  <c r="B59" i="8"/>
  <c r="C59" i="8" s="1"/>
  <c r="F58" i="8"/>
  <c r="B58" i="8"/>
  <c r="C58" i="8" s="1"/>
  <c r="G58" i="8" s="1" a="1"/>
  <c r="G58" i="8" s="1"/>
  <c r="H58" i="8" s="1"/>
  <c r="F8" i="8"/>
  <c r="B8" i="8"/>
  <c r="C8" i="8" s="1"/>
  <c r="D8" i="8" s="1"/>
  <c r="K8" i="8" s="1" a="1"/>
  <c r="K8" i="8" s="1"/>
  <c r="F7" i="8"/>
  <c r="B7" i="8"/>
  <c r="C7" i="8" s="1"/>
  <c r="F28" i="8"/>
  <c r="B28" i="8"/>
  <c r="C28" i="8" s="1"/>
  <c r="F27" i="8"/>
  <c r="B27" i="8"/>
  <c r="C27" i="8" s="1"/>
  <c r="E27" i="8" s="1"/>
  <c r="F26" i="8"/>
  <c r="B26" i="8"/>
  <c r="C26" i="8" s="1"/>
  <c r="F25" i="8"/>
  <c r="B25" i="8"/>
  <c r="C25" i="8" s="1"/>
  <c r="F24" i="8"/>
  <c r="B24" i="8"/>
  <c r="C24" i="8" s="1"/>
  <c r="F23" i="8"/>
  <c r="B23" i="8"/>
  <c r="C23" i="8" s="1"/>
  <c r="F36" i="8"/>
  <c r="B36" i="8"/>
  <c r="C36" i="8" s="1"/>
  <c r="E36" i="8" s="1"/>
  <c r="F15" i="8"/>
  <c r="B15" i="8"/>
  <c r="C15" i="8" s="1"/>
  <c r="F14" i="8"/>
  <c r="B14" i="8"/>
  <c r="C14" i="8" s="1"/>
  <c r="F13" i="8"/>
  <c r="B13" i="8"/>
  <c r="C13" i="8" s="1"/>
  <c r="E13" i="8" s="1"/>
  <c r="F12" i="8"/>
  <c r="B12" i="8"/>
  <c r="C12" i="8" s="1"/>
  <c r="F11" i="8"/>
  <c r="D11" i="8"/>
  <c r="B11" i="8"/>
  <c r="C11" i="8" s="1"/>
  <c r="F10" i="8"/>
  <c r="B10" i="8"/>
  <c r="C10" i="8" s="1"/>
  <c r="E10" i="8" s="1"/>
  <c r="F57" i="8"/>
  <c r="B57" i="8"/>
  <c r="C57" i="8" s="1"/>
  <c r="F56" i="8"/>
  <c r="B56" i="8"/>
  <c r="C56" i="8" s="1"/>
  <c r="F55" i="8"/>
  <c r="B55" i="8"/>
  <c r="C55" i="8" s="1"/>
  <c r="F54" i="8"/>
  <c r="B54" i="8"/>
  <c r="C54" i="8" s="1"/>
  <c r="F53" i="8"/>
  <c r="B53" i="8"/>
  <c r="C53" i="8" s="1"/>
  <c r="F52" i="8"/>
  <c r="B52" i="8"/>
  <c r="C52" i="8" s="1"/>
  <c r="F51" i="8"/>
  <c r="B51" i="8"/>
  <c r="C51" i="8" s="1"/>
  <c r="E51" i="8" s="1"/>
  <c r="F50" i="8"/>
  <c r="B50" i="8"/>
  <c r="C50" i="8" s="1"/>
  <c r="F49" i="8"/>
  <c r="B49" i="8"/>
  <c r="C49" i="8" s="1"/>
  <c r="E49" i="8" s="1"/>
  <c r="F48" i="8"/>
  <c r="B48" i="8"/>
  <c r="C48" i="8" s="1"/>
  <c r="D48" i="8" s="1"/>
  <c r="F47" i="8"/>
  <c r="B47" i="8"/>
  <c r="C47" i="8" s="1"/>
  <c r="G47" i="8" s="1" a="1"/>
  <c r="G47" i="8" s="1"/>
  <c r="H47" i="8" s="1"/>
  <c r="F46" i="8"/>
  <c r="G46" i="8" s="1" a="1"/>
  <c r="G46" i="8" s="1"/>
  <c r="H46" i="8" s="1"/>
  <c r="B46" i="8"/>
  <c r="C46" i="8" s="1"/>
  <c r="E46" i="8" s="1"/>
  <c r="F45" i="8"/>
  <c r="B45" i="8"/>
  <c r="C45" i="8" s="1"/>
  <c r="F44" i="8"/>
  <c r="B44" i="8"/>
  <c r="C44" i="8" s="1"/>
  <c r="F43" i="8"/>
  <c r="B43" i="8"/>
  <c r="C43" i="8" s="1"/>
  <c r="F42" i="8"/>
  <c r="B42" i="8"/>
  <c r="C42" i="8" s="1"/>
  <c r="F41" i="8"/>
  <c r="B41" i="8"/>
  <c r="C41" i="8" s="1"/>
  <c r="F40" i="8"/>
  <c r="B40" i="8"/>
  <c r="C40" i="8" s="1"/>
  <c r="D40" i="8" s="1"/>
  <c r="K40" i="8" s="1" a="1"/>
  <c r="K40" i="8" s="1"/>
  <c r="Y7" i="8"/>
  <c r="F39" i="8"/>
  <c r="B39" i="8"/>
  <c r="C39" i="8" s="1"/>
  <c r="F38" i="8"/>
  <c r="G38" i="8" s="1" a="1"/>
  <c r="G38" i="8" s="1"/>
  <c r="H38" i="8" s="1"/>
  <c r="B38" i="8"/>
  <c r="C38" i="8" s="1"/>
  <c r="E38" i="8" s="1"/>
  <c r="D4" i="8"/>
  <c r="S2" i="8"/>
  <c r="G50" i="8" l="1" a="1"/>
  <c r="G50" i="8" s="1"/>
  <c r="H50" i="8" s="1"/>
  <c r="G8" i="8" a="1"/>
  <c r="G8" i="8" s="1"/>
  <c r="H8" i="8" s="1"/>
  <c r="D46" i="8"/>
  <c r="K46" i="8" s="1" a="1"/>
  <c r="K46" i="8" s="1"/>
  <c r="D51" i="8"/>
  <c r="L51" i="8" s="1" a="1"/>
  <c r="L51" i="8" s="1"/>
  <c r="G9" i="8" a="1"/>
  <c r="G9" i="8" s="1"/>
  <c r="H9" i="8" s="1"/>
  <c r="G53" i="8" a="1"/>
  <c r="G53" i="8" s="1"/>
  <c r="H53" i="8" s="1"/>
  <c r="D62" i="8"/>
  <c r="G44" i="8" a="1"/>
  <c r="G44" i="8" s="1"/>
  <c r="H44" i="8" s="1"/>
  <c r="G62" i="8" a="1"/>
  <c r="G62" i="8" s="1"/>
  <c r="H62" i="8" s="1"/>
  <c r="G40" i="8" a="1"/>
  <c r="G40" i="8" s="1"/>
  <c r="H40" i="8" s="1"/>
  <c r="E40" i="8"/>
  <c r="G33" i="8" a="1"/>
  <c r="G33" i="8" s="1"/>
  <c r="H33" i="8" s="1"/>
  <c r="G24" i="8" a="1"/>
  <c r="G24" i="8" s="1"/>
  <c r="H24" i="8" s="1"/>
  <c r="G60" i="8" a="1"/>
  <c r="G60" i="8" s="1"/>
  <c r="H60" i="8" s="1"/>
  <c r="E60" i="8"/>
  <c r="D32" i="8"/>
  <c r="E32" i="8"/>
  <c r="G32" i="8" a="1"/>
  <c r="G32" i="8" s="1"/>
  <c r="H32" i="8" s="1"/>
  <c r="E37" i="8"/>
  <c r="D37" i="8"/>
  <c r="D12" i="8"/>
  <c r="K12" i="8" s="1" a="1"/>
  <c r="K12" i="8" s="1"/>
  <c r="E12" i="8"/>
  <c r="G12" i="8" a="1"/>
  <c r="G12" i="8" s="1"/>
  <c r="H12" i="8" s="1"/>
  <c r="D7" i="8"/>
  <c r="G7" i="8" a="1"/>
  <c r="G7" i="8" s="1"/>
  <c r="H7" i="8" s="1"/>
  <c r="E55" i="8"/>
  <c r="G55" i="8" a="1"/>
  <c r="G55" i="8" s="1"/>
  <c r="H55" i="8" s="1"/>
  <c r="D55" i="8"/>
  <c r="G56" i="8" a="1"/>
  <c r="G56" i="8" s="1"/>
  <c r="H56" i="8" s="1"/>
  <c r="E56" i="8"/>
  <c r="D56" i="8"/>
  <c r="D43" i="8"/>
  <c r="K43" i="8" s="1" a="1"/>
  <c r="K43" i="8" s="1"/>
  <c r="G43" i="8" a="1"/>
  <c r="G43" i="8" s="1"/>
  <c r="H43" i="8" s="1"/>
  <c r="D27" i="8"/>
  <c r="L27" i="8" s="1" a="1"/>
  <c r="L27" i="8" s="1"/>
  <c r="D38" i="8"/>
  <c r="D33" i="8"/>
  <c r="G30" i="8" a="1"/>
  <c r="G30" i="8" s="1"/>
  <c r="H30" i="8" s="1"/>
  <c r="D61" i="8"/>
  <c r="D45" i="8"/>
  <c r="G45" i="8" a="1"/>
  <c r="G45" i="8" s="1"/>
  <c r="H45" i="8" s="1"/>
  <c r="E45" i="8"/>
  <c r="E17" i="8"/>
  <c r="G17" i="8" a="1"/>
  <c r="G17" i="8" s="1"/>
  <c r="H17" i="8" s="1"/>
  <c r="D17" i="8"/>
  <c r="G14" i="8" a="1"/>
  <c r="G14" i="8" s="1"/>
  <c r="H14" i="8" s="1"/>
  <c r="D14" i="8"/>
  <c r="E14" i="8"/>
  <c r="E42" i="8"/>
  <c r="G42" i="8" a="1"/>
  <c r="G42" i="8" s="1"/>
  <c r="H42" i="8" s="1"/>
  <c r="D42" i="8"/>
  <c r="L43" i="8" a="1"/>
  <c r="L43" i="8" s="1"/>
  <c r="J2" i="8"/>
  <c r="G61" i="8" s="1" a="1"/>
  <c r="G61" i="8" s="1"/>
  <c r="H61" i="8" s="1"/>
  <c r="G39" i="8" a="1"/>
  <c r="G39" i="8" s="1"/>
  <c r="H39" i="8" s="1"/>
  <c r="E39" i="8"/>
  <c r="D39" i="8"/>
  <c r="D57" i="8"/>
  <c r="E57" i="8"/>
  <c r="G57" i="8" a="1"/>
  <c r="G57" i="8" s="1"/>
  <c r="H57" i="8" s="1"/>
  <c r="L40" i="8" a="1"/>
  <c r="L40" i="8" s="1"/>
  <c r="E43" i="8"/>
  <c r="E48" i="8"/>
  <c r="G48" i="8" a="1"/>
  <c r="G48" i="8" s="1"/>
  <c r="H48" i="8" s="1"/>
  <c r="E16" i="8"/>
  <c r="D16" i="8"/>
  <c r="G16" i="8" a="1"/>
  <c r="G16" i="8" s="1"/>
  <c r="H16" i="8" s="1"/>
  <c r="G19" i="8" a="1"/>
  <c r="G19" i="8" s="1"/>
  <c r="H19" i="8" s="1"/>
  <c r="E19" i="8"/>
  <c r="E47" i="8"/>
  <c r="D47" i="8"/>
  <c r="L48" i="8" a="1"/>
  <c r="L48" i="8" s="1"/>
  <c r="K48" i="8" a="1"/>
  <c r="K48" i="8" s="1"/>
  <c r="G11" i="8" a="1"/>
  <c r="G11" i="8" s="1"/>
  <c r="H11" i="8" s="1"/>
  <c r="E11" i="8"/>
  <c r="L11" i="8" s="1" a="1"/>
  <c r="L11" i="8" s="1"/>
  <c r="G59" i="8" a="1"/>
  <c r="G59" i="8" s="1"/>
  <c r="H59" i="8" s="1"/>
  <c r="E59" i="8"/>
  <c r="D59" i="8"/>
  <c r="K19" i="8" a="1"/>
  <c r="K19" i="8" s="1"/>
  <c r="L19" i="8" a="1"/>
  <c r="L19" i="8" s="1"/>
  <c r="K30" i="8" a="1"/>
  <c r="K30" i="8" s="1"/>
  <c r="L56" i="8" a="1"/>
  <c r="L56" i="8" s="1"/>
  <c r="K56" i="8" a="1"/>
  <c r="K56" i="8" s="1"/>
  <c r="K11" i="8" a="1"/>
  <c r="K11" i="8" s="1"/>
  <c r="D44" i="8"/>
  <c r="E52" i="8"/>
  <c r="G52" i="8" a="1"/>
  <c r="G52" i="8" s="1"/>
  <c r="H52" i="8" s="1"/>
  <c r="E15" i="8"/>
  <c r="G15" i="8" a="1"/>
  <c r="G15" i="8" s="1"/>
  <c r="H15" i="8" s="1"/>
  <c r="G41" i="8" a="1"/>
  <c r="G41" i="8" s="1"/>
  <c r="H41" i="8" s="1"/>
  <c r="D41" i="8"/>
  <c r="E44" i="8"/>
  <c r="D52" i="8"/>
  <c r="D15" i="8"/>
  <c r="G25" i="8" a="1"/>
  <c r="G25" i="8" s="1"/>
  <c r="H25" i="8" s="1"/>
  <c r="E25" i="8"/>
  <c r="E41" i="8"/>
  <c r="G51" i="8" a="1"/>
  <c r="G51" i="8" s="1"/>
  <c r="H51" i="8" s="1"/>
  <c r="D13" i="8"/>
  <c r="G13" i="8" a="1"/>
  <c r="G13" i="8" s="1"/>
  <c r="H13" i="8" s="1"/>
  <c r="D25" i="8"/>
  <c r="L60" i="8" a="1"/>
  <c r="L60" i="8" s="1"/>
  <c r="K60" i="8" a="1"/>
  <c r="K60" i="8" s="1"/>
  <c r="G54" i="8" a="1"/>
  <c r="G54" i="8" s="1"/>
  <c r="H54" i="8" s="1"/>
  <c r="D54" i="8"/>
  <c r="G10" i="8" a="1"/>
  <c r="G10" i="8" s="1"/>
  <c r="H10" i="8" s="1"/>
  <c r="L38" i="8" a="1"/>
  <c r="L38" i="8" s="1"/>
  <c r="K38" i="8" a="1"/>
  <c r="K38" i="8" s="1"/>
  <c r="E50" i="8"/>
  <c r="D50" i="8"/>
  <c r="E54" i="8"/>
  <c r="K27" i="8" a="1"/>
  <c r="K27" i="8" s="1"/>
  <c r="E18" i="8"/>
  <c r="G18" i="8" a="1"/>
  <c r="G18" i="8" s="1"/>
  <c r="H18" i="8" s="1"/>
  <c r="D36" i="8"/>
  <c r="D18" i="8"/>
  <c r="G35" i="8" a="1"/>
  <c r="G35" i="8" s="1"/>
  <c r="H35" i="8" s="1"/>
  <c r="E35" i="8"/>
  <c r="D35" i="8"/>
  <c r="L12" i="8" a="1"/>
  <c r="L12" i="8" s="1"/>
  <c r="G49" i="8" a="1"/>
  <c r="G49" i="8" s="1"/>
  <c r="H49" i="8" s="1"/>
  <c r="D49" i="8"/>
  <c r="K51" i="8" a="1"/>
  <c r="K51" i="8" s="1"/>
  <c r="E53" i="8"/>
  <c r="D53" i="8"/>
  <c r="G36" i="8" a="1"/>
  <c r="G36" i="8" s="1"/>
  <c r="H36" i="8" s="1"/>
  <c r="G26" i="8" a="1"/>
  <c r="G26" i="8" s="1"/>
  <c r="H26" i="8" s="1"/>
  <c r="E26" i="8"/>
  <c r="D26" i="8"/>
  <c r="G23" i="8" a="1"/>
  <c r="G23" i="8" s="1"/>
  <c r="H23" i="8" s="1"/>
  <c r="D23" i="8"/>
  <c r="D24" i="8"/>
  <c r="G28" i="8" a="1"/>
  <c r="G28" i="8" s="1"/>
  <c r="H28" i="8" s="1"/>
  <c r="D28" i="8"/>
  <c r="D58" i="8"/>
  <c r="L62" i="8" a="1"/>
  <c r="L62" i="8" s="1"/>
  <c r="D10" i="8"/>
  <c r="E23" i="8"/>
  <c r="E24" i="8"/>
  <c r="E28" i="8"/>
  <c r="E7" i="8"/>
  <c r="E8" i="8"/>
  <c r="L8" i="8" s="1" a="1"/>
  <c r="L8" i="8" s="1"/>
  <c r="E58" i="8"/>
  <c r="G6" i="8" a="1"/>
  <c r="G6" i="8" s="1"/>
  <c r="H6" i="8" s="1"/>
  <c r="D6" i="8"/>
  <c r="E6" i="8"/>
  <c r="G27" i="8" a="1"/>
  <c r="G27" i="8" s="1"/>
  <c r="H27" i="8" s="1"/>
  <c r="E34" i="8"/>
  <c r="L34" i="8" s="1" a="1"/>
  <c r="L34" i="8" s="1"/>
  <c r="L46" i="8" a="1"/>
  <c r="L46" i="8" s="1"/>
  <c r="G31" i="8" a="1"/>
  <c r="G31" i="8" s="1"/>
  <c r="H31" i="8" s="1"/>
  <c r="D31" i="8"/>
  <c r="L33" i="8" a="1"/>
  <c r="L33" i="8" s="1"/>
  <c r="G21" i="8" a="1"/>
  <c r="G21" i="8" s="1"/>
  <c r="H21" i="8" s="1"/>
  <c r="E21" i="8"/>
  <c r="E30" i="8"/>
  <c r="L30" i="8" s="1" a="1"/>
  <c r="L30" i="8" s="1"/>
  <c r="E31" i="8"/>
  <c r="G34" i="8" a="1"/>
  <c r="G34" i="8" s="1"/>
  <c r="H34" i="8" s="1"/>
  <c r="K62" i="8" a="1"/>
  <c r="K62" i="8" s="1"/>
  <c r="D21" i="8"/>
  <c r="E20" i="8"/>
  <c r="G20" i="8" a="1"/>
  <c r="G20" i="8" s="1"/>
  <c r="H20" i="8" s="1"/>
  <c r="D20" i="8"/>
  <c r="K33" i="8" a="1"/>
  <c r="K33" i="8" s="1"/>
  <c r="L61" i="8" a="1"/>
  <c r="L61" i="8" s="1"/>
  <c r="K61" i="8" a="1"/>
  <c r="K61" i="8" s="1"/>
  <c r="G29" i="8" a="1"/>
  <c r="G29" i="8" s="1"/>
  <c r="H29" i="8" s="1"/>
  <c r="E29" i="8"/>
  <c r="L29" i="8" s="1" a="1"/>
  <c r="L29" i="8" s="1"/>
  <c r="E9" i="8"/>
  <c r="L9" i="8" s="1" a="1"/>
  <c r="L9" i="8" s="1"/>
  <c r="G22" i="8" a="1"/>
  <c r="G22" i="8" s="1"/>
  <c r="H22" i="8" s="1"/>
  <c r="E22" i="8"/>
  <c r="D22" i="8"/>
  <c r="G37" i="8" l="1" a="1"/>
  <c r="G37" i="8" s="1"/>
  <c r="H37" i="8" s="1"/>
  <c r="K37" i="8" a="1"/>
  <c r="K37" i="8" s="1"/>
  <c r="L37" i="8" a="1"/>
  <c r="L37" i="8" s="1"/>
  <c r="L7" i="8" a="1"/>
  <c r="L7" i="8" s="1"/>
  <c r="K7" i="8" a="1"/>
  <c r="K7" i="8" s="1"/>
  <c r="K32" i="8" a="1"/>
  <c r="K32" i="8" s="1"/>
  <c r="L32" i="8" a="1"/>
  <c r="L32" i="8" s="1"/>
  <c r="K55" i="8" a="1"/>
  <c r="K55" i="8" s="1"/>
  <c r="L55" i="8" a="1"/>
  <c r="L55" i="8" s="1"/>
  <c r="L31" i="8" a="1"/>
  <c r="L31" i="8" s="1"/>
  <c r="K31" i="8" a="1"/>
  <c r="K31" i="8" s="1"/>
  <c r="L26" i="8" a="1"/>
  <c r="L26" i="8" s="1"/>
  <c r="K26" i="8" a="1"/>
  <c r="K26" i="8" s="1"/>
  <c r="L13" i="8" a="1"/>
  <c r="L13" i="8" s="1"/>
  <c r="K13" i="8" a="1"/>
  <c r="K13" i="8" s="1"/>
  <c r="K36" i="8" a="1"/>
  <c r="K36" i="8" s="1"/>
  <c r="L36" i="8" a="1"/>
  <c r="L36" i="8" s="1"/>
  <c r="L54" i="8" a="1"/>
  <c r="L54" i="8" s="1"/>
  <c r="K54" i="8" a="1"/>
  <c r="K54" i="8" s="1"/>
  <c r="L16" i="8" a="1"/>
  <c r="L16" i="8" s="1"/>
  <c r="K16" i="8" a="1"/>
  <c r="K16" i="8" s="1"/>
  <c r="K57" i="8" a="1"/>
  <c r="K57" i="8" s="1"/>
  <c r="L57" i="8" a="1"/>
  <c r="L57" i="8" s="1"/>
  <c r="L17" i="8" a="1"/>
  <c r="L17" i="8" s="1"/>
  <c r="K17" i="8" a="1"/>
  <c r="K17" i="8" s="1"/>
  <c r="L22" i="8" a="1"/>
  <c r="L22" i="8" s="1"/>
  <c r="K22" i="8" a="1"/>
  <c r="K22" i="8" s="1"/>
  <c r="K58" i="8" a="1"/>
  <c r="K58" i="8" s="1"/>
  <c r="L58" i="8" a="1"/>
  <c r="L58" i="8" s="1"/>
  <c r="L50" i="8" a="1"/>
  <c r="L50" i="8" s="1"/>
  <c r="K50" i="8" a="1"/>
  <c r="K50" i="8" s="1"/>
  <c r="L44" i="8" a="1"/>
  <c r="L44" i="8" s="1"/>
  <c r="K44" i="8" a="1"/>
  <c r="K44" i="8" s="1"/>
  <c r="K28" i="8" a="1"/>
  <c r="K28" i="8" s="1"/>
  <c r="L28" i="8" a="1"/>
  <c r="L28" i="8" s="1"/>
  <c r="K42" i="8" a="1"/>
  <c r="K42" i="8" s="1"/>
  <c r="L42" i="8" a="1"/>
  <c r="L42" i="8" s="1"/>
  <c r="L53" i="8" a="1"/>
  <c r="L53" i="8" s="1"/>
  <c r="K53" i="8" a="1"/>
  <c r="K53" i="8" s="1"/>
  <c r="L15" i="8" a="1"/>
  <c r="L15" i="8" s="1"/>
  <c r="K15" i="8" a="1"/>
  <c r="K15" i="8" s="1"/>
  <c r="L47" i="8" a="1"/>
  <c r="L47" i="8" s="1"/>
  <c r="K47" i="8" a="1"/>
  <c r="K47" i="8" s="1"/>
  <c r="L6" i="8" a="1"/>
  <c r="L6" i="8" s="1"/>
  <c r="K6" i="8" a="1"/>
  <c r="K6" i="8" s="1"/>
  <c r="L24" i="8" a="1"/>
  <c r="L24" i="8" s="1"/>
  <c r="K24" i="8" a="1"/>
  <c r="K24" i="8" s="1"/>
  <c r="K35" i="8" a="1"/>
  <c r="K35" i="8" s="1"/>
  <c r="L35" i="8" a="1"/>
  <c r="L35" i="8" s="1"/>
  <c r="K52" i="8" a="1"/>
  <c r="K52" i="8" s="1"/>
  <c r="L52" i="8" a="1"/>
  <c r="L52" i="8" s="1"/>
  <c r="L10" i="8" a="1"/>
  <c r="L10" i="8" s="1"/>
  <c r="K10" i="8" a="1"/>
  <c r="K10" i="8" s="1"/>
  <c r="K59" i="8" a="1"/>
  <c r="K59" i="8" s="1"/>
  <c r="L59" i="8" a="1"/>
  <c r="L59" i="8" s="1"/>
  <c r="L39" i="8" a="1"/>
  <c r="L39" i="8" s="1"/>
  <c r="K39" i="8" a="1"/>
  <c r="K39" i="8" s="1"/>
  <c r="O6" i="8" a="1"/>
  <c r="L23" i="8" a="1"/>
  <c r="L23" i="8" s="1"/>
  <c r="K23" i="8" a="1"/>
  <c r="K23" i="8" s="1"/>
  <c r="L41" i="8" a="1"/>
  <c r="L41" i="8" s="1"/>
  <c r="K41" i="8" a="1"/>
  <c r="K41" i="8" s="1"/>
  <c r="L20" i="8" a="1"/>
  <c r="L20" i="8" s="1"/>
  <c r="K20" i="8" a="1"/>
  <c r="K20" i="8" s="1"/>
  <c r="K21" i="8" a="1"/>
  <c r="K21" i="8" s="1"/>
  <c r="L21" i="8" a="1"/>
  <c r="L21" i="8" s="1"/>
  <c r="L49" i="8" a="1"/>
  <c r="L49" i="8" s="1"/>
  <c r="K49" i="8" a="1"/>
  <c r="K49" i="8" s="1"/>
  <c r="L25" i="8" a="1"/>
  <c r="L25" i="8" s="1"/>
  <c r="K25" i="8" a="1"/>
  <c r="K25" i="8" s="1"/>
  <c r="L14" i="8" a="1"/>
  <c r="L14" i="8" s="1"/>
  <c r="K14" i="8" a="1"/>
  <c r="K14" i="8" s="1"/>
  <c r="K45" i="8" a="1"/>
  <c r="K45" i="8" s="1"/>
  <c r="L45" i="8" a="1"/>
  <c r="L45" i="8" s="1"/>
  <c r="L18" i="8" a="1"/>
  <c r="L18" i="8" s="1"/>
  <c r="K18" i="8" a="1"/>
  <c r="K18" i="8" s="1"/>
  <c r="G3" i="8" l="1" a="1"/>
  <c r="G3" i="8" s="1"/>
  <c r="P14" i="8"/>
  <c r="Q14" i="8" s="1"/>
  <c r="P10" i="8"/>
  <c r="Q10" i="8" s="1"/>
  <c r="P7" i="8"/>
  <c r="Q7" i="8" s="1"/>
  <c r="P8" i="8"/>
  <c r="Q8" i="8" s="1"/>
  <c r="P11" i="8"/>
  <c r="Q11" i="8" s="1"/>
  <c r="O6" i="8"/>
  <c r="P13" i="8"/>
  <c r="Q13" i="8" s="1"/>
  <c r="P9" i="8"/>
  <c r="Q9" i="8" s="1"/>
  <c r="P12" i="8"/>
  <c r="H3" i="8" a="1"/>
  <c r="H3" i="8" s="1"/>
  <c r="I40" i="8" l="1"/>
  <c r="J40" i="8" s="1" a="1"/>
  <c r="J40" i="8" s="1"/>
  <c r="I44" i="8"/>
  <c r="J44" i="8" s="1" a="1"/>
  <c r="J44" i="8" s="1"/>
  <c r="I12" i="8"/>
  <c r="J12" i="8" s="1" a="1"/>
  <c r="J12" i="8" s="1"/>
  <c r="I8" i="8"/>
  <c r="J8" i="8" s="1" a="1"/>
  <c r="J8" i="8" s="1"/>
  <c r="I7" i="8"/>
  <c r="J7" i="8" s="1" a="1"/>
  <c r="J7" i="8" s="1"/>
  <c r="I30" i="8"/>
  <c r="J30" i="8" s="1" a="1"/>
  <c r="J30" i="8" s="1"/>
  <c r="I37" i="8"/>
  <c r="J37" i="8" s="1" a="1"/>
  <c r="J37" i="8" s="1"/>
  <c r="I62" i="8"/>
  <c r="J62" i="8" s="1" a="1"/>
  <c r="J62" i="8" s="1"/>
  <c r="I61" i="8"/>
  <c r="J61" i="8" s="1" a="1"/>
  <c r="J61" i="8" s="1"/>
  <c r="I46" i="8"/>
  <c r="J46" i="8" s="1" a="1"/>
  <c r="J46" i="8" s="1"/>
  <c r="I50" i="8"/>
  <c r="J50" i="8" s="1" a="1"/>
  <c r="J50" i="8" s="1"/>
  <c r="I43" i="8"/>
  <c r="J43" i="8" s="1" a="1"/>
  <c r="J43" i="8" s="1"/>
  <c r="I24" i="8"/>
  <c r="J24" i="8" s="1" a="1"/>
  <c r="J24" i="8" s="1"/>
  <c r="I47" i="8"/>
  <c r="J47" i="8" s="1" a="1"/>
  <c r="J47" i="8" s="1"/>
  <c r="I53" i="8"/>
  <c r="J53" i="8" s="1" a="1"/>
  <c r="J53" i="8" s="1"/>
  <c r="I56" i="8"/>
  <c r="J56" i="8" s="1" a="1"/>
  <c r="J56" i="8" s="1"/>
  <c r="I32" i="8"/>
  <c r="J32" i="8" s="1" a="1"/>
  <c r="J32" i="8" s="1"/>
  <c r="I55" i="8"/>
  <c r="J55" i="8" s="1" a="1"/>
  <c r="J55" i="8" s="1"/>
  <c r="I38" i="8"/>
  <c r="I33" i="8"/>
  <c r="J33" i="8" s="1" a="1"/>
  <c r="J33" i="8" s="1"/>
  <c r="I58" i="8"/>
  <c r="J58" i="8" s="1" a="1"/>
  <c r="J58" i="8" s="1"/>
  <c r="I9" i="8"/>
  <c r="J9" i="8" s="1" a="1"/>
  <c r="J9" i="8" s="1"/>
  <c r="I60" i="8"/>
  <c r="J60" i="8" s="1" a="1"/>
  <c r="J60" i="8" s="1"/>
  <c r="I34" i="8"/>
  <c r="J34" i="8" s="1" a="1"/>
  <c r="J34" i="8" s="1"/>
  <c r="I59" i="8"/>
  <c r="J59" i="8" s="1" a="1"/>
  <c r="J59" i="8" s="1"/>
  <c r="I23" i="8"/>
  <c r="J23" i="8" s="1" a="1"/>
  <c r="J23" i="8" s="1"/>
  <c r="I39" i="8"/>
  <c r="J39" i="8" s="1" a="1"/>
  <c r="J39" i="8" s="1"/>
  <c r="I29" i="8"/>
  <c r="J29" i="8" s="1" a="1"/>
  <c r="J29" i="8" s="1"/>
  <c r="I17" i="8"/>
  <c r="J17" i="8" s="1" a="1"/>
  <c r="J17" i="8" s="1"/>
  <c r="I28" i="8"/>
  <c r="J28" i="8" s="1" a="1"/>
  <c r="J28" i="8" s="1"/>
  <c r="I6" i="8"/>
  <c r="J6" i="8" s="1" a="1"/>
  <c r="J6" i="8" s="1"/>
  <c r="I27" i="8"/>
  <c r="J27" i="8" s="1" a="1"/>
  <c r="J27" i="8" s="1"/>
  <c r="I49" i="8"/>
  <c r="J49" i="8" s="1" a="1"/>
  <c r="J49" i="8" s="1"/>
  <c r="I31" i="8"/>
  <c r="J31" i="8" s="1" a="1"/>
  <c r="J31" i="8" s="1"/>
  <c r="I51" i="8"/>
  <c r="J51" i="8" s="1" a="1"/>
  <c r="J51" i="8" s="1"/>
  <c r="I13" i="8"/>
  <c r="J13" i="8" s="1" a="1"/>
  <c r="J13" i="8" s="1"/>
  <c r="I18" i="8"/>
  <c r="J18" i="8" s="1" a="1"/>
  <c r="J18" i="8" s="1"/>
  <c r="I10" i="8"/>
  <c r="J10" i="8" s="1" a="1"/>
  <c r="J10" i="8" s="1"/>
  <c r="I36" i="8"/>
  <c r="J36" i="8" s="1" a="1"/>
  <c r="J36" i="8" s="1"/>
  <c r="I45" i="8"/>
  <c r="J45" i="8" s="1" a="1"/>
  <c r="J45" i="8" s="1"/>
  <c r="I19" i="8"/>
  <c r="J19" i="8" s="1" a="1"/>
  <c r="J19" i="8" s="1"/>
  <c r="I26" i="8"/>
  <c r="J26" i="8" s="1" a="1"/>
  <c r="J26" i="8" s="1"/>
  <c r="I15" i="8"/>
  <c r="J15" i="8" s="1" a="1"/>
  <c r="J15" i="8" s="1"/>
  <c r="I14" i="8"/>
  <c r="J14" i="8" s="1" a="1"/>
  <c r="J14" i="8" s="1"/>
  <c r="I52" i="8"/>
  <c r="J52" i="8" s="1" a="1"/>
  <c r="J52" i="8" s="1"/>
  <c r="I25" i="8"/>
  <c r="J25" i="8" s="1" a="1"/>
  <c r="J25" i="8" s="1"/>
  <c r="I48" i="8"/>
  <c r="J48" i="8" s="1" a="1"/>
  <c r="J48" i="8" s="1"/>
  <c r="I35" i="8"/>
  <c r="J35" i="8" s="1" a="1"/>
  <c r="J35" i="8" s="1"/>
  <c r="I11" i="8"/>
  <c r="J11" i="8" s="1" a="1"/>
  <c r="J11" i="8" s="1"/>
  <c r="I42" i="8"/>
  <c r="J42" i="8" s="1" a="1"/>
  <c r="J42" i="8" s="1"/>
  <c r="I16" i="8"/>
  <c r="J16" i="8" s="1" a="1"/>
  <c r="J16" i="8" s="1"/>
  <c r="I54" i="8"/>
  <c r="J54" i="8" s="1" a="1"/>
  <c r="J54" i="8" s="1"/>
  <c r="I20" i="8"/>
  <c r="J20" i="8" s="1" a="1"/>
  <c r="J20" i="8" s="1"/>
  <c r="I22" i="8"/>
  <c r="J22" i="8" s="1" a="1"/>
  <c r="J22" i="8" s="1"/>
  <c r="I57" i="8"/>
  <c r="J57" i="8" s="1" a="1"/>
  <c r="J57" i="8" s="1"/>
  <c r="I41" i="8"/>
  <c r="J41" i="8" s="1" a="1"/>
  <c r="J41" i="8" s="1"/>
  <c r="I21" i="8"/>
  <c r="J21" i="8" s="1" a="1"/>
  <c r="J21" i="8" s="1"/>
  <c r="P6" i="8"/>
  <c r="R8" i="8" l="1" a="1"/>
  <c r="R8" i="8" s="1"/>
  <c r="R9" i="8" a="1"/>
  <c r="R9" i="8" s="1"/>
  <c r="R6" i="8" a="1"/>
  <c r="R6" i="8" s="1"/>
  <c r="R14" i="8" a="1"/>
  <c r="R14" i="8" s="1"/>
  <c r="T14" i="8" s="1" a="1"/>
  <c r="T14" i="8" s="1"/>
  <c r="V14" i="8" s="1" a="1"/>
  <c r="V14" i="8" s="1"/>
  <c r="R13" i="8" a="1"/>
  <c r="R13" i="8" s="1"/>
  <c r="I3" i="8" a="1"/>
  <c r="I3" i="8" s="1"/>
  <c r="R12" i="8" a="1"/>
  <c r="R12" i="8" s="1"/>
  <c r="R11" i="8" a="1"/>
  <c r="R11" i="8" s="1"/>
  <c r="T11" i="8" s="1" a="1"/>
  <c r="T11" i="8" s="1"/>
  <c r="U11" i="8" s="1" a="1"/>
  <c r="U11" i="8" s="1"/>
  <c r="R10" i="8" a="1"/>
  <c r="R10" i="8" s="1"/>
  <c r="T10" i="8" s="1" a="1"/>
  <c r="T10" i="8" s="1"/>
  <c r="U10" i="8" s="1" a="1"/>
  <c r="U10" i="8" s="1"/>
  <c r="R7" i="8" a="1"/>
  <c r="R7" i="8" s="1"/>
  <c r="J38" i="8" a="1"/>
  <c r="J38" i="8" s="1"/>
  <c r="K2" i="8" s="1" a="1"/>
  <c r="K2" i="8" s="1"/>
  <c r="Q6" i="8"/>
  <c r="V11" i="8" l="1" a="1"/>
  <c r="V11" i="8" s="1"/>
  <c r="V10" i="8" a="1"/>
  <c r="V10" i="8" s="1"/>
  <c r="T9" i="8" a="1"/>
  <c r="T9" i="8" s="1"/>
  <c r="T7" i="8" a="1"/>
  <c r="T7" i="8" s="1"/>
  <c r="T13" i="8" a="1"/>
  <c r="T13" i="8" s="1"/>
  <c r="T8" i="8" a="1"/>
  <c r="T8" i="8" s="1"/>
  <c r="T6" i="8" a="1"/>
  <c r="T6" i="8" s="1"/>
  <c r="T12" i="8" a="1"/>
  <c r="T12" i="8" s="1"/>
  <c r="V12" i="8" s="1" a="1"/>
  <c r="V12" i="8" s="1"/>
  <c r="U14" i="8" a="1"/>
  <c r="U14" i="8" s="1"/>
  <c r="M37" i="8" l="1" a="1"/>
  <c r="M37" i="8" s="1"/>
  <c r="M27" i="8" a="1"/>
  <c r="M27" i="8" s="1"/>
  <c r="M62" i="8" a="1"/>
  <c r="M62" i="8" s="1"/>
  <c r="M32" i="8" a="1"/>
  <c r="M32" i="8" s="1"/>
  <c r="M31" i="8" a="1"/>
  <c r="M31" i="8" s="1"/>
  <c r="M33" i="8" a="1"/>
  <c r="M33" i="8" s="1"/>
  <c r="M60" i="8" a="1"/>
  <c r="M60" i="8" s="1"/>
  <c r="M47" i="8" a="1"/>
  <c r="M47" i="8" s="1"/>
  <c r="T2" i="8"/>
  <c r="M40" i="8" a="1"/>
  <c r="M40" i="8" s="1"/>
  <c r="M49" i="8" a="1"/>
  <c r="M49" i="8" s="1"/>
  <c r="M50" i="8" a="1"/>
  <c r="M50" i="8" s="1"/>
  <c r="M38" i="8" a="1"/>
  <c r="M38" i="8" s="1"/>
  <c r="M36" i="8" a="1"/>
  <c r="M36" i="8" s="1"/>
  <c r="M28" i="8" a="1"/>
  <c r="M28" i="8" s="1"/>
  <c r="M14" i="8" a="1"/>
  <c r="M14" i="8" s="1"/>
  <c r="M13" i="8" a="1"/>
  <c r="M13" i="8" s="1"/>
  <c r="M18" i="8" a="1"/>
  <c r="M18" i="8" s="1"/>
  <c r="M55" i="8" a="1"/>
  <c r="M55" i="8" s="1"/>
  <c r="M61" i="8" a="1"/>
  <c r="M61" i="8" s="1"/>
  <c r="M9" i="8" a="1"/>
  <c r="M9" i="8" s="1"/>
  <c r="M19" i="8" a="1"/>
  <c r="M19" i="8" s="1"/>
  <c r="M23" i="8" a="1"/>
  <c r="M23" i="8" s="1"/>
  <c r="M12" i="8" a="1"/>
  <c r="M12" i="8" s="1"/>
  <c r="M35" i="8" a="1"/>
  <c r="M35" i="8" s="1"/>
  <c r="M21" i="8" a="1"/>
  <c r="M21" i="8" s="1"/>
  <c r="M48" i="8" a="1"/>
  <c r="M48" i="8" s="1"/>
  <c r="M53" i="8" a="1"/>
  <c r="M53" i="8" s="1"/>
  <c r="M24" i="8" a="1"/>
  <c r="M24" i="8" s="1"/>
  <c r="M45" i="8" a="1"/>
  <c r="M45" i="8" s="1"/>
  <c r="M39" i="8" a="1"/>
  <c r="M39" i="8" s="1"/>
  <c r="M17" i="8" a="1"/>
  <c r="M17" i="8" s="1"/>
  <c r="M43" i="8" a="1"/>
  <c r="M43" i="8" s="1"/>
  <c r="M6" i="8" a="1"/>
  <c r="M6" i="8" s="1"/>
  <c r="M42" i="8" a="1"/>
  <c r="M42" i="8" s="1"/>
  <c r="M25" i="8" a="1"/>
  <c r="M25" i="8" s="1"/>
  <c r="M52" i="8" a="1"/>
  <c r="M52" i="8" s="1"/>
  <c r="M26" i="8" a="1"/>
  <c r="M26" i="8" s="1"/>
  <c r="M58" i="8" a="1"/>
  <c r="M58" i="8" s="1"/>
  <c r="M30" i="8" a="1"/>
  <c r="M30" i="8" s="1"/>
  <c r="M7" i="8" a="1"/>
  <c r="M7" i="8" s="1"/>
  <c r="M34" i="8" a="1"/>
  <c r="M34" i="8" s="1"/>
  <c r="M41" i="8" a="1"/>
  <c r="M41" i="8" s="1"/>
  <c r="M16" i="8" a="1"/>
  <c r="M16" i="8" s="1"/>
  <c r="M59" i="8" a="1"/>
  <c r="M59" i="8" s="1"/>
  <c r="M51" i="8" a="1"/>
  <c r="M51" i="8" s="1"/>
  <c r="M54" i="8" a="1"/>
  <c r="M54" i="8" s="1"/>
  <c r="M56" i="8" a="1"/>
  <c r="M56" i="8" s="1"/>
  <c r="M8" i="8" a="1"/>
  <c r="M8" i="8" s="1"/>
  <c r="M15" i="8" a="1"/>
  <c r="M15" i="8" s="1"/>
  <c r="M20" i="8" a="1"/>
  <c r="M20" i="8" s="1"/>
  <c r="M29" i="8" a="1"/>
  <c r="M29" i="8" s="1"/>
  <c r="M57" i="8" a="1"/>
  <c r="M57" i="8" s="1"/>
  <c r="M11" i="8" a="1"/>
  <c r="M11" i="8" s="1"/>
  <c r="M44" i="8" a="1"/>
  <c r="M44" i="8" s="1"/>
  <c r="M10" i="8" a="1"/>
  <c r="M10" i="8" s="1"/>
  <c r="M46" i="8" a="1"/>
  <c r="M46" i="8" s="1"/>
  <c r="M22" i="8" a="1"/>
  <c r="M22" i="8" s="1"/>
  <c r="V6" i="8" a="1"/>
  <c r="V6" i="8" s="1"/>
  <c r="V3" i="8" s="1" a="1"/>
  <c r="V3" i="8" s="1"/>
  <c r="U6" i="8" a="1"/>
  <c r="U6" i="8" s="1"/>
  <c r="Z15" i="8" a="1"/>
  <c r="Z15" i="8" s="1"/>
  <c r="Z16" i="8" a="1"/>
  <c r="Z16" i="8" s="1"/>
  <c r="V13" i="8" a="1"/>
  <c r="V13" i="8" s="1"/>
  <c r="Z17" i="8" a="1"/>
  <c r="Z17" i="8" s="1"/>
  <c r="V9" i="8" a="1"/>
  <c r="V9" i="8" s="1"/>
  <c r="U9" i="8" a="1"/>
  <c r="U9" i="8" s="1"/>
  <c r="V8" i="8" a="1"/>
  <c r="V8" i="8" s="1"/>
  <c r="U8" i="8" a="1"/>
  <c r="U8" i="8" s="1"/>
  <c r="V7" i="8" a="1"/>
  <c r="V7" i="8" s="1"/>
  <c r="U7" i="8" a="1"/>
  <c r="U7" i="8" s="1"/>
  <c r="Z7" i="8" a="1"/>
  <c r="Z7" i="8" s="1"/>
  <c r="Z6" i="8" s="1"/>
  <c r="AB12" i="8" l="1" a="1"/>
  <c r="AB12" i="8" s="1"/>
  <c r="M3" i="8" a="1"/>
  <c r="M3" i="8" s="1"/>
  <c r="B3" i="7" l="1" a="1"/>
  <c r="B3" i="7" s="1"/>
  <c r="G135" i="7"/>
  <c r="H135" i="7" s="1"/>
  <c r="B135" i="7"/>
  <c r="G134" i="7"/>
  <c r="H134" i="7" s="1"/>
  <c r="B134" i="7"/>
  <c r="G133" i="7"/>
  <c r="H133" i="7" s="1"/>
  <c r="B133" i="7"/>
  <c r="G132" i="7"/>
  <c r="H132" i="7" s="1"/>
  <c r="B132" i="7"/>
  <c r="G131" i="7"/>
  <c r="H131" i="7" s="1"/>
  <c r="B131" i="7"/>
  <c r="G130" i="7"/>
  <c r="H130" i="7" s="1"/>
  <c r="B130" i="7"/>
  <c r="G129" i="7"/>
  <c r="H129" i="7" s="1"/>
  <c r="B129" i="7"/>
  <c r="G128" i="7"/>
  <c r="H128" i="7" s="1"/>
  <c r="B128" i="7"/>
  <c r="G127" i="7"/>
  <c r="H127" i="7" s="1"/>
  <c r="B127" i="7"/>
  <c r="G126" i="7"/>
  <c r="H126" i="7" s="1"/>
  <c r="B126" i="7"/>
  <c r="G125" i="7"/>
  <c r="H125" i="7" s="1"/>
  <c r="B125" i="7"/>
  <c r="G124" i="7"/>
  <c r="H124" i="7" s="1"/>
  <c r="B124" i="7"/>
  <c r="G123" i="7"/>
  <c r="H123" i="7" s="1"/>
  <c r="B123" i="7"/>
  <c r="G122" i="7"/>
  <c r="H122" i="7" s="1"/>
  <c r="B122" i="7"/>
  <c r="G121" i="7"/>
  <c r="H121" i="7" s="1"/>
  <c r="B121" i="7"/>
  <c r="G120" i="7"/>
  <c r="H120" i="7" s="1"/>
  <c r="B120" i="7"/>
  <c r="G119" i="7"/>
  <c r="H119" i="7" s="1"/>
  <c r="B119" i="7"/>
  <c r="G118" i="7"/>
  <c r="H118" i="7" s="1"/>
  <c r="B118" i="7"/>
  <c r="G117" i="7"/>
  <c r="H117" i="7" s="1"/>
  <c r="B117" i="7"/>
  <c r="G116" i="7"/>
  <c r="H116" i="7" s="1"/>
  <c r="B116" i="7"/>
  <c r="B114" i="7" l="1"/>
  <c r="A65" i="1" l="1"/>
  <c r="B65" i="1"/>
  <c r="S2" i="5" l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D6" i="5"/>
  <c r="D60" i="4"/>
  <c r="D58" i="4"/>
  <c r="D57" i="4"/>
  <c r="D21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91" i="4"/>
  <c r="D90" i="4"/>
  <c r="D11" i="4"/>
  <c r="E10" i="5" s="1"/>
  <c r="D89" i="4"/>
  <c r="D88" i="4"/>
  <c r="D87" i="4"/>
  <c r="D86" i="4"/>
  <c r="D85" i="4"/>
  <c r="D84" i="4"/>
  <c r="D9" i="4"/>
  <c r="D83" i="4"/>
  <c r="D7" i="4"/>
  <c r="D75" i="4"/>
  <c r="D82" i="4"/>
  <c r="D56" i="4"/>
  <c r="D81" i="4"/>
  <c r="D80" i="4"/>
  <c r="D12" i="4"/>
  <c r="D53" i="4"/>
  <c r="E47" i="5" s="1"/>
  <c r="D52" i="4"/>
  <c r="D51" i="4"/>
  <c r="D50" i="4"/>
  <c r="D49" i="4"/>
  <c r="D48" i="4"/>
  <c r="E42" i="5" s="1"/>
  <c r="D47" i="4"/>
  <c r="E41" i="5" s="1"/>
  <c r="D46" i="4"/>
  <c r="E40" i="5" s="1"/>
  <c r="D45" i="4"/>
  <c r="E39" i="5" s="1"/>
  <c r="D44" i="4"/>
  <c r="D43" i="4"/>
  <c r="D42" i="4"/>
  <c r="D41" i="4"/>
  <c r="E35" i="5" s="1"/>
  <c r="D40" i="4"/>
  <c r="D39" i="4"/>
  <c r="D38" i="4"/>
  <c r="D37" i="4"/>
  <c r="D36" i="4"/>
  <c r="D35" i="4"/>
  <c r="E29" i="5" s="1"/>
  <c r="D34" i="4"/>
  <c r="E28" i="5" s="1"/>
  <c r="D117" i="4"/>
  <c r="E95" i="5" s="1"/>
  <c r="D116" i="4"/>
  <c r="D115" i="4"/>
  <c r="D114" i="4"/>
  <c r="D113" i="4"/>
  <c r="E91" i="5" s="1"/>
  <c r="D112" i="4"/>
  <c r="D111" i="4"/>
  <c r="D110" i="4"/>
  <c r="D109" i="4"/>
  <c r="D108" i="4"/>
  <c r="D107" i="4"/>
  <c r="D106" i="4"/>
  <c r="D105" i="4"/>
  <c r="E83" i="5" s="1"/>
  <c r="D104" i="4"/>
  <c r="D103" i="4"/>
  <c r="D102" i="4"/>
  <c r="D101" i="4"/>
  <c r="E79" i="5" s="1"/>
  <c r="D100" i="4"/>
  <c r="D99" i="4"/>
  <c r="D98" i="4"/>
  <c r="D97" i="4"/>
  <c r="D96" i="4"/>
  <c r="D95" i="4"/>
  <c r="E73" i="5" s="1"/>
  <c r="D94" i="4"/>
  <c r="D93" i="4"/>
  <c r="E71" i="5" s="1"/>
  <c r="D92" i="4"/>
  <c r="D79" i="4"/>
  <c r="D78" i="4"/>
  <c r="E67" i="5" s="1"/>
  <c r="D77" i="4"/>
  <c r="D76" i="4"/>
  <c r="D74" i="4"/>
  <c r="D73" i="4"/>
  <c r="D72" i="4"/>
  <c r="D71" i="4"/>
  <c r="D70" i="4"/>
  <c r="E61" i="5" s="1"/>
  <c r="D69" i="4"/>
  <c r="D68" i="4"/>
  <c r="D67" i="4"/>
  <c r="D66" i="4"/>
  <c r="D65" i="4"/>
  <c r="D64" i="4"/>
  <c r="D63" i="4"/>
  <c r="D62" i="4"/>
  <c r="D61" i="4"/>
  <c r="D59" i="4"/>
  <c r="D55" i="4"/>
  <c r="D54" i="4"/>
  <c r="D30" i="4"/>
  <c r="E24" i="5" s="1"/>
  <c r="D29" i="4"/>
  <c r="E23" i="5" s="1"/>
  <c r="D28" i="4"/>
  <c r="D27" i="4"/>
  <c r="D26" i="4"/>
  <c r="D25" i="4"/>
  <c r="E19" i="5" s="1"/>
  <c r="D24" i="4"/>
  <c r="D23" i="4"/>
  <c r="E18" i="5" s="1"/>
  <c r="D22" i="4"/>
  <c r="D20" i="4"/>
  <c r="D18" i="4"/>
  <c r="D17" i="4"/>
  <c r="E13" i="5" s="1"/>
  <c r="D16" i="4"/>
  <c r="E12" i="5" s="1"/>
  <c r="D15" i="4"/>
  <c r="E11" i="5" s="1"/>
  <c r="D14" i="4"/>
  <c r="D13" i="4"/>
  <c r="D10" i="4"/>
  <c r="D8" i="4"/>
  <c r="D5" i="4"/>
  <c r="D6" i="4"/>
  <c r="D4" i="4"/>
  <c r="D3" i="4"/>
  <c r="D118" i="4"/>
  <c r="E6" i="5" s="1"/>
  <c r="D32" i="4"/>
  <c r="D33" i="4"/>
  <c r="D31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L8" i="5" s="1" a="1"/>
  <c r="L8" i="5" s="1"/>
  <c r="E63" i="5"/>
  <c r="E69" i="5"/>
  <c r="G12" i="5" a="1"/>
  <c r="G12" i="5" s="1"/>
  <c r="H12" i="5" s="1"/>
  <c r="E48" i="5"/>
  <c r="L48" i="5" s="1" a="1"/>
  <c r="L48" i="5" s="1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L52" i="5" s="1" a="1"/>
  <c r="L52" i="5" s="1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L16" i="5" s="1" a="1"/>
  <c r="L16" i="5" s="1"/>
  <c r="E74" i="5"/>
  <c r="E54" i="5"/>
  <c r="E32" i="5"/>
  <c r="D12" i="5"/>
  <c r="E92" i="5"/>
  <c r="E36" i="5"/>
  <c r="E85" i="5"/>
  <c r="D49" i="5"/>
  <c r="E88" i="5"/>
  <c r="E21" i="5"/>
  <c r="E81" i="5"/>
  <c r="E93" i="5"/>
  <c r="L93" i="5" s="1" a="1"/>
  <c r="L93" i="5" s="1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L74" i="5" l="1" a="1"/>
  <c r="L74" i="5" s="1"/>
  <c r="K52" i="5" a="1"/>
  <c r="K52" i="5" s="1"/>
  <c r="K16" i="5" a="1"/>
  <c r="K16" i="5" s="1"/>
  <c r="B6" i="7"/>
  <c r="L49" i="5" a="1"/>
  <c r="L49" i="5" s="1"/>
  <c r="K49" i="5" a="1"/>
  <c r="K49" i="5" s="1"/>
  <c r="E50" i="5"/>
  <c r="L50" i="5" s="1" a="1"/>
  <c r="L50" i="5" s="1"/>
  <c r="E17" i="5"/>
  <c r="L17" i="5" s="1" a="1"/>
  <c r="L17" i="5" s="1"/>
  <c r="E15" i="5"/>
  <c r="L15" i="5" s="1" a="1"/>
  <c r="L15" i="5" s="1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Q6" i="5" s="1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6" i="5" l="1" a="1"/>
  <c r="R6" i="5" s="1"/>
  <c r="R8" i="5" a="1"/>
  <c r="R8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6" i="5" l="1" a="1"/>
  <c r="T6" i="5" s="1"/>
  <c r="T12" i="5" a="1"/>
  <c r="T12" i="5" s="1"/>
  <c r="V12" i="5" s="1" a="1"/>
  <c r="V12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V9" i="5" a="1"/>
  <c r="V9" i="5" s="1"/>
  <c r="V10" i="5" a="1"/>
  <c r="V10" i="5" s="1"/>
  <c r="U11" i="5" a="1"/>
  <c r="U11" i="5" s="1"/>
  <c r="Z16" i="5" l="1" a="1"/>
  <c r="Z16" i="5" s="1"/>
  <c r="Z17" i="5" a="1"/>
  <c r="Z17" i="5" s="1"/>
  <c r="Z15" i="5" a="1"/>
  <c r="Z15" i="5" s="1"/>
  <c r="T2" i="5"/>
  <c r="U6" i="5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tc={6478232A-1F11-F547-B400-2AB0C22E1989}</author>
  </authors>
  <commentList>
    <comment ref="L5" authorId="0" shapeId="0" xr:uid="{6478232A-1F11-F547-B400-2AB0C22E1989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tc={C3CBE6C1-B68C-D247-BDA0-6F2E4D4CD51B}</author>
  </authors>
  <commentList>
    <comment ref="A3" authorId="0" shapeId="0" xr:uid="{C3CBE6C1-B68C-D247-BDA0-6F2E4D4CD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sheet below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<sst xmlns="http://schemas.openxmlformats.org/spreadsheetml/2006/main" count="1173" uniqueCount="584">
  <si>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</si>
  <si>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</si>
  <si>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</si>
  <si>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</si>
  <si>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</si>
  <si>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</si>
  <si>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</si>
  <si>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</si>
  <si>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</si>
  <si>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</si>
  <si>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</si>
  <si>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</si>
  <si>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</si>
  <si>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</si>
  <si>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</si>
  <si>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</si>
  <si>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</si>
  <si>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</si>
  <si>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</si>
  <si>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</si>
  <si>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</si>
  <si>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</si>
  <si>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</si>
  <si>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</si>
  <si>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</si>
  <si>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</si>
  <si>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</si>
  <si>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</si>
  <si>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</si>
  <si>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</si>
  <si>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</si>
  <si>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</si>
  <si>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</si>
  <si>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</si>
  <si>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</si>
  <si>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</si>
  <si>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</si>
  <si>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</si>
  <si>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</si>
  <si>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</si>
  <si>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</si>
  <si>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</si>
  <si>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</si>
  <si>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</si>
  <si>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</si>
  <si>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</si>
  <si>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</si>
  <si>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</si>
  <si>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</si>
  <si>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</si>
  <si>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</si>
  <si>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</si>
  <si>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</si>
  <si>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</si>
  <si>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</si>
  <si>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</si>
  <si>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</si>
  <si>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</si>
  <si>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</si>
  <si>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</si>
  <si>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</si>
  <si>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</si>
  <si>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</si>
  <si>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</si>
  <si>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</si>
  <si>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</si>
  <si>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</si>
  <si>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</si>
  <si>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</si>
  <si>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</si>
  <si>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</si>
  <si>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</si>
  <si>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</si>
  <si>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</si>
  <si>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</si>
  <si>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</si>
  <si>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</si>
  <si>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</si>
  <si>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</si>
  <si>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</si>
  <si>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</si>
  <si>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</si>
  <si>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</si>
  <si>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</si>
  <si>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</si>
  <si>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</si>
  <si>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</si>
  <si>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</si>
  <si>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</si>
  <si>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</si>
  <si>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</si>
  <si>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</si>
  <si>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</si>
  <si>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</si>
  <si>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</si>
  <si>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</si>
  <si>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</si>
  <si>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</si>
  <si>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</si>
  <si>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</si>
  <si>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</si>
  <si>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</si>
  <si>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</si>
  <si>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</si>
  <si>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</si>
  <si>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</si>
  <si>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</si>
  <si>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</si>
  <si>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</si>
  <si>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</si>
  <si>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</si>
  <si>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</si>
  <si>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</si>
  <si>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</si>
  <si>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</si>
  <si>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</si>
  <si>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</si>
  <si>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</si>
  <si>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</si>
  <si>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</si>
  <si>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</si>
  <si>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</si>
  <si>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</si>
  <si>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</si>
  <si>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</si>
  <si>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</si>
  <si>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</si>
  <si>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</si>
  <si>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</si>
  <si>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</si>
  <si>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</si>
  <si>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</si>
  <si>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</si>
  <si>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</si>
  <si>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</si>
  <si>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</si>
  <si>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</si>
  <si>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</si>
  <si>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</si>
  <si>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</si>
  <si>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</si>
  <si>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</si>
  <si>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</si>
  <si>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</si>
  <si>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</si>
  <si>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</si>
  <si>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</si>
  <si>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</si>
  <si>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</si>
  <si>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</si>
  <si>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</si>
  <si>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</si>
  <si>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</si>
  <si>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</si>
  <si>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</si>
  <si>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</si>
  <si>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</si>
  <si>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</si>
  <si>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</si>
  <si>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</si>
  <si>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</si>
  <si>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</si>
  <si>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</si>
  <si>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</si>
  <si>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</si>
  <si>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</si>
  <si>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</si>
  <si>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</si>
  <si>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</si>
  <si>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</si>
  <si>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</si>
  <si>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</si>
  <si>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</si>
  <si>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</si>
  <si>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</si>
  <si>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</si>
  <si>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</si>
  <si>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</si>
  <si>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</si>
  <si>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</si>
  <si>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</si>
  <si>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</si>
  <si>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</si>
  <si>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</si>
  <si>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</si>
  <si>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</si>
  <si>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</si>
  <si>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</si>
  <si>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</si>
  <si>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</si>
  <si>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</si>
  <si>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</si>
  <si>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</si>
  <si>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</si>
  <si>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</si>
  <si>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</si>
  <si>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</si>
  <si>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</si>
  <si>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</si>
  <si>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</si>
  <si>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</si>
  <si>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</si>
  <si>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</si>
  <si>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</si>
  <si>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</si>
  <si>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</si>
  <si>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</si>
  <si>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</si>
  <si>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</si>
  <si>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</si>
  <si>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</si>
  <si>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</si>
  <si>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</si>
  <si>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</si>
  <si>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</si>
  <si>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</si>
  <si>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</si>
  <si>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</si>
  <si>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</si>
  <si>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</si>
  <si>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</si>
  <si>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</si>
  <si>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</si>
  <si>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</si>
  <si>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</si>
  <si>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</si>
  <si>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</si>
  <si>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</si>
  <si>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</si>
  <si>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</si>
  <si>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</si>
  <si>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</si>
  <si>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</si>
  <si>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</si>
  <si>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</si>
  <si>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</si>
  <si>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</si>
  <si>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</si>
  <si>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</si>
  <si>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</si>
  <si>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</si>
  <si>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</si>
  <si>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</si>
  <si>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</si>
  <si>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</si>
  <si>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</si>
  <si>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</si>
  <si>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</si>
  <si>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</si>
  <si>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</si>
  <si>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</si>
  <si>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</si>
  <si>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</si>
  <si>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</si>
  <si>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</si>
  <si>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</si>
  <si>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</si>
  <si>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</si>
  <si>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</si>
  <si>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</si>
  <si>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</si>
  <si>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</si>
  <si>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</si>
  <si>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</si>
  <si>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</si>
  <si>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</si>
  <si>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</si>
  <si>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</si>
  <si>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</si>
  <si>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</si>
  <si>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</si>
  <si>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</si>
  <si>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</si>
  <si>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</si>
  <si>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</si>
  <si>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</si>
  <si>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</si>
  <si>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</si>
  <si>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</si>
  <si>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</si>
  <si>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</si>
  <si>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</si>
  <si>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</si>
  <si>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</si>
  <si>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</si>
  <si>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</si>
  <si>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</si>
  <si>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</si>
  <si>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</si>
  <si>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</si>
  <si>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</si>
  <si>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</si>
  <si>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</si>
  <si>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</si>
  <si>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</si>
  <si>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</si>
  <si>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</si>
  <si>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</si>
  <si>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</si>
  <si>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</si>
  <si>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</si>
  <si>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</si>
  <si>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</si>
  <si>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</si>
  <si>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</si>
  <si>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</si>
  <si>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</si>
  <si>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</si>
  <si>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</si>
  <si>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</si>
  <si>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</si>
  <si>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</si>
  <si>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</si>
  <si>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</si>
  <si>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</si>
  <si>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</si>
  <si>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</si>
  <si>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</si>
  <si>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</si>
  <si>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</si>
  <si>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</si>
  <si>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</si>
  <si>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</si>
  <si>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</si>
  <si>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</si>
  <si>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</si>
  <si>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</si>
  <si>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</si>
  <si>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</si>
  <si>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</si>
  <si>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</si>
  <si>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</si>
  <si>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</si>
  <si>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</si>
  <si>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</si>
  <si>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</si>
  <si>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</si>
  <si>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</si>
  <si>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</si>
  <si>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</si>
  <si>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</si>
  <si>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</si>
  <si>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</si>
  <si>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</si>
  <si>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</si>
  <si>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</si>
  <si>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</si>
  <si>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</si>
  <si>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</si>
  <si>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</si>
  <si>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</si>
  <si>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</si>
  <si>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</si>
  <si>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</si>
  <si>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</si>
  <si>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</si>
  <si>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</si>
  <si>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</si>
  <si>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</si>
  <si>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</si>
  <si>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</si>
  <si>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</si>
  <si>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</si>
  <si>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</si>
  <si>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</si>
  <si>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</si>
  <si>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</si>
  <si>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</si>
  <si>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</si>
  <si>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</si>
  <si>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</si>
  <si>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</si>
  <si>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</si>
  <si>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</si>
  <si>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</si>
  <si>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</si>
  <si>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</si>
  <si>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</si>
  <si>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</si>
  <si>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</si>
  <si>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</si>
  <si>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</si>
  <si>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</si>
  <si>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</si>
  <si>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</si>
  <si>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</si>
  <si>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</si>
  <si>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</si>
  <si>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</si>
  <si>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</si>
  <si>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</si>
  <si>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</si>
  <si>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</si>
  <si>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</si>
  <si>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</si>
  <si>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</si>
  <si>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</si>
  <si>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</si>
  <si>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</si>
  <si>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</si>
  <si>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</si>
  <si>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</si>
  <si>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</si>
  <si>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</si>
  <si>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</si>
  <si>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</si>
  <si>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</si>
  <si>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</si>
  <si>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</si>
  <si>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</si>
  <si>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</si>
  <si>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</si>
  <si>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</si>
  <si>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</si>
  <si>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</si>
  <si>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</si>
  <si>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</si>
  <si>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</si>
  <si>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</si>
  <si>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</si>
  <si>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</si>
  <si>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</si>
  <si>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</si>
  <si>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</si>
  <si>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</si>
  <si>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</si>
  <si>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</si>
  <si>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</si>
  <si>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</si>
  <si>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</si>
  <si>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</si>
  <si>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</si>
  <si>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</si>
  <si>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</si>
  <si>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</si>
  <si>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</si>
  <si>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</si>
  <si>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</si>
  <si>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</si>
  <si>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</si>
  <si>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</si>
  <si>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</si>
  <si>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</si>
  <si>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</si>
  <si>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</si>
  <si>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</si>
  <si>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</si>
  <si>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</si>
  <si>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</si>
  <si>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</si>
  <si>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</si>
  <si>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</si>
  <si>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</si>
  <si>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</si>
  <si>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</si>
  <si>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</si>
  <si>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</si>
  <si>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</si>
  <si>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</si>
  <si>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</si>
  <si>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</si>
  <si>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</si>
  <si>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</si>
  <si>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</si>
  <si>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</si>
  <si>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</si>
  <si>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</si>
  <si>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</si>
  <si>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</si>
  <si>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</si>
  <si>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</si>
  <si>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</si>
  <si>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</si>
  <si>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</si>
  <si>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</si>
  <si>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</si>
  <si>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</si>
  <si>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</si>
  <si>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</si>
  <si>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</si>
  <si>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</si>
  <si>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</si>
  <si>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</si>
  <si>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</si>
  <si>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</si>
  <si>
    <t>BIOSYN-BIODILAERO-NOGAM</t>
  </si>
  <si>
    <t xml:space="preserve">0.933442277567423 BIO-varbiom + 0.020050549978631 BIO-lipid + 0.002441292 BIO-dna + 0.025785748 BIO-metal + 0.004915119 BIO-cofactor + 0.003050712 BIO-so4 + 0.010314302 BIO-pi --&gt; </t>
  </si>
  <si>
    <t>Protein synthesis (coefficients in gram per gDW) (Accounted for via dummy protein but used for MW calculations)</t>
  </si>
  <si>
    <t/>
  </si>
  <si>
    <t>alatrna_c</t>
  </si>
  <si>
    <t>C3H6NO</t>
  </si>
  <si>
    <t>argtrna_c</t>
  </si>
  <si>
    <t>C6H14N4O</t>
  </si>
  <si>
    <t>asntrna_c</t>
  </si>
  <si>
    <t>C4H7N2O2</t>
  </si>
  <si>
    <t>asptrna_c</t>
  </si>
  <si>
    <t>C4H5NO3</t>
  </si>
  <si>
    <t>cystrna_c</t>
  </si>
  <si>
    <t>C3H6NOS</t>
  </si>
  <si>
    <t>glntrna_c</t>
  </si>
  <si>
    <t>C5H9N2O2</t>
  </si>
  <si>
    <t>glutrna_c</t>
  </si>
  <si>
    <t>C5H7NO3</t>
  </si>
  <si>
    <t>glytrna_c</t>
  </si>
  <si>
    <t>C2H4NO</t>
  </si>
  <si>
    <t>histrna_c</t>
  </si>
  <si>
    <t>C6H8N3O</t>
  </si>
  <si>
    <t>iletrna_c</t>
  </si>
  <si>
    <t>C6H12NO</t>
  </si>
  <si>
    <t>leutrna_c</t>
  </si>
  <si>
    <t>lystrna_c</t>
  </si>
  <si>
    <t>C6H14N2O</t>
  </si>
  <si>
    <t>mettrna_c</t>
  </si>
  <si>
    <t>C5H10NOS</t>
  </si>
  <si>
    <t>phetrna_c</t>
  </si>
  <si>
    <t>C9H10NO</t>
  </si>
  <si>
    <t>protrna_c</t>
  </si>
  <si>
    <t>C5H7NO</t>
  </si>
  <si>
    <t>sertrna_c</t>
  </si>
  <si>
    <t>C3H6NO2</t>
  </si>
  <si>
    <t>thrtrna_c</t>
  </si>
  <si>
    <t>C4H8NO2</t>
  </si>
  <si>
    <t>trptrna_c</t>
  </si>
  <si>
    <t>C11H11N2O</t>
  </si>
  <si>
    <t>tyrtrna_c</t>
  </si>
  <si>
    <t>C9H10NO2</t>
  </si>
  <si>
    <t>valtrna_c</t>
  </si>
  <si>
    <t>C5H10NO</t>
  </si>
  <si>
    <t>GSM stoichiometric coefficients:</t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</si>
  <si>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-0.460516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</si>
  <si>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-0.181944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</si>
  <si>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-0.218710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</si>
  <si>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-0.218710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</si>
  <si>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-0.006599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</si>
  <si>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-0.364830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</si>
  <si>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-0.364830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</si>
  <si>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-0.090972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</si>
  <si>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-0.277629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</si>
  <si>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-0.377557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</si>
  <si>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-0.309682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</si>
  <si>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-0.053735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</si>
  <si>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-0.177230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</si>
  <si>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-0.198913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</si>
  <si>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-0.251233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</si>
  <si>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-0.262546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</si>
  <si>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-0.030638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</si>
  <si>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-0.092386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</si>
  <si>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-0.345505</t>
    </r>
    <r>
      <rPr>
        <sz val="12"/>
        <color rgb="FF3B3B3B"/>
        <rFont val="Menlo"/>
        <family val="2"/>
      </rPr>
      <t>,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</si>
  <si>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-0.384230</t>
    </r>
    <r>
      <rPr>
        <sz val="12"/>
        <color rgb="FF3B3B3B"/>
        <rFont val="Menlo"/>
        <family val="2"/>
      </rPr>
      <t>,</t>
    </r>
  </si>
  <si>
    <r>
      <t>"13BDglucan_c"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-0.596242</t>
    </r>
    <r>
      <rPr>
        <sz val="12"/>
        <color rgb="FF3B3B3B"/>
        <rFont val="Menlo"/>
        <family val="2"/>
      </rPr>
      <t>,</t>
    </r>
  </si>
  <si>
    <r>
      <t>"16BDglucan_c"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-0.156906</t>
    </r>
    <r>
      <rPr>
        <sz val="12"/>
        <color rgb="FF3B3B3B"/>
        <rFont val="Menlo"/>
        <family val="2"/>
      </rPr>
      <t>,</t>
    </r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</si>
  <si>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-0.014097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</si>
  <si>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-0.287457</t>
    </r>
    <r>
      <rPr>
        <sz val="12"/>
        <color rgb="FF3B3B3B"/>
        <rFont val="Menlo"/>
        <family val="2"/>
      </rPr>
      <t>,</t>
    </r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</si>
  <si>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-0.014409</t>
    </r>
    <r>
      <rPr>
        <sz val="12"/>
        <color rgb="FF3B3B3B"/>
        <rFont val="Menlo"/>
        <family val="2"/>
      </rPr>
      <t>,</t>
    </r>
  </si>
  <si>
    <r>
      <t>"ergstest_c"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-0.006778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</si>
  <si>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-0.026475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</si>
  <si>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-0.006882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</si>
  <si>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-0.025678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</si>
  <si>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-0.006901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</si>
  <si>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-0.005927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</si>
  <si>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-0.006829</t>
    </r>
    <r>
      <rPr>
        <sz val="12"/>
        <color rgb="FF3B3B3B"/>
        <rFont val="Menlo"/>
        <family val="2"/>
      </rPr>
      <t>,</t>
    </r>
  </si>
  <si>
    <r>
      <t>"ipcbiom_c"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-0.003830</t>
    </r>
    <r>
      <rPr>
        <sz val="12"/>
        <color rgb="FF3B3B3B"/>
        <rFont val="Menlo"/>
        <family val="2"/>
      </rPr>
      <t>,</t>
    </r>
  </si>
  <si>
    <r>
      <t>"ffabiom_c"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-0.001474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</si>
  <si>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-0.093742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</si>
  <si>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-0.096469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</si>
  <si>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-0.125619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</si>
  <si>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-0.003953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</si>
  <si>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-0.002668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</si>
  <si>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-0.002668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</si>
  <si>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-0.003953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</si>
  <si>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-0.603650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</si>
  <si>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-0.000094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</si>
  <si>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</si>
  <si>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-144.262612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</si>
  <si>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-134.759741</t>
    </r>
    <r>
      <rPr>
        <sz val="12"/>
        <color rgb="FF3B3B3B"/>
        <rFont val="Menlo"/>
        <family val="2"/>
      </rPr>
      <t>,</t>
    </r>
  </si>
  <si>
    <r>
      <t>"amp_c"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4.703201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</si>
  <si>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139.462942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</si>
  <si>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139.462942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</si>
  <si>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139.357287</t>
    </r>
    <r>
      <rPr>
        <sz val="12"/>
        <color rgb="FF3B3B3B"/>
        <rFont val="Menlo"/>
        <family val="2"/>
      </rPr>
      <t>,</t>
    </r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</si>
  <si>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5.128742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</si>
  <si>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-0.419036</t>
    </r>
    <r>
      <rPr>
        <sz val="12"/>
        <color rgb="FF3B3B3B"/>
        <rFont val="Menlo"/>
        <family val="2"/>
      </rPr>
      <t>,</t>
    </r>
  </si>
  <si>
    <t>0.460516 ala__L_c + 0.181944 arg__L_c + 0.218710 asn__L_c + 0.218710 asp__L_c + 0.006599 cys__L_c + 0.364830 gln__L_c + 0.364830 glu__L_c + 0.419036 gly_c + 0.090972 his__L_c + 0.277629 ile__L_c + 0.377557 leu__L_c + 0.309682 lys__L_c + 0.053735 met__L_c + 0.177230 phe__L_c + 0.198913 pro__L_c + 0.251233 ser__L_c + 0.262546 thr__L_c + 0.030638 trp__L_c + 0.092386 tyr__L_c + 0.345505 val__L_c + 0.384230 mannan_c + 0.596242 13BDglucan_c + 0.156906 16BDglucan_c + 0.014097 chtn_c + 0.287457 glycogen_c + 0.014409 tre_c + 0.006778 ergstest_c + 0.026475 ergst_c + 0.006882 pail_c + 0.025678 pc_c + 0.006901 pe_c + 0.005927 ps_c + 0.006829 tag_c + 0.003830 ipcbiom_c + 0.001474 ffabiom_c + 0.093742 ctp_c + 0.096469 gtp_c + 0.125619 utp_c + 0.003953 datp_c + 0.002668 dctp_c + 0.002668 dgtp_c + 0.003953 dttp_c + 0.001286 ca2_c + 0.000114 cu2_c + 0.000664 fe2_c + 0.603650 k_c + 0.063607 mg2_c + 0.000094 mn2_c + 0.001576 zn2_c + 0.031223 so4_c + 144.262612 atp_c + 134.759741 h2o_c --&gt; 4.703201 amp_c + 139.462942 adp_c + 139.462942 h_c + 139.357287 pi_c + 5.128742 ppi_c</t>
  </si>
  <si>
    <t>converted to JSON form:</t>
  </si>
  <si>
    <t>biomass equation from MFA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</si>
</sst>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  <font>
      <sz val="10"/>
      <color rgb="FF000000"/>
      <name val="Tahoma"/>
      <family val="2"/>
    </font>
    <font>
      <sz val="12"/>
      <color rgb="FFA31515"/>
      <name val="Menlo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C1F0C8"/>
        <bgColor rgb="FFC1F0C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196B24"/>
      </left>
      <right style="thin">
        <color rgb="FF196B24"/>
      </right>
      <top style="thin">
        <color rgb="FF196B24"/>
      </top>
      <bottom style="thin">
        <color rgb="FF196B2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6" fillId="0" borderId="0"/>
  </cellStyleXfs>
  <cellXfs count="103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6" fillId="0" borderId="0" xfId="0" applyFont="1" applyAlignment="1">
      <alignment wrapText="1"/>
    </xf>
    <xf numFmtId="0" fontId="6" fillId="13" borderId="2" xfId="4" applyFill="1" applyBorder="1"/>
    <xf numFmtId="0" fontId="6" fillId="13" borderId="3" xfId="4" applyFill="1" applyBorder="1"/>
    <xf numFmtId="0" fontId="6" fillId="13" borderId="4" xfId="4" applyFill="1" applyBorder="1"/>
    <xf numFmtId="0" fontId="6" fillId="13" borderId="0" xfId="4" applyFill="1"/>
    <xf numFmtId="0" fontId="6" fillId="13" borderId="5" xfId="4" applyFill="1" applyBorder="1"/>
    <xf numFmtId="0" fontId="6" fillId="13" borderId="6" xfId="4" applyFill="1" applyBorder="1"/>
    <xf numFmtId="0" fontId="6" fillId="13" borderId="7" xfId="4" applyFill="1" applyBorder="1"/>
    <xf numFmtId="0" fontId="6" fillId="13" borderId="8" xfId="4" applyFill="1" applyBorder="1"/>
    <xf numFmtId="0" fontId="6" fillId="13" borderId="9" xfId="4" applyFill="1" applyBorder="1"/>
    <xf numFmtId="0" fontId="5" fillId="0" borderId="0" xfId="0" applyFont="1"/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  <xf numFmtId="0" fontId="13" fillId="0" borderId="0" xfId="0" applyFont="1"/>
    <xf numFmtId="0" fontId="13" fillId="14" borderId="10" xfId="0" applyFont="1" applyFill="1" applyBorder="1"/>
    <xf numFmtId="0" fontId="13" fillId="0" borderId="10" xfId="0" applyFont="1" applyBorder="1"/>
    <xf numFmtId="0" fontId="0" fillId="0" borderId="0" xfId="0" applyFill="1"/>
  </cellXfs>
  <cellStyles count="5">
    <cellStyle name="Hyperlink" xfId="2" builtinId="8"/>
    <cellStyle name="Normal" xfId="0" builtinId="0"/>
    <cellStyle name="Normal 2" xfId="3" xr:uid="{FA81D386-83CA-2644-8497-75AC01D4946D}"/>
    <cellStyle name="Normal 3" xfId="4" xr:uid="{2758787E-00E6-2749-AF85-401C19BF14C0}"/>
    <cellStyle name="Percent" xfId="1" builtinId="5"/>
  </cellStyles>
  <dxfs count="5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ric Mooney" id="{546D743F-4A9A-5B4E-AA42-270DDAA6CCC7}" userId="748a42cd58a083a8" providerId="Windows Live"/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55" dataDxfId="54">
  <autoFilter ref="X5:Z17" xr:uid="{FE7B857A-6163-784B-9297-DC54E624BDF2}"/>
  <tableColumns count="3">
    <tableColumn id="1" xr3:uid="{F5018EEF-D7DA-5F4D-8739-C1CC54AF082E}" name="rxn description or data (optional)" dataDxfId="53" dataCellStyle="Normal 2"/>
    <tableColumn id="2" xr3:uid="{4DBE0BFD-D45C-894F-8934-910CDB550998}" name="name" dataDxfId="52" dataCellStyle="Normal 2"/>
    <tableColumn id="3" xr3:uid="{D55D4CED-07A9-3744-818A-42B81B1DCE1A}" name="stoichiometry" dataDxfId="51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50" dataDxfId="49" dataCellStyle="Percent">
  <autoFilter ref="P5:V14" xr:uid="{FF498876-BCFA-DE44-AB80-834F76DB6419}"/>
  <tableColumns count="7">
    <tableColumn id="4" xr3:uid="{157AF8C9-2BF1-A24F-A008-E2511B8767B2}" name="rxn name" dataDxfId="48" dataCellStyle="Percent">
      <calculatedColumnFormula>O6</calculatedColumnFormula>
    </tableColumn>
    <tableColumn id="2" xr3:uid="{BCD92397-1C82-8348-A978-05B0CB2AD8EA}" name="product name" dataDxfId="47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46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45" dataCellStyle="Percent"/>
    <tableColumn id="1" xr3:uid="{792B1EC8-637D-AE4B-A1D3-0323A667081C}" name="normalized coeffs" dataDxfId="44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43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42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41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40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39">
      <calculatedColumnFormula>_xlfn.TEXTBEFORE(mets2713[[#This Row],[name]],"_",-1)</calculatedColumnFormula>
    </tableColumn>
    <tableColumn id="4" xr3:uid="{9F7B0518-AC5B-5348-8725-EA09B6FECB7C}" name="category" dataDxfId="38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37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36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35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34">
      <calculatedColumnFormula>mets2713[[#This Row],[coeff. w/o GAM]]</calculatedColumnFormula>
    </tableColumn>
    <tableColumn id="9" xr3:uid="{FEAE8E31-B137-CC46-9CBE-533B680D0D9F}" name="normalized coeffs" dataDxfId="33">
      <calculatedColumnFormula>H6/($H$3)</calculatedColumnFormula>
    </tableColumn>
    <tableColumn id="10" xr3:uid="{DD0B9EA5-B606-8648-9646-464B4D4B754F}" name="normalized coeff. w/ updated GAM" dataDxfId="32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1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30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954DCB-5132-B648-A198-72EE875B52E7}" name="ExtraRxns25116" displayName="ExtraRxns25116" ref="X5:Z17" totalsRowShown="0" headerRowDxfId="29" dataDxfId="28">
  <autoFilter ref="X5:Z17" xr:uid="{FE7B857A-6163-784B-9297-DC54E624BDF2}"/>
  <tableColumns count="3">
    <tableColumn id="1" xr3:uid="{2C4B838A-88D0-DE43-AF60-25B549AD84DA}" name="rxn description or data (optional)" dataDxfId="27" dataCellStyle="Normal 2"/>
    <tableColumn id="2" xr3:uid="{32E3B423-7241-674D-9FFE-53E56624C889}" name="name" dataDxfId="26" dataCellStyle="Normal 2"/>
    <tableColumn id="3" xr3:uid="{34934F88-6D43-8C44-8219-B0B6CBEA7CDB}" name="stoichiometry" dataDxfId="25" dataCellStyle="Normal 2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3E100B-F032-1644-933A-EB6753D3FA0C}" name="biomassComponents26127" displayName="biomassComponents26127" ref="P5:V14" totalsRowShown="0" headerRowDxfId="24" dataDxfId="23" dataCellStyle="Percent">
  <autoFilter ref="P5:V14" xr:uid="{FF498876-BCFA-DE44-AB80-834F76DB6419}"/>
  <tableColumns count="7">
    <tableColumn id="4" xr3:uid="{3414F231-978D-C24A-AF8B-F8AD1A6DDEFF}" name="rxn name" dataDxfId="22" dataCellStyle="Percent">
      <calculatedColumnFormula>O6</calculatedColumnFormula>
    </tableColumn>
    <tableColumn id="2" xr3:uid="{A5C9E29F-A837-F34D-A9FF-F7B4628B7368}" name="product name" dataDxfId="21" dataCellStyle="Percent">
      <calculatedColumnFormula>SUBSTITUTE(LOWER(biomassComponents26127[[#This Row],[rxn name]]),"biosyn-","BIO-")</calculatedColumnFormula>
    </tableColumn>
    <tableColumn id="6" xr3:uid="{EDE0047C-F965-2543-A331-835F0AF6AFBC}" name="original coeffs from input" dataDxfId="20" dataCellStyle="Percent">
      <calculatedColumnFormula array="1">SUM(_xlfn._xlws.FILTER(-mets27138[MW for biomass normalization (g/mol)]*mets27138[normalized coeffs]/1000,mets27138[category]=_xlfn.TEXTAFTER(O6,"BIOSYN-"),""))</calculatedColumnFormula>
    </tableColumn>
    <tableColumn id="5" xr3:uid="{E6EEE31A-5C8E-6D47-825E-A600442A0976}" name="pre-determined coeffs" dataDxfId="19" dataCellStyle="Percent"/>
    <tableColumn id="1" xr3:uid="{3A77ECC4-5759-CD4D-AD06-6F7FA214DE96}" name="normalized coeffs" dataDxfId="18" dataCellStyle="Percent">
      <calculatedColumnFormula array="1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calculatedColumnFormula>
    </tableColumn>
    <tableColumn id="3" xr3:uid="{AD5EDB31-F481-2C42-B2E1-5B146377D912}" name="stoichiometry (if needed)" dataDxfId="17" dataCellStyle="Percent">
      <calculatedColumnFormula array="1">_xlfn.TEXTJOIN(" + ",TRUE,_xlfn._xlws.FILTER(ROUND(-[1]!mets[MW for biomass normalization (g/mol)]*[1]!mets[normalized coeffs]*(biomassComponents26127[[#This Row],[normalized coeffs]]/biomassComponents26127[[#This Row],[original coeffs from input]])/(1000*biomassComponents26127[[#This Row],[normalized coeffs]]),6)&amp;" BIO-"&amp;[1]!mets[name],[1]!mets[category]=_xlfn.TEXTAFTER(O6,"BIOSYN-"),""))&amp;" --&gt; "&amp;biomassComponents26127[[#This Row],[product name]]</calculatedColumnFormula>
    </tableColumn>
    <tableColumn id="7" xr3:uid="{14F95955-CFB4-854E-96DE-75DB2BBF73CC}" name="new GSM coeffs" dataDxfId="16" dataCellStyle="Percent">
      <calculatedColumnFormula array="1">_xlfn.TEXTJOIN(" + ",TRUE,_xlfn._xlws.FILTER((-mets27138[normalized coeffs]*biomassComponents26127[[#This Row],[normalized coeffs]]/biomassComponents26127[[#This Row],[original coeffs from input]])&amp;" BIO-"&amp;mets27138[name],mets27138[category]=_xlfn.TEXTAFTER(P6,"BIOSYN-"),""))</calculatedColumnFormula>
    </tableColumn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4BDE9C-8016-A443-AD19-7E388520C1C1}" name="mets27138" displayName="mets27138" ref="A5:M62" totalsRowShown="0" headerRowDxfId="15">
  <autoFilter ref="A5:M62" xr:uid="{A59107F0-EED3-5F4B-9DA5-382606291CC5}"/>
  <sortState xmlns:xlrd2="http://schemas.microsoft.com/office/spreadsheetml/2017/richdata2" ref="A6:M62">
    <sortCondition ref="D5:D62"/>
  </sortState>
  <tableColumns count="13">
    <tableColumn id="1" xr3:uid="{FC6CADAF-3215-ED45-B07F-54E3401CE993}" name="pasted JSON metabolite keys and values from GSM biomass rxn"/>
    <tableColumn id="2" xr3:uid="{24489045-E165-CB40-B237-C29AADCE9119}" name="name" dataDxfId="14">
      <calculatedColumnFormula>SUBSTITUTE(_xlfn.TEXTBEFORE(mets27138[[#This Row],[pasted JSON metabolite keys and values from GSM biomass rxn]],":"),CHAR(34),"")</calculatedColumnFormula>
    </tableColumn>
    <tableColumn id="3" xr3:uid="{AC021236-F829-054B-9DF7-F4069C22F6E2}" name="name w/o location" dataDxfId="13">
      <calculatedColumnFormula>_xlfn.TEXTBEFORE(mets27138[[#This Row],[name]],"_",-1)</calculatedColumnFormula>
    </tableColumn>
    <tableColumn id="4" xr3:uid="{684FD1E5-C243-6544-BE3A-390A4F8068FD}" name="category" dataDxfId="12">
      <calculatedColumnFormula>_xlfn.XLOOKUP(mets27138[[#This Row],[name w/o location]],metaboliteInfo[name w/o location],metaboliteInfo[suggested category],"")</calculatedColumnFormula>
    </tableColumn>
    <tableColumn id="5" xr3:uid="{6542B96A-8D4C-8048-A4EB-BFDDC0589254}" name="MW for biomass normalization (g/mol)" dataDxfId="11">
      <calculatedColumnFormula>_xlfn.XLOOKUP(mets27138[[#This Row],[name w/o location]],metaboliteInfo[name w/o location],metaboliteInfo[MW for biomass normalization (g/mol)],0)</calculatedColumnFormula>
    </tableColumn>
    <tableColumn id="6" xr3:uid="{6025C42B-F817-D848-964D-CAF29F67507C}" name="raw (GSM) coefficient" dataDxfId="10">
      <calculatedColumnFormula>_xlfn.NUMBERVALUE(SUBSTITUTE(_xlfn.TEXTAFTER(mets27138[[#This Row],[pasted JSON metabolite keys and values from GSM biomass rxn]],":"),",",""))</calculatedColumnFormula>
    </tableColumn>
    <tableColumn id="7" xr3:uid="{FD3458FE-588F-F847-B26C-F346C19662B3}" name="coeff. w/o GAM" dataDxfId="9">
      <calculatedColumnFormula array="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calculatedColumnFormula>
    </tableColumn>
    <tableColumn id="8" xr3:uid="{DC080112-FE1D-D44F-8CBC-80B5C15652FC}" name="coeffs after extra operations" dataDxfId="8">
      <calculatedColumnFormula>mets27138[[#This Row],[coeff. w/o GAM]]</calculatedColumnFormula>
    </tableColumn>
    <tableColumn id="9" xr3:uid="{3E0A2606-6B6D-614E-87E0-388E2778043C}" name="normalized coeffs" dataDxfId="7">
      <calculatedColumnFormula>H6/($H$3)</calculatedColumnFormula>
    </tableColumn>
    <tableColumn id="10" xr3:uid="{70294DCC-B6F9-E54C-9EEF-AF16AD343748}" name="normalized coeff. w/ updated GAM" dataDxfId="6">
      <calculatedColumnFormula array="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8C29C9BF-A830-D149-8E1B-72A9AF24D72B}" name="biomass equation name">
      <calculatedColumnFormula array="1">"BIOSYN-"&amp;_xlfn.IFS(IFERROR(MATCH(mets27138[[#This Row],[category]],{0,"0",""},0),0)&gt;0,mets27138[[#This Row],[name]],TRUE,mets27138[[#This Row],[category]]&amp;"-"&amp;mets27138[[#This Row],[name]])</calculatedColumnFormula>
    </tableColumn>
    <tableColumn id="12" xr3:uid="{1B5962C5-C1C7-1E44-9F27-A6B8DC720069}" name="biomass equation" dataDxfId="5">
      <calculatedColumnFormula array="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calculatedColumnFormula>
    </tableColumn>
    <tableColumn id="13" xr3:uid="{24C86DA1-94D1-8F46-9615-B1C1B2BC5477}" name="new GSM coeffs" dataDxfId="4">
      <calculatedColumnFormula array="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sortState xmlns:xlrd2="http://schemas.microsoft.com/office/spreadsheetml/2017/richdata2" ref="A3:E118">
    <sortCondition ref="B2:B118"/>
  </sortState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478232A-1F11-F547-B400-2AB0C22E1989}">
    <text>Currently rounds all coefficients to 6 decimals; in the future, could consider scientific notation (e.g., 1E-6) if I get extra time, since GAMS does support it.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3-18T21:25:50.00" personId="{546D743F-4A9A-5B4E-AA42-270DDAA6CCC7}" id="{C3CBE6C1-B68C-D247-BDA0-6F2E4D4CD51B}">
    <text>Calculated from sheet below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21" zoomScale="110" zoomScaleNormal="110" workbookViewId="0">
      <selection activeCell="B65" sqref="B65"/>
    </sheetView>
  </sheetViews>
  <sheetFormatPr baseColWidth="10" defaultColWidth="12" defaultRowHeight="13" x14ac:dyDescent="0.15"/>
  <cols>
    <col min="1" max="1" width="31.83203125" customWidth="1"/>
    <col min="2" max="2" width="58.1640625" customWidth="1"/>
    <col min="3" max="3" width="31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  <row r="72" spans="1:2" x14ac:dyDescent="0.15">
      <c r="A72" t="s">
        <v>485</v>
      </c>
      <c r="B72" t="s">
        <v>486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topLeftCell="A54" zoomScale="110" zoomScaleNormal="110" workbookViewId="0">
      <selection activeCell="A28" sqref="A28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97" t="s">
        <v>352</v>
      </c>
      <c r="B1" s="97"/>
      <c r="C1" s="97"/>
      <c r="D1" s="97"/>
      <c r="E1" s="97"/>
      <c r="F1" s="9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97"/>
      <c r="B2" s="97"/>
      <c r="C2" s="97"/>
      <c r="D2" s="97"/>
      <c r="E2" s="97"/>
      <c r="F2" s="97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"13BDglucan_en":-0.740000460729238,
"16BDglucan_en":-0.19473692312345,
"chtn_c":-0.017495605838585,
"tre_c":-0.017883106260592,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"ergst161_rm":-0.00163820600737148,
"ergst181_rm":-0.000600986054369585,
"ergst_c":-0.0087459706583634,
"glycogen_c":-0.356764836266206,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"mannan_c":-0.476870095271867,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"13BDglucan_en":-0.740000460729238,
"16BDglucan_en":-0.19473692312345,
"chtn_c":-0.017495605838585,
"tre_c":-0.017883106260592,
"glycogen_c":-0.356764836266206,
"mannan_c":-0.476870095271867,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"ergst161_rm":-0.00163820600737148,
"ergst181_rm":-0.000600986054369585,
"ergst_c":-0.0087459706583634,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98" t="str">
        <f>HYPERLINK("[BIOMASS_RBA.xlsx]metaboliteInfo!A1","click here to add new metabolite MWs and categories")</f>
        <v>click here to add new metabolite MWs and categories</v>
      </c>
      <c r="E4" s="9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0.39444641575707901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0.404803 BIO-13BDglucan_en + 0.106527 BIO-16BDglucan_en + 0.011994 BIO-chtn_c + 0.020652 BIO-tre_c + 0.195161 BIO-glycogen_c + 0.260863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0.740000460729238 BIO-13BDglucan_en + 0.19473692312345 BIO-16BDglucan_en + 0.017495605838585 BIO-chtn_c + 0.017883106260592 BIO-tre_c + 0.356764836266206 BIO-glycogen_c + 0.476870095271867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-0.74000046072923786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-0.1947369231234502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-1.7495605838584956E-2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7.6622803528048983E-2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0.00163820600737148 BIO-ergst161_rm + 0.000600986054369585 BIO-ergst181_rm + 0.0087459706583634 BIO-ergst_c + 9.20908657271374E-05 BIO-hdca_c + 0.000270150950037701 BIO-hdcea_c + 0.00126531784874801 BIO-ipc_g + 2.55512228607087E-05 BIO-ocdca_c + 0.000099010988585246 BIO-ocdcea_c + 0.00227352651746014 BIO-pail_c + 0.00848273983118381 BIO-pc_c + 0.00227964816460385 BIO-pe_c + 0.0019578624517018 BIO-ps_c + 0.0022559600517434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-1.7883106260591967E-2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0.404803 BIO-13BDglucan_en + 0.106527 BIO-16BDglucan_en + 0.011994 BIO-chtn_c + 0.020652 BIO-tre_c + 0.195161 BIO-glycogen_c + 0.260863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BIOSYN-CARB-glycogen_c</v>
      </c>
      <c r="AC35" t="str">
        <v>MET-glycogen_c --&gt; 0.162141 BIO-glycogen_c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BIOSYN-CARB-mannan_c</v>
      </c>
      <c r="AC36" t="str">
        <v>MET-mannan_c --&gt; 0.162141 BIO-mannan_c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BIOSYN-CARB-tre_c</v>
      </c>
      <c r="AC37" t="str">
        <v>MET-tre_c --&gt; 0.342296 BIO-tre_c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BIOSYN-COFACTOR-coa_c</v>
      </c>
      <c r="AC38" t="str">
        <v>MET-coa_c --&gt; 0.763502 BIO-coa_c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BIOSYN-COFACTOR-fad_c</v>
      </c>
      <c r="AC39" t="str">
        <v>MET-fad_c --&gt; 0.782526 BIO-fad_c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BIOSYN-COFACTOR-hemeA_c</v>
      </c>
      <c r="AC40" t="str">
        <v>MET-hemeA_c --&gt; 0.850821 BIO-hemeA_c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BIOSYN-COFACTOR-nad_c</v>
      </c>
      <c r="AC41" t="str">
        <v>MET-nad_c --&gt; 0.662417 BIO-nad_c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BIOSYN-COFACTOR-nadh_c</v>
      </c>
      <c r="AC42" t="str">
        <v>MET-nadh_c --&gt; 0.663425 BIO-nadh_c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BIOSYN-COFACTOR-nadp_c</v>
      </c>
      <c r="AC43" t="str">
        <v>MET-nadp_c --&gt; 0.740381 BIO-nadp_c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BIOSYN-COFACTOR-nadph_c</v>
      </c>
      <c r="AC44" t="str">
        <v>MET-nadph_c --&gt; 0.741389 BIO-nadph_c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BIOSYN-COFACTOR-ribflv_c</v>
      </c>
      <c r="AC45" t="str">
        <v>MET-ribflv_c --&gt; 0.375356 BIO-ribflv_c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BIOSYN-COFACTOR-thf_c</v>
      </c>
      <c r="AC46" t="str">
        <v>MET-thf_c --&gt; 0.443413 BIO-thf_c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BIOSYN-COFACTOR-thmpp_c</v>
      </c>
      <c r="AC47" t="str">
        <v>MET-thmpp_c --&gt; 0.422291 BIO-thmpp_c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-1.638206007371477E-3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BIOSYN-DNA-datp_c</v>
      </c>
      <c r="AC48" t="str">
        <v>MET-datp_c --&gt; MET-ppi_c + 0.312199 BIO-datp_c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-6.0098605436958487E-4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BIOSYN-DNA-dctp_c</v>
      </c>
      <c r="AC49" t="str">
        <v>MET-dctp_c --&gt; MET-ppi_c + 0.288174 BIO-dctp_c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-8.7459706583634007E-3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BIOSYN-DNA-dgtp_c</v>
      </c>
      <c r="AC50" t="str">
        <v>MET-dgtp_c --&gt; MET-ppi_c + 0.328198 BIO-dgtp_c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CARB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BIOSYN-CARB-glycogen_c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-0.3567648362662057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BIOSYN-DNA-dttp_c</v>
      </c>
      <c r="AC51" t="str">
        <v>MET-dttp_c --&gt; MET-ppi_c + 0.303185 BIO-dttp_c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-9.2090865727137447E-5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BIOSYN-LIPID-ergst_c</v>
      </c>
      <c r="AC52" t="str">
        <v>MET-ergst_c --&gt; 0.396648 BIO-ergst_c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-2.7015095003770094E-4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BIOSYN-LIPID-ergst161_rm</v>
      </c>
      <c r="AC53" t="str">
        <v>MET-ergst161_rm --&gt; 0.633041 BIO-ergst161_rm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-1.26531784874801E-3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BIOSYN-LIPID-ergst181_rm</v>
      </c>
      <c r="AC54" t="str">
        <v>MET-ergst181_rm --&gt; 0.661094 BIO-ergst181_rm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-2.5551222860708657E-5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-9.9010988585246043E-5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-2.2735265174601386E-3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-8.4827398311838071E-3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-2.2796481646038501E-3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-1.9578624517018008E-3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-2.2559600517434017E-3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-0.47687009527186708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3" priority="2" stopIfTrue="1">
      <formula>NOT(_xlfn.ISFORMULA(S6))</formula>
    </cfRule>
  </conditionalFormatting>
  <conditionalFormatting sqref="T6:T14">
    <cfRule type="expression" dxfId="2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ED1-C5EA-9F4A-A0ED-247582444E87}">
  <dimension ref="A1:A61"/>
  <sheetViews>
    <sheetView workbookViewId="0">
      <selection activeCell="A2" sqref="A2"/>
    </sheetView>
  </sheetViews>
  <sheetFormatPr baseColWidth="10" defaultRowHeight="13" x14ac:dyDescent="0.15"/>
  <sheetData>
    <row r="1" spans="1:1" x14ac:dyDescent="0.15">
      <c r="A1" t="s">
        <v>583</v>
      </c>
    </row>
    <row r="2" spans="1:1" x14ac:dyDescent="0.15">
      <c r="A2" s="102" t="s">
        <v>581</v>
      </c>
    </row>
    <row r="4" spans="1:1" x14ac:dyDescent="0.15">
      <c r="A4" t="s">
        <v>582</v>
      </c>
    </row>
    <row r="5" spans="1:1" ht="16" x14ac:dyDescent="0.2">
      <c r="A5" s="100" t="s">
        <v>529</v>
      </c>
    </row>
    <row r="6" spans="1:1" ht="16" x14ac:dyDescent="0.2">
      <c r="A6" s="101" t="s">
        <v>530</v>
      </c>
    </row>
    <row r="7" spans="1:1" ht="16" x14ac:dyDescent="0.2">
      <c r="A7" s="100" t="s">
        <v>531</v>
      </c>
    </row>
    <row r="8" spans="1:1" ht="16" x14ac:dyDescent="0.2">
      <c r="A8" s="101" t="s">
        <v>532</v>
      </c>
    </row>
    <row r="9" spans="1:1" ht="16" x14ac:dyDescent="0.2">
      <c r="A9" s="100" t="s">
        <v>533</v>
      </c>
    </row>
    <row r="10" spans="1:1" ht="16" x14ac:dyDescent="0.2">
      <c r="A10" s="101" t="s">
        <v>534</v>
      </c>
    </row>
    <row r="11" spans="1:1" ht="16" x14ac:dyDescent="0.2">
      <c r="A11" s="100" t="s">
        <v>535</v>
      </c>
    </row>
    <row r="12" spans="1:1" ht="16" x14ac:dyDescent="0.2">
      <c r="A12" s="101" t="s">
        <v>580</v>
      </c>
    </row>
    <row r="13" spans="1:1" ht="16" x14ac:dyDescent="0.2">
      <c r="A13" s="100" t="s">
        <v>536</v>
      </c>
    </row>
    <row r="14" spans="1:1" ht="16" x14ac:dyDescent="0.2">
      <c r="A14" s="101" t="s">
        <v>537</v>
      </c>
    </row>
    <row r="15" spans="1:1" ht="16" x14ac:dyDescent="0.2">
      <c r="A15" s="100" t="s">
        <v>538</v>
      </c>
    </row>
    <row r="16" spans="1:1" ht="16" x14ac:dyDescent="0.2">
      <c r="A16" s="101" t="s">
        <v>539</v>
      </c>
    </row>
    <row r="17" spans="1:1" ht="16" x14ac:dyDescent="0.2">
      <c r="A17" s="100" t="s">
        <v>540</v>
      </c>
    </row>
    <row r="18" spans="1:1" ht="16" x14ac:dyDescent="0.2">
      <c r="A18" s="101" t="s">
        <v>541</v>
      </c>
    </row>
    <row r="19" spans="1:1" ht="16" x14ac:dyDescent="0.2">
      <c r="A19" s="100" t="s">
        <v>542</v>
      </c>
    </row>
    <row r="20" spans="1:1" ht="16" x14ac:dyDescent="0.2">
      <c r="A20" s="101" t="s">
        <v>543</v>
      </c>
    </row>
    <row r="21" spans="1:1" ht="16" x14ac:dyDescent="0.2">
      <c r="A21" s="100" t="s">
        <v>544</v>
      </c>
    </row>
    <row r="22" spans="1:1" ht="16" x14ac:dyDescent="0.2">
      <c r="A22" s="101" t="s">
        <v>545</v>
      </c>
    </row>
    <row r="23" spans="1:1" ht="16" x14ac:dyDescent="0.2">
      <c r="A23" s="100" t="s">
        <v>546</v>
      </c>
    </row>
    <row r="24" spans="1:1" ht="16" x14ac:dyDescent="0.2">
      <c r="A24" s="101" t="s">
        <v>547</v>
      </c>
    </row>
    <row r="25" spans="1:1" ht="16" x14ac:dyDescent="0.2">
      <c r="A25" s="100" t="s">
        <v>548</v>
      </c>
    </row>
    <row r="26" spans="1:1" ht="16" x14ac:dyDescent="0.2">
      <c r="A26" s="101" t="s">
        <v>549</v>
      </c>
    </row>
    <row r="27" spans="1:1" ht="16" x14ac:dyDescent="0.2">
      <c r="A27" s="100" t="s">
        <v>550</v>
      </c>
    </row>
    <row r="28" spans="1:1" ht="16" x14ac:dyDescent="0.2">
      <c r="A28" s="101" t="s">
        <v>551</v>
      </c>
    </row>
    <row r="29" spans="1:1" ht="16" x14ac:dyDescent="0.2">
      <c r="A29" s="100" t="s">
        <v>552</v>
      </c>
    </row>
    <row r="30" spans="1:1" ht="16" x14ac:dyDescent="0.2">
      <c r="A30" s="101" t="s">
        <v>553</v>
      </c>
    </row>
    <row r="31" spans="1:1" ht="16" x14ac:dyDescent="0.2">
      <c r="A31" s="100" t="s">
        <v>554</v>
      </c>
    </row>
    <row r="32" spans="1:1" ht="16" x14ac:dyDescent="0.2">
      <c r="A32" s="101" t="s">
        <v>555</v>
      </c>
    </row>
    <row r="33" spans="1:1" ht="16" x14ac:dyDescent="0.2">
      <c r="A33" s="100" t="s">
        <v>556</v>
      </c>
    </row>
    <row r="34" spans="1:1" ht="16" x14ac:dyDescent="0.2">
      <c r="A34" s="101" t="s">
        <v>557</v>
      </c>
    </row>
    <row r="35" spans="1:1" ht="16" x14ac:dyDescent="0.2">
      <c r="A35" s="100" t="s">
        <v>558</v>
      </c>
    </row>
    <row r="36" spans="1:1" ht="16" x14ac:dyDescent="0.2">
      <c r="A36" s="101" t="s">
        <v>559</v>
      </c>
    </row>
    <row r="37" spans="1:1" ht="16" x14ac:dyDescent="0.2">
      <c r="A37" s="100" t="s">
        <v>560</v>
      </c>
    </row>
    <row r="38" spans="1:1" ht="16" x14ac:dyDescent="0.2">
      <c r="A38" s="101" t="s">
        <v>561</v>
      </c>
    </row>
    <row r="39" spans="1:1" ht="16" x14ac:dyDescent="0.2">
      <c r="A39" s="100" t="s">
        <v>562</v>
      </c>
    </row>
    <row r="40" spans="1:1" ht="16" x14ac:dyDescent="0.2">
      <c r="A40" s="101" t="s">
        <v>563</v>
      </c>
    </row>
    <row r="41" spans="1:1" ht="16" x14ac:dyDescent="0.2">
      <c r="A41" s="100" t="s">
        <v>564</v>
      </c>
    </row>
    <row r="42" spans="1:1" ht="16" x14ac:dyDescent="0.2">
      <c r="A42" s="101" t="s">
        <v>565</v>
      </c>
    </row>
    <row r="43" spans="1:1" ht="16" x14ac:dyDescent="0.2">
      <c r="A43" s="100" t="s">
        <v>566</v>
      </c>
    </row>
    <row r="44" spans="1:1" ht="16" x14ac:dyDescent="0.2">
      <c r="A44" s="101" t="s">
        <v>567</v>
      </c>
    </row>
    <row r="45" spans="1:1" ht="16" x14ac:dyDescent="0.2">
      <c r="A45" s="100" t="s">
        <v>568</v>
      </c>
    </row>
    <row r="46" spans="1:1" ht="16" x14ac:dyDescent="0.2">
      <c r="A46" s="101" t="s">
        <v>569</v>
      </c>
    </row>
    <row r="47" spans="1:1" ht="16" x14ac:dyDescent="0.2">
      <c r="A47" s="100" t="s">
        <v>444</v>
      </c>
    </row>
    <row r="48" spans="1:1" ht="16" x14ac:dyDescent="0.2">
      <c r="A48" s="101" t="s">
        <v>445</v>
      </c>
    </row>
    <row r="49" spans="1:1" ht="16" x14ac:dyDescent="0.2">
      <c r="A49" s="100" t="s">
        <v>446</v>
      </c>
    </row>
    <row r="50" spans="1:1" ht="16" x14ac:dyDescent="0.2">
      <c r="A50" s="101" t="s">
        <v>570</v>
      </c>
    </row>
    <row r="51" spans="1:1" ht="16" x14ac:dyDescent="0.2">
      <c r="A51" s="100" t="s">
        <v>448</v>
      </c>
    </row>
    <row r="52" spans="1:1" ht="16" x14ac:dyDescent="0.2">
      <c r="A52" s="101" t="s">
        <v>571</v>
      </c>
    </row>
    <row r="53" spans="1:1" ht="16" x14ac:dyDescent="0.2">
      <c r="A53" s="100" t="s">
        <v>572</v>
      </c>
    </row>
    <row r="54" spans="1:1" ht="16" x14ac:dyDescent="0.2">
      <c r="A54" s="101" t="s">
        <v>477</v>
      </c>
    </row>
    <row r="55" spans="1:1" ht="16" x14ac:dyDescent="0.2">
      <c r="A55" s="100" t="s">
        <v>573</v>
      </c>
    </row>
    <row r="56" spans="1:1" ht="16" x14ac:dyDescent="0.2">
      <c r="A56" s="101" t="s">
        <v>574</v>
      </c>
    </row>
    <row r="57" spans="1:1" ht="16" x14ac:dyDescent="0.2">
      <c r="A57" s="100" t="s">
        <v>575</v>
      </c>
    </row>
    <row r="58" spans="1:1" ht="16" x14ac:dyDescent="0.2">
      <c r="A58" s="101" t="s">
        <v>576</v>
      </c>
    </row>
    <row r="59" spans="1:1" ht="16" x14ac:dyDescent="0.2">
      <c r="A59" s="100" t="s">
        <v>577</v>
      </c>
    </row>
    <row r="60" spans="1:1" ht="16" x14ac:dyDescent="0.2">
      <c r="A60" s="101" t="s">
        <v>578</v>
      </c>
    </row>
    <row r="61" spans="1:1" ht="16" x14ac:dyDescent="0.2">
      <c r="A61" s="100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FF3F-114A-7C40-948C-4CCE76A11B92}">
  <dimension ref="A1:AG62"/>
  <sheetViews>
    <sheetView tabSelected="1" zoomScale="110" zoomScaleNormal="110" workbookViewId="0">
      <selection activeCell="P38" sqref="P38:P57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97" t="s">
        <v>352</v>
      </c>
      <c r="B1" s="97"/>
      <c r="C1" s="97"/>
      <c r="D1" s="97"/>
      <c r="E1" s="97"/>
      <c r="F1" s="9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97"/>
      <c r="B2" s="97"/>
      <c r="C2" s="97"/>
      <c r="D2" s="97"/>
      <c r="E2" s="97"/>
      <c r="F2" s="97"/>
      <c r="G2">
        <v>10.74</v>
      </c>
      <c r="J2" s="60">
        <f>_xlfn.XLOOKUP("adp",mets27138[name w/o location],mets27138[raw (GSM) coefficient],0)</f>
        <v>139.462942</v>
      </c>
      <c r="K2" t="str" cm="1">
        <f t="array" ref="K2">_xlfn.LET(_xlpm.array,_xlfn._xlws.SORT(_xlfn._xlws.FILTER(_xlfn.HSTACK(mets27138[normalized coeff. w/ updated GAM]-mets27138[normalized coeffs],"MET-"&amp;mets27138[name]),(mets27138[category]="GAM")+(mets27138[name w/o location]="atp")+(mets27138[name w/o location]="pi"))),SUBSTITUTE(_xlfn.TEXTJOIN(" + ",TRUE,ABS(_xlfn.CHOOSECOLS(_xlpm.array,1))&amp;" "&amp;_xlfn.CHOOSECOLS(_xlpm.array,2))," + "," --&gt; ",2))</f>
        <v>128.722942 MET-h2o_c + 128.722942 MET-atp_c --&gt; 128.722942 MET-adp_c + 128.722942 MET-h_c + 128.722942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7.5341019728080508E-2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_xlfn.LET(_xlpm.coeffs,mets27138[coeff. w/o GAM],-SUM(_xlfn._xlws.FILTER(_xlpm.coeffs*mets27138[MW for biomass normalization (g/mol)],(IFERROR(_xlfn.NUMBERVALUE(_xlpm.coeffs),0)&lt;0)*(_xlfn.IFNA(mets27138[category],"ignore")&lt;&gt;"ignore")))/1000)</f>
        <v>2.9698864220227361</v>
      </c>
      <c r="H3" s="60" cm="1">
        <f t="array" ref="H3">_xlfn.LET(_xlpm.coeffs,mets27138[coeffs after extra operations],-SUM(_xlfn._xlws.FILTER(_xlpm.coeffs*mets27138[MW for biomass normalization (g/mol)],(IFERROR(_xlfn.NUMBERVALUE(_xlpm.coeffs),0)&lt;0)*(_xlfn.IFNA(mets27138[category],"ignore")&lt;&gt;"ignore")))/1000)</f>
        <v>2.9698864220227361</v>
      </c>
      <c r="I3" s="57" cm="1">
        <f t="array" ref="I3">_xlfn.LET(_xlpm.coeffs,mets27138[normalized coeffs],-SUM(_xlfn._xlws.FILTER(_xlpm.coeffs*mets27138[MW for biomass normalization (g/mol)],(IFERROR(_xlfn.NUMBERVALUE(_xlpm.coeffs),0)&lt;0)*(_xlfn.IFNA(mets27138[category],"ignore")&lt;&gt;"ignore")))/1000)</f>
        <v>1</v>
      </c>
      <c r="J3" s="60"/>
      <c r="L3" s="60"/>
      <c r="M3" s="60" t="e" cm="1">
        <f t="array" ref="M3">_xlfn.TEXTJOIN(","&amp;CHAR(10),TRUE,CHAR(34)&amp;mets27138[name]&amp;CHAR(34)&amp;":"&amp;mets27138[new GSM coeffs])</f>
        <v>#DIV/0!</v>
      </c>
      <c r="N3" s="60"/>
      <c r="O3" s="60"/>
      <c r="P3" s="60"/>
      <c r="Q3" s="60"/>
      <c r="R3" s="60"/>
      <c r="S3" s="60"/>
      <c r="T3" s="60"/>
      <c r="U3" s="60"/>
      <c r="V3" s="60" t="e" cm="1">
        <f t="array" ref="V3">_xlfn.LET(_xlpm.eqn,_xlfn.TEXTJOIN(" + ",TRUE,biomassComponents26127[new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#DIV/0!</v>
      </c>
      <c r="X3" s="57"/>
      <c r="Y3" s="57"/>
    </row>
    <row r="4" spans="1:33" ht="28" customHeight="1" x14ac:dyDescent="0.15">
      <c r="A4" s="57"/>
      <c r="B4" s="57"/>
      <c r="C4" s="57"/>
      <c r="D4" s="98" t="str">
        <f>HYPERLINK("[BIOMASS_RBA.xlsx]metaboliteInfo!A1","click here to add new metabolite MWs and categories")</f>
        <v>click here to add new metabolite MWs and categories</v>
      </c>
      <c r="E4" s="9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99" t="s">
        <v>579</v>
      </c>
      <c r="B6" t="str">
        <f>SUBSTITUTE(_xlfn.TEXTBEFORE(mets27138[[#This Row],[pasted JSON metabolite keys and values from GSM biomass rxn]],":"),CHAR(34),"")</f>
        <v>ppi_c</v>
      </c>
      <c r="C6" t="str">
        <f>_xlfn.TEXTBEFORE(mets27138[[#This Row],[name]],"_",-1)</f>
        <v>ppi</v>
      </c>
      <c r="D6">
        <f>_xlfn.XLOOKUP(mets27138[[#This Row],[name w/o location]],metaboliteInfo[name w/o location],metaboliteInfo[suggested category],"")</f>
        <v>0</v>
      </c>
      <c r="E6" s="37">
        <f>_xlfn.XLOOKUP(mets27138[[#This Row],[name w/o location]],metaboliteInfo[name w/o location],metaboliteInfo[MW for biomass normalization (g/mol)],0)</f>
        <v>174.95126200000001</v>
      </c>
      <c r="F6" s="37">
        <f>_xlfn.NUMBERVALUE(SUBSTITUTE(_xlfn.TEXTAFTER(mets27138[[#This Row],[pasted JSON metabolite keys and values from GSM biomass rxn]],":"),",",""))</f>
        <v>5.1287419999999999</v>
      </c>
      <c r="G6" s="37" cm="1">
        <f t="array" ref="G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5.1287419999999999</v>
      </c>
      <c r="H6" s="37">
        <f>mets27138[[#This Row],[coeff. w/o GAM]]</f>
        <v>5.1287419999999999</v>
      </c>
      <c r="I6" s="72">
        <f>H6/($H$3)</f>
        <v>1.726915198496684</v>
      </c>
      <c r="J6" s="37" cm="1">
        <f t="array" ref="J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1.726915198496684</v>
      </c>
      <c r="K6" t="str" cm="1">
        <f t="array" ref="K6">"BIOSYN-"&amp;_xlfn.IFS(IFERROR(MATCH(mets27138[[#This Row],[category]],{0,"0",""},0),0)&gt;0,mets27138[[#This Row],[name]],TRUE,mets27138[[#This Row],[category]]&amp;"-"&amp;mets27138[[#This Row],[name]])</f>
        <v>BIOSYN-ppi_c</v>
      </c>
      <c r="L6" s="73" t="str" cm="1">
        <f t="array" ref="L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MET-ppi_c --&gt; 0.174951 BIO-ppi_c</v>
      </c>
      <c r="M6" s="73" cm="1">
        <f t="array" ref="M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1.7242617250793584</v>
      </c>
      <c r="N6" s="73"/>
      <c r="O6" s="74" t="str" cm="1">
        <f t="array" ref="O6:O15">"BIOSYN-"&amp;_xlfn._xlws.SORT(_xlfn.UNIQUE(_xlfn._xlws.FILTER(mets27138[category],(mets27138[category]&lt;&gt;0)*(mets27138[category]&lt;&gt;"GAM")*(mets27138[category]&lt;&gt;"ignore"))))</f>
        <v>BIOSYN-</v>
      </c>
      <c r="P6" s="75" t="str">
        <f t="shared" ref="P6:P14" si="0">O6</f>
        <v>BIOSYN-</v>
      </c>
      <c r="Q6" s="75" t="str">
        <f>SUBSTITUTE(LOWER(biomassComponents26127[[#This Row],[rxn name]]),"biosyn-","BIO-")</f>
        <v>BIO-</v>
      </c>
      <c r="R6" s="76" cm="1">
        <f t="array" ref="R6">SUM(_xlfn._xlws.FILTER(-mets27138[MW for biomass normalization (g/mol)]*mets27138[normalized coeffs]/1000,mets27138[category]=_xlfn.TEXTAFTER(O6,"BIOSYN-"),""))</f>
        <v>0</v>
      </c>
      <c r="S6" s="83">
        <v>31.006451467927871</v>
      </c>
      <c r="T6" s="76" cm="1">
        <f t="array" ref="T6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6.1185328855125169E-2</v>
      </c>
      <c r="U6" s="75" t="e" cm="1">
        <f t="array" ref="U6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BIO-"&amp;mets27138[name],mets27138[category]=_xlfn.TEXTAFTER(O6,"BIOSYN-"),""))&amp;" --&gt; "&amp;biomassComponents26127[[#This Row],[product name]]</f>
        <v>#DIV/0!</v>
      </c>
      <c r="V6" s="75" t="e" cm="1">
        <f t="array" ref="V6">_xlfn.TEXTJOIN(" + ",TRUE,_xlfn._xlws.FILTER((-mets27138[normalized coeffs]*biomassComponents26127[[#This Row],[normalized coeffs]]/biomassComponents26127[[#This Row],[original coeffs from input]])&amp;" BIO-"&amp;mets27138[name],mets27138[category]=_xlfn.TEXTAFTER(P6,"BIOSYN-"),""))</f>
        <v>#DIV/0!</v>
      </c>
      <c r="Y6" s="77" t="s">
        <v>18</v>
      </c>
      <c r="Z6" t="str">
        <f>SUBSTITUTE(Z7," --&gt; "," + "&amp;K2)</f>
        <v>0.192688029995091 BIO-varbiom + 0.0804139023515599 BIO-carb + 0.000503949450244104 BIO-dna + 0.00413898220441537 BIO-lipid + 0.00853626099306161 BIO-metal + 0.149625268542784 BIO-other + 0.564093606462844 BIO-rna + 128.722942 MET-h2o_c + 128.722942 MET-atp_c --&gt; 128.722942 MET-adp_c + 128.722942 MET-h_c + 128.722942 MET-pi_c</v>
      </c>
      <c r="AB6" t="s">
        <v>2</v>
      </c>
      <c r="AC6" t="s">
        <v>3</v>
      </c>
    </row>
    <row r="7" spans="1:33" ht="16" x14ac:dyDescent="0.2">
      <c r="A7" s="99" t="s">
        <v>561</v>
      </c>
      <c r="B7" t="str">
        <f>SUBSTITUTE(_xlfn.TEXTBEFORE(mets27138[[#This Row],[pasted JSON metabolite keys and values from GSM biomass rxn]],":"),CHAR(34),"")</f>
        <v>ipcbiom_c</v>
      </c>
      <c r="C7" t="str">
        <f>_xlfn.TEXTBEFORE(mets27138[[#This Row],[name]],"_",-1)</f>
        <v>ipcbiom</v>
      </c>
      <c r="D7" t="str">
        <f>_xlfn.XLOOKUP(mets27138[[#This Row],[name w/o location]],metaboliteInfo[name w/o location],metaboliteInfo[suggested category],"")</f>
        <v/>
      </c>
      <c r="E7" s="37">
        <f>_xlfn.XLOOKUP(mets27138[[#This Row],[name w/o location]],metaboliteInfo[name w/o location],metaboliteInfo[MW for biomass normalization (g/mol)],0)</f>
        <v>0</v>
      </c>
      <c r="F7" s="37">
        <f>_xlfn.NUMBERVALUE(SUBSTITUTE(_xlfn.TEXTAFTER(mets27138[[#This Row],[pasted JSON metabolite keys and values from GSM biomass rxn]],":"),",",""))</f>
        <v>-3.8300000000000001E-3</v>
      </c>
      <c r="G7" s="37" cm="1">
        <f t="array" ref="G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-3.8300000000000001E-3</v>
      </c>
      <c r="H7" s="37">
        <f>mets27138[[#This Row],[coeff. w/o GAM]]</f>
        <v>-3.8300000000000001E-3</v>
      </c>
      <c r="I7" s="72">
        <f>H7/($H$3)</f>
        <v>-1.2896116065581578E-3</v>
      </c>
      <c r="J7" s="37" cm="1">
        <f t="array" ref="J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-1.2896116065581578E-3</v>
      </c>
      <c r="K7" t="str" cm="1">
        <f t="array" ref="K7">"BIOSYN-"&amp;_xlfn.IFS(IFERROR(MATCH(mets27138[[#This Row],[category]],{0,"0",""},0),0)&gt;0,mets27138[[#This Row],[name]],TRUE,mets27138[[#This Row],[category]]&amp;"-"&amp;mets27138[[#This Row],[name]])</f>
        <v>BIOSYN-ipcbiom_c</v>
      </c>
      <c r="L7" s="73" t="str" cm="1">
        <f t="array" ref="L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MET-ipcbiom_c --&gt; 0 BIO-ipcbiom_c</v>
      </c>
      <c r="M7" s="73" t="e" cm="1">
        <f t="array" ref="M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#DIV/0!</v>
      </c>
      <c r="N7" s="73"/>
      <c r="O7" s="74" t="str">
        <v>BIOSYN-CARB</v>
      </c>
      <c r="P7" s="75" t="str">
        <f t="shared" si="0"/>
        <v>BIOSYN-CARB</v>
      </c>
      <c r="Q7" s="75" t="str">
        <f>SUBSTITUTE(LOWER(biomassComponents26127[[#This Row],[rxn name]]),"biosyn-","BIO-")</f>
        <v>BIO-carb</v>
      </c>
      <c r="R7" s="76" cm="1">
        <f t="array" ref="R7">SUM(_xlfn._xlws.FILTER(-mets27138[MW for biomass normalization (g/mol)]*mets27138[normalized coeffs]/1000,mets27138[category]=_xlfn.TEXTAFTER(O7,"BIOSYN-"),""))</f>
        <v>8.0413902351559929E-2</v>
      </c>
      <c r="S7" s="83"/>
      <c r="T7" s="76" cm="1">
        <f t="array" ref="T7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8.0413902351559929E-2</v>
      </c>
      <c r="U7" s="75" t="str" cm="1">
        <f t="array" ref="U7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BIO-"&amp;mets27138[name],mets27138[category]=_xlfn.TEXTAFTER(O7,"BIOSYN-"),""))&amp;" --&gt; "&amp;biomassComponents26127[[#This Row],[product name]]</f>
        <v>0.260863 BIO-mannan_c + 0.404803 BIO-13BDglucan_c + 0.106527 BIO-16BDglucan_c + 0.011994 BIO-chtn_c + 0.195161 BIO-glycogen_c + 0.020652 BIO-tre_c --&gt; BIO-carb</v>
      </c>
      <c r="V7" s="75" t="str" cm="1">
        <f t="array" ref="V7">_xlfn.TEXTJOIN(" + ",TRUE,_xlfn._xlws.FILTER((-mets27138[normalized coeffs]*biomassComponents26127[[#This Row],[normalized coeffs]]/biomassComponents26127[[#This Row],[original coeffs from input]])&amp;" BIO-"&amp;mets27138[name],mets27138[category]=_xlfn.TEXTAFTER(P7,"BIOSYN-"),""))</f>
        <v>0.129375317908052 BIO-mannan_c + 0.20076255966513 BIO-13BDglucan_c + 0.0528323234304476 BIO-16BDglucan_c + 0.00474664616648834 BIO-chtn_c + 0.0967905701269944 BIO-glycogen_c + 0.00485170068900692 BIO-tre_c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_xlfn.LET(_xlpm.varbiom,_xlfn.HSTACK(_xlfn.VSTACK(Q6,Q12:Q13),_xlfn.VSTACK(T6,T12:T13)),_xlpm.non_varbiom,IFERROR(_xlfn.XLOOKUP(biomassComponents26127[product name],_xlfn.CHOOSECOLS(_xlpm.varbiom,1),LEFT(_xlfn.CHOOSECOLS(_xlpm.varbiom,1),0),biomassComponents26127[product name]),_xlfn.HSTACK(biomassComponents26127[product name],biomassComponents26127[normalized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0.192688029995091 BIO-varbiom + 0.0804139023515599 BIO-carb + 0.000503949450244104 BIO-dna + 0.00413898220441537 BIO-lipid + 0.00853626099306161 BIO-metal + 0.149625268542784 BIO-other + 0.564093606462844 BIO-rna --&gt; </v>
      </c>
      <c r="AB7" t="s">
        <v>4</v>
      </c>
      <c r="AC7" t="s">
        <v>5</v>
      </c>
    </row>
    <row r="8" spans="1:33" ht="16" x14ac:dyDescent="0.2">
      <c r="A8" s="99" t="s">
        <v>562</v>
      </c>
      <c r="B8" t="str">
        <f>SUBSTITUTE(_xlfn.TEXTBEFORE(mets27138[[#This Row],[pasted JSON metabolite keys and values from GSM biomass rxn]],":"),CHAR(34),"")</f>
        <v>ffabiom_c</v>
      </c>
      <c r="C8" t="str">
        <f>_xlfn.TEXTBEFORE(mets27138[[#This Row],[name]],"_",-1)</f>
        <v>ffabiom</v>
      </c>
      <c r="D8" t="str">
        <f>_xlfn.XLOOKUP(mets27138[[#This Row],[name w/o location]],metaboliteInfo[name w/o location],metaboliteInfo[suggested category],"")</f>
        <v/>
      </c>
      <c r="E8" s="37">
        <f>_xlfn.XLOOKUP(mets27138[[#This Row],[name w/o location]],metaboliteInfo[name w/o location],metaboliteInfo[MW for biomass normalization (g/mol)],0)</f>
        <v>0</v>
      </c>
      <c r="F8" s="37">
        <f>_xlfn.NUMBERVALUE(SUBSTITUTE(_xlfn.TEXTAFTER(mets27138[[#This Row],[pasted JSON metabolite keys and values from GSM biomass rxn]],":"),",",""))</f>
        <v>-1.474E-3</v>
      </c>
      <c r="G8" s="37" cm="1">
        <f t="array" ref="G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-1.474E-3</v>
      </c>
      <c r="H8" s="37">
        <f>mets27138[[#This Row],[coeff. w/o GAM]]</f>
        <v>-1.474E-3</v>
      </c>
      <c r="I8" s="72">
        <f>H8/($H$3)</f>
        <v>-4.9631527625763048E-4</v>
      </c>
      <c r="J8" s="37" cm="1">
        <f t="array" ref="J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-4.9631527625763048E-4</v>
      </c>
      <c r="K8" t="str" cm="1">
        <f t="array" ref="K8">"BIOSYN-"&amp;_xlfn.IFS(IFERROR(MATCH(mets27138[[#This Row],[category]],{0,"0",""},0),0)&gt;0,mets27138[[#This Row],[name]],TRUE,mets27138[[#This Row],[category]]&amp;"-"&amp;mets27138[[#This Row],[name]])</f>
        <v>BIOSYN-ffabiom_c</v>
      </c>
      <c r="L8" s="73" t="str" cm="1">
        <f t="array" ref="L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MET-ffabiom_c --&gt; 0 BIO-ffabiom_c</v>
      </c>
      <c r="M8" s="73" t="e" cm="1">
        <f t="array" ref="M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#DIV/0!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SUBSTITUTE(LOWER(biomassComponents26127[[#This Row],[rxn name]]),"biosyn-","BIO-")</f>
        <v>BIO-dna</v>
      </c>
      <c r="R8" s="76" cm="1">
        <f t="array" ref="R8">SUM(_xlfn._xlws.FILTER(-mets27138[MW for biomass normalization (g/mol)]*mets27138[normalized coeffs]/1000,mets27138[category]=_xlfn.TEXTAFTER(O8,"BIOSYN-"),""))</f>
        <v>1.372810937054342E-3</v>
      </c>
      <c r="S8" s="84">
        <v>0.25538285833653501</v>
      </c>
      <c r="T8" s="76" cm="1">
        <f t="array" ref="T8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5.0394945024410389E-4</v>
      </c>
      <c r="U8" s="75" t="str" cm="1">
        <f t="array" ref="U8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BIO-"&amp;mets27138[name],mets27138[category]=_xlfn.TEXTAFTER(O8,"BIOSYN-"),""))&amp;" --&gt; "&amp;biomassComponents26127[[#This Row],[product name]]</f>
        <v>0.302696 BIO-datp_c + 0.188578 BIO-dctp_c + 0.214769 BIO-dgtp_c + 0.293957 BIO-dttp_c --&gt; BIO-dna</v>
      </c>
      <c r="V8" s="75" t="str" cm="1">
        <f t="array" ref="V8">_xlfn.TEXTJOIN(" + ",TRUE,_xlfn._xlws.FILTER((-mets27138[normalized coeffs]*biomassComponents26127[[#This Row],[normalized coeffs]]/biomassComponents26127[[#This Row],[original coeffs from input]])&amp;" BIO-"&amp;mets27138[name],mets27138[category]=_xlfn.TEXTAFTER(P8,"BIOSYN-"),""))</f>
        <v>0.000488610976213964 BIO-datp_c + 0.000329778417540818 BIO-dctp_c + 0.000329778417540818 BIO-dgtp_c + 0.000488610976213964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99" t="s">
        <v>575</v>
      </c>
      <c r="B9" t="str">
        <f>SUBSTITUTE(_xlfn.TEXTBEFORE(mets27138[[#This Row],[pasted JSON metabolite keys and values from GSM biomass rxn]],":"),CHAR(34),"")</f>
        <v>amp_c</v>
      </c>
      <c r="C9" t="str">
        <f>_xlfn.TEXTBEFORE(mets27138[[#This Row],[name]],"_",-1)</f>
        <v>amp</v>
      </c>
      <c r="D9" t="str">
        <f>_xlfn.XLOOKUP(mets27138[[#This Row],[name w/o location]],metaboliteInfo[name w/o location],metaboliteInfo[suggested category],"")</f>
        <v/>
      </c>
      <c r="E9" s="37">
        <f>_xlfn.XLOOKUP(mets27138[[#This Row],[name w/o location]],metaboliteInfo[name w/o location],metaboliteInfo[MW for biomass normalization (g/mol)],0)</f>
        <v>0</v>
      </c>
      <c r="F9" s="37">
        <f>_xlfn.NUMBERVALUE(SUBSTITUTE(_xlfn.TEXTAFTER(mets27138[[#This Row],[pasted JSON metabolite keys and values from GSM biomass rxn]],":"),",",""))</f>
        <v>4.703201</v>
      </c>
      <c r="G9" s="37" cm="1">
        <f t="array" ref="G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4.703201</v>
      </c>
      <c r="H9" s="37">
        <f>mets27138[[#This Row],[coeff. w/o GAM]]</f>
        <v>4.703201</v>
      </c>
      <c r="I9" s="72">
        <f>H9/($H$3)</f>
        <v>1.5836299210381031</v>
      </c>
      <c r="J9" s="37" cm="1">
        <f t="array" ref="J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1.5836299210381031</v>
      </c>
      <c r="K9" t="str" cm="1">
        <f t="array" ref="K9">"BIOSYN-"&amp;_xlfn.IFS(IFERROR(MATCH(mets27138[[#This Row],[category]],{0,"0",""},0),0)&gt;0,mets27138[[#This Row],[name]],TRUE,mets27138[[#This Row],[category]]&amp;"-"&amp;mets27138[[#This Row],[name]])</f>
        <v>BIOSYN-amp_c</v>
      </c>
      <c r="L9" s="73" t="str" cm="1">
        <f t="array" ref="L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MET-amp_c --&gt; 0 BIO-amp_c</v>
      </c>
      <c r="M9" s="73" t="e" cm="1">
        <f t="array" ref="M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#DIV/0!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SUBSTITUTE(LOWER(biomassComponents26127[[#This Row],[rxn name]]),"biosyn-","BIO-")</f>
        <v>BIO-lipid</v>
      </c>
      <c r="R9" s="76" cm="1">
        <f t="array" ref="R9">SUM(_xlfn._xlws.FILTER(-mets27138[MW for biomass normalization (g/mol)]*mets27138[normalized coeffs]/1000,mets27138[category]=_xlfn.TEXTAFTER(O9,"BIOSYN-"),""))</f>
        <v>1.7664962355730614E-2</v>
      </c>
      <c r="S9" s="83">
        <v>2.0974824071256464</v>
      </c>
      <c r="T9" s="76" cm="1">
        <f t="array" ref="T9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4.1389822044153677E-3</v>
      </c>
      <c r="U9" s="75" t="str" cm="1">
        <f t="array" ref="U9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BIO-"&amp;mets27138[name],mets27138[category]=_xlfn.TEXTAFTER(O9,"BIOSYN-"),""))&amp;" --&gt; "&amp;biomassComponents26127[[#This Row],[product name]]</f>
        <v>0.200165 BIO-ergst_c + 0.113095 BIO-pail_c + 0.384789 BIO-pc_c + 0.097877 BIO-pe_c + 0.088807 BIO-ps_c + 0.115266 BIO-tag_c --&gt; BIO-lipid</v>
      </c>
      <c r="V9" s="75" t="str" cm="1">
        <f t="array" ref="V9">_xlfn.TEXTJOIN(" + ",TRUE,_xlfn._xlws.FILTER((-mets27138[normalized coeffs]*biomassComponents26127[[#This Row],[normalized coeffs]]/biomassComponents26127[[#This Row],[original coeffs from input]])&amp;" BIO-"&amp;mets27138[name],mets27138[category]=_xlfn.TEXTAFTER(P9,"BIOSYN-"),""))</f>
        <v>0.00208870434812752 BIO-ergst_c + 0.00054294479032346 BIO-pail_c + 0.00202582626066925 BIO-pc_c + 0.000544443766059604 BIO-pe_c + 0.000467601536217254 BIO-ps_c + 0.000538763436954215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99" t="s">
        <v>548</v>
      </c>
      <c r="B10" t="str">
        <f>SUBSTITUTE(_xlfn.TEXTBEFORE(mets27138[[#This Row],[pasted JSON metabolite keys and values from GSM biomass rxn]],":"),CHAR(34),"")</f>
        <v>mannan_c</v>
      </c>
      <c r="C10" t="str">
        <f>_xlfn.TEXTBEFORE(mets27138[[#This Row],[name]],"_",-1)</f>
        <v>mannan</v>
      </c>
      <c r="D10" t="str">
        <f>_xlfn.XLOOKUP(mets27138[[#This Row],[name w/o location]],metaboliteInfo[name w/o location],metaboliteInfo[suggested category],"")</f>
        <v>CARB</v>
      </c>
      <c r="E10" s="37">
        <f>_xlfn.XLOOKUP(mets27138[[#This Row],[name w/o location]],metaboliteInfo[name w/o location],metaboliteInfo[MW for biomass normalization (g/mol)],0)</f>
        <v>162.14060000000001</v>
      </c>
      <c r="F10" s="37">
        <f>_xlfn.NUMBERVALUE(SUBSTITUTE(_xlfn.TEXTAFTER(mets27138[[#This Row],[pasted JSON metabolite keys and values from GSM biomass rxn]],":"),",",""))</f>
        <v>-0.38423000000000002</v>
      </c>
      <c r="G10" s="37" cm="1">
        <f t="array" ref="G1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-0.38423000000000002</v>
      </c>
      <c r="H10" s="37">
        <f>mets27138[[#This Row],[coeff. w/o GAM]]</f>
        <v>-0.38423000000000002</v>
      </c>
      <c r="I10" s="72">
        <f>H10/($H$3)</f>
        <v>-0.12937531790805248</v>
      </c>
      <c r="J10" s="37" cm="1">
        <f t="array" ref="J1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-0.12937531790805248</v>
      </c>
      <c r="K10" t="str" cm="1">
        <f t="array" ref="K10">"BIOSYN-"&amp;_xlfn.IFS(IFERROR(MATCH(mets27138[[#This Row],[category]],{0,"0",""},0),0)&gt;0,mets27138[[#This Row],[name]],TRUE,mets27138[[#This Row],[category]]&amp;"-"&amp;mets27138[[#This Row],[name]])</f>
        <v>BIOSYN-CARB-mannan_c</v>
      </c>
      <c r="L10" s="73" t="str" cm="1">
        <f t="array" ref="L1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MET-mannan_c --&gt; 0.162141 BIO-mannan_c</v>
      </c>
      <c r="M10" s="73" cm="1">
        <f t="array" ref="M1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-0.12937531790805248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SUBSTITUTE(LOWER(biomassComponents26127[[#This Row],[rxn name]]),"biosyn-","BIO-")</f>
        <v>BIO-metal</v>
      </c>
      <c r="R10" s="76" cm="1">
        <f t="array" ref="R10">SUM(_xlfn._xlws.FILTER(-mets27138[MW for biomass normalization (g/mol)]*mets27138[normalized coeffs]/1000,mets27138[category]=_xlfn.TEXTAFTER(O10,"BIOSYN-"),""))</f>
        <v>8.5362609930616125E-3</v>
      </c>
      <c r="S10" s="76"/>
      <c r="T10" s="76" cm="1">
        <f t="array" ref="T10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8.5362609930616125E-3</v>
      </c>
      <c r="U10" s="75" t="str" cm="1">
        <f t="array" ref="U10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BIO-"&amp;mets27138[name],mets27138[category]=_xlfn.TEXTAFTER(O10,"BIOSYN-"),""))&amp;" --&gt; "&amp;biomassComponents26127[[#This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",TRUE,_xlfn._xlws.FILTER((-mets27138[normalized coeffs]*biomassComponents26127[[#This Row],[normalized coeffs]]/biomassComponents26127[[#This Row],[original coeffs from input]])&amp;" BIO-"&amp;mets27138[name],mets27138[category]=_xlfn.TEXTAFTER(P10,"BIOSYN-"),""))</f>
        <v>0.000433013192175925 BIO-ca2_c + 3.83853063048642E-05 BIO-cu2_c + 0.000223577573565174 BIO-fe2_c + 0.20325693114852 BIO-k_c + 0.0214173173520482 BIO-mg2_c + 0.000031651042040853 BIO-mn2_c + 0.000530660024004088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99" t="s">
        <v>549</v>
      </c>
      <c r="B11" t="str">
        <f>SUBSTITUTE(_xlfn.TEXTBEFORE(mets27138[[#This Row],[pasted JSON metabolite keys and values from GSM biomass rxn]],":"),CHAR(34),"")</f>
        <v>13BDglucan_c</v>
      </c>
      <c r="C11" t="str">
        <f>_xlfn.TEXTBEFORE(mets27138[[#This Row],[name]],"_",-1)</f>
        <v>13BDglucan</v>
      </c>
      <c r="D11" t="str">
        <f>_xlfn.XLOOKUP(mets27138[[#This Row],[name w/o location]],metaboliteInfo[name w/o location],metaboliteInfo[suggested category],"")</f>
        <v>CARB</v>
      </c>
      <c r="E11" s="37">
        <f>_xlfn.XLOOKUP(mets27138[[#This Row],[name w/o location]],metaboliteInfo[name w/o location],metaboliteInfo[MW for biomass normalization (g/mol)],0)</f>
        <v>162.14060000000001</v>
      </c>
      <c r="F11" s="37">
        <f>_xlfn.NUMBERVALUE(SUBSTITUTE(_xlfn.TEXTAFTER(mets27138[[#This Row],[pasted JSON metabolite keys and values from GSM biomass rxn]],":"),",",""))</f>
        <v>-0.59624200000000005</v>
      </c>
      <c r="G11" s="37" cm="1">
        <f t="array" ref="G1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-0.59624200000000005</v>
      </c>
      <c r="H11" s="37">
        <f>mets27138[[#This Row],[coeff. w/o GAM]]</f>
        <v>-0.59624200000000005</v>
      </c>
      <c r="I11" s="72">
        <f>H11/($H$3)</f>
        <v>-0.20076255966513035</v>
      </c>
      <c r="J11" s="37" cm="1">
        <f t="array" ref="J1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-0.20076255966513035</v>
      </c>
      <c r="K11" t="str" cm="1">
        <f t="array" ref="K11">"BIOSYN-"&amp;_xlfn.IFS(IFERROR(MATCH(mets27138[[#This Row],[category]],{0,"0",""},0),0)&gt;0,mets27138[[#This Row],[name]],TRUE,mets27138[[#This Row],[category]]&amp;"-"&amp;mets27138[[#This Row],[name]])</f>
        <v>BIOSYN-CARB-13BDglucan_c</v>
      </c>
      <c r="L11" s="73" t="str" cm="1">
        <f t="array" ref="L1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MET-13BDglucan_c --&gt; 0.162141 BIO-13BDglucan_c</v>
      </c>
      <c r="M11" s="73" cm="1">
        <f t="array" ref="M1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-0.20076255966513035</v>
      </c>
      <c r="N11" s="73"/>
      <c r="O11" s="74" t="str">
        <v>BIOSYN-other</v>
      </c>
      <c r="P11" s="75" t="str">
        <f t="shared" si="0"/>
        <v>BIOSYN-other</v>
      </c>
      <c r="Q11" s="75" t="str">
        <f>SUBSTITUTE(LOWER(biomassComponents26127[[#This Row],[rxn name]]),"biosyn-","BIO-")</f>
        <v>BIO-other</v>
      </c>
      <c r="R11" s="76" cm="1">
        <f t="array" ref="R11">SUM(_xlfn._xlws.FILTER(-mets27138[MW for biomass normalization (g/mol)]*mets27138[normalized coeffs]/1000,mets27138[category]=_xlfn.TEXTAFTER(O11,"BIOSYN-"),""))</f>
        <v>0.14962526854278405</v>
      </c>
      <c r="S11" s="76"/>
      <c r="T11" s="76" cm="1">
        <f t="array" ref="T11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0.14962526854278405</v>
      </c>
      <c r="U11" s="75" t="str" cm="1">
        <f t="array" ref="U11">_xlfn.TEXTJOIN(" + ",TRUE,_xlfn._xlws.FILTER(ROUND(-mets27138[MW for biomass normalization (g/mol)]*mets27138[normalized coeffs]*(biomassComponents26127[[#This Row],[normalized coeffs]]/biomassComponents26127[[#This Row],[original coeffs from input]])/(1000*biomassComponents26127[[#This Row],[normalized coeffs]]),6)&amp;" BIO-"&amp;mets27138[name],mets27138[category]=_xlfn.TEXTAFTER(O11,"BIOSYN-"),""))&amp;" --&gt; "&amp;biomassComponents26127[[#This Row],[product name]]</f>
        <v>1 BIO-ergstest_c --&gt; BIO-other</v>
      </c>
      <c r="V11" s="75" t="str" cm="1">
        <f t="array" ref="V11">_xlfn.TEXTJOIN(" + ",TRUE,_xlfn._xlws.FILTER((-mets27138[normalized coeffs]*biomassComponents26127[[#This Row],[normalized coeffs]]/biomassComponents26127[[#This Row],[original coeffs from input]])&amp;" BIO-"&amp;mets27138[name],mets27138[category]=_xlfn.TEXTAFTER(P11,"BIOSYN-"),""))</f>
        <v>0.00228224215907342 BIO-ergstest_c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99" t="s">
        <v>550</v>
      </c>
      <c r="B12" t="str">
        <f>SUBSTITUTE(_xlfn.TEXTBEFORE(mets27138[[#This Row],[pasted JSON metabolite keys and values from GSM biomass rxn]],":"),CHAR(34),"")</f>
        <v>16BDglucan_c</v>
      </c>
      <c r="C12" t="str">
        <f>_xlfn.TEXTBEFORE(mets27138[[#This Row],[name]],"_",-1)</f>
        <v>16BDglucan</v>
      </c>
      <c r="D12" t="str">
        <f>_xlfn.XLOOKUP(mets27138[[#This Row],[name w/o location]],metaboliteInfo[name w/o location],metaboliteInfo[suggested category],"")</f>
        <v>CARB</v>
      </c>
      <c r="E12" s="37">
        <f>_xlfn.XLOOKUP(mets27138[[#This Row],[name w/o location]],metaboliteInfo[name w/o location],metaboliteInfo[MW for biomass normalization (g/mol)],0)</f>
        <v>162.14060000000001</v>
      </c>
      <c r="F12" s="37">
        <f>_xlfn.NUMBERVALUE(SUBSTITUTE(_xlfn.TEXTAFTER(mets27138[[#This Row],[pasted JSON metabolite keys and values from GSM biomass rxn]],":"),",",""))</f>
        <v>-0.15690599999999999</v>
      </c>
      <c r="G12" s="37" cm="1">
        <f t="array" ref="G1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-0.15690599999999999</v>
      </c>
      <c r="H12" s="37">
        <f>mets27138[[#This Row],[coeff. w/o GAM]]</f>
        <v>-0.15690599999999999</v>
      </c>
      <c r="I12" s="72">
        <f>H12/($H$3)</f>
        <v>-5.2832323430447602E-2</v>
      </c>
      <c r="J12" s="37" cm="1">
        <f t="array" ref="J1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-5.2832323430447602E-2</v>
      </c>
      <c r="K12" t="str" cm="1">
        <f t="array" ref="K12">"BIOSYN-"&amp;_xlfn.IFS(IFERROR(MATCH(mets27138[[#This Row],[category]],{0,"0",""},0),0)&gt;0,mets27138[[#This Row],[name]],TRUE,mets27138[[#This Row],[category]]&amp;"-"&amp;mets27138[[#This Row],[name]])</f>
        <v>BIOSYN-CARB-16BDglucan_c</v>
      </c>
      <c r="L12" s="73" t="str" cm="1">
        <f t="array" ref="L1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MET-16BDglucan_c --&gt; 0.162141 BIO-16BDglucan_c</v>
      </c>
      <c r="M12" s="73" cm="1">
        <f t="array" ref="M1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-5.2832323430447602E-2</v>
      </c>
      <c r="N12" s="73"/>
      <c r="O12" s="74" t="str">
        <v>BIOSYN-PI</v>
      </c>
      <c r="P12" s="75" t="str">
        <f t="shared" si="0"/>
        <v>BIOSYN-PI</v>
      </c>
      <c r="Q12" s="75" t="s">
        <v>22</v>
      </c>
      <c r="R12" s="76" cm="1">
        <f t="array" ref="R12">SUM(_xlfn._xlws.FILTER(-mets27138[MW for biomass normalization (g/mol)]*mets27138[normalized coeffs]/1000,mets27138[category]=_xlfn.TEXTAFTER(O12,"BIOSYN-"),""))</f>
        <v>3.4145053399876725E-3</v>
      </c>
      <c r="S12" s="85">
        <v>58.068009171159375</v>
      </c>
      <c r="T12" s="76" cm="1">
        <f t="array" ref="T12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0.11458616090831396</v>
      </c>
      <c r="U12" s="75"/>
      <c r="V12" s="75" t="str" cm="1">
        <f t="array" ref="V12">_xlfn.TEXTJOIN(" + ",TRUE,_xlfn._xlws.FILTER((-mets27138[normalized coeffs]*biomassComponents26127[[#This Row],[normalized coeffs]]/biomassComponents26127[[#This Row],[original coeffs from input]])&amp;" BIO-"&amp;mets27138[name],mets27138[category]=_xlfn.TEXTAFTER(P12,"BIOSYN-"),""))</f>
        <v>1.19386325712368 BIO-pi_c</v>
      </c>
      <c r="X12" s="79" t="s">
        <v>54</v>
      </c>
      <c r="Y12" s="77" t="s">
        <v>57</v>
      </c>
      <c r="Z12" s="77" t="s">
        <v>58</v>
      </c>
      <c r="AB12" t="e" cm="1">
        <f t="array" ref="AB12">_xlfn.LET(_xlpm.macros,_xlfn._xlws.FILTER(_xlfn.HSTACK(_xlfn.ANCHORARRAY(O6),biomassComponents26127[stoichiometry (if needed)]),biomassComponents26127[stoichiometry (if needed)]&lt;&gt;""),_xlfn.VSTACK(_xlfn._xlws.FILTER(ExtraRxns25116[[name]:[stoichiometry]],ExtraRxns25116[stoichiometry]&lt;&gt;""),_xlpm.macros,_xlfn._xlws.SORT(_xlfn._xlws.FILTER(mets27138[[biomass equation name]:[biomass equation]],ISNUMBER(MATCH(mets27138[category],_xlfn.TEXTAFTER(biomassComponents26127[rxn name],"BIOSYN-"),0))*(mets27138[biomass equation]&lt;&gt;"")))))</f>
        <v>#VALUE!</v>
      </c>
    </row>
    <row r="13" spans="1:33" ht="16" x14ac:dyDescent="0.2">
      <c r="A13" s="99" t="s">
        <v>551</v>
      </c>
      <c r="B13" t="str">
        <f>SUBSTITUTE(_xlfn.TEXTBEFORE(mets27138[[#This Row],[pasted JSON metabolite keys and values from GSM biomass rxn]],":"),CHAR(34),"")</f>
        <v>chtn_c</v>
      </c>
      <c r="C13" t="str">
        <f>_xlfn.TEXTBEFORE(mets27138[[#This Row],[name]],"_",-1)</f>
        <v>chtn</v>
      </c>
      <c r="D13" t="str">
        <f>_xlfn.XLOOKUP(mets27138[[#This Row],[name w/o location]],metaboliteInfo[name w/o location],metaboliteInfo[suggested category],"")</f>
        <v>CARB</v>
      </c>
      <c r="E13" s="37">
        <f>_xlfn.XLOOKUP(mets27138[[#This Row],[name w/o location]],metaboliteInfo[name w/o location],metaboliteInfo[MW for biomass normalization (g/mol)],0)</f>
        <v>203.19252</v>
      </c>
      <c r="F13" s="37">
        <f>_xlfn.NUMBERVALUE(SUBSTITUTE(_xlfn.TEXTAFTER(mets27138[[#This Row],[pasted JSON metabolite keys and values from GSM biomass rxn]],":"),",",""))</f>
        <v>-1.4097E-2</v>
      </c>
      <c r="G13" s="37" cm="1">
        <f t="array" ref="G1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-1.4097E-2</v>
      </c>
      <c r="H13" s="37">
        <f>mets27138[[#This Row],[coeff. w/o GAM]]</f>
        <v>-1.4097E-2</v>
      </c>
      <c r="I13" s="72">
        <f>H13/($H$3)</f>
        <v>-4.7466461664883424E-3</v>
      </c>
      <c r="J13" s="37" cm="1">
        <f t="array" ref="J1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-4.7466461664883424E-3</v>
      </c>
      <c r="K13" t="str" cm="1">
        <f t="array" ref="K13">"BIOSYN-"&amp;_xlfn.IFS(IFERROR(MATCH(mets27138[[#This Row],[category]],{0,"0",""},0),0)&gt;0,mets27138[[#This Row],[name]],TRUE,mets27138[[#This Row],[category]]&amp;"-"&amp;mets27138[[#This Row],[name]])</f>
        <v>BIOSYN-CARB-chtn_c</v>
      </c>
      <c r="L13" s="73" t="str" cm="1">
        <f t="array" ref="L1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MET-chtn_c --&gt; 0.203193 BIO-chtn_c</v>
      </c>
      <c r="M13" s="73" cm="1">
        <f t="array" ref="M1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-4.7466461664883424E-3</v>
      </c>
      <c r="N13" s="73"/>
      <c r="O13" s="74" t="str">
        <v>BIOSYN-PROT</v>
      </c>
      <c r="P13" s="75" t="str">
        <f t="shared" si="0"/>
        <v>BIOSYN-PROT</v>
      </c>
      <c r="Q13" s="75" t="str">
        <f>SUBSTITUTE(LOWER(biomassComponents26127[[#This Row],[rxn name]]),"biosyn-","BIO-")</f>
        <v>BIO-prot</v>
      </c>
      <c r="R13" s="76" cm="1">
        <f t="array" ref="R13">SUM(_xlfn._xlws.FILTER(-mets27138[MW for biomass normalization (g/mol)]*mets27138[normalized coeffs]/1000,mets27138[category]=_xlfn.TEXTAFTER(O13,"BIOSYN-"),""))</f>
        <v>0.17386875801191395</v>
      </c>
      <c r="S13" s="83">
        <v>8.5726740954505853</v>
      </c>
      <c r="T13" s="76" cm="1">
        <f t="array" ref="T13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1.6916540231651671E-2</v>
      </c>
      <c r="U13" s="80" t="s">
        <v>89</v>
      </c>
      <c r="V13" s="75" t="str" cm="1">
        <f t="array" ref="V13">_xlfn.TEXTJOIN(" + ",TRUE,_xlfn._xlws.FILTER((-mets27138[normalized coeffs]*biomassComponents26127[[#This Row],[normalized coeffs]]/biomassComponents26127[[#This Row],[original coeffs from input]])&amp;" BIO-"&amp;mets27138[name],mets27138[category]=_xlfn.TEXTAFTER(P13,"BIOSYN-"),""))</f>
        <v>0.0150867216271455 BIO-alatrna_c + 0.00596057135849649 BIO-argtrna_c + 0.00716504288031904 BIO-asntrna_c + 0.00716504288031904 BIO-asptrna_c + 0.000216186356212452 BIO-cystrna_c + 0.0119520030818289 BIO-glntrna_c + 0.0119520030818289 BIO-glutrna_c + 0.0137278172392546 BIO-glytrna_c + 0.00298028567924824 BIO-histrna_c + 0.00909525714334093 BIO-iletrna_c + 0.0123689456118358 BIO-leutrna_c + 0.0101453285595673 BIO-lystrna_c + 0.00176038397500774 BIO-mettrna_c + 0.00580613849242807 BIO-phetrna_c + 0.00651648381168168 BIO-protrna_c + 0.00823051171849112 BIO-sertrna_c + 0.00860113094077199 BIO-thrtrna_c + 0.00100371534802805 BIO-trptrna_c + 0.00302660898697433 BIO-tyrtrna_c + 0.0113189069560817 BIO-valtrna_c</v>
      </c>
      <c r="X13" s="79" t="s">
        <v>54</v>
      </c>
      <c r="Y13" s="77" t="s">
        <v>61</v>
      </c>
      <c r="Z13" s="77" t="s">
        <v>62</v>
      </c>
    </row>
    <row r="14" spans="1:33" ht="16" x14ac:dyDescent="0.2">
      <c r="A14" s="99" t="s">
        <v>552</v>
      </c>
      <c r="B14" t="str">
        <f>SUBSTITUTE(_xlfn.TEXTBEFORE(mets27138[[#This Row],[pasted JSON metabolite keys and values from GSM biomass rxn]],":"),CHAR(34),"")</f>
        <v>glycogen_c</v>
      </c>
      <c r="C14" t="str">
        <f>_xlfn.TEXTBEFORE(mets27138[[#This Row],[name]],"_",-1)</f>
        <v>glycogen</v>
      </c>
      <c r="D14" t="str">
        <f>_xlfn.XLOOKUP(mets27138[[#This Row],[name w/o location]],metaboliteInfo[name w/o location],metaboliteInfo[suggested category],"")</f>
        <v>CARB</v>
      </c>
      <c r="E14" s="37">
        <f>_xlfn.XLOOKUP(mets27138[[#This Row],[name w/o location]],metaboliteInfo[name w/o location],metaboliteInfo[MW for biomass normalization (g/mol)],0)</f>
        <v>162.14060000000001</v>
      </c>
      <c r="F14" s="37">
        <f>_xlfn.NUMBERVALUE(SUBSTITUTE(_xlfn.TEXTAFTER(mets27138[[#This Row],[pasted JSON metabolite keys and values from GSM biomass rxn]],":"),",",""))</f>
        <v>-0.28745700000000002</v>
      </c>
      <c r="G14" s="37" cm="1">
        <f t="array" ref="G1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-0.28745700000000002</v>
      </c>
      <c r="H14" s="37">
        <f>mets27138[[#This Row],[coeff. w/o GAM]]</f>
        <v>-0.28745700000000002</v>
      </c>
      <c r="I14" s="72">
        <f>H14/($H$3)</f>
        <v>-9.6790570126994366E-2</v>
      </c>
      <c r="J14" s="37" cm="1">
        <f t="array" ref="J1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-9.6790570126994366E-2</v>
      </c>
      <c r="K14" t="str" cm="1">
        <f t="array" ref="K14">"BIOSYN-"&amp;_xlfn.IFS(IFERROR(MATCH(mets27138[[#This Row],[category]],{0,"0",""},0),0)&gt;0,mets27138[[#This Row],[name]],TRUE,mets27138[[#This Row],[category]]&amp;"-"&amp;mets27138[[#This Row],[name]])</f>
        <v>BIOSYN-CARB-glycogen_c</v>
      </c>
      <c r="L14" s="73" t="str" cm="1">
        <f t="array" ref="L1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MET-glycogen_c --&gt; 0.162141 BIO-glycogen_c</v>
      </c>
      <c r="M14" s="73" cm="1">
        <f t="array" ref="M1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-9.6790570126994366E-2</v>
      </c>
      <c r="N14" s="73"/>
      <c r="O14" s="74" t="str">
        <v>BIOSYN-RNA</v>
      </c>
      <c r="P14" s="75" t="str">
        <f t="shared" si="0"/>
        <v>BIOSYN-RNA</v>
      </c>
      <c r="Q14" s="75" t="str">
        <f>SUBSTITUTE(LOWER(biomassComponents26127[[#This Row],[rxn name]]),"biosyn-","BIO-")</f>
        <v>BIO-rna</v>
      </c>
      <c r="R14" s="76" cm="1">
        <f t="array" ref="R14">SUM(_xlfn._xlws.FILTER(-mets27138[MW for biomass normalization (g/mol)]*mets27138[normalized coeffs]/1000,mets27138[category]=_xlfn.TEXTAFTER(O14,"BIOSYN-"),""))</f>
        <v>0.56409360646284412</v>
      </c>
      <c r="S14" s="83"/>
      <c r="T14" s="76" cm="1">
        <f t="array" ref="T14">IF(biomassComponents26127[[#This Row],[pre-determined coeffs]]&lt;&gt;"",biomassComponents26127[[#This Row],[pre-determined coeffs]]*IF(SUM(biomassComponents26127[pre-determined coeffs])&gt;1,1/SUM(biomassComponents26127[pre-determined coeffs]),1)*(1-SUM(_xlfn._xlws.FILTER(biomassComponents26127[original coeffs from input],biomassComponents26127[pre-determined coeffs]=""))),biomassComponents26127[[#This Row],[original coeffs from input]])</f>
        <v>0.56409360646284412</v>
      </c>
      <c r="U14" s="75" t="str" cm="1">
        <f t="array" ref="U14">_xlfn.TEXTJOIN(" + ",TRUE,_xlfn._xlws.FILTER(ROUND(-mets27138[MW for biomass normalization (g/mol)]*mets27138[normalized coeffs]*(biomassComponents26127[[#This Row],[original coeffs from input]])/(1000*biomassComponents26127[[#This Row],[normalized coeffs]]),6)&amp;" BIO-"&amp;mets27138[name],mets27138[category]=_xlfn.TEXTAFTER(O14,"BIOSYN-"),""))&amp;" --&gt; "&amp;biomassComponents26127[[#This Row],[product name]]</f>
        <v>0.009601 BIO-ctp_c + 0.01118 BIO-gtp_c + 0.012907 BIO-utp_c + 0.530405 BIO-atp_c --&gt; BIO-rna</v>
      </c>
      <c r="V14" s="75" t="str" cm="1">
        <f t="array" ref="V14">_xlfn.TEXTJOIN(" + ",TRUE,_xlfn._xlws.FILTER((-mets27138[normalized coeffs]*biomassComponents26127[[#This Row],[normalized coeffs]]/biomassComponents26127[[#This Row],[original coeffs from input]])&amp;" BIO-"&amp;mets27138[name],mets27138[category]=_xlfn.TEXTAFTER(P14,"BIOSYN-"),""))</f>
        <v>0.0315641700318472 BIO-ctp_c + 0.0324823869642452 BIO-gtp_c + 0.0422975771290416 BIO-utp_c + 1.61611230800235 BIO-atp_c</v>
      </c>
      <c r="X14" s="79" t="s">
        <v>54</v>
      </c>
      <c r="Y14" s="77" t="s">
        <v>63</v>
      </c>
      <c r="Z14" s="77" t="s">
        <v>64</v>
      </c>
    </row>
    <row r="15" spans="1:33" ht="16" x14ac:dyDescent="0.2">
      <c r="A15" s="99" t="s">
        <v>553</v>
      </c>
      <c r="B15" t="str">
        <f>SUBSTITUTE(_xlfn.TEXTBEFORE(mets27138[[#This Row],[pasted JSON metabolite keys and values from GSM biomass rxn]],":"),CHAR(34),"")</f>
        <v>tre_c</v>
      </c>
      <c r="C15" t="str">
        <f>_xlfn.TEXTBEFORE(mets27138[[#This Row],[name]],"_",-1)</f>
        <v>tre</v>
      </c>
      <c r="D15" t="str">
        <f>_xlfn.XLOOKUP(mets27138[[#This Row],[name w/o location]],metaboliteInfo[name w/o location],metaboliteInfo[suggested category],"")</f>
        <v>CARB</v>
      </c>
      <c r="E15" s="37">
        <f>_xlfn.XLOOKUP(mets27138[[#This Row],[name w/o location]],metaboliteInfo[name w/o location],metaboliteInfo[MW for biomass normalization (g/mol)],0)</f>
        <v>342.29647999999997</v>
      </c>
      <c r="F15" s="37">
        <f>_xlfn.NUMBERVALUE(SUBSTITUTE(_xlfn.TEXTAFTER(mets27138[[#This Row],[pasted JSON metabolite keys and values from GSM biomass rxn]],":"),",",""))</f>
        <v>-1.4409E-2</v>
      </c>
      <c r="G15" s="37" cm="1">
        <f t="array" ref="G1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-1.4409E-2</v>
      </c>
      <c r="H15" s="37">
        <f>mets27138[[#This Row],[coeff. w/o GAM]]</f>
        <v>-1.4409E-2</v>
      </c>
      <c r="I15" s="72">
        <f>H15/($H$3)</f>
        <v>-4.8517006890069179E-3</v>
      </c>
      <c r="J15" s="37" cm="1">
        <f t="array" ref="J1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-4.8517006890069179E-3</v>
      </c>
      <c r="K15" t="str" cm="1">
        <f t="array" ref="K15">"BIOSYN-"&amp;_xlfn.IFS(IFERROR(MATCH(mets27138[[#This Row],[category]],{0,"0",""},0),0)&gt;0,mets27138[[#This Row],[name]],TRUE,mets27138[[#This Row],[category]]&amp;"-"&amp;mets27138[[#This Row],[name]])</f>
        <v>BIOSYN-CARB-tre_c</v>
      </c>
      <c r="L15" s="73" t="str" cm="1">
        <f t="array" ref="L1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MET-tre_c --&gt; 0.342296 BIO-tre_c</v>
      </c>
      <c r="M15" s="73" cm="1">
        <f t="array" ref="M1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-4.8517006890069179E-3</v>
      </c>
      <c r="N15" s="73"/>
      <c r="O15" s="73" t="str">
        <v>BIOSYN-SO4</v>
      </c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_xlfn.LET(_xlpm.RNAmass,_xlfn.XLOOKUP("BIOSYN-RNA",biomassComponents26127[rxn name],biomassComponents26127[normalized coeffs],0),_xlpm.coeff,1/_xlpm.RNAmass,_xlfn.TEXTJOIN(" + ",TRUE,_xlfn._xlws.FILTER(ROUND(-mets27138[MW for biomass normalization (g/mol)]*mets27138[normalized coeffs]/(1000),6)*_xlpm.coeff&amp;" BIO-"&amp;mets27138[name],mets27138[category]="RNA",""))&amp;" --&gt; "&amp;SUBSTITUTE(LOWER(ExtraRxns25116[[#This Row],[name]]),"biosyn-","BIO-"))</f>
        <v>0.0170202248173015 BIO-ctp_c + 0.0198194056303959 BIO-gtp_c + 0.0228809542461109 BIO-utp_c + 0.940278340195896 BIO-atp_c --&gt; BIO-trna</v>
      </c>
    </row>
    <row r="16" spans="1:33" ht="16" x14ac:dyDescent="0.2">
      <c r="A16" s="99" t="s">
        <v>566</v>
      </c>
      <c r="B16" t="str">
        <f>SUBSTITUTE(_xlfn.TEXTBEFORE(mets27138[[#This Row],[pasted JSON metabolite keys and values from GSM biomass rxn]],":"),CHAR(34),"")</f>
        <v>datp_c</v>
      </c>
      <c r="C16" t="str">
        <f>_xlfn.TEXTBEFORE(mets27138[[#This Row],[name]],"_",-1)</f>
        <v>datp</v>
      </c>
      <c r="D16" t="str">
        <f>_xlfn.XLOOKUP(mets27138[[#This Row],[name w/o location]],metaboliteInfo[name w/o location],metaboliteInfo[suggested category],"")</f>
        <v>DNA</v>
      </c>
      <c r="E16" s="37">
        <f>_xlfn.XLOOKUP(mets27138[[#This Row],[name w/o location]],metaboliteInfo[name w/o location],metaboliteInfo[MW for biomass normalization (g/mol)],0)</f>
        <v>312.19860099999994</v>
      </c>
      <c r="F16" s="37">
        <f>_xlfn.NUMBERVALUE(SUBSTITUTE(_xlfn.TEXTAFTER(mets27138[[#This Row],[pasted JSON metabolite keys and values from GSM biomass rxn]],":"),",",""))</f>
        <v>-3.9529999999999999E-3</v>
      </c>
      <c r="G16" s="37" cm="1">
        <f t="array" ref="G1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-3.9529999999999999E-3</v>
      </c>
      <c r="H16" s="37">
        <f>mets27138[[#This Row],[coeff. w/o GAM]]</f>
        <v>-3.9529999999999999E-3</v>
      </c>
      <c r="I16" s="72">
        <f>H16/($H$3)</f>
        <v>-1.3310273317818271E-3</v>
      </c>
      <c r="J16" s="37" cm="1">
        <f t="array" ref="J1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-1.3310273317818271E-3</v>
      </c>
      <c r="K16" t="str" cm="1">
        <f t="array" ref="K16">"BIOSYN-"&amp;_xlfn.IFS(IFERROR(MATCH(mets27138[[#This Row],[category]],{0,"0",""},0),0)&gt;0,mets27138[[#This Row],[name]],TRUE,mets27138[[#This Row],[category]]&amp;"-"&amp;mets27138[[#This Row],[name]])</f>
        <v>BIOSYN-DNA-datp_c</v>
      </c>
      <c r="L16" s="73" t="str" cm="1">
        <f t="array" ref="L1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MET-datp_c --&gt; MET-ppi_c + 0.312199 BIO-datp_c</v>
      </c>
      <c r="M16" s="73" cm="1">
        <f t="array" ref="M1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-4.8861097621396361E-4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_xlfn.LET(_xlpm.RNAmass,_xlfn.XLOOKUP("BIOSYN-RNA",biomassComponents26127[rxn name],biomassComponents26127[normalized coeffs],0),_xlpm.coeff,1/_xlpm.RNAmass,_xlfn.TEXTJOIN(" + ",TRUE,_xlfn._xlws.FILTER(ROUND(-mets27138[MW for biomass normalization (g/mol)]*mets27138[normalized coeffs]/(1000),6)*_xlpm.coeff&amp;" BIO-"&amp;mets27138[name],mets27138[category]="RNA",""))&amp;" --&gt; "&amp;SUBSTITUTE(LOWER(ExtraRxns25116[[#This Row],[name]]),"biosyn-","BIO-"))</f>
        <v>0.0170202248173015 BIO-ctp_c + 0.0198194056303959 BIO-gtp_c + 0.0228809542461109 BIO-utp_c + 0.940278340195896 BIO-atp_c --&gt; BIO-rrna</v>
      </c>
    </row>
    <row r="17" spans="1:26" ht="16" x14ac:dyDescent="0.2">
      <c r="A17" s="99" t="s">
        <v>567</v>
      </c>
      <c r="B17" t="str">
        <f>SUBSTITUTE(_xlfn.TEXTBEFORE(mets27138[[#This Row],[pasted JSON metabolite keys and values from GSM biomass rxn]],":"),CHAR(34),"")</f>
        <v>dctp_c</v>
      </c>
      <c r="C17" t="str">
        <f>_xlfn.TEXTBEFORE(mets27138[[#This Row],[name]],"_",-1)</f>
        <v>dctp</v>
      </c>
      <c r="D17" t="str">
        <f>_xlfn.XLOOKUP(mets27138[[#This Row],[name w/o location]],metaboliteInfo[name w/o location],metaboliteInfo[suggested category],"")</f>
        <v>DNA</v>
      </c>
      <c r="E17" s="37">
        <f>_xlfn.XLOOKUP(mets27138[[#This Row],[name w/o location]],metaboliteInfo[name w/o location],metaboliteInfo[MW for biomass normalization (g/mol)],0)</f>
        <v>288.173901</v>
      </c>
      <c r="F17" s="37">
        <f>_xlfn.NUMBERVALUE(SUBSTITUTE(_xlfn.TEXTAFTER(mets27138[[#This Row],[pasted JSON metabolite keys and values from GSM biomass rxn]],":"),",",""))</f>
        <v>-2.6679999999999998E-3</v>
      </c>
      <c r="G17" s="37" cm="1">
        <f t="array" ref="G1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-2.6679999999999998E-3</v>
      </c>
      <c r="H17" s="37">
        <f>mets27138[[#This Row],[coeff. w/o GAM]]</f>
        <v>-2.6679999999999998E-3</v>
      </c>
      <c r="I17" s="72">
        <f>H17/($H$3)</f>
        <v>-8.9835085281910311E-4</v>
      </c>
      <c r="J17" s="37" cm="1">
        <f t="array" ref="J1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-8.9835085281910311E-4</v>
      </c>
      <c r="K17" t="str" cm="1">
        <f t="array" ref="K17">"BIOSYN-"&amp;_xlfn.IFS(IFERROR(MATCH(mets27138[[#This Row],[category]],{0,"0",""},0),0)&gt;0,mets27138[[#This Row],[name]],TRUE,mets27138[[#This Row],[category]]&amp;"-"&amp;mets27138[[#This Row],[name]])</f>
        <v>BIOSYN-DNA-dctp_c</v>
      </c>
      <c r="L17" s="73" t="str" cm="1">
        <f t="array" ref="L1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MET-dctp_c --&gt; MET-ppi_c + 0.288174 BIO-dctp_c</v>
      </c>
      <c r="M17" s="73" cm="1">
        <f t="array" ref="M1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-3.2977841754081835E-4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_xlfn.LET(_xlpm.RNAmass,_xlfn.XLOOKUP("BIOSYN-RNA",biomassComponents26127[rxn name],biomassComponents26127[normalized coeffs],0),_xlpm.coeff,1/_xlpm.RNAmass,_xlfn.TEXTJOIN(" + ",TRUE,_xlfn._xlws.FILTER(ROUND(-mets27138[MW for biomass normalization (g/mol)]*mets27138[normalized coeffs]/(1000),6)*_xlpm.coeff&amp;" BIO-"&amp;mets27138[name],mets27138[category]="RNA",""))&amp;" --&gt; "&amp;SUBSTITUTE(LOWER(ExtraRxns25116[[#This Row],[name]]),"biosyn-","BIO-"))</f>
        <v>0.0170202248173015 BIO-ctp_c + 0.0198194056303959 BIO-gtp_c + 0.0228809542461109 BIO-utp_c + 0.940278340195896 BIO-atp_c --&gt; BIO-mrna</v>
      </c>
    </row>
    <row r="18" spans="1:26" ht="16" x14ac:dyDescent="0.2">
      <c r="A18" s="99" t="s">
        <v>568</v>
      </c>
      <c r="B18" t="str">
        <f>SUBSTITUTE(_xlfn.TEXTBEFORE(mets27138[[#This Row],[pasted JSON metabolite keys and values from GSM biomass rxn]],":"),CHAR(34),"")</f>
        <v>dgtp_c</v>
      </c>
      <c r="C18" t="str">
        <f>_xlfn.TEXTBEFORE(mets27138[[#This Row],[name]],"_",-1)</f>
        <v>dgtp</v>
      </c>
      <c r="D18" t="str">
        <f>_xlfn.XLOOKUP(mets27138[[#This Row],[name w/o location]],metaboliteInfo[name w/o location],metaboliteInfo[suggested category],"")</f>
        <v>DNA</v>
      </c>
      <c r="E18" s="37">
        <f>_xlfn.XLOOKUP(mets27138[[#This Row],[name w/o location]],metaboliteInfo[name w/o location],metaboliteInfo[MW for biomass normalization (g/mol)],0)</f>
        <v>328.19800099999998</v>
      </c>
      <c r="F18" s="37">
        <f>_xlfn.NUMBERVALUE(SUBSTITUTE(_xlfn.TEXTAFTER(mets27138[[#This Row],[pasted JSON metabolite keys and values from GSM biomass rxn]],":"),",",""))</f>
        <v>-2.6679999999999998E-3</v>
      </c>
      <c r="G18" s="37" cm="1">
        <f t="array" ref="G1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-2.6679999999999998E-3</v>
      </c>
      <c r="H18" s="37">
        <f>mets27138[[#This Row],[coeff. w/o GAM]]</f>
        <v>-2.6679999999999998E-3</v>
      </c>
      <c r="I18" s="72">
        <f>H18/($H$3)</f>
        <v>-8.9835085281910311E-4</v>
      </c>
      <c r="J18" s="37" cm="1">
        <f t="array" ref="J1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-8.9835085281910311E-4</v>
      </c>
      <c r="K18" t="str" cm="1">
        <f t="array" ref="K18">"BIOSYN-"&amp;_xlfn.IFS(IFERROR(MATCH(mets27138[[#This Row],[category]],{0,"0",""},0),0)&gt;0,mets27138[[#This Row],[name]],TRUE,mets27138[[#This Row],[category]]&amp;"-"&amp;mets27138[[#This Row],[name]])</f>
        <v>BIOSYN-DNA-dgtp_c</v>
      </c>
      <c r="L18" s="73" t="str" cm="1">
        <f t="array" ref="L1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MET-dgtp_c --&gt; MET-ppi_c + 0.328198 BIO-dgtp_c</v>
      </c>
      <c r="M18" s="73" cm="1">
        <f t="array" ref="M1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-3.2977841754081835E-4</v>
      </c>
      <c r="N18" s="73"/>
      <c r="O18" s="73"/>
      <c r="P18" s="73"/>
      <c r="Q18" s="73"/>
      <c r="R18" s="82"/>
      <c r="S18" s="73"/>
      <c r="T18" s="73"/>
      <c r="U18" s="73"/>
      <c r="V18" s="73"/>
    </row>
    <row r="19" spans="1:26" ht="16" x14ac:dyDescent="0.2">
      <c r="A19" s="99" t="s">
        <v>569</v>
      </c>
      <c r="B19" t="str">
        <f>SUBSTITUTE(_xlfn.TEXTBEFORE(mets27138[[#This Row],[pasted JSON metabolite keys and values from GSM biomass rxn]],":"),CHAR(34),"")</f>
        <v>dttp_c</v>
      </c>
      <c r="C19" t="str">
        <f>_xlfn.TEXTBEFORE(mets27138[[#This Row],[name]],"_",-1)</f>
        <v>dttp</v>
      </c>
      <c r="D19" t="str">
        <f>_xlfn.XLOOKUP(mets27138[[#This Row],[name w/o location]],metaboliteInfo[name w/o location],metaboliteInfo[suggested category],"")</f>
        <v>DNA</v>
      </c>
      <c r="E19" s="37">
        <f>_xlfn.XLOOKUP(mets27138[[#This Row],[name w/o location]],metaboliteInfo[name w/o location],metaboliteInfo[MW for biomass normalization (g/mol)],0)</f>
        <v>303.18524100000002</v>
      </c>
      <c r="F19" s="37">
        <f>_xlfn.NUMBERVALUE(SUBSTITUTE(_xlfn.TEXTAFTER(mets27138[[#This Row],[pasted JSON metabolite keys and values from GSM biomass rxn]],":"),",",""))</f>
        <v>-3.9529999999999999E-3</v>
      </c>
      <c r="G19" s="37" cm="1">
        <f t="array" ref="G1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-3.9529999999999999E-3</v>
      </c>
      <c r="H19" s="37">
        <f>mets27138[[#This Row],[coeff. w/o GAM]]</f>
        <v>-3.9529999999999999E-3</v>
      </c>
      <c r="I19" s="72">
        <f>H19/($H$3)</f>
        <v>-1.3310273317818271E-3</v>
      </c>
      <c r="J19" s="37" cm="1">
        <f t="array" ref="J1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-1.3310273317818271E-3</v>
      </c>
      <c r="K19" t="str" cm="1">
        <f t="array" ref="K19">"BIOSYN-"&amp;_xlfn.IFS(IFERROR(MATCH(mets27138[[#This Row],[category]],{0,"0",""},0),0)&gt;0,mets27138[[#This Row],[name]],TRUE,mets27138[[#This Row],[category]]&amp;"-"&amp;mets27138[[#This Row],[name]])</f>
        <v>BIOSYN-DNA-dttp_c</v>
      </c>
      <c r="L19" s="73" t="str" cm="1">
        <f t="array" ref="L1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MET-dttp_c --&gt; MET-ppi_c + 0.303185 BIO-dttp_c</v>
      </c>
      <c r="M19" s="73" cm="1">
        <f t="array" ref="M1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-4.8861097621396361E-4</v>
      </c>
      <c r="N19" s="73"/>
      <c r="O19" s="73"/>
      <c r="P19" s="73"/>
      <c r="Q19" s="73"/>
      <c r="R19" s="73"/>
      <c r="S19" s="73"/>
      <c r="T19" s="73"/>
      <c r="U19" s="73"/>
      <c r="V19" s="73"/>
    </row>
    <row r="20" spans="1:26" ht="16" x14ac:dyDescent="0.2">
      <c r="A20" s="99" t="s">
        <v>574</v>
      </c>
      <c r="B20" t="str">
        <f>SUBSTITUTE(_xlfn.TEXTBEFORE(mets27138[[#This Row],[pasted JSON metabolite keys and values from GSM biomass rxn]],":"),CHAR(34),"")</f>
        <v>h2o_c</v>
      </c>
      <c r="C20" t="str">
        <f>_xlfn.TEXTBEFORE(mets27138[[#This Row],[name]],"_",-1)</f>
        <v>h2o</v>
      </c>
      <c r="D20" t="str">
        <f>_xlfn.XLOOKUP(mets27138[[#This Row],[name w/o location]],metaboliteInfo[name w/o location],metaboliteInfo[suggested category],"")</f>
        <v>GAM</v>
      </c>
      <c r="E20" s="37">
        <f>_xlfn.XLOOKUP(mets27138[[#This Row],[name w/o location]],metaboliteInfo[name w/o location],metaboliteInfo[MW for biomass normalization (g/mol)],0)</f>
        <v>18.015280000000001</v>
      </c>
      <c r="F20" s="37">
        <f>_xlfn.NUMBERVALUE(SUBSTITUTE(_xlfn.TEXTAFTER(mets27138[[#This Row],[pasted JSON metabolite keys and values from GSM biomass rxn]],":"),",",""))</f>
        <v>-134.75974099999999</v>
      </c>
      <c r="G20" s="37" cm="1">
        <f t="array" ref="G2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4.7032010000000071</v>
      </c>
      <c r="H20" s="37">
        <f>mets27138[[#This Row],[coeff. w/o GAM]]</f>
        <v>4.7032010000000071</v>
      </c>
      <c r="I20" s="72">
        <f>H20/($H$3)</f>
        <v>1.5836299210381055</v>
      </c>
      <c r="J20" s="37" cm="1">
        <f t="array" ref="J2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-127.13931207896188</v>
      </c>
      <c r="K20" t="str" cm="1">
        <f t="array" ref="K20">"BIOSYN-"&amp;_xlfn.IFS(IFERROR(MATCH(mets27138[[#This Row],[category]],{0,"0",""},0),0)&gt;0,mets27138[[#This Row],[name]],TRUE,mets27138[[#This Row],[category]]&amp;"-"&amp;mets27138[[#This Row],[name]])</f>
        <v>BIOSYN-GAM-h2o_c</v>
      </c>
      <c r="L20" s="73" t="str" cm="1">
        <f t="array" ref="L2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MET-h2o_c --&gt; 0.018015 BIO-h2o_c</v>
      </c>
      <c r="M20" s="73" cm="1">
        <f t="array" ref="M2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-137.8793120789619</v>
      </c>
      <c r="N20" s="73"/>
      <c r="O20" s="73"/>
      <c r="P20" s="73"/>
      <c r="Q20" s="73"/>
      <c r="R20" s="73"/>
      <c r="S20" s="73"/>
      <c r="T20" s="73"/>
      <c r="U20" s="73"/>
      <c r="V20" s="73"/>
    </row>
    <row r="21" spans="1:26" ht="16" x14ac:dyDescent="0.2">
      <c r="A21" s="99" t="s">
        <v>576</v>
      </c>
      <c r="B21" t="str">
        <f>SUBSTITUTE(_xlfn.TEXTBEFORE(mets27138[[#This Row],[pasted JSON metabolite keys and values from GSM biomass rxn]],":"),CHAR(34),"")</f>
        <v>adp_c</v>
      </c>
      <c r="C21" t="str">
        <f>_xlfn.TEXTBEFORE(mets27138[[#This Row],[name]],"_",-1)</f>
        <v>adp</v>
      </c>
      <c r="D21" t="str">
        <f>_xlfn.XLOOKUP(mets27138[[#This Row],[name w/o location]],metaboliteInfo[name w/o location],metaboliteInfo[suggested category],"")</f>
        <v>GAM</v>
      </c>
      <c r="E21" s="37">
        <f>_xlfn.XLOOKUP(mets27138[[#This Row],[name w/o location]],metaboliteInfo[name w/o location],metaboliteInfo[MW for biomass normalization (g/mol)],0)</f>
        <v>424.177302</v>
      </c>
      <c r="F21" s="37">
        <f>_xlfn.NUMBERVALUE(SUBSTITUTE(_xlfn.TEXTAFTER(mets27138[[#This Row],[pasted JSON metabolite keys and values from GSM biomass rxn]],":"),",",""))</f>
        <v>139.462942</v>
      </c>
      <c r="G21" s="37" cm="1">
        <f t="array" ref="G2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0</v>
      </c>
      <c r="H21" s="37">
        <f>mets27138[[#This Row],[coeff. w/o GAM]]</f>
        <v>0</v>
      </c>
      <c r="I21" s="72">
        <f>H21/($H$3)</f>
        <v>0</v>
      </c>
      <c r="J21" s="37" cm="1">
        <f t="array" ref="J2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128.72294199999999</v>
      </c>
      <c r="K21" t="str" cm="1">
        <f t="array" ref="K21">"BIOSYN-"&amp;_xlfn.IFS(IFERROR(MATCH(mets27138[[#This Row],[category]],{0,"0",""},0),0)&gt;0,mets27138[[#This Row],[name]],TRUE,mets27138[[#This Row],[category]]&amp;"-"&amp;mets27138[[#This Row],[name]])</f>
        <v>BIOSYN-GAM-adp_c</v>
      </c>
      <c r="L21" s="73" t="str" cm="1">
        <f t="array" ref="L2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MET-adp_c --&gt; 0.424177 BIO-adp_c</v>
      </c>
      <c r="M21" s="73" cm="1">
        <f t="array" ref="M2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139.462942</v>
      </c>
      <c r="N21" s="73"/>
      <c r="O21" s="73"/>
      <c r="P21" s="73"/>
      <c r="Q21" s="73"/>
      <c r="R21" s="73"/>
      <c r="S21" s="73"/>
      <c r="T21" s="73"/>
      <c r="U21" s="73"/>
      <c r="V21" s="73"/>
    </row>
    <row r="22" spans="1:26" ht="16" x14ac:dyDescent="0.2">
      <c r="A22" s="99" t="s">
        <v>577</v>
      </c>
      <c r="B22" t="str">
        <f>SUBSTITUTE(_xlfn.TEXTBEFORE(mets27138[[#This Row],[pasted JSON metabolite keys and values from GSM biomass rxn]],":"),CHAR(34),"")</f>
        <v>h_c</v>
      </c>
      <c r="C22" t="str">
        <f>_xlfn.TEXTBEFORE(mets27138[[#This Row],[name]],"_",-1)</f>
        <v>h</v>
      </c>
      <c r="D22" t="str">
        <f>_xlfn.XLOOKUP(mets27138[[#This Row],[name w/o location]],metaboliteInfo[name w/o location],metaboliteInfo[suggested category],"")</f>
        <v>GAM</v>
      </c>
      <c r="E22" s="37">
        <f>_xlfn.XLOOKUP(mets27138[[#This Row],[name w/o location]],metaboliteInfo[name w/o location],metaboliteInfo[MW for biomass normalization (g/mol)],0)</f>
        <v>1.0079400000000001</v>
      </c>
      <c r="F22" s="37">
        <f>_xlfn.NUMBERVALUE(SUBSTITUTE(_xlfn.TEXTAFTER(mets27138[[#This Row],[pasted JSON metabolite keys and values from GSM biomass rxn]],":"),",",""))</f>
        <v>139.462942</v>
      </c>
      <c r="G22" s="37" cm="1">
        <f t="array" ref="G2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0</v>
      </c>
      <c r="H22" s="37">
        <f>mets27138[[#This Row],[coeff. w/o GAM]]</f>
        <v>0</v>
      </c>
      <c r="I22" s="72">
        <f>H22/($H$3)</f>
        <v>0</v>
      </c>
      <c r="J22" s="37" cm="1">
        <f t="array" ref="J2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128.72294199999999</v>
      </c>
      <c r="K22" t="str" cm="1">
        <f t="array" ref="K22">"BIOSYN-"&amp;_xlfn.IFS(IFERROR(MATCH(mets27138[[#This Row],[category]],{0,"0",""},0),0)&gt;0,mets27138[[#This Row],[name]],TRUE,mets27138[[#This Row],[category]]&amp;"-"&amp;mets27138[[#This Row],[name]])</f>
        <v>BIOSYN-GAM-h_c</v>
      </c>
      <c r="L22" s="73" t="str" cm="1">
        <f t="array" ref="L2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MET-h_c --&gt; 0.001008 BIO-h_c</v>
      </c>
      <c r="M22" s="73" cm="1">
        <f t="array" ref="M2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139.462942</v>
      </c>
      <c r="N22" s="73"/>
      <c r="O22" s="73"/>
      <c r="P22" s="73"/>
      <c r="Q22" s="73"/>
      <c r="R22" s="73"/>
      <c r="S22" s="73"/>
      <c r="T22" s="73"/>
      <c r="U22" s="73"/>
      <c r="V22" s="73"/>
    </row>
    <row r="23" spans="1:26" ht="16" x14ac:dyDescent="0.2">
      <c r="A23" s="99" t="s">
        <v>555</v>
      </c>
      <c r="B23" t="str">
        <f>SUBSTITUTE(_xlfn.TEXTBEFORE(mets27138[[#This Row],[pasted JSON metabolite keys and values from GSM biomass rxn]],":"),CHAR(34),"")</f>
        <v>ergst_c</v>
      </c>
      <c r="C23" t="str">
        <f>_xlfn.TEXTBEFORE(mets27138[[#This Row],[name]],"_",-1)</f>
        <v>ergst</v>
      </c>
      <c r="D23" t="str">
        <f>_xlfn.XLOOKUP(mets27138[[#This Row],[name w/o location]],metaboliteInfo[name w/o location],metaboliteInfo[suggested category],"")</f>
        <v>LIPID</v>
      </c>
      <c r="E23" s="37">
        <f>_xlfn.XLOOKUP(mets27138[[#This Row],[name w/o location]],metaboliteInfo[name w/o location],metaboliteInfo[MW for biomass normalization (g/mol)],0)</f>
        <v>396.648359999999</v>
      </c>
      <c r="F23" s="37">
        <f>_xlfn.NUMBERVALUE(SUBSTITUTE(_xlfn.TEXTAFTER(mets27138[[#This Row],[pasted JSON metabolite keys and values from GSM biomass rxn]],":"),",",""))</f>
        <v>-2.6474999999999999E-2</v>
      </c>
      <c r="G23" s="37" cm="1">
        <f t="array" ref="G2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-2.6474999999999999E-2</v>
      </c>
      <c r="H23" s="37">
        <f>mets27138[[#This Row],[coeff. w/o GAM]]</f>
        <v>-2.6474999999999999E-2</v>
      </c>
      <c r="I23" s="72">
        <f>H23/($H$3)</f>
        <v>-8.9144823194849156E-3</v>
      </c>
      <c r="J23" s="37" cm="1">
        <f t="array" ref="J2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-8.9144823194849156E-3</v>
      </c>
      <c r="K23" t="str" cm="1">
        <f t="array" ref="K23">"BIOSYN-"&amp;_xlfn.IFS(IFERROR(MATCH(mets27138[[#This Row],[category]],{0,"0",""},0),0)&gt;0,mets27138[[#This Row],[name]],TRUE,mets27138[[#This Row],[category]]&amp;"-"&amp;mets27138[[#This Row],[name]])</f>
        <v>BIOSYN-LIPID-ergst_c</v>
      </c>
      <c r="L23" s="73" t="str" cm="1">
        <f t="array" ref="L2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MET-ergst_c --&gt; 0.396648 BIO-ergst_c</v>
      </c>
      <c r="M23" s="73" cm="1">
        <f t="array" ref="M2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-2.0887043481275201E-3</v>
      </c>
      <c r="N23" s="73"/>
      <c r="O23" s="73"/>
      <c r="P23" s="73"/>
      <c r="Q23" s="73"/>
      <c r="R23" s="73"/>
      <c r="S23" s="73"/>
      <c r="T23" s="73"/>
      <c r="U23" s="73"/>
      <c r="V23" s="73"/>
    </row>
    <row r="24" spans="1:26" ht="16" x14ac:dyDescent="0.2">
      <c r="A24" s="99" t="s">
        <v>556</v>
      </c>
      <c r="B24" t="str">
        <f>SUBSTITUTE(_xlfn.TEXTBEFORE(mets27138[[#This Row],[pasted JSON metabolite keys and values from GSM biomass rxn]],":"),CHAR(34),"")</f>
        <v>pail_c</v>
      </c>
      <c r="C24" t="str">
        <f>_xlfn.TEXTBEFORE(mets27138[[#This Row],[name]],"_",-1)</f>
        <v>pail</v>
      </c>
      <c r="D24" t="str">
        <f>_xlfn.XLOOKUP(mets27138[[#This Row],[name w/o location]],metaboliteInfo[name w/o location],metaboliteInfo[suggested category],"")</f>
        <v>LIPID</v>
      </c>
      <c r="E24" s="37">
        <f>_xlfn.XLOOKUP(mets27138[[#This Row],[name w/o location]],metaboliteInfo[name w/o location],metaboliteInfo[MW for biomass normalization (g/mol)],0)</f>
        <v>862.14885442176001</v>
      </c>
      <c r="F24" s="37">
        <f>_xlfn.NUMBERVALUE(SUBSTITUTE(_xlfn.TEXTAFTER(mets27138[[#This Row],[pasted JSON metabolite keys and values from GSM biomass rxn]],":"),",",""))</f>
        <v>-6.8820000000000001E-3</v>
      </c>
      <c r="G24" s="37" cm="1">
        <f t="array" ref="G2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-6.8820000000000001E-3</v>
      </c>
      <c r="H24" s="37">
        <f>mets27138[[#This Row],[coeff. w/o GAM]]</f>
        <v>-6.8820000000000001E-3</v>
      </c>
      <c r="I24" s="72">
        <f>H24/($H$3)</f>
        <v>-2.3172603332462776E-3</v>
      </c>
      <c r="J24" s="37" cm="1">
        <f t="array" ref="J2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-2.3172603332462776E-3</v>
      </c>
      <c r="K24" t="str" cm="1">
        <f t="array" ref="K24">"BIOSYN-"&amp;_xlfn.IFS(IFERROR(MATCH(mets27138[[#This Row],[category]],{0,"0",""},0),0)&gt;0,mets27138[[#This Row],[name]],TRUE,mets27138[[#This Row],[category]]&amp;"-"&amp;mets27138[[#This Row],[name]])</f>
        <v>BIOSYN-LIPID-pail_c</v>
      </c>
      <c r="L24" s="73" t="str" cm="1">
        <f t="array" ref="L2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MET-pail_c --&gt; 0.862149 BIO-pail_c</v>
      </c>
      <c r="M24" s="73" cm="1">
        <f t="array" ref="M2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-5.4294479032345974E-4</v>
      </c>
      <c r="N24" s="73"/>
      <c r="O24" s="73"/>
      <c r="P24" s="73"/>
      <c r="Q24" s="73"/>
      <c r="R24" s="73"/>
      <c r="S24" s="73"/>
      <c r="T24" s="73"/>
      <c r="U24" s="73"/>
      <c r="V24" s="73"/>
    </row>
    <row r="25" spans="1:26" ht="16" x14ac:dyDescent="0.2">
      <c r="A25" s="99" t="s">
        <v>557</v>
      </c>
      <c r="B25" t="str">
        <f>SUBSTITUTE(_xlfn.TEXTBEFORE(mets27138[[#This Row],[pasted JSON metabolite keys and values from GSM biomass rxn]],":"),CHAR(34),"")</f>
        <v>pc_c</v>
      </c>
      <c r="C25" t="str">
        <f>_xlfn.TEXTBEFORE(mets27138[[#This Row],[name]],"_",-1)</f>
        <v>pc</v>
      </c>
      <c r="D25" t="str">
        <f>_xlfn.XLOOKUP(mets27138[[#This Row],[name w/o location]],metaboliteInfo[name w/o location],metaboliteInfo[suggested category],"")</f>
        <v>LIPID</v>
      </c>
      <c r="E25" s="37">
        <f>_xlfn.XLOOKUP(mets27138[[#This Row],[name w/o location]],metaboliteInfo[name w/o location],metaboliteInfo[MW for biomass normalization (g/mol)],0)</f>
        <v>786.16573442176002</v>
      </c>
      <c r="F25" s="37">
        <f>_xlfn.NUMBERVALUE(SUBSTITUTE(_xlfn.TEXTAFTER(mets27138[[#This Row],[pasted JSON metabolite keys and values from GSM biomass rxn]],":"),",",""))</f>
        <v>-2.5677999999999999E-2</v>
      </c>
      <c r="G25" s="37" cm="1">
        <f t="array" ref="G2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-2.5677999999999999E-2</v>
      </c>
      <c r="H25" s="37">
        <f>mets27138[[#This Row],[coeff. w/o GAM]]</f>
        <v>-2.5677999999999999E-2</v>
      </c>
      <c r="I25" s="72">
        <f>H25/($H$3)</f>
        <v>-8.6461218885640675E-3</v>
      </c>
      <c r="J25" s="37" cm="1">
        <f t="array" ref="J2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-8.6461218885640675E-3</v>
      </c>
      <c r="K25" t="str" cm="1">
        <f t="array" ref="K25">"BIOSYN-"&amp;_xlfn.IFS(IFERROR(MATCH(mets27138[[#This Row],[category]],{0,"0",""},0),0)&gt;0,mets27138[[#This Row],[name]],TRUE,mets27138[[#This Row],[category]]&amp;"-"&amp;mets27138[[#This Row],[name]])</f>
        <v>BIOSYN-LIPID-pc_c</v>
      </c>
      <c r="L25" s="73" t="str" cm="1">
        <f t="array" ref="L2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MET-pc_c --&gt; 0.786166 BIO-pc_c</v>
      </c>
      <c r="M25" s="73" cm="1">
        <f t="array" ref="M2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-2.0258262606692528E-3</v>
      </c>
      <c r="N25" s="73"/>
      <c r="O25" s="73"/>
      <c r="P25" s="73"/>
      <c r="Q25" s="73"/>
      <c r="R25" s="73"/>
      <c r="S25" s="73"/>
      <c r="T25" s="73"/>
      <c r="U25" s="73"/>
      <c r="V25" s="73"/>
    </row>
    <row r="26" spans="1:26" ht="16" x14ac:dyDescent="0.2">
      <c r="A26" s="99" t="s">
        <v>558</v>
      </c>
      <c r="B26" t="str">
        <f>SUBSTITUTE(_xlfn.TEXTBEFORE(mets27138[[#This Row],[pasted JSON metabolite keys and values from GSM biomass rxn]],":"),CHAR(34),"")</f>
        <v>pe_c</v>
      </c>
      <c r="C26" t="str">
        <f>_xlfn.TEXTBEFORE(mets27138[[#This Row],[name]],"_",-1)</f>
        <v>pe</v>
      </c>
      <c r="D26" t="str">
        <f>_xlfn.XLOOKUP(mets27138[[#This Row],[name w/o location]],metaboliteInfo[name w/o location],metaboliteInfo[suggested category],"")</f>
        <v>LIPID</v>
      </c>
      <c r="E26" s="37">
        <f>_xlfn.XLOOKUP(mets27138[[#This Row],[name w/o location]],metaboliteInfo[name w/o location],metaboliteInfo[MW for biomass normalization (g/mol)],0)</f>
        <v>744.08599442176001</v>
      </c>
      <c r="F26" s="37">
        <f>_xlfn.NUMBERVALUE(SUBSTITUTE(_xlfn.TEXTAFTER(mets27138[[#This Row],[pasted JSON metabolite keys and values from GSM biomass rxn]],":"),",",""))</f>
        <v>-6.901E-3</v>
      </c>
      <c r="G26" s="37" cm="1">
        <f t="array" ref="G2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-6.901E-3</v>
      </c>
      <c r="H26" s="37">
        <f>mets27138[[#This Row],[coeff. w/o GAM]]</f>
        <v>-6.901E-3</v>
      </c>
      <c r="I26" s="72">
        <f>H26/($H$3)</f>
        <v>-2.3236578842970881E-3</v>
      </c>
      <c r="J26" s="37" cm="1">
        <f t="array" ref="J2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-2.3236578842970881E-3</v>
      </c>
      <c r="K26" t="str" cm="1">
        <f t="array" ref="K26">"BIOSYN-"&amp;_xlfn.IFS(IFERROR(MATCH(mets27138[[#This Row],[category]],{0,"0",""},0),0)&gt;0,mets27138[[#This Row],[name]],TRUE,mets27138[[#This Row],[category]]&amp;"-"&amp;mets27138[[#This Row],[name]])</f>
        <v>BIOSYN-LIPID-pe_c</v>
      </c>
      <c r="L26" s="73" t="str" cm="1">
        <f t="array" ref="L2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MET-pe_c --&gt; 0.744086 BIO-pe_c</v>
      </c>
      <c r="M26" s="73" cm="1">
        <f t="array" ref="M2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-5.4444376605960402E-4</v>
      </c>
      <c r="N26" s="73"/>
      <c r="O26" s="73"/>
      <c r="P26" s="73"/>
      <c r="Q26" s="73"/>
      <c r="R26" s="73"/>
      <c r="S26" s="73"/>
      <c r="T26" s="73"/>
      <c r="U26" s="73"/>
      <c r="V26" s="73"/>
    </row>
    <row r="27" spans="1:26" ht="16" x14ac:dyDescent="0.2">
      <c r="A27" s="99" t="s">
        <v>559</v>
      </c>
      <c r="B27" t="str">
        <f>SUBSTITUTE(_xlfn.TEXTBEFORE(mets27138[[#This Row],[pasted JSON metabolite keys and values from GSM biomass rxn]],":"),CHAR(34),"")</f>
        <v>ps_c</v>
      </c>
      <c r="C27" t="str">
        <f>_xlfn.TEXTBEFORE(mets27138[[#This Row],[name]],"_",-1)</f>
        <v>ps</v>
      </c>
      <c r="D27" t="str">
        <f>_xlfn.XLOOKUP(mets27138[[#This Row],[name w/o location]],metaboliteInfo[name w/o location],metaboliteInfo[suggested category],"")</f>
        <v>LIPID</v>
      </c>
      <c r="E27" s="37">
        <f>_xlfn.XLOOKUP(mets27138[[#This Row],[name w/o location]],metaboliteInfo[name w/o location],metaboliteInfo[MW for biomass normalization (g/mol)],0)</f>
        <v>786.07881442175994</v>
      </c>
      <c r="F27" s="37">
        <f>_xlfn.NUMBERVALUE(SUBSTITUTE(_xlfn.TEXTAFTER(mets27138[[#This Row],[pasted JSON metabolite keys and values from GSM biomass rxn]],":"),",",""))</f>
        <v>-5.927E-3</v>
      </c>
      <c r="G27" s="37" cm="1">
        <f t="array" ref="G2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-5.927E-3</v>
      </c>
      <c r="H27" s="37">
        <f>mets27138[[#This Row],[coeff. w/o GAM]]</f>
        <v>-5.927E-3</v>
      </c>
      <c r="I27" s="72">
        <f>H27/($H$3)</f>
        <v>-1.9956992146397392E-3</v>
      </c>
      <c r="J27" s="37" cm="1">
        <f t="array" ref="J2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-1.9956992146397392E-3</v>
      </c>
      <c r="K27" t="str" cm="1">
        <f t="array" ref="K27">"BIOSYN-"&amp;_xlfn.IFS(IFERROR(MATCH(mets27138[[#This Row],[category]],{0,"0",""},0),0)&gt;0,mets27138[[#This Row],[name]],TRUE,mets27138[[#This Row],[category]]&amp;"-"&amp;mets27138[[#This Row],[name]])</f>
        <v>BIOSYN-LIPID-ps_c</v>
      </c>
      <c r="L27" s="73" t="str" cm="1">
        <f t="array" ref="L2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MET-ps_c --&gt; 0.786079 BIO-ps_c</v>
      </c>
      <c r="M27" s="73" cm="1">
        <f t="array" ref="M2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-4.6760153621725446E-4</v>
      </c>
      <c r="N27" s="73"/>
      <c r="O27" s="73"/>
      <c r="P27" s="73"/>
      <c r="Q27" s="73"/>
      <c r="R27" s="73"/>
      <c r="S27" s="73"/>
      <c r="T27" s="73"/>
      <c r="U27" s="73"/>
      <c r="V27" s="73"/>
    </row>
    <row r="28" spans="1:26" ht="16" x14ac:dyDescent="0.2">
      <c r="A28" s="99" t="s">
        <v>560</v>
      </c>
      <c r="B28" t="str">
        <f>SUBSTITUTE(_xlfn.TEXTBEFORE(mets27138[[#This Row],[pasted JSON metabolite keys and values from GSM biomass rxn]],":"),CHAR(34),"")</f>
        <v>tag_c</v>
      </c>
      <c r="C28" t="str">
        <f>_xlfn.TEXTBEFORE(mets27138[[#This Row],[name]],"_",-1)</f>
        <v>tag</v>
      </c>
      <c r="D28" t="str">
        <f>_xlfn.XLOOKUP(mets27138[[#This Row],[name w/o location]],metaboliteInfo[name w/o location],metaboliteInfo[suggested category],"")</f>
        <v>LIPID</v>
      </c>
      <c r="E28" s="37">
        <f>_xlfn.XLOOKUP(mets27138[[#This Row],[name w/o location]],metaboliteInfo[name w/o location],metaboliteInfo[MW for biomass normalization (g/mol)],0)</f>
        <v>885.51292863263996</v>
      </c>
      <c r="F28" s="37">
        <f>_xlfn.NUMBERVALUE(SUBSTITUTE(_xlfn.TEXTAFTER(mets27138[[#This Row],[pasted JSON metabolite keys and values from GSM biomass rxn]],":"),",",""))</f>
        <v>-6.829E-3</v>
      </c>
      <c r="G28" s="37" cm="1">
        <f t="array" ref="G2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-6.829E-3</v>
      </c>
      <c r="H28" s="37">
        <f>mets27138[[#This Row],[coeff. w/o GAM]]</f>
        <v>-6.829E-3</v>
      </c>
      <c r="I28" s="72">
        <f>H28/($H$3)</f>
        <v>-2.2994145329466474E-3</v>
      </c>
      <c r="J28" s="37" cm="1">
        <f t="array" ref="J2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-2.2994145329466474E-3</v>
      </c>
      <c r="K28" t="str" cm="1">
        <f t="array" ref="K28">"BIOSYN-"&amp;_xlfn.IFS(IFERROR(MATCH(mets27138[[#This Row],[category]],{0,"0",""},0),0)&gt;0,mets27138[[#This Row],[name]],TRUE,mets27138[[#This Row],[category]]&amp;"-"&amp;mets27138[[#This Row],[name]])</f>
        <v>BIOSYN-LIPID-tag_c</v>
      </c>
      <c r="L28" s="73" t="str" cm="1">
        <f t="array" ref="L2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MET-tag_c --&gt; 0.885513 BIO-tag_c</v>
      </c>
      <c r="M28" s="73" cm="1">
        <f t="array" ref="M2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-5.3876343695421472E-4</v>
      </c>
      <c r="N28" s="73"/>
      <c r="O28" s="73"/>
      <c r="P28" s="73"/>
      <c r="Q28" s="73"/>
      <c r="R28" s="73"/>
      <c r="S28" s="73"/>
      <c r="T28" s="73"/>
      <c r="U28" s="73"/>
      <c r="V28" s="73"/>
    </row>
    <row r="29" spans="1:26" ht="16" x14ac:dyDescent="0.2">
      <c r="A29" s="99" t="s">
        <v>444</v>
      </c>
      <c r="B29" t="str">
        <f>SUBSTITUTE(_xlfn.TEXTBEFORE(mets27138[[#This Row],[pasted JSON metabolite keys and values from GSM biomass rxn]],":"),CHAR(34),"")</f>
        <v>ca2_c</v>
      </c>
      <c r="C29" t="str">
        <f>_xlfn.TEXTBEFORE(mets27138[[#This Row],[name]],"_",-1)</f>
        <v>ca2</v>
      </c>
      <c r="D29" t="str">
        <f>_xlfn.XLOOKUP(mets27138[[#This Row],[name w/o location]],metaboliteInfo[name w/o location],metaboliteInfo[suggested category],"")</f>
        <v>METAL</v>
      </c>
      <c r="E29" s="37">
        <f>_xlfn.XLOOKUP(mets27138[[#This Row],[name w/o location]],metaboliteInfo[name w/o location],metaboliteInfo[MW for biomass normalization (g/mol)],0)</f>
        <v>40.078000000000003</v>
      </c>
      <c r="F29" s="37">
        <f>_xlfn.NUMBERVALUE(SUBSTITUTE(_xlfn.TEXTAFTER(mets27138[[#This Row],[pasted JSON metabolite keys and values from GSM biomass rxn]],":"),",",""))</f>
        <v>-1.286E-3</v>
      </c>
      <c r="G29" s="37" cm="1">
        <f t="array" ref="G2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-1.286E-3</v>
      </c>
      <c r="H29" s="37">
        <f>mets27138[[#This Row],[coeff. w/o GAM]]</f>
        <v>-1.286E-3</v>
      </c>
      <c r="I29" s="72">
        <f>H29/($H$3)</f>
        <v>-4.3301319217592458E-4</v>
      </c>
      <c r="J29" s="37" cm="1">
        <f t="array" ref="J2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-4.3301319217592458E-4</v>
      </c>
      <c r="K29" t="str" cm="1">
        <f t="array" ref="K29">"BIOSYN-"&amp;_xlfn.IFS(IFERROR(MATCH(mets27138[[#This Row],[category]],{0,"0",""},0),0)&gt;0,mets27138[[#This Row],[name]],TRUE,mets27138[[#This Row],[category]]&amp;"-"&amp;mets27138[[#This Row],[name]])</f>
        <v>BIOSYN-METAL-ca2_c</v>
      </c>
      <c r="L29" s="73" t="str" cm="1">
        <f t="array" ref="L2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MET-ca2_c --&gt; 0.040078 BIO-ca2_c</v>
      </c>
      <c r="M29" s="73" cm="1">
        <f t="array" ref="M2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-4.3301319217592458E-4</v>
      </c>
      <c r="N29" s="73"/>
      <c r="O29" s="73"/>
      <c r="P29" s="73"/>
      <c r="Q29" s="73"/>
      <c r="R29" s="73"/>
      <c r="S29" s="73"/>
      <c r="T29" s="73"/>
      <c r="U29" s="73"/>
      <c r="V29" s="73"/>
    </row>
    <row r="30" spans="1:26" ht="16" x14ac:dyDescent="0.2">
      <c r="A30" s="99" t="s">
        <v>445</v>
      </c>
      <c r="B30" t="str">
        <f>SUBSTITUTE(_xlfn.TEXTBEFORE(mets27138[[#This Row],[pasted JSON metabolite keys and values from GSM biomass rxn]],":"),CHAR(34),"")</f>
        <v>cu2_c</v>
      </c>
      <c r="C30" t="str">
        <f>_xlfn.TEXTBEFORE(mets27138[[#This Row],[name]],"_",-1)</f>
        <v>cu2</v>
      </c>
      <c r="D30" t="str">
        <f>_xlfn.XLOOKUP(mets27138[[#This Row],[name w/o location]],metaboliteInfo[name w/o location],metaboliteInfo[suggested category],"")</f>
        <v>METAL</v>
      </c>
      <c r="E30" s="37">
        <f>_xlfn.XLOOKUP(mets27138[[#This Row],[name w/o location]],metaboliteInfo[name w/o location],metaboliteInfo[MW for biomass normalization (g/mol)],0)</f>
        <v>63.545999999999999</v>
      </c>
      <c r="F30" s="37">
        <f>_xlfn.NUMBERVALUE(SUBSTITUTE(_xlfn.TEXTAFTER(mets27138[[#This Row],[pasted JSON metabolite keys and values from GSM biomass rxn]],":"),",",""))</f>
        <v>-1.1400000000000001E-4</v>
      </c>
      <c r="G30" s="37" cm="1">
        <f t="array" ref="G3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-1.1400000000000001E-4</v>
      </c>
      <c r="H30" s="37">
        <f>mets27138[[#This Row],[coeff. w/o GAM]]</f>
        <v>-1.1400000000000001E-4</v>
      </c>
      <c r="I30" s="72">
        <f>H30/($H$3)</f>
        <v>-3.838530630486423E-5</v>
      </c>
      <c r="J30" s="37" cm="1">
        <f t="array" ref="J3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-3.838530630486423E-5</v>
      </c>
      <c r="K30" t="str" cm="1">
        <f t="array" ref="K30">"BIOSYN-"&amp;_xlfn.IFS(IFERROR(MATCH(mets27138[[#This Row],[category]],{0,"0",""},0),0)&gt;0,mets27138[[#This Row],[name]],TRUE,mets27138[[#This Row],[category]]&amp;"-"&amp;mets27138[[#This Row],[name]])</f>
        <v>BIOSYN-METAL-cu2_c</v>
      </c>
      <c r="L30" s="73" t="str" cm="1">
        <f t="array" ref="L3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MET-cu2_c --&gt; 0.063546 BIO-cu2_c</v>
      </c>
      <c r="M30" s="73" cm="1">
        <f t="array" ref="M3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-3.838530630486423E-5</v>
      </c>
      <c r="N30" s="73"/>
      <c r="O30" s="73"/>
      <c r="P30" s="73"/>
      <c r="Q30" s="73"/>
      <c r="R30" s="73"/>
      <c r="S30" s="73"/>
      <c r="T30" s="73"/>
      <c r="U30" s="73"/>
      <c r="V30" s="73"/>
    </row>
    <row r="31" spans="1:26" ht="16" x14ac:dyDescent="0.2">
      <c r="A31" s="99" t="s">
        <v>446</v>
      </c>
      <c r="B31" t="str">
        <f>SUBSTITUTE(_xlfn.TEXTBEFORE(mets27138[[#This Row],[pasted JSON metabolite keys and values from GSM biomass rxn]],":"),CHAR(34),"")</f>
        <v>fe2_c</v>
      </c>
      <c r="C31" t="str">
        <f>_xlfn.TEXTBEFORE(mets27138[[#This Row],[name]],"_",-1)</f>
        <v>fe2</v>
      </c>
      <c r="D31" t="str">
        <f>_xlfn.XLOOKUP(mets27138[[#This Row],[name w/o location]],metaboliteInfo[name w/o location],metaboliteInfo[suggested category],"")</f>
        <v>METAL</v>
      </c>
      <c r="E31" s="37">
        <f>_xlfn.XLOOKUP(mets27138[[#This Row],[name w/o location]],metaboliteInfo[name w/o location],metaboliteInfo[MW for biomass normalization (g/mol)],0)</f>
        <v>55.844999999999999</v>
      </c>
      <c r="F31" s="37">
        <f>_xlfn.NUMBERVALUE(SUBSTITUTE(_xlfn.TEXTAFTER(mets27138[[#This Row],[pasted JSON metabolite keys and values from GSM biomass rxn]],":"),",",""))</f>
        <v>-6.6399999999999999E-4</v>
      </c>
      <c r="G31" s="37" cm="1">
        <f t="array" ref="G3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-6.6399999999999999E-4</v>
      </c>
      <c r="H31" s="37">
        <f>mets27138[[#This Row],[coeff. w/o GAM]]</f>
        <v>-6.6399999999999999E-4</v>
      </c>
      <c r="I31" s="72">
        <f>H31/($H$3)</f>
        <v>-2.2357757356517409E-4</v>
      </c>
      <c r="J31" s="37" cm="1">
        <f t="array" ref="J3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-2.2357757356517409E-4</v>
      </c>
      <c r="K31" t="str" cm="1">
        <f t="array" ref="K31">"BIOSYN-"&amp;_xlfn.IFS(IFERROR(MATCH(mets27138[[#This Row],[category]],{0,"0",""},0),0)&gt;0,mets27138[[#This Row],[name]],TRUE,mets27138[[#This Row],[category]]&amp;"-"&amp;mets27138[[#This Row],[name]])</f>
        <v>BIOSYN-METAL-fe2_c</v>
      </c>
      <c r="L31" s="73" t="str" cm="1">
        <f t="array" ref="L3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MET-fe2_c --&gt; 0.055845 BIO-fe2_c</v>
      </c>
      <c r="M31" s="73" cm="1">
        <f t="array" ref="M3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-2.2357757356517409E-4</v>
      </c>
      <c r="N31" s="73"/>
      <c r="O31" s="73"/>
      <c r="P31" s="73"/>
      <c r="Q31" s="73"/>
      <c r="R31" s="73"/>
      <c r="S31" s="73"/>
      <c r="T31" s="73"/>
      <c r="U31" s="73"/>
      <c r="V31" s="73"/>
    </row>
    <row r="32" spans="1:26" ht="16" x14ac:dyDescent="0.2">
      <c r="A32" s="99" t="s">
        <v>570</v>
      </c>
      <c r="B32" t="str">
        <f>SUBSTITUTE(_xlfn.TEXTBEFORE(mets27138[[#This Row],[pasted JSON metabolite keys and values from GSM biomass rxn]],":"),CHAR(34),"")</f>
        <v>k_c</v>
      </c>
      <c r="C32" t="str">
        <f>_xlfn.TEXTBEFORE(mets27138[[#This Row],[name]],"_",-1)</f>
        <v>k</v>
      </c>
      <c r="D32" t="str">
        <f>_xlfn.XLOOKUP(mets27138[[#This Row],[name w/o location]],metaboliteInfo[name w/o location],metaboliteInfo[suggested category],"")</f>
        <v>METAL</v>
      </c>
      <c r="E32" s="37">
        <f>_xlfn.XLOOKUP(mets27138[[#This Row],[name w/o location]],metaboliteInfo[name w/o location],metaboliteInfo[MW for biomass normalization (g/mol)],0)</f>
        <v>39.098300000000002</v>
      </c>
      <c r="F32" s="37">
        <f>_xlfn.NUMBERVALUE(SUBSTITUTE(_xlfn.TEXTAFTER(mets27138[[#This Row],[pasted JSON metabolite keys and values from GSM biomass rxn]],":"),",",""))</f>
        <v>-0.60365000000000002</v>
      </c>
      <c r="G32" s="37" cm="1">
        <f t="array" ref="G3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-0.60365000000000002</v>
      </c>
      <c r="H32" s="37">
        <f>mets27138[[#This Row],[coeff. w/o GAM]]</f>
        <v>-0.60365000000000002</v>
      </c>
      <c r="I32" s="72">
        <f>H32/($H$3)</f>
        <v>-0.20325693114852011</v>
      </c>
      <c r="J32" s="37" cm="1">
        <f t="array" ref="J3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-0.20325693114852011</v>
      </c>
      <c r="K32" t="str" cm="1">
        <f t="array" ref="K32">"BIOSYN-"&amp;_xlfn.IFS(IFERROR(MATCH(mets27138[[#This Row],[category]],{0,"0",""},0),0)&gt;0,mets27138[[#This Row],[name]],TRUE,mets27138[[#This Row],[category]]&amp;"-"&amp;mets27138[[#This Row],[name]])</f>
        <v>BIOSYN-METAL-k_c</v>
      </c>
      <c r="L32" s="73" t="str" cm="1">
        <f t="array" ref="L3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MET-k_c --&gt; 0.039098 BIO-k_c</v>
      </c>
      <c r="M32" s="73" cm="1">
        <f t="array" ref="M3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-0.20325693114852011</v>
      </c>
      <c r="N32" s="73"/>
      <c r="O32" s="73"/>
      <c r="P32" s="73"/>
      <c r="Q32" s="73"/>
      <c r="R32" s="73"/>
      <c r="S32" s="73"/>
      <c r="T32" s="73"/>
      <c r="U32" s="73"/>
      <c r="V32" s="73"/>
    </row>
    <row r="33" spans="1:22" ht="16" x14ac:dyDescent="0.2">
      <c r="A33" s="99" t="s">
        <v>448</v>
      </c>
      <c r="B33" t="str">
        <f>SUBSTITUTE(_xlfn.TEXTBEFORE(mets27138[[#This Row],[pasted JSON metabolite keys and values from GSM biomass rxn]],":"),CHAR(34),"")</f>
        <v>mg2_c</v>
      </c>
      <c r="C33" t="str">
        <f>_xlfn.TEXTBEFORE(mets27138[[#This Row],[name]],"_",-1)</f>
        <v>mg2</v>
      </c>
      <c r="D33" t="str">
        <f>_xlfn.XLOOKUP(mets27138[[#This Row],[name w/o location]],metaboliteInfo[name w/o location],metaboliteInfo[suggested category],"")</f>
        <v>METAL</v>
      </c>
      <c r="E33" s="37">
        <f>_xlfn.XLOOKUP(mets27138[[#This Row],[name w/o location]],metaboliteInfo[name w/o location],metaboliteInfo[MW for biomass normalization (g/mol)],0)</f>
        <v>24.305</v>
      </c>
      <c r="F33" s="37">
        <f>_xlfn.NUMBERVALUE(SUBSTITUTE(_xlfn.TEXTAFTER(mets27138[[#This Row],[pasted JSON metabolite keys and values from GSM biomass rxn]],":"),",",""))</f>
        <v>-6.3606999999999997E-2</v>
      </c>
      <c r="G33" s="37" cm="1">
        <f t="array" ref="G3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-6.3606999999999997E-2</v>
      </c>
      <c r="H33" s="37">
        <f>mets27138[[#This Row],[coeff. w/o GAM]]</f>
        <v>-6.3606999999999997E-2</v>
      </c>
      <c r="I33" s="72">
        <f>H33/($H$3)</f>
        <v>-2.1417317352048236E-2</v>
      </c>
      <c r="J33" s="37" cm="1">
        <f t="array" ref="J3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-2.1417317352048236E-2</v>
      </c>
      <c r="K33" t="str" cm="1">
        <f t="array" ref="K33">"BIOSYN-"&amp;_xlfn.IFS(IFERROR(MATCH(mets27138[[#This Row],[category]],{0,"0",""},0),0)&gt;0,mets27138[[#This Row],[name]],TRUE,mets27138[[#This Row],[category]]&amp;"-"&amp;mets27138[[#This Row],[name]])</f>
        <v>BIOSYN-METAL-mg2_c</v>
      </c>
      <c r="L33" s="73" t="str" cm="1">
        <f t="array" ref="L3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MET-mg2_c --&gt; 0.024305 BIO-mg2_c</v>
      </c>
      <c r="M33" s="73" cm="1">
        <f t="array" ref="M3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-2.1417317352048236E-2</v>
      </c>
      <c r="N33" s="73"/>
      <c r="O33" s="73"/>
      <c r="P33" s="73"/>
      <c r="Q33" s="73"/>
      <c r="R33" s="73"/>
      <c r="S33" s="73"/>
      <c r="T33" s="73"/>
      <c r="U33" s="73"/>
      <c r="V33" s="73"/>
    </row>
    <row r="34" spans="1:22" ht="16" x14ac:dyDescent="0.2">
      <c r="A34" s="99" t="s">
        <v>571</v>
      </c>
      <c r="B34" t="str">
        <f>SUBSTITUTE(_xlfn.TEXTBEFORE(mets27138[[#This Row],[pasted JSON metabolite keys and values from GSM biomass rxn]],":"),CHAR(34),"")</f>
        <v>mn2_c</v>
      </c>
      <c r="C34" t="str">
        <f>_xlfn.TEXTBEFORE(mets27138[[#This Row],[name]],"_",-1)</f>
        <v>mn2</v>
      </c>
      <c r="D34" t="str">
        <f>_xlfn.XLOOKUP(mets27138[[#This Row],[name w/o location]],metaboliteInfo[name w/o location],metaboliteInfo[suggested category],"")</f>
        <v>METAL</v>
      </c>
      <c r="E34" s="37">
        <f>_xlfn.XLOOKUP(mets27138[[#This Row],[name w/o location]],metaboliteInfo[name w/o location],metaboliteInfo[MW for biomass normalization (g/mol)],0)</f>
        <v>54.938043999999998</v>
      </c>
      <c r="F34" s="37">
        <f>_xlfn.NUMBERVALUE(SUBSTITUTE(_xlfn.TEXTAFTER(mets27138[[#This Row],[pasted JSON metabolite keys and values from GSM biomass rxn]],":"),",",""))</f>
        <v>-9.3999999999999994E-5</v>
      </c>
      <c r="G34" s="37" cm="1">
        <f t="array" ref="G3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-9.3999999999999994E-5</v>
      </c>
      <c r="H34" s="37">
        <f>mets27138[[#This Row],[coeff. w/o GAM]]</f>
        <v>-9.3999999999999994E-5</v>
      </c>
      <c r="I34" s="72">
        <f>H34/($H$3)</f>
        <v>-3.1651042040852962E-5</v>
      </c>
      <c r="J34" s="37" cm="1">
        <f t="array" ref="J3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-3.1651042040852962E-5</v>
      </c>
      <c r="K34" t="str" cm="1">
        <f t="array" ref="K34">"BIOSYN-"&amp;_xlfn.IFS(IFERROR(MATCH(mets27138[[#This Row],[category]],{0,"0",""},0),0)&gt;0,mets27138[[#This Row],[name]],TRUE,mets27138[[#This Row],[category]]&amp;"-"&amp;mets27138[[#This Row],[name]])</f>
        <v>BIOSYN-METAL-mn2_c</v>
      </c>
      <c r="L34" s="73" t="str" cm="1">
        <f t="array" ref="L3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MET-mn2_c --&gt; 0.054938 BIO-mn2_c</v>
      </c>
      <c r="M34" s="73" cm="1">
        <f t="array" ref="M3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-3.1651042040852962E-5</v>
      </c>
      <c r="N34" s="73"/>
      <c r="O34" s="73"/>
      <c r="P34" s="73"/>
      <c r="Q34" s="73"/>
      <c r="R34" s="73"/>
      <c r="S34" s="73"/>
      <c r="T34" s="73"/>
      <c r="U34" s="73"/>
      <c r="V34" s="73"/>
    </row>
    <row r="35" spans="1:22" ht="16" x14ac:dyDescent="0.2">
      <c r="A35" s="99" t="s">
        <v>572</v>
      </c>
      <c r="B35" t="str">
        <f>SUBSTITUTE(_xlfn.TEXTBEFORE(mets27138[[#This Row],[pasted JSON metabolite keys and values from GSM biomass rxn]],":"),CHAR(34),"")</f>
        <v>zn2_c</v>
      </c>
      <c r="C35" t="str">
        <f>_xlfn.TEXTBEFORE(mets27138[[#This Row],[name]],"_",-1)</f>
        <v>zn2</v>
      </c>
      <c r="D35" t="str">
        <f>_xlfn.XLOOKUP(mets27138[[#This Row],[name w/o location]],metaboliteInfo[name w/o location],metaboliteInfo[suggested category],"")</f>
        <v>METAL</v>
      </c>
      <c r="E35" s="37">
        <f>_xlfn.XLOOKUP(mets27138[[#This Row],[name w/o location]],metaboliteInfo[name w/o location],metaboliteInfo[MW for biomass normalization (g/mol)],0)</f>
        <v>65.38</v>
      </c>
      <c r="F35" s="37">
        <f>_xlfn.NUMBERVALUE(SUBSTITUTE(_xlfn.TEXTAFTER(mets27138[[#This Row],[pasted JSON metabolite keys and values from GSM biomass rxn]],":"),",",""))</f>
        <v>-1.5759999999999999E-3</v>
      </c>
      <c r="G35" s="37" cm="1">
        <f t="array" ref="G3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-1.5759999999999999E-3</v>
      </c>
      <c r="H35" s="37">
        <f>mets27138[[#This Row],[coeff. w/o GAM]]</f>
        <v>-1.5759999999999999E-3</v>
      </c>
      <c r="I35" s="72">
        <f>H35/($H$3)</f>
        <v>-5.3066002400408796E-4</v>
      </c>
      <c r="J35" s="37" cm="1">
        <f t="array" ref="J3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-5.3066002400408796E-4</v>
      </c>
      <c r="K35" t="str" cm="1">
        <f t="array" ref="K35">"BIOSYN-"&amp;_xlfn.IFS(IFERROR(MATCH(mets27138[[#This Row],[category]],{0,"0",""},0),0)&gt;0,mets27138[[#This Row],[name]],TRUE,mets27138[[#This Row],[category]]&amp;"-"&amp;mets27138[[#This Row],[name]])</f>
        <v>BIOSYN-METAL-zn2_c</v>
      </c>
      <c r="L35" s="73" t="str" cm="1">
        <f t="array" ref="L3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MET-zn2_c --&gt; 0.06538 BIO-zn2_c</v>
      </c>
      <c r="M35" s="73" cm="1">
        <f t="array" ref="M3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-5.3066002400408796E-4</v>
      </c>
      <c r="N35" s="73"/>
      <c r="O35" s="73"/>
      <c r="P35" s="73"/>
      <c r="Q35" s="73"/>
      <c r="R35" s="73"/>
      <c r="S35" s="73"/>
      <c r="T35" s="73"/>
      <c r="U35" s="73"/>
      <c r="V35" s="73"/>
    </row>
    <row r="36" spans="1:22" ht="16" x14ac:dyDescent="0.2">
      <c r="A36" s="99" t="s">
        <v>554</v>
      </c>
      <c r="B36" t="str">
        <f>SUBSTITUTE(_xlfn.TEXTBEFORE(mets27138[[#This Row],[pasted JSON metabolite keys and values from GSM biomass rxn]],":"),CHAR(34),"")</f>
        <v>ergstest_c</v>
      </c>
      <c r="C36" t="str">
        <f>_xlfn.TEXTBEFORE(mets27138[[#This Row],[name]],"_",-1)</f>
        <v>ergstest</v>
      </c>
      <c r="D36" t="str">
        <f>_xlfn.XLOOKUP(mets27138[[#This Row],[name w/o location]],metaboliteInfo[name w/o location],metaboliteInfo[suggested category],"")</f>
        <v>other</v>
      </c>
      <c r="E36" s="37">
        <f>_xlfn.XLOOKUP(mets27138[[#This Row],[name w/o location]],metaboliteInfo[name w/o location],metaboliteInfo[MW for biomass normalization (g/mol)],0)</f>
        <v>65560.645239999998</v>
      </c>
      <c r="F36" s="37">
        <f>_xlfn.NUMBERVALUE(SUBSTITUTE(_xlfn.TEXTAFTER(mets27138[[#This Row],[pasted JSON metabolite keys and values from GSM biomass rxn]],":"),",",""))</f>
        <v>-6.7780000000000002E-3</v>
      </c>
      <c r="G36" s="37" cm="1">
        <f t="array" ref="G3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-6.7780000000000002E-3</v>
      </c>
      <c r="H36" s="37">
        <f>mets27138[[#This Row],[coeff. w/o GAM]]</f>
        <v>-6.7780000000000002E-3</v>
      </c>
      <c r="I36" s="72">
        <f>H36/($H$3)</f>
        <v>-2.2822421590734188E-3</v>
      </c>
      <c r="J36" s="37" cm="1">
        <f t="array" ref="J3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-2.2822421590734188E-3</v>
      </c>
      <c r="K36" t="str" cm="1">
        <f t="array" ref="K36">"BIOSYN-"&amp;_xlfn.IFS(IFERROR(MATCH(mets27138[[#This Row],[category]],{0,"0",""},0),0)&gt;0,mets27138[[#This Row],[name]],TRUE,mets27138[[#This Row],[category]]&amp;"-"&amp;mets27138[[#This Row],[name]])</f>
        <v>BIOSYN-other-ergstest_c</v>
      </c>
      <c r="L36" s="73" t="str" cm="1">
        <f t="array" ref="L3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MET-ergstest_c --&gt; 65.560645 BIO-ergstest_c</v>
      </c>
      <c r="M36" s="73" cm="1">
        <f t="array" ref="M3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-2.2822421590734188E-3</v>
      </c>
      <c r="N36" s="73"/>
      <c r="O36" s="73"/>
      <c r="P36" s="73"/>
      <c r="Q36" s="73"/>
      <c r="R36" s="73"/>
      <c r="S36" s="73"/>
      <c r="T36" s="73"/>
      <c r="U36" s="73"/>
      <c r="V36" s="73"/>
    </row>
    <row r="37" spans="1:22" ht="16" x14ac:dyDescent="0.2">
      <c r="A37" s="99" t="s">
        <v>578</v>
      </c>
      <c r="B37" t="str">
        <f>SUBSTITUTE(_xlfn.TEXTBEFORE(mets27138[[#This Row],[pasted JSON metabolite keys and values from GSM biomass rxn]],":"),CHAR(34),"")</f>
        <v>pi_c</v>
      </c>
      <c r="C37" t="str">
        <f>_xlfn.TEXTBEFORE(mets27138[[#This Row],[name]],"_",-1)</f>
        <v>pi</v>
      </c>
      <c r="D37" t="str">
        <f>_xlfn.XLOOKUP(mets27138[[#This Row],[name w/o location]],metaboliteInfo[name w/o location],metaboliteInfo[suggested category],"")</f>
        <v>PI</v>
      </c>
      <c r="E37" s="37">
        <f>_xlfn.XLOOKUP(mets27138[[#This Row],[name w/o location]],metaboliteInfo[name w/o location],metaboliteInfo[MW for biomass normalization (g/mol)],0)</f>
        <v>95.979301000000007</v>
      </c>
      <c r="F37" s="37">
        <f>_xlfn.NUMBERVALUE(SUBSTITUTE(_xlfn.TEXTAFTER(mets27138[[#This Row],[pasted JSON metabolite keys and values from GSM biomass rxn]],":"),",",""))</f>
        <v>139.35728700000001</v>
      </c>
      <c r="G37" s="37" cm="1">
        <f t="array" ref="G3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-0.10565499999998451</v>
      </c>
      <c r="H37" s="37">
        <f>mets27138[[#This Row],[coeff. w/o GAM]]</f>
        <v>-0.10565499999998451</v>
      </c>
      <c r="I37" s="72">
        <f>H37/($H$3)</f>
        <v>-3.5575434540700314E-2</v>
      </c>
      <c r="J37" s="37" cm="1">
        <f t="array" ref="J3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128.68736656545929</v>
      </c>
      <c r="K37" t="str" cm="1">
        <f t="array" ref="K37">"BIOSYN-"&amp;_xlfn.IFS(IFERROR(MATCH(mets27138[[#This Row],[category]],{0,"0",""},0),0)&gt;0,mets27138[[#This Row],[name]],TRUE,mets27138[[#This Row],[category]]&amp;"-"&amp;mets27138[[#This Row],[name]])</f>
        <v>BIOSYN-PI-pi_c</v>
      </c>
      <c r="L37" s="73" t="str" cm="1">
        <f t="array" ref="L3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MET-pi_c --&gt; 0.095979 BIO-pi_c</v>
      </c>
      <c r="M37" s="73" cm="1">
        <f t="array" ref="M3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138.26907874287633</v>
      </c>
      <c r="N37" s="73"/>
      <c r="O37" s="73"/>
      <c r="P37" s="73"/>
      <c r="Q37" s="73"/>
      <c r="R37" s="73"/>
      <c r="S37" s="73"/>
      <c r="T37" s="73"/>
      <c r="U37" s="73"/>
      <c r="V37" s="73"/>
    </row>
    <row r="38" spans="1:22" ht="16" x14ac:dyDescent="0.2">
      <c r="A38" s="99" t="s">
        <v>529</v>
      </c>
      <c r="B38" t="str">
        <f>SUBSTITUTE(_xlfn.TEXTBEFORE(mets27138[[#This Row],[pasted JSON metabolite keys and values from GSM biomass rxn]],":"),CHAR(34),"")</f>
        <v>alatrna_c</v>
      </c>
      <c r="C38" t="str">
        <f>_xlfn.TEXTBEFORE(mets27138[[#This Row],[name]],"_",-1)</f>
        <v>alatrna</v>
      </c>
      <c r="D38" t="str">
        <f>_xlfn.XLOOKUP(mets27138[[#This Row],[name w/o location]],metaboliteInfo[name w/o location],metaboliteInfo[suggested category],"")</f>
        <v>PROT</v>
      </c>
      <c r="E38" s="37">
        <f>_xlfn.XLOOKUP(mets27138[[#This Row],[name w/o location]],metaboliteInfo[name w/o location],metaboliteInfo[MW for biomass normalization (g/mol)],0)</f>
        <v>72.085840000000005</v>
      </c>
      <c r="F38" s="37">
        <f>_xlfn.NUMBERVALUE(SUBSTITUTE(_xlfn.TEXTAFTER(mets27138[[#This Row],[pasted JSON metabolite keys and values from GSM biomass rxn]],":"),",",""))</f>
        <v>-0.46051599999999998</v>
      </c>
      <c r="G38" s="37" cm="1">
        <f t="array" ref="G3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-0.46051599999999998</v>
      </c>
      <c r="H38" s="37">
        <f>mets27138[[#This Row],[coeff. w/o GAM]]</f>
        <v>-0.46051599999999998</v>
      </c>
      <c r="I38" s="72">
        <f>H38/($H$3)</f>
        <v>-0.15506182209027067</v>
      </c>
      <c r="J38" s="37" cm="1">
        <f t="array" ref="J3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-0.15506182209027067</v>
      </c>
      <c r="K38" t="str" cm="1">
        <f t="array" ref="K38">"BIOSYN-"&amp;_xlfn.IFS(IFERROR(MATCH(mets27138[[#This Row],[category]],{0,"0",""},0),0)&gt;0,mets27138[[#This Row],[name]],TRUE,mets27138[[#This Row],[category]]&amp;"-"&amp;mets27138[[#This Row],[name]])</f>
        <v>BIOSYN-PROT-alatrna_c</v>
      </c>
      <c r="L38" s="73" t="str" cm="1">
        <f t="array" ref="L3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38" s="73" cm="1">
        <f t="array" ref="M3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-1.5086721627145545E-2</v>
      </c>
      <c r="N38" s="73"/>
      <c r="O38" s="73"/>
      <c r="P38" s="73" cm="1">
        <f t="array" ref="P38:P57">E38:E57*F38:F57/1000</f>
        <v>-3.3196682693440005E-2</v>
      </c>
      <c r="Q38" s="73"/>
      <c r="R38" s="73"/>
      <c r="S38" s="73"/>
      <c r="T38" s="73"/>
      <c r="U38" s="73"/>
      <c r="V38" s="73"/>
    </row>
    <row r="39" spans="1:22" ht="16" x14ac:dyDescent="0.2">
      <c r="A39" s="99" t="s">
        <v>530</v>
      </c>
      <c r="B39" t="str">
        <f>SUBSTITUTE(_xlfn.TEXTBEFORE(mets27138[[#This Row],[pasted JSON metabolite keys and values from GSM biomass rxn]],":"),CHAR(34),"")</f>
        <v>argtrna_c</v>
      </c>
      <c r="C39" t="str">
        <f>_xlfn.TEXTBEFORE(mets27138[[#This Row],[name]],"_",-1)</f>
        <v>argtrna</v>
      </c>
      <c r="D39" t="str">
        <f>_xlfn.XLOOKUP(mets27138[[#This Row],[name w/o location]],metaboliteInfo[name w/o location],metaboliteInfo[suggested category],"")</f>
        <v>PROT</v>
      </c>
      <c r="E39" s="37">
        <f>_xlfn.XLOOKUP(mets27138[[#This Row],[name w/o location]],metaboliteInfo[name w/o location],metaboliteInfo[MW for biomass normalization (g/mol)],0)</f>
        <v>158.20156</v>
      </c>
      <c r="F39" s="37">
        <f>_xlfn.NUMBERVALUE(SUBSTITUTE(_xlfn.TEXTAFTER(mets27138[[#This Row],[pasted JSON metabolite keys and values from GSM biomass rxn]],":"),",",""))</f>
        <v>-0.18194399999999999</v>
      </c>
      <c r="G39" s="37" cm="1">
        <f t="array" ref="G3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-0.18194399999999999</v>
      </c>
      <c r="H39" s="37">
        <f>mets27138[[#This Row],[coeff. w/o GAM]]</f>
        <v>-0.18194399999999999</v>
      </c>
      <c r="I39" s="72">
        <f>H39/($H$3)</f>
        <v>-6.126294886256331E-2</v>
      </c>
      <c r="J39" s="37" cm="1">
        <f t="array" ref="J3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-6.126294886256331E-2</v>
      </c>
      <c r="K39" t="str" cm="1">
        <f t="array" ref="K39">"BIOSYN-"&amp;_xlfn.IFS(IFERROR(MATCH(mets27138[[#This Row],[category]],{0,"0",""},0),0)&gt;0,mets27138[[#This Row],[name]],TRUE,mets27138[[#This Row],[category]]&amp;"-"&amp;mets27138[[#This Row],[name]])</f>
        <v>BIOSYN-PROT-argtrna_c</v>
      </c>
      <c r="L39" s="73" t="str" cm="1">
        <f t="array" ref="L3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39" s="73" cm="1">
        <f t="array" ref="M3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-5.9605713584964881E-3</v>
      </c>
      <c r="N39" s="73"/>
      <c r="O39" s="73"/>
      <c r="P39" s="73">
        <v>-2.8783824632639999E-2</v>
      </c>
      <c r="Q39" s="73"/>
      <c r="R39" s="73"/>
      <c r="S39" s="73"/>
      <c r="T39" s="73"/>
      <c r="U39" s="73"/>
      <c r="V39" s="73"/>
    </row>
    <row r="40" spans="1:22" ht="16" x14ac:dyDescent="0.2">
      <c r="A40" s="99" t="s">
        <v>531</v>
      </c>
      <c r="B40" t="str">
        <f>SUBSTITUTE(_xlfn.TEXTBEFORE(mets27138[[#This Row],[pasted JSON metabolite keys and values from GSM biomass rxn]],":"),CHAR(34),"")</f>
        <v>asntrna_c</v>
      </c>
      <c r="C40" t="str">
        <f>_xlfn.TEXTBEFORE(mets27138[[#This Row],[name]],"_",-1)</f>
        <v>asntrna</v>
      </c>
      <c r="D40" t="str">
        <f>_xlfn.XLOOKUP(mets27138[[#This Row],[name w/o location]],metaboliteInfo[name w/o location],metaboliteInfo[suggested category],"")</f>
        <v>PROT</v>
      </c>
      <c r="E40" s="37">
        <f>_xlfn.XLOOKUP(mets27138[[#This Row],[name w/o location]],metaboliteInfo[name w/o location],metaboliteInfo[MW for biomass normalization (g/mol)],0)</f>
        <v>115.11058</v>
      </c>
      <c r="F40" s="37">
        <f>_xlfn.NUMBERVALUE(SUBSTITUTE(_xlfn.TEXTAFTER(mets27138[[#This Row],[pasted JSON metabolite keys and values from GSM biomass rxn]],":"),",",""))</f>
        <v>-0.21870999999999999</v>
      </c>
      <c r="G40" s="37" cm="1">
        <f t="array" ref="G4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-0.21870999999999999</v>
      </c>
      <c r="H40" s="72">
        <f>mets27138[[#This Row],[coeff. w/o GAM]]</f>
        <v>-0.21870999999999999</v>
      </c>
      <c r="I40" s="72">
        <f>H40/($H$3)</f>
        <v>-7.3642546859095215E-2</v>
      </c>
      <c r="J40" s="37" cm="1">
        <f t="array" ref="J4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-7.3642546859095215E-2</v>
      </c>
      <c r="K40" t="str" cm="1">
        <f t="array" ref="K40">"BIOSYN-"&amp;_xlfn.IFS(IFERROR(MATCH(mets27138[[#This Row],[category]],{0,"0",""},0),0)&gt;0,mets27138[[#This Row],[name]],TRUE,mets27138[[#This Row],[category]]&amp;"-"&amp;mets27138[[#This Row],[name]])</f>
        <v>BIOSYN-PROT-asntrna_c</v>
      </c>
      <c r="L40" s="73" t="str" cm="1">
        <f t="array" ref="L4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0" s="73" cm="1">
        <f t="array" ref="M4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-7.1650428803190364E-3</v>
      </c>
      <c r="N40" s="73"/>
      <c r="O40" s="73"/>
      <c r="P40" s="73">
        <v>-2.5175834951799998E-2</v>
      </c>
      <c r="Q40" s="73"/>
      <c r="R40" s="73"/>
      <c r="S40" s="73"/>
      <c r="T40" s="73"/>
      <c r="U40" s="73"/>
      <c r="V40" s="73"/>
    </row>
    <row r="41" spans="1:22" ht="16" x14ac:dyDescent="0.2">
      <c r="A41" s="99" t="s">
        <v>532</v>
      </c>
      <c r="B41" t="str">
        <f>SUBSTITUTE(_xlfn.TEXTBEFORE(mets27138[[#This Row],[pasted JSON metabolite keys and values from GSM biomass rxn]],":"),CHAR(34),"")</f>
        <v>asptrna_c</v>
      </c>
      <c r="C41" t="str">
        <f>_xlfn.TEXTBEFORE(mets27138[[#This Row],[name]],"_",-1)</f>
        <v>asptrna</v>
      </c>
      <c r="D41" t="str">
        <f>_xlfn.XLOOKUP(mets27138[[#This Row],[name w/o location]],metaboliteInfo[name w/o location],metaboliteInfo[suggested category],"")</f>
        <v>PROT</v>
      </c>
      <c r="E41" s="37">
        <f>_xlfn.XLOOKUP(mets27138[[#This Row],[name w/o location]],metaboliteInfo[name w/o location],metaboliteInfo[MW for biomass normalization (g/mol)],0)</f>
        <v>115.0874</v>
      </c>
      <c r="F41" s="37">
        <f>_xlfn.NUMBERVALUE(SUBSTITUTE(_xlfn.TEXTAFTER(mets27138[[#This Row],[pasted JSON metabolite keys and values from GSM biomass rxn]],":"),",",""))</f>
        <v>-0.21870999999999999</v>
      </c>
      <c r="G41" s="37" cm="1">
        <f t="array" ref="G4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-0.21870999999999999</v>
      </c>
      <c r="H41" s="37">
        <f>mets27138[[#This Row],[coeff. w/o GAM]]</f>
        <v>-0.21870999999999999</v>
      </c>
      <c r="I41" s="72">
        <f>H41/($H$3)</f>
        <v>-7.3642546859095215E-2</v>
      </c>
      <c r="J41" s="37" cm="1">
        <f t="array" ref="J4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-7.3642546859095215E-2</v>
      </c>
      <c r="K41" t="str" cm="1">
        <f t="array" ref="K41">"BIOSYN-"&amp;_xlfn.IFS(IFERROR(MATCH(mets27138[[#This Row],[category]],{0,"0",""},0),0)&gt;0,mets27138[[#This Row],[name]],TRUE,mets27138[[#This Row],[category]]&amp;"-"&amp;mets27138[[#This Row],[name]])</f>
        <v>BIOSYN-PROT-asptrna_c</v>
      </c>
      <c r="L41" s="73" t="str" cm="1">
        <f t="array" ref="L4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1" s="73" cm="1">
        <f t="array" ref="M4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-7.1650428803190364E-3</v>
      </c>
      <c r="N41" s="73"/>
      <c r="O41" s="73"/>
      <c r="P41" s="73">
        <v>-2.5170765253999999E-2</v>
      </c>
      <c r="Q41" s="73"/>
      <c r="R41" s="73"/>
      <c r="S41" s="73"/>
      <c r="T41" s="73"/>
      <c r="U41" s="73"/>
      <c r="V41" s="73"/>
    </row>
    <row r="42" spans="1:22" ht="16" x14ac:dyDescent="0.2">
      <c r="A42" s="99" t="s">
        <v>533</v>
      </c>
      <c r="B42" t="str">
        <f>SUBSTITUTE(_xlfn.TEXTBEFORE(mets27138[[#This Row],[pasted JSON metabolite keys and values from GSM biomass rxn]],":"),CHAR(34),"")</f>
        <v>cystrna_c</v>
      </c>
      <c r="C42" t="str">
        <f>_xlfn.TEXTBEFORE(mets27138[[#This Row],[name]],"_",-1)</f>
        <v>cystrna</v>
      </c>
      <c r="D42" t="str">
        <f>_xlfn.XLOOKUP(mets27138[[#This Row],[name w/o location]],metaboliteInfo[name w/o location],metaboliteInfo[suggested category],"")</f>
        <v>PROT</v>
      </c>
      <c r="E42" s="37">
        <f>_xlfn.XLOOKUP(mets27138[[#This Row],[name w/o location]],metaboliteInfo[name w/o location],metaboliteInfo[MW for biomass normalization (g/mol)],0)</f>
        <v>104.15084</v>
      </c>
      <c r="F42" s="37">
        <f>_xlfn.NUMBERVALUE(SUBSTITUTE(_xlfn.TEXTAFTER(mets27138[[#This Row],[pasted JSON metabolite keys and values from GSM biomass rxn]],":"),",",""))</f>
        <v>-6.5989999999999998E-3</v>
      </c>
      <c r="G42" s="37" cm="1">
        <f t="array" ref="G4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-6.5989999999999998E-3</v>
      </c>
      <c r="H42" s="37">
        <f>mets27138[[#This Row],[coeff. w/o GAM]]</f>
        <v>-6.5989999999999998E-3</v>
      </c>
      <c r="I42" s="72">
        <f>H42/($H$3)</f>
        <v>-2.2219704939105177E-3</v>
      </c>
      <c r="J42" s="37" cm="1">
        <f t="array" ref="J4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-2.2219704939105177E-3</v>
      </c>
      <c r="K42" t="str" cm="1">
        <f t="array" ref="K42">"BIOSYN-"&amp;_xlfn.IFS(IFERROR(MATCH(mets27138[[#This Row],[category]],{0,"0",""},0),0)&gt;0,mets27138[[#This Row],[name]],TRUE,mets27138[[#This Row],[category]]&amp;"-"&amp;mets27138[[#This Row],[name]])</f>
        <v>BIOSYN-PROT-cystrna_c</v>
      </c>
      <c r="L42" s="73" t="str" cm="1">
        <f t="array" ref="L4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2" s="73" cm="1">
        <f t="array" ref="M4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-2.1618635621245175E-4</v>
      </c>
      <c r="N42" s="73"/>
      <c r="O42" s="73"/>
      <c r="P42" s="73">
        <v>-6.8729139316000003E-4</v>
      </c>
      <c r="Q42" s="73"/>
      <c r="R42" s="73"/>
      <c r="S42" s="73"/>
      <c r="T42" s="73"/>
      <c r="U42" s="73"/>
      <c r="V42" s="73"/>
    </row>
    <row r="43" spans="1:22" ht="16" x14ac:dyDescent="0.2">
      <c r="A43" s="99" t="s">
        <v>534</v>
      </c>
      <c r="B43" t="str">
        <f>SUBSTITUTE(_xlfn.TEXTBEFORE(mets27138[[#This Row],[pasted JSON metabolite keys and values from GSM biomass rxn]],":"),CHAR(34),"")</f>
        <v>glntrna_c</v>
      </c>
      <c r="C43" t="str">
        <f>_xlfn.TEXTBEFORE(mets27138[[#This Row],[name]],"_",-1)</f>
        <v>glntrna</v>
      </c>
      <c r="D43" t="str">
        <f>_xlfn.XLOOKUP(mets27138[[#This Row],[name w/o location]],metaboliteInfo[name w/o location],metaboliteInfo[suggested category],"")</f>
        <v>PROT</v>
      </c>
      <c r="E43" s="37">
        <f>_xlfn.XLOOKUP(mets27138[[#This Row],[name w/o location]],metaboliteInfo[name w/o location],metaboliteInfo[MW for biomass normalization (g/mol)],0)</f>
        <v>129.13715999999999</v>
      </c>
      <c r="F43" s="37">
        <f>_xlfn.NUMBERVALUE(SUBSTITUTE(_xlfn.TEXTAFTER(mets27138[[#This Row],[pasted JSON metabolite keys and values from GSM biomass rxn]],":"),",",""))</f>
        <v>-0.36482999999999999</v>
      </c>
      <c r="G43" s="37" cm="1">
        <f t="array" ref="G4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-0.36482999999999999</v>
      </c>
      <c r="H43" s="37">
        <f>mets27138[[#This Row],[coeff. w/o GAM]]</f>
        <v>-0.36482999999999999</v>
      </c>
      <c r="I43" s="72">
        <f>H43/($H$3)</f>
        <v>-0.12284308157196154</v>
      </c>
      <c r="J43" s="37" cm="1">
        <f t="array" ref="J4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-0.12284308157196154</v>
      </c>
      <c r="K43" t="str" cm="1">
        <f t="array" ref="K43">"BIOSYN-"&amp;_xlfn.IFS(IFERROR(MATCH(mets27138[[#This Row],[category]],{0,"0",""},0),0)&gt;0,mets27138[[#This Row],[name]],TRUE,mets27138[[#This Row],[category]]&amp;"-"&amp;mets27138[[#This Row],[name]])</f>
        <v>BIOSYN-PROT-glntrna_c</v>
      </c>
      <c r="L43" s="73" t="str" cm="1">
        <f t="array" ref="L4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3" s="73" cm="1">
        <f t="array" ref="M4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-1.195200308182888E-2</v>
      </c>
      <c r="N43" s="73"/>
      <c r="O43" s="73"/>
      <c r="P43" s="73">
        <v>-4.7113110082799996E-2</v>
      </c>
      <c r="Q43" s="73"/>
      <c r="R43" s="73"/>
      <c r="S43" s="73"/>
      <c r="T43" s="73"/>
      <c r="U43" s="73"/>
      <c r="V43" s="73"/>
    </row>
    <row r="44" spans="1:22" ht="16" x14ac:dyDescent="0.2">
      <c r="A44" s="99" t="s">
        <v>535</v>
      </c>
      <c r="B44" t="str">
        <f>SUBSTITUTE(_xlfn.TEXTBEFORE(mets27138[[#This Row],[pasted JSON metabolite keys and values from GSM biomass rxn]],":"),CHAR(34),"")</f>
        <v>glutrna_c</v>
      </c>
      <c r="C44" t="str">
        <f>_xlfn.TEXTBEFORE(mets27138[[#This Row],[name]],"_",-1)</f>
        <v>glutrna</v>
      </c>
      <c r="D44" t="str">
        <f>_xlfn.XLOOKUP(mets27138[[#This Row],[name w/o location]],metaboliteInfo[name w/o location],metaboliteInfo[suggested category],"")</f>
        <v>PROT</v>
      </c>
      <c r="E44" s="37">
        <f>_xlfn.XLOOKUP(mets27138[[#This Row],[name w/o location]],metaboliteInfo[name w/o location],metaboliteInfo[MW for biomass normalization (g/mol)],0)</f>
        <v>129.11398</v>
      </c>
      <c r="F44" s="37">
        <f>_xlfn.NUMBERVALUE(SUBSTITUTE(_xlfn.TEXTAFTER(mets27138[[#This Row],[pasted JSON metabolite keys and values from GSM biomass rxn]],":"),",",""))</f>
        <v>-0.36482999999999999</v>
      </c>
      <c r="G44" s="37" cm="1">
        <f t="array" ref="G4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-0.36482999999999999</v>
      </c>
      <c r="H44" s="37">
        <f>mets27138[[#This Row],[coeff. w/o GAM]]</f>
        <v>-0.36482999999999999</v>
      </c>
      <c r="I44" s="72">
        <f>H44/($H$3)</f>
        <v>-0.12284308157196154</v>
      </c>
      <c r="J44" s="37" cm="1">
        <f t="array" ref="J4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-0.12284308157196154</v>
      </c>
      <c r="K44" t="str" cm="1">
        <f t="array" ref="K44">"BIOSYN-"&amp;_xlfn.IFS(IFERROR(MATCH(mets27138[[#This Row],[category]],{0,"0",""},0),0)&gt;0,mets27138[[#This Row],[name]],TRUE,mets27138[[#This Row],[category]]&amp;"-"&amp;mets27138[[#This Row],[name]])</f>
        <v>BIOSYN-PROT-glutrna_c</v>
      </c>
      <c r="L44" s="73" t="str" cm="1">
        <f t="array" ref="L4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4" s="73" cm="1">
        <f t="array" ref="M4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-1.195200308182888E-2</v>
      </c>
      <c r="N44" s="73"/>
      <c r="O44" s="73"/>
      <c r="P44" s="73">
        <v>-4.7104653323399998E-2</v>
      </c>
      <c r="Q44" s="73"/>
      <c r="R44" s="73"/>
      <c r="S44" s="73"/>
      <c r="T44" s="73"/>
      <c r="U44" s="73"/>
      <c r="V44" s="73"/>
    </row>
    <row r="45" spans="1:22" ht="16" x14ac:dyDescent="0.2">
      <c r="A45" s="99" t="s">
        <v>580</v>
      </c>
      <c r="B45" t="str">
        <f>SUBSTITUTE(_xlfn.TEXTBEFORE(mets27138[[#This Row],[pasted JSON metabolite keys and values from GSM biomass rxn]],":"),CHAR(34),"")</f>
        <v>glytrna_c</v>
      </c>
      <c r="C45" t="str">
        <f>_xlfn.TEXTBEFORE(mets27138[[#This Row],[name]],"_",-1)</f>
        <v>glytrna</v>
      </c>
      <c r="D45" t="str">
        <f>_xlfn.XLOOKUP(mets27138[[#This Row],[name w/o location]],metaboliteInfo[name w/o location],metaboliteInfo[suggested category],"")</f>
        <v>PROT</v>
      </c>
      <c r="E45" s="37">
        <f>_xlfn.XLOOKUP(mets27138[[#This Row],[name w/o location]],metaboliteInfo[name w/o location],metaboliteInfo[MW for biomass normalization (g/mol)],0)</f>
        <v>58.059260000000002</v>
      </c>
      <c r="F45" s="37">
        <f>_xlfn.NUMBERVALUE(SUBSTITUTE(_xlfn.TEXTAFTER(mets27138[[#This Row],[pasted JSON metabolite keys and values from GSM biomass rxn]],":"),",",""))</f>
        <v>-0.41903600000000002</v>
      </c>
      <c r="G45" s="37" cm="1">
        <f t="array" ref="G4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-0.41903600000000002</v>
      </c>
      <c r="H45" s="37">
        <f>mets27138[[#This Row],[coeff. w/o GAM]]</f>
        <v>-0.41903600000000002</v>
      </c>
      <c r="I45" s="72">
        <f>H45/($H$3)</f>
        <v>-0.14109495800671129</v>
      </c>
      <c r="J45" s="37" cm="1">
        <f t="array" ref="J4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-0.14109495800671129</v>
      </c>
      <c r="K45" t="str" cm="1">
        <f t="array" ref="K45">"BIOSYN-"&amp;_xlfn.IFS(IFERROR(MATCH(mets27138[[#This Row],[category]],{0,"0",""},0),0)&gt;0,mets27138[[#This Row],[name]],TRUE,mets27138[[#This Row],[category]]&amp;"-"&amp;mets27138[[#This Row],[name]])</f>
        <v>BIOSYN-PROT-glytrna_c</v>
      </c>
      <c r="L45" s="73" t="str" cm="1">
        <f t="array" ref="L4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5" s="73" cm="1">
        <f t="array" ref="M4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-1.3727817239254576E-2</v>
      </c>
      <c r="N45" s="73"/>
      <c r="O45" s="73"/>
      <c r="P45" s="73">
        <v>-2.4328920073360003E-2</v>
      </c>
      <c r="Q45" s="73"/>
      <c r="R45" s="73"/>
      <c r="S45" s="73"/>
      <c r="T45" s="73"/>
      <c r="U45" s="73"/>
      <c r="V45" s="73"/>
    </row>
    <row r="46" spans="1:22" ht="16" x14ac:dyDescent="0.2">
      <c r="A46" s="99" t="s">
        <v>536</v>
      </c>
      <c r="B46" t="str">
        <f>SUBSTITUTE(_xlfn.TEXTBEFORE(mets27138[[#This Row],[pasted JSON metabolite keys and values from GSM biomass rxn]],":"),CHAR(34),"")</f>
        <v>histrna_c</v>
      </c>
      <c r="C46" t="str">
        <f>_xlfn.TEXTBEFORE(mets27138[[#This Row],[name]],"_",-1)</f>
        <v>histrna</v>
      </c>
      <c r="D46" t="str">
        <f>_xlfn.XLOOKUP(mets27138[[#This Row],[name w/o location]],metaboliteInfo[name w/o location],metaboliteInfo[suggested category],"")</f>
        <v>PROT</v>
      </c>
      <c r="E46" s="37">
        <f>_xlfn.XLOOKUP(mets27138[[#This Row],[name w/o location]],metaboliteInfo[name w/o location],metaboliteInfo[MW for biomass normalization (g/mol)],0)</f>
        <v>138.14722</v>
      </c>
      <c r="F46" s="37">
        <f>_xlfn.NUMBERVALUE(SUBSTITUTE(_xlfn.TEXTAFTER(mets27138[[#This Row],[pasted JSON metabolite keys and values from GSM biomass rxn]],":"),",",""))</f>
        <v>-9.0971999999999997E-2</v>
      </c>
      <c r="G46" s="37" cm="1">
        <f t="array" ref="G4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-9.0971999999999997E-2</v>
      </c>
      <c r="H46" s="37">
        <f>mets27138[[#This Row],[coeff. w/o GAM]]</f>
        <v>-9.0971999999999997E-2</v>
      </c>
      <c r="I46" s="72">
        <f>H46/($H$3)</f>
        <v>-3.0631474431281655E-2</v>
      </c>
      <c r="J46" s="37" cm="1">
        <f t="array" ref="J4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-3.0631474431281655E-2</v>
      </c>
      <c r="K46" t="str" cm="1">
        <f t="array" ref="K46">"BIOSYN-"&amp;_xlfn.IFS(IFERROR(MATCH(mets27138[[#This Row],[category]],{0,"0",""},0),0)&gt;0,mets27138[[#This Row],[name]],TRUE,mets27138[[#This Row],[category]]&amp;"-"&amp;mets27138[[#This Row],[name]])</f>
        <v>BIOSYN-PROT-histrna_c</v>
      </c>
      <c r="L46" s="73" t="str" cm="1">
        <f t="array" ref="L4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6" s="73" cm="1">
        <f t="array" ref="M4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-2.9802856792482441E-3</v>
      </c>
      <c r="N46" s="73"/>
      <c r="O46" s="73"/>
      <c r="P46" s="73">
        <v>-1.2567528897840002E-2</v>
      </c>
      <c r="Q46" s="73"/>
      <c r="R46" s="73"/>
      <c r="S46" s="73"/>
      <c r="T46" s="73"/>
      <c r="U46" s="73"/>
      <c r="V46" s="73"/>
    </row>
    <row r="47" spans="1:22" ht="16" x14ac:dyDescent="0.2">
      <c r="A47" s="99" t="s">
        <v>537</v>
      </c>
      <c r="B47" t="str">
        <f>SUBSTITUTE(_xlfn.TEXTBEFORE(mets27138[[#This Row],[pasted JSON metabolite keys and values from GSM biomass rxn]],":"),CHAR(34),"")</f>
        <v>iletrna_c</v>
      </c>
      <c r="C47" t="str">
        <f>_xlfn.TEXTBEFORE(mets27138[[#This Row],[name]],"_",-1)</f>
        <v>iletrna</v>
      </c>
      <c r="D47" t="str">
        <f>_xlfn.XLOOKUP(mets27138[[#This Row],[name w/o location]],metaboliteInfo[name w/o location],metaboliteInfo[suggested category],"")</f>
        <v>PROT</v>
      </c>
      <c r="E47" s="37">
        <f>_xlfn.XLOOKUP(mets27138[[#This Row],[name w/o location]],metaboliteInfo[name w/o location],metaboliteInfo[MW for biomass normalization (g/mol)],0)</f>
        <v>114.16558000000001</v>
      </c>
      <c r="F47" s="37">
        <f>_xlfn.NUMBERVALUE(SUBSTITUTE(_xlfn.TEXTAFTER(mets27138[[#This Row],[pasted JSON metabolite keys and values from GSM biomass rxn]],":"),",",""))</f>
        <v>-0.27762900000000001</v>
      </c>
      <c r="G47" s="37" cm="1">
        <f t="array" ref="G4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-0.27762900000000001</v>
      </c>
      <c r="H47" s="37">
        <f>mets27138[[#This Row],[coeff. w/o GAM]]</f>
        <v>-0.27762900000000001</v>
      </c>
      <c r="I47" s="72">
        <f>H47/($H$3)</f>
        <v>-9.3481352667659223E-2</v>
      </c>
      <c r="J47" s="37" cm="1">
        <f t="array" ref="J4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-9.3481352667659223E-2</v>
      </c>
      <c r="K47" t="str" cm="1">
        <f t="array" ref="K47">"BIOSYN-"&amp;_xlfn.IFS(IFERROR(MATCH(mets27138[[#This Row],[category]],{0,"0",""},0),0)&gt;0,mets27138[[#This Row],[name]],TRUE,mets27138[[#This Row],[category]]&amp;"-"&amp;mets27138[[#This Row],[name]])</f>
        <v>BIOSYN-PROT-iletrna_c</v>
      </c>
      <c r="L47" s="73" t="str" cm="1">
        <f t="array" ref="L4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7" s="73" cm="1">
        <f t="array" ref="M4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-9.0952571433409266E-3</v>
      </c>
      <c r="N47" s="73"/>
      <c r="O47" s="73"/>
      <c r="P47" s="73">
        <v>-3.1695675809820002E-2</v>
      </c>
      <c r="Q47" s="73"/>
      <c r="R47" s="73"/>
      <c r="S47" s="73"/>
      <c r="T47" s="73"/>
      <c r="U47" s="73"/>
      <c r="V47" s="73"/>
    </row>
    <row r="48" spans="1:22" ht="16" x14ac:dyDescent="0.2">
      <c r="A48" s="99" t="s">
        <v>538</v>
      </c>
      <c r="B48" t="str">
        <f>SUBSTITUTE(_xlfn.TEXTBEFORE(mets27138[[#This Row],[pasted JSON metabolite keys and values from GSM biomass rxn]],":"),CHAR(34),"")</f>
        <v>leutrna_c</v>
      </c>
      <c r="C48" t="str">
        <f>_xlfn.TEXTBEFORE(mets27138[[#This Row],[name]],"_",-1)</f>
        <v>leutrna</v>
      </c>
      <c r="D48" t="str">
        <f>_xlfn.XLOOKUP(mets27138[[#This Row],[name w/o location]],metaboliteInfo[name w/o location],metaboliteInfo[suggested category],"")</f>
        <v>PROT</v>
      </c>
      <c r="E48" s="37">
        <f>_xlfn.XLOOKUP(mets27138[[#This Row],[name w/o location]],metaboliteInfo[name w/o location],metaboliteInfo[MW for biomass normalization (g/mol)],0)</f>
        <v>114.16558000000001</v>
      </c>
      <c r="F48" s="37">
        <f>_xlfn.NUMBERVALUE(SUBSTITUTE(_xlfn.TEXTAFTER(mets27138[[#This Row],[pasted JSON metabolite keys and values from GSM biomass rxn]],":"),",",""))</f>
        <v>-0.37755699999999998</v>
      </c>
      <c r="G48" s="37" cm="1">
        <f t="array" ref="G4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-0.37755699999999998</v>
      </c>
      <c r="H48" s="37">
        <f>mets27138[[#This Row],[coeff. w/o GAM]]</f>
        <v>-0.37755699999999998</v>
      </c>
      <c r="I48" s="72">
        <f>H48/($H$3)</f>
        <v>-0.12712843063636511</v>
      </c>
      <c r="J48" s="37" cm="1">
        <f t="array" ref="J4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-0.12712843063636511</v>
      </c>
      <c r="K48" t="str" cm="1">
        <f t="array" ref="K48">"BIOSYN-"&amp;_xlfn.IFS(IFERROR(MATCH(mets27138[[#This Row],[category]],{0,"0",""},0),0)&gt;0,mets27138[[#This Row],[name]],TRUE,mets27138[[#This Row],[category]]&amp;"-"&amp;mets27138[[#This Row],[name]])</f>
        <v>BIOSYN-PROT-leutrna_c</v>
      </c>
      <c r="L48" s="73" t="str" cm="1">
        <f t="array" ref="L4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8" s="73" cm="1">
        <f t="array" ref="M4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-1.2368945611835831E-2</v>
      </c>
      <c r="N48" s="73"/>
      <c r="O48" s="73"/>
      <c r="P48" s="73">
        <v>-4.3104013888060004E-2</v>
      </c>
      <c r="Q48" s="73"/>
      <c r="R48" s="73"/>
      <c r="S48" s="73"/>
      <c r="T48" s="73"/>
      <c r="U48" s="73"/>
      <c r="V48" s="73"/>
    </row>
    <row r="49" spans="1:22" ht="16" x14ac:dyDescent="0.2">
      <c r="A49" s="99" t="s">
        <v>539</v>
      </c>
      <c r="B49" t="str">
        <f>SUBSTITUTE(_xlfn.TEXTBEFORE(mets27138[[#This Row],[pasted JSON metabolite keys and values from GSM biomass rxn]],":"),CHAR(34),"")</f>
        <v>lystrna_c</v>
      </c>
      <c r="C49" t="str">
        <f>_xlfn.TEXTBEFORE(mets27138[[#This Row],[name]],"_",-1)</f>
        <v>lystrna</v>
      </c>
      <c r="D49" t="str">
        <f>_xlfn.XLOOKUP(mets27138[[#This Row],[name w/o location]],metaboliteInfo[name w/o location],metaboliteInfo[suggested category],"")</f>
        <v>PROT</v>
      </c>
      <c r="E49" s="37">
        <f>_xlfn.XLOOKUP(mets27138[[#This Row],[name w/o location]],metaboliteInfo[name w/o location],metaboliteInfo[MW for biomass normalization (g/mol)],0)</f>
        <v>130.18816000000001</v>
      </c>
      <c r="F49" s="37">
        <f>_xlfn.NUMBERVALUE(SUBSTITUTE(_xlfn.TEXTAFTER(mets27138[[#This Row],[pasted JSON metabolite keys and values from GSM biomass rxn]],":"),",",""))</f>
        <v>-0.30968200000000001</v>
      </c>
      <c r="G49" s="37" cm="1">
        <f t="array" ref="G4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-0.30968200000000001</v>
      </c>
      <c r="H49" s="37">
        <f>mets27138[[#This Row],[coeff. w/o GAM]]</f>
        <v>-0.30968200000000001</v>
      </c>
      <c r="I49" s="72">
        <f>H49/($H$3)</f>
        <v>-0.10427402129037688</v>
      </c>
      <c r="J49" s="37" cm="1">
        <f t="array" ref="J4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-0.10427402129037688</v>
      </c>
      <c r="K49" t="str" cm="1">
        <f t="array" ref="K49">"BIOSYN-"&amp;_xlfn.IFS(IFERROR(MATCH(mets27138[[#This Row],[category]],{0,"0",""},0),0)&gt;0,mets27138[[#This Row],[name]],TRUE,mets27138[[#This Row],[category]]&amp;"-"&amp;mets27138[[#This Row],[name]])</f>
        <v>BIOSYN-PROT-lystrna_c</v>
      </c>
      <c r="L49" s="73" t="str" cm="1">
        <f t="array" ref="L4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49" s="73" cm="1">
        <f t="array" ref="M4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-1.0145328559567282E-2</v>
      </c>
      <c r="N49" s="73"/>
      <c r="O49" s="73"/>
      <c r="P49" s="73">
        <v>-4.031692976512001E-2</v>
      </c>
      <c r="Q49" s="73"/>
      <c r="R49" s="73"/>
      <c r="S49" s="73"/>
      <c r="T49" s="73"/>
      <c r="U49" s="73"/>
      <c r="V49" s="73"/>
    </row>
    <row r="50" spans="1:22" ht="16" x14ac:dyDescent="0.2">
      <c r="A50" s="99" t="s">
        <v>540</v>
      </c>
      <c r="B50" t="str">
        <f>SUBSTITUTE(_xlfn.TEXTBEFORE(mets27138[[#This Row],[pasted JSON metabolite keys and values from GSM biomass rxn]],":"),CHAR(34),"")</f>
        <v>mettrna_c</v>
      </c>
      <c r="C50" t="str">
        <f>_xlfn.TEXTBEFORE(mets27138[[#This Row],[name]],"_",-1)</f>
        <v>mettrna</v>
      </c>
      <c r="D50" t="str">
        <f>_xlfn.XLOOKUP(mets27138[[#This Row],[name w/o location]],metaboliteInfo[name w/o location],metaboliteInfo[suggested category],"")</f>
        <v>PROT</v>
      </c>
      <c r="E50" s="37">
        <f>_xlfn.XLOOKUP(mets27138[[#This Row],[name w/o location]],metaboliteInfo[name w/o location],metaboliteInfo[MW for biomass normalization (g/mol)],0)</f>
        <v>132.20400000000001</v>
      </c>
      <c r="F50" s="37">
        <f>_xlfn.NUMBERVALUE(SUBSTITUTE(_xlfn.TEXTAFTER(mets27138[[#This Row],[pasted JSON metabolite keys and values from GSM biomass rxn]],":"),",",""))</f>
        <v>-5.3734999999999998E-2</v>
      </c>
      <c r="G50" s="37" cm="1">
        <f t="array" ref="G5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-5.3734999999999998E-2</v>
      </c>
      <c r="H50" s="37">
        <f>mets27138[[#This Row],[coeff. w/o GAM]]</f>
        <v>-5.3734999999999998E-2</v>
      </c>
      <c r="I50" s="72">
        <f>H50/($H$3)</f>
        <v>-1.8093284511332273E-2</v>
      </c>
      <c r="J50" s="37" cm="1">
        <f t="array" ref="J5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-1.8093284511332273E-2</v>
      </c>
      <c r="K50" t="str" cm="1">
        <f t="array" ref="K50">"BIOSYN-"&amp;_xlfn.IFS(IFERROR(MATCH(mets27138[[#This Row],[category]],{0,"0",""},0),0)&gt;0,mets27138[[#This Row],[name]],TRUE,mets27138[[#This Row],[category]]&amp;"-"&amp;mets27138[[#This Row],[name]])</f>
        <v>BIOSYN-PROT-mettrna_c</v>
      </c>
      <c r="L50" s="73" t="str" cm="1">
        <f t="array" ref="L5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0" s="73" cm="1">
        <f t="array" ref="M5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-1.7603839750077429E-3</v>
      </c>
      <c r="N50" s="73"/>
      <c r="O50" s="73"/>
      <c r="P50" s="73">
        <v>-7.1039819399999994E-3</v>
      </c>
      <c r="Q50" s="73"/>
      <c r="R50" s="73"/>
      <c r="S50" s="73"/>
      <c r="T50" s="73"/>
      <c r="U50" s="73"/>
      <c r="V50" s="73"/>
    </row>
    <row r="51" spans="1:22" ht="16" x14ac:dyDescent="0.2">
      <c r="A51" s="99" t="s">
        <v>541</v>
      </c>
      <c r="B51" t="str">
        <f>SUBSTITUTE(_xlfn.TEXTBEFORE(mets27138[[#This Row],[pasted JSON metabolite keys and values from GSM biomass rxn]],":"),CHAR(34),"")</f>
        <v>phetrna_c</v>
      </c>
      <c r="C51" t="str">
        <f>_xlfn.TEXTBEFORE(mets27138[[#This Row],[name]],"_",-1)</f>
        <v>phetrna</v>
      </c>
      <c r="D51" t="str">
        <f>_xlfn.XLOOKUP(mets27138[[#This Row],[name w/o location]],metaboliteInfo[name w/o location],metaboliteInfo[suggested category],"")</f>
        <v>PROT</v>
      </c>
      <c r="E51" s="37">
        <f>_xlfn.XLOOKUP(mets27138[[#This Row],[name w/o location]],metaboliteInfo[name w/o location],metaboliteInfo[MW for biomass normalization (g/mol)],0)</f>
        <v>148.18180000000001</v>
      </c>
      <c r="F51" s="37">
        <f>_xlfn.NUMBERVALUE(SUBSTITUTE(_xlfn.TEXTAFTER(mets27138[[#This Row],[pasted JSON metabolite keys and values from GSM biomass rxn]],":"),",",""))</f>
        <v>-0.17723</v>
      </c>
      <c r="G51" s="37" cm="1">
        <f t="array" ref="G5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-0.17723</v>
      </c>
      <c r="H51" s="37">
        <f>mets27138[[#This Row],[coeff. w/o GAM]]</f>
        <v>-0.17723</v>
      </c>
      <c r="I51" s="72">
        <f>H51/($H$3)</f>
        <v>-5.9675682775535852E-2</v>
      </c>
      <c r="J51" s="37" cm="1">
        <f t="array" ref="J5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-5.9675682775535852E-2</v>
      </c>
      <c r="K51" t="str" cm="1">
        <f t="array" ref="K51">"BIOSYN-"&amp;_xlfn.IFS(IFERROR(MATCH(mets27138[[#This Row],[category]],{0,"0",""},0),0)&gt;0,mets27138[[#This Row],[name]],TRUE,mets27138[[#This Row],[category]]&amp;"-"&amp;mets27138[[#This Row],[name]])</f>
        <v>BIOSYN-PROT-phetrna_c</v>
      </c>
      <c r="L51" s="73" t="str" cm="1">
        <f t="array" ref="L5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1" s="73" cm="1">
        <f t="array" ref="M5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-5.8061384924280686E-3</v>
      </c>
      <c r="N51" s="73"/>
      <c r="O51" s="73"/>
      <c r="P51" s="73">
        <v>-2.6262260414E-2</v>
      </c>
      <c r="Q51" s="73"/>
      <c r="R51" s="73"/>
      <c r="S51" s="73"/>
      <c r="T51" s="73"/>
      <c r="U51" s="73"/>
      <c r="V51" s="73"/>
    </row>
    <row r="52" spans="1:22" ht="16" x14ac:dyDescent="0.2">
      <c r="A52" s="99" t="s">
        <v>542</v>
      </c>
      <c r="B52" t="str">
        <f>SUBSTITUTE(_xlfn.TEXTBEFORE(mets27138[[#This Row],[pasted JSON metabolite keys and values from GSM biomass rxn]],":"),CHAR(34),"")</f>
        <v>protrna_c</v>
      </c>
      <c r="C52" t="str">
        <f>_xlfn.TEXTBEFORE(mets27138[[#This Row],[name]],"_",-1)</f>
        <v>protrna</v>
      </c>
      <c r="D52" t="str">
        <f>_xlfn.XLOOKUP(mets27138[[#This Row],[name w/o location]],metaboliteInfo[name w/o location],metaboliteInfo[suggested category],"")</f>
        <v>PROT</v>
      </c>
      <c r="E52" s="37">
        <f>_xlfn.XLOOKUP(mets27138[[#This Row],[name w/o location]],metaboliteInfo[name w/o location],metaboliteInfo[MW for biomass normalization (g/mol)],0)</f>
        <v>97.115179999999995</v>
      </c>
      <c r="F52" s="37">
        <f>_xlfn.NUMBERVALUE(SUBSTITUTE(_xlfn.TEXTAFTER(mets27138[[#This Row],[pasted JSON metabolite keys and values from GSM biomass rxn]],":"),",",""))</f>
        <v>-0.19891300000000001</v>
      </c>
      <c r="G52" s="37" cm="1">
        <f t="array" ref="G5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-0.19891300000000001</v>
      </c>
      <c r="H52" s="37">
        <f>mets27138[[#This Row],[coeff. w/o GAM]]</f>
        <v>-0.19891300000000001</v>
      </c>
      <c r="I52" s="72">
        <f>H52/($H$3)</f>
        <v>-6.6976635377363675E-2</v>
      </c>
      <c r="J52" s="37" cm="1">
        <f t="array" ref="J5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-6.6976635377363675E-2</v>
      </c>
      <c r="K52" t="str" cm="1">
        <f t="array" ref="K52">"BIOSYN-"&amp;_xlfn.IFS(IFERROR(MATCH(mets27138[[#This Row],[category]],{0,"0",""},0),0)&gt;0,mets27138[[#This Row],[name]],TRUE,mets27138[[#This Row],[category]]&amp;"-"&amp;mets27138[[#This Row],[name]])</f>
        <v>BIOSYN-PROT-protrna_c</v>
      </c>
      <c r="L52" s="73" t="str" cm="1">
        <f t="array" ref="L5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2" s="73" cm="1">
        <f t="array" ref="M5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-6.5164838116816828E-3</v>
      </c>
      <c r="N52" s="73"/>
      <c r="O52" s="73"/>
      <c r="P52" s="73">
        <v>-1.931747179934E-2</v>
      </c>
      <c r="Q52" s="73"/>
      <c r="R52" s="73"/>
      <c r="S52" s="73"/>
      <c r="T52" s="73"/>
      <c r="U52" s="73"/>
      <c r="V52" s="73"/>
    </row>
    <row r="53" spans="1:22" ht="16" x14ac:dyDescent="0.2">
      <c r="A53" s="99" t="s">
        <v>543</v>
      </c>
      <c r="B53" t="str">
        <f>SUBSTITUTE(_xlfn.TEXTBEFORE(mets27138[[#This Row],[pasted JSON metabolite keys and values from GSM biomass rxn]],":"),CHAR(34),"")</f>
        <v>sertrna_c</v>
      </c>
      <c r="C53" t="str">
        <f>_xlfn.TEXTBEFORE(mets27138[[#This Row],[name]],"_",-1)</f>
        <v>sertrna</v>
      </c>
      <c r="D53" t="str">
        <f>_xlfn.XLOOKUP(mets27138[[#This Row],[name w/o location]],metaboliteInfo[name w/o location],metaboliteInfo[suggested category],"")</f>
        <v>PROT</v>
      </c>
      <c r="E53" s="37">
        <f>_xlfn.XLOOKUP(mets27138[[#This Row],[name w/o location]],metaboliteInfo[name w/o location],metaboliteInfo[MW for biomass normalization (g/mol)],0)</f>
        <v>88.085239999999999</v>
      </c>
      <c r="F53" s="37">
        <f>_xlfn.NUMBERVALUE(SUBSTITUTE(_xlfn.TEXTAFTER(mets27138[[#This Row],[pasted JSON metabolite keys and values from GSM biomass rxn]],":"),",",""))</f>
        <v>-0.25123299999999998</v>
      </c>
      <c r="G53" s="37" cm="1">
        <f t="array" ref="G53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-0.25123299999999998</v>
      </c>
      <c r="H53" s="37">
        <f>mets27138[[#This Row],[coeff. w/o GAM]]</f>
        <v>-0.25123299999999998</v>
      </c>
      <c r="I53" s="72">
        <f>H53/($H$3)</f>
        <v>-8.4593470692017142E-2</v>
      </c>
      <c r="J53" s="37" cm="1">
        <f t="array" ref="J53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-8.4593470692017142E-2</v>
      </c>
      <c r="K53" t="str" cm="1">
        <f t="array" ref="K53">"BIOSYN-"&amp;_xlfn.IFS(IFERROR(MATCH(mets27138[[#This Row],[category]],{0,"0",""},0),0)&gt;0,mets27138[[#This Row],[name]],TRUE,mets27138[[#This Row],[category]]&amp;"-"&amp;mets27138[[#This Row],[name]])</f>
        <v>BIOSYN-PROT-sertrna_c</v>
      </c>
      <c r="L53" s="73" t="str" cm="1">
        <f t="array" ref="L53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3" s="73" cm="1">
        <f t="array" ref="M53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-8.2305117184911184E-3</v>
      </c>
      <c r="N53" s="73"/>
      <c r="O53" s="73"/>
      <c r="P53" s="73">
        <v>-2.2129919100919999E-2</v>
      </c>
      <c r="Q53" s="73"/>
      <c r="R53" s="73"/>
      <c r="S53" s="73"/>
      <c r="T53" s="73"/>
      <c r="U53" s="73"/>
      <c r="V53" s="73"/>
    </row>
    <row r="54" spans="1:22" ht="16" x14ac:dyDescent="0.2">
      <c r="A54" s="99" t="s">
        <v>544</v>
      </c>
      <c r="B54" t="str">
        <f>SUBSTITUTE(_xlfn.TEXTBEFORE(mets27138[[#This Row],[pasted JSON metabolite keys and values from GSM biomass rxn]],":"),CHAR(34),"")</f>
        <v>thrtrna_c</v>
      </c>
      <c r="C54" t="str">
        <f>_xlfn.TEXTBEFORE(mets27138[[#This Row],[name]],"_",-1)</f>
        <v>thrtrna</v>
      </c>
      <c r="D54" t="str">
        <f>_xlfn.XLOOKUP(mets27138[[#This Row],[name w/o location]],metaboliteInfo[name w/o location],metaboliteInfo[suggested category],"")</f>
        <v>PROT</v>
      </c>
      <c r="E54" s="37">
        <f>_xlfn.XLOOKUP(mets27138[[#This Row],[name w/o location]],metaboliteInfo[name w/o location],metaboliteInfo[MW for biomass normalization (g/mol)],0)</f>
        <v>102.11181999999999</v>
      </c>
      <c r="F54" s="37">
        <f>_xlfn.NUMBERVALUE(SUBSTITUTE(_xlfn.TEXTAFTER(mets27138[[#This Row],[pasted JSON metabolite keys and values from GSM biomass rxn]],":"),",",""))</f>
        <v>-0.262546</v>
      </c>
      <c r="G54" s="37" cm="1">
        <f t="array" ref="G54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-0.262546</v>
      </c>
      <c r="H54" s="37">
        <f>mets27138[[#This Row],[coeff. w/o GAM]]</f>
        <v>-0.262546</v>
      </c>
      <c r="I54" s="72">
        <f>H54/($H$3)</f>
        <v>-8.8402707272955128E-2</v>
      </c>
      <c r="J54" s="37" cm="1">
        <f t="array" ref="J54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-8.8402707272955128E-2</v>
      </c>
      <c r="K54" t="str" cm="1">
        <f t="array" ref="K54">"BIOSYN-"&amp;_xlfn.IFS(IFERROR(MATCH(mets27138[[#This Row],[category]],{0,"0",""},0),0)&gt;0,mets27138[[#This Row],[name]],TRUE,mets27138[[#This Row],[category]]&amp;"-"&amp;mets27138[[#This Row],[name]])</f>
        <v>BIOSYN-PROT-thrtrna_c</v>
      </c>
      <c r="L54" s="73" t="str" cm="1">
        <f t="array" ref="L54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4" s="73" cm="1">
        <f t="array" ref="M54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-8.6011309407719901E-3</v>
      </c>
      <c r="N54" s="73"/>
      <c r="O54" s="73"/>
      <c r="P54" s="73">
        <v>-2.6809049893719999E-2</v>
      </c>
      <c r="Q54" s="73"/>
      <c r="R54" s="73"/>
      <c r="S54" s="73"/>
      <c r="T54" s="73"/>
      <c r="U54" s="73"/>
      <c r="V54" s="73"/>
    </row>
    <row r="55" spans="1:22" ht="16" x14ac:dyDescent="0.2">
      <c r="A55" s="99" t="s">
        <v>545</v>
      </c>
      <c r="B55" t="str">
        <f>SUBSTITUTE(_xlfn.TEXTBEFORE(mets27138[[#This Row],[pasted JSON metabolite keys and values from GSM biomass rxn]],":"),CHAR(34),"")</f>
        <v>trptrna_c</v>
      </c>
      <c r="C55" t="str">
        <f>_xlfn.TEXTBEFORE(mets27138[[#This Row],[name]],"_",-1)</f>
        <v>trptrna</v>
      </c>
      <c r="D55" t="str">
        <f>_xlfn.XLOOKUP(mets27138[[#This Row],[name w/o location]],metaboliteInfo[name w/o location],metaboliteInfo[suggested category],"")</f>
        <v>PROT</v>
      </c>
      <c r="E55" s="37">
        <f>_xlfn.XLOOKUP(mets27138[[#This Row],[name w/o location]],metaboliteInfo[name w/o location],metaboliteInfo[MW for biomass normalization (g/mol)],0)</f>
        <v>187.21784</v>
      </c>
      <c r="F55" s="37">
        <f>_xlfn.NUMBERVALUE(SUBSTITUTE(_xlfn.TEXTAFTER(mets27138[[#This Row],[pasted JSON metabolite keys and values from GSM biomass rxn]],":"),",",""))</f>
        <v>-3.0637999999999999E-2</v>
      </c>
      <c r="G55" s="37" cm="1">
        <f t="array" ref="G55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-3.0637999999999999E-2</v>
      </c>
      <c r="H55" s="37">
        <f>mets27138[[#This Row],[coeff. w/o GAM]]</f>
        <v>-3.0637999999999999E-2</v>
      </c>
      <c r="I55" s="72">
        <f>H55/($H$3)</f>
        <v>-1.0316219426038862E-2</v>
      </c>
      <c r="J55" s="37" cm="1">
        <f t="array" ref="J55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-1.0316219426038862E-2</v>
      </c>
      <c r="K55" t="str" cm="1">
        <f t="array" ref="K55">"BIOSYN-"&amp;_xlfn.IFS(IFERROR(MATCH(mets27138[[#This Row],[category]],{0,"0",""},0),0)&gt;0,mets27138[[#This Row],[name]],TRUE,mets27138[[#This Row],[category]]&amp;"-"&amp;mets27138[[#This Row],[name]])</f>
        <v>BIOSYN-PROT-trptrna_c</v>
      </c>
      <c r="L55" s="73" t="str" cm="1">
        <f t="array" ref="L55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5" s="73" cm="1">
        <f t="array" ref="M55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-1.0037153480280494E-3</v>
      </c>
      <c r="N55" s="73"/>
      <c r="O55" s="73"/>
      <c r="P55" s="73">
        <v>-5.7359801819199998E-3</v>
      </c>
      <c r="Q55" s="73"/>
      <c r="R55" s="73"/>
      <c r="S55" s="73"/>
      <c r="T55" s="73"/>
      <c r="U55" s="73"/>
      <c r="V55" s="73"/>
    </row>
    <row r="56" spans="1:22" ht="16" x14ac:dyDescent="0.2">
      <c r="A56" s="99" t="s">
        <v>546</v>
      </c>
      <c r="B56" t="str">
        <f>SUBSTITUTE(_xlfn.TEXTBEFORE(mets27138[[#This Row],[pasted JSON metabolite keys and values from GSM biomass rxn]],":"),CHAR(34),"")</f>
        <v>tyrtrna_c</v>
      </c>
      <c r="C56" t="str">
        <f>_xlfn.TEXTBEFORE(mets27138[[#This Row],[name]],"_",-1)</f>
        <v>tyrtrna</v>
      </c>
      <c r="D56" t="str">
        <f>_xlfn.XLOOKUP(mets27138[[#This Row],[name w/o location]],metaboliteInfo[name w/o location],metaboliteInfo[suggested category],"")</f>
        <v>PROT</v>
      </c>
      <c r="E56" s="37">
        <f>_xlfn.XLOOKUP(mets27138[[#This Row],[name w/o location]],metaboliteInfo[name w/o location],metaboliteInfo[MW for biomass normalization (g/mol)],0)</f>
        <v>164.18119999999999</v>
      </c>
      <c r="F56" s="37">
        <f>_xlfn.NUMBERVALUE(SUBSTITUTE(_xlfn.TEXTAFTER(mets27138[[#This Row],[pasted JSON metabolite keys and values from GSM biomass rxn]],":"),",",""))</f>
        <v>-9.2385999999999996E-2</v>
      </c>
      <c r="G56" s="37" cm="1">
        <f t="array" ref="G56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-9.2385999999999996E-2</v>
      </c>
      <c r="H56" s="37">
        <f>mets27138[[#This Row],[coeff. w/o GAM]]</f>
        <v>-9.2385999999999996E-2</v>
      </c>
      <c r="I56" s="72">
        <f>H56/($H$3)</f>
        <v>-3.110758691474725E-2</v>
      </c>
      <c r="J56" s="37" cm="1">
        <f t="array" ref="J56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-3.110758691474725E-2</v>
      </c>
      <c r="K56" t="str" cm="1">
        <f t="array" ref="K56">"BIOSYN-"&amp;_xlfn.IFS(IFERROR(MATCH(mets27138[[#This Row],[category]],{0,"0",""},0),0)&gt;0,mets27138[[#This Row],[name]],TRUE,mets27138[[#This Row],[category]]&amp;"-"&amp;mets27138[[#This Row],[name]])</f>
        <v>BIOSYN-PROT-tyrtrna_c</v>
      </c>
      <c r="L56" s="73" t="str" cm="1">
        <f t="array" ref="L56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6" s="73" cm="1">
        <f t="array" ref="M56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-3.0266089869743248E-3</v>
      </c>
      <c r="N56" s="73"/>
      <c r="O56" s="73"/>
      <c r="P56" s="73">
        <v>-1.5168044343199998E-2</v>
      </c>
      <c r="Q56" s="73"/>
      <c r="R56" s="73"/>
      <c r="S56" s="73"/>
      <c r="T56" s="73"/>
      <c r="U56" s="73"/>
      <c r="V56" s="73"/>
    </row>
    <row r="57" spans="1:22" ht="16" x14ac:dyDescent="0.2">
      <c r="A57" s="99" t="s">
        <v>547</v>
      </c>
      <c r="B57" t="str">
        <f>SUBSTITUTE(_xlfn.TEXTBEFORE(mets27138[[#This Row],[pasted JSON metabolite keys and values from GSM biomass rxn]],":"),CHAR(34),"")</f>
        <v>valtrna_c</v>
      </c>
      <c r="C57" t="str">
        <f>_xlfn.TEXTBEFORE(mets27138[[#This Row],[name]],"_",-1)</f>
        <v>valtrna</v>
      </c>
      <c r="D57" t="str">
        <f>_xlfn.XLOOKUP(mets27138[[#This Row],[name w/o location]],metaboliteInfo[name w/o location],metaboliteInfo[suggested category],"")</f>
        <v>PROT</v>
      </c>
      <c r="E57" s="37">
        <f>_xlfn.XLOOKUP(mets27138[[#This Row],[name w/o location]],metaboliteInfo[name w/o location],metaboliteInfo[MW for biomass normalization (g/mol)],0)</f>
        <v>100.139</v>
      </c>
      <c r="F57" s="37">
        <f>_xlfn.NUMBERVALUE(SUBSTITUTE(_xlfn.TEXTAFTER(mets27138[[#This Row],[pasted JSON metabolite keys and values from GSM biomass rxn]],":"),",",""))</f>
        <v>-0.34550500000000001</v>
      </c>
      <c r="G57" s="37" cm="1">
        <f t="array" ref="G57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-0.34550500000000001</v>
      </c>
      <c r="H57" s="37">
        <f>mets27138[[#This Row],[coeff. w/o GAM]]</f>
        <v>-0.34550500000000001</v>
      </c>
      <c r="I57" s="72">
        <f>H57/($H$3)</f>
        <v>-0.11633609872686067</v>
      </c>
      <c r="J57" s="37" cm="1">
        <f t="array" ref="J57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-0.11633609872686067</v>
      </c>
      <c r="K57" t="str" cm="1">
        <f t="array" ref="K57">"BIOSYN-"&amp;_xlfn.IFS(IFERROR(MATCH(mets27138[[#This Row],[category]],{0,"0",""},0),0)&gt;0,mets27138[[#This Row],[name]],TRUE,mets27138[[#This Row],[category]]&amp;"-"&amp;mets27138[[#This Row],[name]])</f>
        <v>BIOSYN-PROT-valtrna_c</v>
      </c>
      <c r="L57" s="73" t="str" cm="1">
        <f t="array" ref="L57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/>
      </c>
      <c r="M57" s="73" cm="1">
        <f t="array" ref="M57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-1.1318906956081702E-2</v>
      </c>
      <c r="N57" s="73"/>
      <c r="O57" s="73"/>
      <c r="P57" s="73">
        <v>-3.4598525195E-2</v>
      </c>
      <c r="Q57" s="73"/>
      <c r="R57" s="73"/>
      <c r="S57" s="73"/>
      <c r="T57" s="73"/>
      <c r="U57" s="73"/>
      <c r="V57" s="73"/>
    </row>
    <row r="58" spans="1:22" ht="16" x14ac:dyDescent="0.2">
      <c r="A58" s="99" t="s">
        <v>563</v>
      </c>
      <c r="B58" t="str">
        <f>SUBSTITUTE(_xlfn.TEXTBEFORE(mets27138[[#This Row],[pasted JSON metabolite keys and values from GSM biomass rxn]],":"),CHAR(34),"")</f>
        <v>ctp_c</v>
      </c>
      <c r="C58" t="str">
        <f>_xlfn.TEXTBEFORE(mets27138[[#This Row],[name]],"_",-1)</f>
        <v>ctp</v>
      </c>
      <c r="D58" t="str">
        <f>_xlfn.XLOOKUP(mets27138[[#This Row],[name w/o location]],metaboliteInfo[name w/o location],metaboliteInfo[suggested category],"")</f>
        <v>RNA</v>
      </c>
      <c r="E58" s="37">
        <f>_xlfn.XLOOKUP(mets27138[[#This Row],[name w/o location]],metaboliteInfo[name w/o location],metaboliteInfo[MW for biomass normalization (g/mol)],0)</f>
        <v>304.17330100000004</v>
      </c>
      <c r="F58" s="37">
        <f>_xlfn.NUMBERVALUE(SUBSTITUTE(_xlfn.TEXTAFTER(mets27138[[#This Row],[pasted JSON metabolite keys and values from GSM biomass rxn]],":"),",",""))</f>
        <v>-9.3742000000000006E-2</v>
      </c>
      <c r="G58" s="37" cm="1">
        <f t="array" ref="G58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-9.3742000000000006E-2</v>
      </c>
      <c r="H58" s="37">
        <f>mets27138[[#This Row],[coeff. w/o GAM]]</f>
        <v>-9.3742000000000006E-2</v>
      </c>
      <c r="I58" s="72">
        <f>H58/($H$3)</f>
        <v>-3.1564170031847215E-2</v>
      </c>
      <c r="J58" s="37" cm="1">
        <f t="array" ref="J58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-3.1564170031847215E-2</v>
      </c>
      <c r="K58" t="str" cm="1">
        <f t="array" ref="K58">"BIOSYN-"&amp;_xlfn.IFS(IFERROR(MATCH(mets27138[[#This Row],[category]],{0,"0",""},0),0)&gt;0,mets27138[[#This Row],[name]],TRUE,mets27138[[#This Row],[category]]&amp;"-"&amp;mets27138[[#This Row],[name]])</f>
        <v>BIOSYN-RNA-ctp_c</v>
      </c>
      <c r="L58" s="73" t="str" cm="1">
        <f t="array" ref="L58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MET-ctp_c --&gt; MET-ppi_c + 0.304173 BIO-ctp_c</v>
      </c>
      <c r="M58" s="73" cm="1">
        <f t="array" ref="M58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-3.1564170031847215E-2</v>
      </c>
      <c r="N58" s="73"/>
      <c r="O58" s="73"/>
      <c r="P58" s="73"/>
      <c r="Q58" s="73"/>
      <c r="R58" s="73"/>
      <c r="S58" s="73"/>
      <c r="T58" s="73"/>
      <c r="U58" s="73"/>
      <c r="V58" s="73"/>
    </row>
    <row r="59" spans="1:22" ht="16" x14ac:dyDescent="0.2">
      <c r="A59" s="99" t="s">
        <v>564</v>
      </c>
      <c r="B59" t="str">
        <f>SUBSTITUTE(_xlfn.TEXTBEFORE(mets27138[[#This Row],[pasted JSON metabolite keys and values from GSM biomass rxn]],":"),CHAR(34),"")</f>
        <v>gtp_c</v>
      </c>
      <c r="C59" t="str">
        <f>_xlfn.TEXTBEFORE(mets27138[[#This Row],[name]],"_",-1)</f>
        <v>gtp</v>
      </c>
      <c r="D59" t="str">
        <f>_xlfn.XLOOKUP(mets27138[[#This Row],[name w/o location]],metaboliteInfo[name w/o location],metaboliteInfo[suggested category],"")</f>
        <v>RNA</v>
      </c>
      <c r="E59" s="37">
        <f>_xlfn.XLOOKUP(mets27138[[#This Row],[name w/o location]],metaboliteInfo[name w/o location],metaboliteInfo[MW for biomass normalization (g/mol)],0)</f>
        <v>344.19740100000001</v>
      </c>
      <c r="F59" s="37">
        <f>_xlfn.NUMBERVALUE(SUBSTITUTE(_xlfn.TEXTAFTER(mets27138[[#This Row],[pasted JSON metabolite keys and values from GSM biomass rxn]],":"),",",""))</f>
        <v>-9.6468999999999999E-2</v>
      </c>
      <c r="G59" s="37" cm="1">
        <f t="array" ref="G59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-9.6468999999999999E-2</v>
      </c>
      <c r="H59" s="37">
        <f>mets27138[[#This Row],[coeff. w/o GAM]]</f>
        <v>-9.6468999999999999E-2</v>
      </c>
      <c r="I59" s="72">
        <f>H59/($H$3)</f>
        <v>-3.2482386964245151E-2</v>
      </c>
      <c r="J59" s="37" cm="1">
        <f t="array" ref="J59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-3.2482386964245151E-2</v>
      </c>
      <c r="K59" t="str" cm="1">
        <f t="array" ref="K59">"BIOSYN-"&amp;_xlfn.IFS(IFERROR(MATCH(mets27138[[#This Row],[category]],{0,"0",""},0),0)&gt;0,mets27138[[#This Row],[name]],TRUE,mets27138[[#This Row],[category]]&amp;"-"&amp;mets27138[[#This Row],[name]])</f>
        <v>BIOSYN-RNA-gtp_c</v>
      </c>
      <c r="L59" s="73" t="str" cm="1">
        <f t="array" ref="L59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MET-gtp_c --&gt; MET-ppi_c + 0.344197 BIO-gtp_c</v>
      </c>
      <c r="M59" s="73" cm="1">
        <f t="array" ref="M59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-3.2482386964245151E-2</v>
      </c>
      <c r="N59" s="73"/>
      <c r="O59" s="73"/>
      <c r="P59" s="73"/>
      <c r="Q59" s="73"/>
      <c r="R59" s="73"/>
      <c r="S59" s="73"/>
      <c r="T59" s="73"/>
      <c r="U59" s="73"/>
      <c r="V59" s="73"/>
    </row>
    <row r="60" spans="1:22" ht="16" x14ac:dyDescent="0.2">
      <c r="A60" s="99" t="s">
        <v>565</v>
      </c>
      <c r="B60" t="str">
        <f>SUBSTITUTE(_xlfn.TEXTBEFORE(mets27138[[#This Row],[pasted JSON metabolite keys and values from GSM biomass rxn]],":"),CHAR(34),"")</f>
        <v>utp_c</v>
      </c>
      <c r="C60" t="str">
        <f>_xlfn.TEXTBEFORE(mets27138[[#This Row],[name]],"_",-1)</f>
        <v>utp</v>
      </c>
      <c r="D60" t="str">
        <f>_xlfn.XLOOKUP(mets27138[[#This Row],[name w/o location]],metaboliteInfo[name w/o location],metaboliteInfo[suggested category],"")</f>
        <v>RNA</v>
      </c>
      <c r="E60" s="37">
        <f>_xlfn.XLOOKUP(mets27138[[#This Row],[name w/o location]],metaboliteInfo[name w/o location],metaboliteInfo[MW for biomass normalization (g/mol)],0)</f>
        <v>305.15806099999998</v>
      </c>
      <c r="F60" s="37">
        <f>_xlfn.NUMBERVALUE(SUBSTITUTE(_xlfn.TEXTAFTER(mets27138[[#This Row],[pasted JSON metabolite keys and values from GSM biomass rxn]],":"),",",""))</f>
        <v>-0.12561900000000001</v>
      </c>
      <c r="G60" s="37" cm="1">
        <f t="array" ref="G60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-0.12561900000000001</v>
      </c>
      <c r="H60" s="37">
        <f>mets27138[[#This Row],[coeff. w/o GAM]]</f>
        <v>-0.12561900000000001</v>
      </c>
      <c r="I60" s="72">
        <f>H60/($H$3)</f>
        <v>-4.2297577129041579E-2</v>
      </c>
      <c r="J60" s="37" cm="1">
        <f t="array" ref="J60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-4.2297577129041579E-2</v>
      </c>
      <c r="K60" t="str" cm="1">
        <f t="array" ref="K60">"BIOSYN-"&amp;_xlfn.IFS(IFERROR(MATCH(mets27138[[#This Row],[category]],{0,"0",""},0),0)&gt;0,mets27138[[#This Row],[name]],TRUE,mets27138[[#This Row],[category]]&amp;"-"&amp;mets27138[[#This Row],[name]])</f>
        <v>BIOSYN-RNA-utp_c</v>
      </c>
      <c r="L60" s="73" t="str" cm="1">
        <f t="array" ref="L60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MET-utp_c --&gt; MET-ppi_c + 0.305158 BIO-utp_c</v>
      </c>
      <c r="M60" s="73" cm="1">
        <f t="array" ref="M60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-4.2297577129041579E-2</v>
      </c>
      <c r="N60" s="73"/>
      <c r="O60" s="73"/>
      <c r="P60" s="73"/>
      <c r="Q60" s="73"/>
      <c r="R60" s="73"/>
      <c r="S60" s="73"/>
      <c r="T60" s="73"/>
      <c r="U60" s="73"/>
      <c r="V60" s="73"/>
    </row>
    <row r="61" spans="1:22" ht="16" x14ac:dyDescent="0.2">
      <c r="A61" s="99" t="s">
        <v>573</v>
      </c>
      <c r="B61" t="str">
        <f>SUBSTITUTE(_xlfn.TEXTBEFORE(mets27138[[#This Row],[pasted JSON metabolite keys and values from GSM biomass rxn]],":"),CHAR(34),"")</f>
        <v>atp_c</v>
      </c>
      <c r="C61" t="str">
        <f>_xlfn.TEXTBEFORE(mets27138[[#This Row],[name]],"_",-1)</f>
        <v>atp</v>
      </c>
      <c r="D61" t="str">
        <f>_xlfn.XLOOKUP(mets27138[[#This Row],[name w/o location]],metaboliteInfo[name w/o location],metaboliteInfo[suggested category],"")</f>
        <v>RNA</v>
      </c>
      <c r="E61" s="37">
        <f>_xlfn.XLOOKUP(mets27138[[#This Row],[name w/o location]],metaboliteInfo[name w/o location],metaboliteInfo[MW for biomass normalization (g/mol)],0)</f>
        <v>328.19800099999998</v>
      </c>
      <c r="F61" s="37">
        <f>_xlfn.NUMBERVALUE(SUBSTITUTE(_xlfn.TEXTAFTER(mets27138[[#This Row],[pasted JSON metabolite keys and values from GSM biomass rxn]],":"),",",""))</f>
        <v>-144.26261199999999</v>
      </c>
      <c r="G61" s="37" cm="1">
        <f t="array" ref="G61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-4.7996699999999919</v>
      </c>
      <c r="H61" s="37">
        <f>mets27138[[#This Row],[coeff. w/o GAM]]</f>
        <v>-4.7996699999999919</v>
      </c>
      <c r="I61" s="72">
        <f>H61/($H$3)</f>
        <v>-1.6161123080023454</v>
      </c>
      <c r="J61" s="37" cm="1">
        <f t="array" ref="J61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-130.33905430800235</v>
      </c>
      <c r="K61" t="str" cm="1">
        <f t="array" ref="K61">"BIOSYN-"&amp;_xlfn.IFS(IFERROR(MATCH(mets27138[[#This Row],[category]],{0,"0",""},0),0)&gt;0,mets27138[[#This Row],[name]],TRUE,mets27138[[#This Row],[category]]&amp;"-"&amp;mets27138[[#This Row],[name]])</f>
        <v>BIOSYN-RNA-atp_c</v>
      </c>
      <c r="L61" s="73" t="str" cm="1">
        <f t="array" ref="L61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MET-atp_c --&gt; MET-ppi_c + 0.328198 BIO-atp_c</v>
      </c>
      <c r="M61" s="73" cm="1">
        <f t="array" ref="M61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-141.07905430800236</v>
      </c>
      <c r="N61" s="73"/>
      <c r="O61" s="73"/>
      <c r="P61" s="73"/>
      <c r="Q61" s="73"/>
      <c r="R61" s="73"/>
      <c r="S61" s="73"/>
      <c r="T61" s="73"/>
      <c r="U61" s="73"/>
      <c r="V61" s="73"/>
    </row>
    <row r="62" spans="1:22" ht="16" x14ac:dyDescent="0.2">
      <c r="A62" s="99" t="s">
        <v>477</v>
      </c>
      <c r="B62" t="str">
        <f>SUBSTITUTE(_xlfn.TEXTBEFORE(mets27138[[#This Row],[pasted JSON metabolite keys and values from GSM biomass rxn]],":"),CHAR(34),"")</f>
        <v>so4_c</v>
      </c>
      <c r="C62" t="str">
        <f>_xlfn.TEXTBEFORE(mets27138[[#This Row],[name]],"_",-1)</f>
        <v>so4</v>
      </c>
      <c r="D62" t="str">
        <f>_xlfn.XLOOKUP(mets27138[[#This Row],[name w/o location]],metaboliteInfo[name w/o location],metaboliteInfo[suggested category],"")</f>
        <v>SO4</v>
      </c>
      <c r="E62" s="37">
        <f>_xlfn.XLOOKUP(mets27138[[#This Row],[name w/o location]],metaboliteInfo[name w/o location],metaboliteInfo[MW for biomass normalization (g/mol)],0)</f>
        <v>96.062600000000003</v>
      </c>
      <c r="F62" s="37">
        <f>_xlfn.NUMBERVALUE(SUBSTITUTE(_xlfn.TEXTAFTER(mets27138[[#This Row],[pasted JSON metabolite keys and values from GSM biomass rxn]],":"),",",""))</f>
        <v>-3.1223000000000001E-2</v>
      </c>
      <c r="G62" s="37" cm="1">
        <f t="array" ref="G62">_xlfn.LET(_xlpm.id,mets27138[[#This Row],[name w/o location]],IF(IsElementOfSet_DIY(_xlpm.id,{"atp","adp","h","pi","h2o"}),SIGN(mets27138[[#This Row],[raw (GSM) coefficient]])*(ABS(mets27138[[#This Row],[raw (GSM) coefficient]])-$J$2),mets27138[[#This Row],[raw (GSM) coefficient]]))</f>
        <v>-3.1223000000000001E-2</v>
      </c>
      <c r="H62" s="37">
        <f>mets27138[[#This Row],[coeff. w/o GAM]]</f>
        <v>-3.1223000000000001E-2</v>
      </c>
      <c r="I62" s="72">
        <f>H62/($H$3)</f>
        <v>-1.0513196655761193E-2</v>
      </c>
      <c r="J62" s="37" cm="1">
        <f t="array" ref="J62">_xlfn.LET(_xlpm.id,mets27138[[#This Row],[name w/o location]],_xlpm.oldcoeff,mets27138[[#This Row],[normalized coeffs]],_xlpm.gam,$J$2-$G$2,_xlfn.IFS(IFERROR(MATCH(_xlpm.id,{"atp","h2o"},0),0)&gt;0,_xlpm.oldcoeff-_xlpm.gam,IFERROR(MATCH(_xlpm.id,{"adp","h","pi"},0),0)&gt;0,_xlpm.oldcoeff+_xlpm.gam,TRUE,_xlpm.oldcoeff))</f>
        <v>-1.0513196655761193E-2</v>
      </c>
      <c r="K62" t="str" cm="1">
        <f t="array" ref="K62">"BIOSYN-"&amp;_xlfn.IFS(IFERROR(MATCH(mets27138[[#This Row],[category]],{0,"0",""},0),0)&gt;0,mets27138[[#This Row],[name]],TRUE,mets27138[[#This Row],[category]]&amp;"-"&amp;mets27138[[#This Row],[name]])</f>
        <v>BIOSYN-SO4-so4_c</v>
      </c>
      <c r="L62" s="73" t="str" cm="1">
        <f t="array" ref="L62">IF(IsElementOfSet_DIY(mets27138[[#This Row],[category]],{"ignore","PROT"}),"",_xlfn.LET(_xlpm.mw,mets27138[[#This Row],[MW for biomass normalization (g/mol)]],"MET-"&amp;mets27138[[#This Row],[name]]&amp;" --&gt; "&amp;IF((mets27138[[#This Row],[category]]="DNA")+(mets27138[[#This Row],[category]]="RNA"),"MET-ppi_c + ","")&amp;ROUND(ABS(_xlpm.mw/1000),6)&amp;" BIO-"&amp;mets27138[[#This Row],[name]]))</f>
        <v>MET-so4_c --&gt; 0.096063 BIO-so4_c</v>
      </c>
      <c r="M62" s="73" cm="1">
        <f t="array" ref="M62">_xlfn.LET(_xlpm.gam,$J$2,_xlpm.cat,IF(LEFT(mets27138[[#This Row],[name w/o location]],4)="trna","PROT",mets27138[[#This Row],[category]]),_xlpm.multipliers,_xlfn._xlws.FILTER(_xlfn.HSTACK(biomassComponents26127[normalized coeffs],biomassComponents26127[original coeffs from input]),(biomassComponents26127[rxn name]="BIOSYN-"&amp;_xlpm.cat)+IF(mets27138[[#This Row],[name w/o location]]="ppi",((biomassComponents26127[rxn name]="BIOSYN-DNA"))+((biomassComponents26127[rxn name]="BIOSYN-RNA"))&gt;0,FALSE),{1,1}),mets27138[[#This Row],[normalized coeffs]]*(SUM(_xlfn.CHOOSECOLS(_xlpm.multipliers,1))/SUM(_xlfn.CHOOSECOLS(_xlpm.multipliers,2)))+_xlfn.IFS(OR(mets27138[[#This Row],[name w/o location]]={"atp","h2o"}),-_xlpm.gam,OR(mets27138[[#This Row],[name w/o location]]={"adp","h","pi"}),_xlpm.gam,TRUE,0))</f>
        <v>-1.0513196655761193E-2</v>
      </c>
      <c r="N62" s="73"/>
      <c r="O62" s="73"/>
      <c r="P62" s="73"/>
      <c r="Q62" s="73"/>
      <c r="R62" s="73"/>
      <c r="S62" s="73"/>
      <c r="T62" s="73"/>
      <c r="U62" s="73"/>
      <c r="V62" s="73"/>
    </row>
  </sheetData>
  <mergeCells count="3">
    <mergeCell ref="A1:F1"/>
    <mergeCell ref="A2:F2"/>
    <mergeCell ref="D4:E4"/>
  </mergeCells>
  <conditionalFormatting sqref="S6:S14">
    <cfRule type="expression" dxfId="1" priority="1" stopIfTrue="1">
      <formula>NOT(_xlfn.ISFORMULA(S6))</formula>
    </cfRule>
  </conditionalFormatting>
  <conditionalFormatting sqref="T6:T14">
    <cfRule type="expression" dxfId="0" priority="2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42" workbookViewId="0">
      <selection activeCell="A71" sqref="A54:D71"/>
    </sheetView>
  </sheetViews>
  <sheetFormatPr baseColWidth="10" defaultRowHeight="13" x14ac:dyDescent="0.15"/>
  <sheetData>
    <row r="1" spans="1:5" ht="77" customHeight="1" x14ac:dyDescent="0.15">
      <c r="A1" s="97" t="s">
        <v>223</v>
      </c>
      <c r="B1" s="97"/>
      <c r="C1" s="97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234</v>
      </c>
      <c r="B3" t="s">
        <v>235</v>
      </c>
      <c r="C3">
        <v>162.14060000000001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4" spans="1:5" x14ac:dyDescent="0.15">
      <c r="A4" t="s">
        <v>236</v>
      </c>
      <c r="B4" t="s">
        <v>235</v>
      </c>
      <c r="C4">
        <v>162.14060000000001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5" spans="1:5" x14ac:dyDescent="0.15">
      <c r="A5" t="s">
        <v>238</v>
      </c>
      <c r="B5" t="s">
        <v>235</v>
      </c>
      <c r="C5">
        <v>203.19252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6" spans="1:5" x14ac:dyDescent="0.15">
      <c r="A6" t="s">
        <v>237</v>
      </c>
      <c r="B6" t="s">
        <v>235</v>
      </c>
      <c r="C6">
        <v>2619.1368040000002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7" spans="1:5" x14ac:dyDescent="0.15">
      <c r="A7" t="s">
        <v>339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239</v>
      </c>
      <c r="B8" t="s">
        <v>235</v>
      </c>
      <c r="C8">
        <v>2280.41334042176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9" spans="1:5" x14ac:dyDescent="0.15">
      <c r="A9" t="s">
        <v>342</v>
      </c>
      <c r="B9" t="s">
        <v>235</v>
      </c>
      <c r="C9">
        <v>162.14060000000001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9" t="s">
        <v>341</v>
      </c>
    </row>
    <row r="10" spans="1:5" x14ac:dyDescent="0.15">
      <c r="A10" t="s">
        <v>240</v>
      </c>
      <c r="B10" t="s">
        <v>235</v>
      </c>
      <c r="C10">
        <v>810.70299999999997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1" spans="1:5" x14ac:dyDescent="0.15">
      <c r="A11" t="s">
        <v>349</v>
      </c>
      <c r="B11" t="s">
        <v>235</v>
      </c>
      <c r="C11">
        <v>342.29647999999997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" t="s">
        <v>341</v>
      </c>
    </row>
    <row r="12" spans="1:5" x14ac:dyDescent="0.15">
      <c r="A12" t="s">
        <v>332</v>
      </c>
      <c r="B12" t="s">
        <v>242</v>
      </c>
      <c r="C12">
        <v>458.44785999999999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478</v>
      </c>
      <c r="B21" t="s">
        <v>242</v>
      </c>
      <c r="C21" s="49">
        <v>741.38912300000004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22" spans="1:4" x14ac:dyDescent="0.15">
      <c r="A22" t="s">
        <v>249</v>
      </c>
      <c r="B22" t="s">
        <v>242</v>
      </c>
      <c r="C22">
        <v>245.126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3" spans="1:4" x14ac:dyDescent="0.15">
      <c r="A23" t="s">
        <v>250</v>
      </c>
      <c r="B23" t="s">
        <v>242</v>
      </c>
      <c r="C23">
        <v>375.35595999999998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4" spans="1:4" x14ac:dyDescent="0.15">
      <c r="A24" t="s">
        <v>251</v>
      </c>
      <c r="B24" t="s">
        <v>242</v>
      </c>
      <c r="C24">
        <v>148.26967999999999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5" spans="1:4" x14ac:dyDescent="0.15">
      <c r="A25" t="s">
        <v>252</v>
      </c>
      <c r="B25" t="s">
        <v>242</v>
      </c>
      <c r="C25">
        <v>443.41334000000001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6" spans="1:4" x14ac:dyDescent="0.15">
      <c r="A26" t="s">
        <v>253</v>
      </c>
      <c r="B26" t="s">
        <v>242</v>
      </c>
      <c r="C26">
        <v>422.29056200000002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7" spans="1:4" x14ac:dyDescent="0.15">
      <c r="A27" t="s">
        <v>254</v>
      </c>
      <c r="B27" t="s">
        <v>27</v>
      </c>
      <c r="C27">
        <v>487.14986299999998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8" spans="1:4" x14ac:dyDescent="0.15">
      <c r="A28" t="s">
        <v>255</v>
      </c>
      <c r="B28" t="s">
        <v>27</v>
      </c>
      <c r="C28">
        <v>463.12516299999999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9" spans="1:4" x14ac:dyDescent="0.15">
      <c r="A29" t="s">
        <v>256</v>
      </c>
      <c r="B29" t="s">
        <v>27</v>
      </c>
      <c r="C29">
        <v>503.14926300000002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30" spans="1:4" x14ac:dyDescent="0.15">
      <c r="A30" t="s">
        <v>257</v>
      </c>
      <c r="B30" t="s">
        <v>27</v>
      </c>
      <c r="C30">
        <v>478.136503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1" spans="1:4" x14ac:dyDescent="0.15">
      <c r="A31" t="s">
        <v>230</v>
      </c>
      <c r="B31" t="s">
        <v>41</v>
      </c>
      <c r="C31">
        <v>424.177302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32" spans="1:4" x14ac:dyDescent="0.15">
      <c r="A32" t="s">
        <v>232</v>
      </c>
      <c r="B32" t="s">
        <v>41</v>
      </c>
      <c r="C32">
        <v>1.0079400000000001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33" spans="1:4" x14ac:dyDescent="0.15">
      <c r="A33" t="s">
        <v>231</v>
      </c>
      <c r="B33" t="s">
        <v>41</v>
      </c>
      <c r="C33">
        <v>18.015280000000001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34" spans="1:4" x14ac:dyDescent="0.15">
      <c r="A34" t="s">
        <v>311</v>
      </c>
      <c r="B34" t="s">
        <v>312</v>
      </c>
      <c r="C34">
        <v>0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5" spans="1:4" x14ac:dyDescent="0.15">
      <c r="A35" t="s">
        <v>313</v>
      </c>
      <c r="B35" t="s">
        <v>312</v>
      </c>
      <c r="C35">
        <v>0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6" spans="1:4" x14ac:dyDescent="0.15">
      <c r="A36" t="s">
        <v>314</v>
      </c>
      <c r="B36" t="s">
        <v>312</v>
      </c>
      <c r="C36">
        <v>0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7" spans="1:4" x14ac:dyDescent="0.15">
      <c r="A37" t="s">
        <v>315</v>
      </c>
      <c r="B37" t="s">
        <v>312</v>
      </c>
      <c r="C37">
        <v>0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8" spans="1:4" x14ac:dyDescent="0.15">
      <c r="A38" t="s">
        <v>316</v>
      </c>
      <c r="B38" t="s">
        <v>312</v>
      </c>
      <c r="C38">
        <v>0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39" spans="1:4" x14ac:dyDescent="0.15">
      <c r="A39" t="s">
        <v>317</v>
      </c>
      <c r="B39" t="s">
        <v>312</v>
      </c>
      <c r="C39">
        <v>0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0" spans="1:4" x14ac:dyDescent="0.15">
      <c r="A40" t="s">
        <v>318</v>
      </c>
      <c r="B40" t="s">
        <v>312</v>
      </c>
      <c r="C40">
        <v>0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1" spans="1:4" x14ac:dyDescent="0.15">
      <c r="A41" t="s">
        <v>319</v>
      </c>
      <c r="B41" t="s">
        <v>312</v>
      </c>
      <c r="C41">
        <v>0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2" spans="1:4" x14ac:dyDescent="0.15">
      <c r="A42" t="s">
        <v>320</v>
      </c>
      <c r="B42" t="s">
        <v>312</v>
      </c>
      <c r="C42">
        <v>0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3" spans="1:4" x14ac:dyDescent="0.15">
      <c r="A43" t="s">
        <v>321</v>
      </c>
      <c r="B43" t="s">
        <v>312</v>
      </c>
      <c r="C43">
        <v>0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4" spans="1:4" x14ac:dyDescent="0.15">
      <c r="A44" t="s">
        <v>322</v>
      </c>
      <c r="B44" t="s">
        <v>312</v>
      </c>
      <c r="C44">
        <v>0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5" spans="1:4" x14ac:dyDescent="0.15">
      <c r="A45" t="s">
        <v>323</v>
      </c>
      <c r="B45" t="s">
        <v>312</v>
      </c>
      <c r="C45">
        <v>0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6" spans="1:4" x14ac:dyDescent="0.15">
      <c r="A46" t="s">
        <v>324</v>
      </c>
      <c r="B46" t="s">
        <v>312</v>
      </c>
      <c r="C46">
        <v>0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7" spans="1:4" x14ac:dyDescent="0.15">
      <c r="A47" t="s">
        <v>325</v>
      </c>
      <c r="B47" t="s">
        <v>312</v>
      </c>
      <c r="C47">
        <v>0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8" spans="1:4" x14ac:dyDescent="0.15">
      <c r="A48" t="s">
        <v>326</v>
      </c>
      <c r="B48" t="s">
        <v>312</v>
      </c>
      <c r="C48">
        <v>0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49" spans="1:4" x14ac:dyDescent="0.15">
      <c r="A49" t="s">
        <v>327</v>
      </c>
      <c r="B49" t="s">
        <v>312</v>
      </c>
      <c r="C49">
        <v>0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0" spans="1:4" x14ac:dyDescent="0.15">
      <c r="A50" t="s">
        <v>328</v>
      </c>
      <c r="B50" t="s">
        <v>312</v>
      </c>
      <c r="C50">
        <v>0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1" spans="1:4" x14ac:dyDescent="0.15">
      <c r="A51" t="s">
        <v>329</v>
      </c>
      <c r="B51" t="s">
        <v>312</v>
      </c>
      <c r="C51">
        <v>0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2" spans="1:4" x14ac:dyDescent="0.15">
      <c r="A52" t="s">
        <v>330</v>
      </c>
      <c r="B52" t="s">
        <v>312</v>
      </c>
      <c r="C52">
        <v>0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3" spans="1:4" x14ac:dyDescent="0.15">
      <c r="A53" t="s">
        <v>331</v>
      </c>
      <c r="B53" t="s">
        <v>312</v>
      </c>
      <c r="C53">
        <v>0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54" spans="1:4" x14ac:dyDescent="0.15">
      <c r="A54" t="s">
        <v>258</v>
      </c>
      <c r="B54" t="s">
        <v>259</v>
      </c>
      <c r="C54">
        <v>339.57481999999999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55" spans="1:4" x14ac:dyDescent="0.15">
      <c r="A55" t="s">
        <v>260</v>
      </c>
      <c r="B55" t="s">
        <v>259</v>
      </c>
      <c r="C55">
        <v>398.66424000000001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56" spans="1:4" x14ac:dyDescent="0.15">
      <c r="A56" t="s">
        <v>336</v>
      </c>
      <c r="B56" t="s">
        <v>259</v>
      </c>
      <c r="C56">
        <v>396.648359999999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57" spans="1:4" x14ac:dyDescent="0.15">
      <c r="A57" t="s">
        <v>480</v>
      </c>
      <c r="B57" t="s">
        <v>259</v>
      </c>
      <c r="C57">
        <v>633.04128000000003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58" spans="1:4" x14ac:dyDescent="0.15">
      <c r="A58" t="s">
        <v>481</v>
      </c>
      <c r="B58" t="s">
        <v>259</v>
      </c>
      <c r="C58">
        <v>661.09443999999996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59" spans="1:4" x14ac:dyDescent="0.15">
      <c r="A59" t="s">
        <v>261</v>
      </c>
      <c r="B59" t="s">
        <v>259</v>
      </c>
      <c r="C59">
        <v>255.41533999999999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60" spans="1:4" x14ac:dyDescent="0.15">
      <c r="A60" t="s">
        <v>482</v>
      </c>
      <c r="B60" t="s">
        <v>259</v>
      </c>
      <c r="C60">
        <v>253.39946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  <row r="61" spans="1:4" x14ac:dyDescent="0.15">
      <c r="A61" t="s">
        <v>262</v>
      </c>
      <c r="B61" t="s">
        <v>259</v>
      </c>
      <c r="C61">
        <v>915.26344200000005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62" spans="1:4" x14ac:dyDescent="0.15">
      <c r="A62" t="s">
        <v>263</v>
      </c>
      <c r="B62" t="s">
        <v>259</v>
      </c>
      <c r="C62">
        <v>279.43673999999999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63" spans="1:4" x14ac:dyDescent="0.15">
      <c r="A63" t="s">
        <v>264</v>
      </c>
      <c r="B63" t="s">
        <v>259</v>
      </c>
      <c r="C63">
        <v>277.42086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64" spans="1:4" x14ac:dyDescent="0.15">
      <c r="A64" t="s">
        <v>265</v>
      </c>
      <c r="B64" t="s">
        <v>259</v>
      </c>
      <c r="C64">
        <v>283.46850000000001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65" spans="1:4" x14ac:dyDescent="0.15">
      <c r="A65" t="s">
        <v>266</v>
      </c>
      <c r="B65" t="s">
        <v>259</v>
      </c>
      <c r="C65">
        <v>281.45262000000002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66" spans="1:4" x14ac:dyDescent="0.15">
      <c r="A66" t="s">
        <v>267</v>
      </c>
      <c r="B66" t="s">
        <v>259</v>
      </c>
      <c r="C66">
        <v>862.14885442176001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67" spans="1:4" x14ac:dyDescent="0.15">
      <c r="A67" t="s">
        <v>268</v>
      </c>
      <c r="B67" t="s">
        <v>259</v>
      </c>
      <c r="C67">
        <v>786.16573442176002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68" spans="1:4" x14ac:dyDescent="0.15">
      <c r="A68" t="s">
        <v>269</v>
      </c>
      <c r="B68" t="s">
        <v>259</v>
      </c>
      <c r="C68">
        <v>744.08599442176001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69" spans="1:4" x14ac:dyDescent="0.15">
      <c r="A69" t="s">
        <v>270</v>
      </c>
      <c r="B69" t="s">
        <v>259</v>
      </c>
      <c r="C69">
        <v>786.07881442175994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70" spans="1:4" x14ac:dyDescent="0.15">
      <c r="A70" t="s">
        <v>271</v>
      </c>
      <c r="B70" t="s">
        <v>259</v>
      </c>
      <c r="C70">
        <v>885.51292863263996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71" spans="1:4" x14ac:dyDescent="0.15">
      <c r="A71" t="s">
        <v>272</v>
      </c>
      <c r="B71" t="s">
        <v>259</v>
      </c>
      <c r="C71">
        <v>367.62797999999998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72" spans="1:4" x14ac:dyDescent="0.15">
      <c r="A72" t="s">
        <v>273</v>
      </c>
      <c r="B72" t="s">
        <v>274</v>
      </c>
      <c r="C72">
        <v>40.078000000000003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73" spans="1:4" x14ac:dyDescent="0.15">
      <c r="A73" t="s">
        <v>275</v>
      </c>
      <c r="B73" t="s">
        <v>274</v>
      </c>
      <c r="C73">
        <v>63.545999999999999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74" spans="1:4" x14ac:dyDescent="0.15">
      <c r="A74" t="s">
        <v>276</v>
      </c>
      <c r="B74" t="s">
        <v>274</v>
      </c>
      <c r="C74">
        <v>55.844999999999999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75" spans="1:4" x14ac:dyDescent="0.15">
      <c r="A75" t="s">
        <v>338</v>
      </c>
      <c r="B75" t="s">
        <v>274</v>
      </c>
      <c r="C75">
        <v>55.844999999999999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76" spans="1:4" x14ac:dyDescent="0.15">
      <c r="A76" t="s">
        <v>277</v>
      </c>
      <c r="B76" t="s">
        <v>274</v>
      </c>
      <c r="C76">
        <v>39.098300000000002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77" spans="1:4" x14ac:dyDescent="0.15">
      <c r="A77" t="s">
        <v>278</v>
      </c>
      <c r="B77" t="s">
        <v>274</v>
      </c>
      <c r="C77">
        <v>24.305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78" spans="1:4" x14ac:dyDescent="0.15">
      <c r="A78" t="s">
        <v>279</v>
      </c>
      <c r="B78" t="s">
        <v>274</v>
      </c>
      <c r="C78">
        <v>54.938043999999998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79" spans="1:4" x14ac:dyDescent="0.15">
      <c r="A79" t="s">
        <v>280</v>
      </c>
      <c r="B79" t="s">
        <v>274</v>
      </c>
      <c r="C79">
        <v>65.38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80" spans="1:4" x14ac:dyDescent="0.15">
      <c r="A80" t="s">
        <v>333</v>
      </c>
      <c r="B80" t="s">
        <v>334</v>
      </c>
      <c r="C80">
        <v>328.19800099999998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81" spans="1:5" x14ac:dyDescent="0.15">
      <c r="A81" t="s">
        <v>335</v>
      </c>
      <c r="B81" t="s">
        <v>334</v>
      </c>
      <c r="C81">
        <v>144970.98955999999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82" spans="1:5" x14ac:dyDescent="0.15">
      <c r="A82" t="s">
        <v>337</v>
      </c>
      <c r="B82" t="s">
        <v>334</v>
      </c>
      <c r="C82">
        <v>65560.645239999998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83" spans="1:5" x14ac:dyDescent="0.15">
      <c r="A83" t="s">
        <v>340</v>
      </c>
      <c r="B83" t="s">
        <v>334</v>
      </c>
      <c r="C83">
        <v>306.31554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83" t="s">
        <v>341</v>
      </c>
    </row>
    <row r="84" spans="1:5" x14ac:dyDescent="0.15">
      <c r="A84" t="s">
        <v>343</v>
      </c>
      <c r="B84" t="s">
        <v>334</v>
      </c>
      <c r="C84">
        <v>455.42403999999999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84" t="s">
        <v>341</v>
      </c>
    </row>
    <row r="85" spans="1:5" x14ac:dyDescent="0.15">
      <c r="A85" t="s">
        <v>344</v>
      </c>
      <c r="B85" t="s">
        <v>334</v>
      </c>
      <c r="C85">
        <v>22.98977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85" t="s">
        <v>341</v>
      </c>
    </row>
    <row r="86" spans="1:5" x14ac:dyDescent="0.15">
      <c r="A86" t="s">
        <v>345</v>
      </c>
      <c r="B86" t="s">
        <v>334</v>
      </c>
      <c r="C86">
        <v>69581.537779999999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86" t="s">
        <v>341</v>
      </c>
    </row>
    <row r="87" spans="1:5" x14ac:dyDescent="0.15">
      <c r="A87" t="s">
        <v>346</v>
      </c>
      <c r="B87" t="s">
        <v>334</v>
      </c>
      <c r="C87">
        <v>318.51510000000002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87" t="s">
        <v>341</v>
      </c>
    </row>
    <row r="88" spans="1:5" x14ac:dyDescent="0.15">
      <c r="A88" t="s">
        <v>347</v>
      </c>
      <c r="B88" t="s">
        <v>334</v>
      </c>
      <c r="C88">
        <v>90.167360000000002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88" t="s">
        <v>341</v>
      </c>
    </row>
    <row r="89" spans="1:5" x14ac:dyDescent="0.15">
      <c r="A89" t="s">
        <v>348</v>
      </c>
      <c r="B89" t="s">
        <v>334</v>
      </c>
      <c r="C89">
        <v>795.22648000000004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89" t="s">
        <v>341</v>
      </c>
    </row>
    <row r="90" spans="1:5" x14ac:dyDescent="0.15">
      <c r="A90" t="s">
        <v>350</v>
      </c>
      <c r="B90" t="s">
        <v>334</v>
      </c>
      <c r="C90">
        <v>384.63765999999998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90" t="s">
        <v>341</v>
      </c>
    </row>
    <row r="91" spans="1:5" x14ac:dyDescent="0.15">
      <c r="A91" t="s">
        <v>351</v>
      </c>
      <c r="B91" t="s">
        <v>334</v>
      </c>
      <c r="C91">
        <v>64359.575239999998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91" t="s">
        <v>341</v>
      </c>
    </row>
    <row r="92" spans="1:5" x14ac:dyDescent="0.15">
      <c r="A92" t="s">
        <v>281</v>
      </c>
      <c r="B92" t="s">
        <v>282</v>
      </c>
      <c r="C92">
        <v>95.979301000000007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93" spans="1:5" x14ac:dyDescent="0.15">
      <c r="A93" t="s">
        <v>283</v>
      </c>
      <c r="B93" t="s">
        <v>284</v>
      </c>
      <c r="C93">
        <v>72.085840000000005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94" spans="1:5" x14ac:dyDescent="0.15">
      <c r="A94" t="s">
        <v>285</v>
      </c>
      <c r="B94" t="s">
        <v>284</v>
      </c>
      <c r="C94">
        <v>158.20156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95" spans="1:5" x14ac:dyDescent="0.15">
      <c r="A95" t="s">
        <v>286</v>
      </c>
      <c r="B95" t="s">
        <v>284</v>
      </c>
      <c r="C95">
        <v>115.11058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96" spans="1:5" x14ac:dyDescent="0.15">
      <c r="A96" t="s">
        <v>287</v>
      </c>
      <c r="B96" t="s">
        <v>284</v>
      </c>
      <c r="C96">
        <v>115.0874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97" spans="1:4" x14ac:dyDescent="0.15">
      <c r="A97" t="s">
        <v>288</v>
      </c>
      <c r="B97" t="s">
        <v>284</v>
      </c>
      <c r="C97">
        <v>104.15084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98" spans="1:4" x14ac:dyDescent="0.15">
      <c r="A98" t="s">
        <v>289</v>
      </c>
      <c r="B98" t="s">
        <v>284</v>
      </c>
      <c r="C98">
        <v>129.13715999999999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99" spans="1:4" x14ac:dyDescent="0.15">
      <c r="A99" t="s">
        <v>290</v>
      </c>
      <c r="B99" t="s">
        <v>284</v>
      </c>
      <c r="C99">
        <v>129.11398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100" spans="1:4" x14ac:dyDescent="0.15">
      <c r="A100" t="s">
        <v>291</v>
      </c>
      <c r="B100" t="s">
        <v>284</v>
      </c>
      <c r="C100">
        <v>58.059260000000002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101" spans="1:4" x14ac:dyDescent="0.15">
      <c r="A101" t="s">
        <v>292</v>
      </c>
      <c r="B101" t="s">
        <v>284</v>
      </c>
      <c r="C101">
        <v>138.14722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102" spans="1:4" x14ac:dyDescent="0.15">
      <c r="A102" t="s">
        <v>293</v>
      </c>
      <c r="B102" t="s">
        <v>284</v>
      </c>
      <c r="C102">
        <v>114.16558000000001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103" spans="1:4" x14ac:dyDescent="0.15">
      <c r="A103" t="s">
        <v>294</v>
      </c>
      <c r="B103" t="s">
        <v>284</v>
      </c>
      <c r="C103">
        <v>114.16558000000001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104" spans="1:4" x14ac:dyDescent="0.15">
      <c r="A104" t="s">
        <v>295</v>
      </c>
      <c r="B104" t="s">
        <v>284</v>
      </c>
      <c r="C104">
        <v>130.18816000000001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105" spans="1:4" x14ac:dyDescent="0.15">
      <c r="A105" t="s">
        <v>296</v>
      </c>
      <c r="B105" t="s">
        <v>284</v>
      </c>
      <c r="C105">
        <v>132.20400000000001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106" spans="1:4" x14ac:dyDescent="0.15">
      <c r="A106" t="s">
        <v>297</v>
      </c>
      <c r="B106" t="s">
        <v>284</v>
      </c>
      <c r="C106">
        <v>148.18180000000001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107" spans="1:4" x14ac:dyDescent="0.15">
      <c r="A107" t="s">
        <v>298</v>
      </c>
      <c r="B107" t="s">
        <v>284</v>
      </c>
      <c r="C107">
        <v>97.115179999999995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108" spans="1:4" x14ac:dyDescent="0.15">
      <c r="A108" t="s">
        <v>299</v>
      </c>
      <c r="B108" t="s">
        <v>284</v>
      </c>
      <c r="C108">
        <v>88.085239999999999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109" spans="1:4" x14ac:dyDescent="0.15">
      <c r="A109" t="s">
        <v>300</v>
      </c>
      <c r="B109" t="s">
        <v>284</v>
      </c>
      <c r="C109">
        <v>102.11181999999999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110" spans="1:4" x14ac:dyDescent="0.15">
      <c r="A110" t="s">
        <v>301</v>
      </c>
      <c r="B110" t="s">
        <v>284</v>
      </c>
      <c r="C110">
        <v>187.21784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111" spans="1:4" x14ac:dyDescent="0.15">
      <c r="A111" t="s">
        <v>302</v>
      </c>
      <c r="B111" t="s">
        <v>284</v>
      </c>
      <c r="C111">
        <v>164.18119999999999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112" spans="1:4" x14ac:dyDescent="0.15">
      <c r="A112" t="s">
        <v>303</v>
      </c>
      <c r="B112" t="s">
        <v>284</v>
      </c>
      <c r="C112">
        <v>100.139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113" spans="1:4" x14ac:dyDescent="0.15">
      <c r="A113" t="s">
        <v>304</v>
      </c>
      <c r="B113" t="s">
        <v>305</v>
      </c>
      <c r="C113">
        <v>503.14926300000002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114" spans="1:4" x14ac:dyDescent="0.15">
      <c r="A114" t="s">
        <v>306</v>
      </c>
      <c r="B114" t="s">
        <v>305</v>
      </c>
      <c r="C114">
        <v>479.12456300000002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115" spans="1:4" x14ac:dyDescent="0.15">
      <c r="A115" t="s">
        <v>307</v>
      </c>
      <c r="B115" t="s">
        <v>305</v>
      </c>
      <c r="C115">
        <v>519.14866300000006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116" spans="1:4" x14ac:dyDescent="0.15">
      <c r="A116" t="s">
        <v>308</v>
      </c>
      <c r="B116" t="s">
        <v>305</v>
      </c>
      <c r="C116">
        <v>480.10932300000002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117" spans="1:4" x14ac:dyDescent="0.15">
      <c r="A117" t="s">
        <v>309</v>
      </c>
      <c r="B117" t="s">
        <v>310</v>
      </c>
      <c r="C117">
        <v>96.062600000000003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118" spans="1:4" x14ac:dyDescent="0.15">
      <c r="A118" t="s">
        <v>233</v>
      </c>
      <c r="C118">
        <v>174.95126200000001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35"/>
  <sheetViews>
    <sheetView topLeftCell="A37" zoomScale="110" zoomScaleNormal="110" workbookViewId="0">
      <selection activeCell="G116" sqref="G116:G135"/>
    </sheetView>
  </sheetViews>
  <sheetFormatPr baseColWidth="10" defaultColWidth="8.6640625" defaultRowHeight="13" x14ac:dyDescent="0.15"/>
  <cols>
    <col min="1" max="1" width="26.16406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A3" s="96" t="s">
        <v>528</v>
      </c>
      <c r="B3" t="str" cm="1">
        <f t="array" ref="B3">_xlfn.LET(_xlpm.r,C37:D135,_xlpm.ppi,-SUM(D75:D78,D47:D50),_xlpm.gam,_xlfn.HSTACK(SUBSTITUTE(B16:B20,"MET-",""),SIGN(C16:C20)*J16),_xlpm.mets,_xlfn._xlws.FILTER(_xlpm.r,(_xlfn.CHOOSECOLS(_xlpm.r,1)&lt;&gt;"")*(_xlfn.CHOOSECOLS(_xlpm.r,1)&lt;&gt;"Metabolite")),_xlpm.gamonly,_xlfn._xlws.FILTER(_xlpm.gam,ISNA(_xlfn.XLOOKUP(_xlfn.CHOOSECOLS(_xlpm.gam,1),_xlfn.CHOOSECOLS(_xlpm.mets,1),_xlfn.CHOOSECOLS(_xlpm.mets,2))),""),_xlpm.trna,SUBSTITUTE(_xlfn._xlws.FILTER(_xlfn.HSTACK("trna"&amp;_xlfn.CHOOSECOLS(_xlpm.mets,1),-_xlfn.CHOOSECOLS(_xlpm.mets,2)),RIGHT(_xlfn.CHOOSECOLS(_xlpm.mets,1),6)="trna_c"),"trna_","_"),_xlpm.pregam,_xlfn.VSTACK(_xlfn.HSTACK(_xlfn.CHOOSECOLS(_xlpm.mets,1),_xlfn.CHOOSECOLS(_xlpm.mets,2)+_xlfn.XLOOKUP(_xlfn.CHOOSECOLS(_xlpm.mets,1),SUBSTITUTE(_xlfn.CHOOSECOLS(_xlpm.gam,1),"MET-",""),_xlfn.CHOOSECOLS(_xlpm.gam,2),0)),_xlpm.trna,_xlpm.gamonly,_xlfn.HSTACK("ppi_c",_xlpm.ppi)),_xlpm.all,_xlfn._xlws.SORT(_xlpm.pregam),_xlfn.TEXTJOIN(","&amp;CHAR(10),TRUE,CHAR(34)&amp;_xlfn.CHOOSECOLS(_xlpm.all,1)&amp;CHAR(34)&amp;":"&amp;_xlfn.CHOOSECOLS(_xlpm.all,2)))</f>
        <v>"13BDglucan_en":-0.968205660560579,
"16BDglucan_en":-0.254790963305416,
"adp_c":81.26,
"alatrna_c":-0.370407,
"argtrna_c":-0.146343,
"asntrna_c":-0.175915,
"asptrna_c":-0.175915,
"atp_c":-81.3020108491332,
"ca2_c":-0.00128579410545924,
"chtn_c":-0.0228907502852135,
"coa_c":-0.00019,
"ctp_c":-0.0408232066260222,
"cu2_c":-0.000113531738617747,
"cystrna_c":-0.005308,
"datp_c":-0.0038897789986954,
"dctp_c":-0.00262576371268718,
"dgtp_c":-0.00262576371268718,
"dttp_c":-0.0038897789986954,
"ergst_c":-0.0328598938347088,
"ergst161_rm":-0.00615466318335084,
"ergst181_rm":-0.00225839920385258,
"fad_c":-0.00001,
"fe2_c":-0.000664393955308241,
"glntrna_c":-0.293444,
"glutrna_c":-0.293444,
"glycogen_c":-0.466785899918391,
"glytrna_c":-0.337044,
"gtp_c":-0.0420108491332355,
"h_c":81.26,
"h2o_c":-81.26,
"hdca_c":-0.000346114820513805,
"hdcea_c":-0.00101485809872084,
"hemeA_c":-0.000001,
"histrna_c":-0.073171,
"iletrna_c":-0.223306,
"ipc_g":-0.00475377693945438,
"k_c":-0.603649819062125,
"leutrna_c":-0.30368,
"lystrna_c":-0.249086,
"mannan_c":-0.62393026814313,
"mettrna_c":-0.04322,
"mg2_c":-0.0636067346125432,
"mn2_c":-9.38003110532938E-05,
"nad_c":-0.00265,
"nadh_c":-0.00015,
"nadp_c":-0.00057,
"nadph_c":-0.0027,
"ocdca_c":-9.64177000002742E-05,
"ocdcea_c":-0.00037207343205234,
"pail_c":-0.00854161932053711,
"pc_c":-0.0318709943475266,
"pe_c":-0.00856510568335769,
"phetrna_c":-0.142552,
"pi_c":81.1543450928121,
"ppi_c":0.192581124769835,
"protrna_c":-0.159991,
"ps_c":-0.00735617606027733,
"ribflv_c":-0.00099,
"sertrna_c":-0.202075,
"so4_c":-0.0312229450439893,
"tag_c":-0.00847610472951128,
"thf_c":-0.000063,
"thmpp_c":-0.000001,
"thrtrna_c":-0.211174,
"tre_c":-0.0233977684161514,
"trnaala_c":0.370407,
"trnaarg_c":0.146343,
"trnaasn_c":0.175915,
"trnaasp_c":0.175915,
"trnacys_c":0.005308,
"trnagln_c":0.293444,
"trnaglu_c":0.293444,
"trnagly_c":0.337044,
"trnahis_c":0.073171,
"trnaile_c":0.223306,
"trnaleu_c":0.30368,
"trnalys_c":0.249086,
"trnamet_c":0.04322,
"trnaphe_c":0.142552,
"trnapro_c":0.159991,
"trnaser_c":0.202075,
"trnathr_c":0.211174,
"trnatrp_c":0.024643,
"trnatyr_c":0.074309,
"trnaval_c":0.2779,
"trptrna_c":-0.024643,
"tyrtrna_c":-0.074309,
"utp_c":-0.0547051344545771,
"valtrna_c":-0.2779,
"zn2_c":-0.00157638593326997</v>
      </c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  <row r="113" spans="1:8" x14ac:dyDescent="0.15">
      <c r="A113" s="1" t="s">
        <v>487</v>
      </c>
      <c r="D113" t="s">
        <v>488</v>
      </c>
    </row>
    <row r="114" spans="1:8" x14ac:dyDescent="0.15">
      <c r="B114" t="str">
        <f>_xlfn.CONCAT(H116:H135) &amp; " --&gt; BIO-protmodeled"</f>
        <v>0.082301 BIO-alatrna_c + 0.071361 BIO-argtrna_c + 0.062416 BIO-asntrna_c + 0.062403 BIO-asptrna_c + 0.001704 BIO-cystrna_c + 0.116803 BIO-glntrna_c + 0.116782 BIO-glutrna_c + 0.060316 BIO-glytrna_c + 0.031157 BIO-histrna_c + 0.07858 BIO-iletrna_c + 0.106863 BIO-leutrna_c + 0.099953 BIO-lystrna_c + 0.017612 BIO-mettrna_c + 0.06511 BIO-phetrna_c + 0.047892 BIO-protrna_c + 0.054865 BIO-sertrna_c + 0.066465 BIO-thrtrna_c + 0.014221 BIO-trptrna_c + 0.037605 BIO-tyrtrna_c + 0.085777 BIO-valtrna_c --&gt; BIO-protmodeled</v>
      </c>
      <c r="D114" t="s">
        <v>488</v>
      </c>
    </row>
    <row r="115" spans="1:8" ht="14" thickBot="1" x14ac:dyDescent="0.2">
      <c r="C115" s="1" t="s">
        <v>19</v>
      </c>
      <c r="D115" s="1" t="s">
        <v>67</v>
      </c>
      <c r="E115" s="1" t="s">
        <v>68</v>
      </c>
      <c r="F115" s="1" t="s">
        <v>69</v>
      </c>
      <c r="G115" s="1" t="s">
        <v>70</v>
      </c>
    </row>
    <row r="116" spans="1:8" x14ac:dyDescent="0.15">
      <c r="B116" t="str">
        <f t="shared" ref="B116:B135" si="12">"MET-" &amp; C116 &amp; " --&gt; " &amp; ROUND(F116/1000,6) &amp; " BIO-" &amp;C116</f>
        <v>MET-alatrna_c --&gt; 0.072086 BIO-alatrna_c</v>
      </c>
      <c r="C116" s="87" t="s">
        <v>489</v>
      </c>
      <c r="D116" s="88">
        <v>-0.37040699999999999</v>
      </c>
      <c r="E116" s="88" t="s">
        <v>490</v>
      </c>
      <c r="F116" s="89">
        <v>72.085840000000005</v>
      </c>
      <c r="G116" s="90">
        <f>F116*D116/SUMPRODUCT($D$121:$D$140,$F$121:$F$140)</f>
        <v>8.2301208600424405E-2</v>
      </c>
      <c r="H116" t="str">
        <f t="shared" ref="H116:H134" si="13">ROUND(G116,6) &amp; " BIO-" &amp; C116 &amp; " + "</f>
        <v xml:space="preserve">0.082301 BIO-alatrna_c + </v>
      </c>
    </row>
    <row r="117" spans="1:8" x14ac:dyDescent="0.15">
      <c r="B117" t="str">
        <f t="shared" si="12"/>
        <v>MET-argtrna_c --&gt; 0.158202 BIO-argtrna_c</v>
      </c>
      <c r="C117" s="91" t="s">
        <v>491</v>
      </c>
      <c r="D117" s="90">
        <v>-0.146343</v>
      </c>
      <c r="E117" s="90" t="s">
        <v>492</v>
      </c>
      <c r="F117" s="92">
        <v>158.20156</v>
      </c>
      <c r="G117" s="90">
        <f t="shared" ref="G117:G135" si="14">F117*D117/SUMPRODUCT($D$121:$D$140,$F$121:$F$140)</f>
        <v>7.1360811374249836E-2</v>
      </c>
      <c r="H117" t="str">
        <f t="shared" si="13"/>
        <v xml:space="preserve">0.071361 BIO-argtrna_c + </v>
      </c>
    </row>
    <row r="118" spans="1:8" x14ac:dyDescent="0.15">
      <c r="B118" t="str">
        <f t="shared" si="12"/>
        <v>MET-asntrna_c --&gt; 0.115111 BIO-asntrna_c</v>
      </c>
      <c r="C118" s="91" t="s">
        <v>493</v>
      </c>
      <c r="D118" s="90">
        <v>-0.17591499999999999</v>
      </c>
      <c r="E118" s="90" t="s">
        <v>494</v>
      </c>
      <c r="F118" s="92">
        <v>115.11058</v>
      </c>
      <c r="G118" s="90">
        <f t="shared" si="14"/>
        <v>6.2415891604222985E-2</v>
      </c>
      <c r="H118" t="str">
        <f t="shared" si="13"/>
        <v xml:space="preserve">0.062416 BIO-asntrna_c + </v>
      </c>
    </row>
    <row r="119" spans="1:8" x14ac:dyDescent="0.15">
      <c r="B119" t="str">
        <f t="shared" si="12"/>
        <v>MET-asptrna_c --&gt; 0.115087 BIO-asptrna_c</v>
      </c>
      <c r="C119" s="91" t="s">
        <v>495</v>
      </c>
      <c r="D119" s="90">
        <v>-0.17591499999999999</v>
      </c>
      <c r="E119" s="90" t="s">
        <v>496</v>
      </c>
      <c r="F119" s="92">
        <v>115.0874</v>
      </c>
      <c r="G119" s="90">
        <f t="shared" si="14"/>
        <v>6.2403322817171564E-2</v>
      </c>
      <c r="H119" t="str">
        <f t="shared" si="13"/>
        <v xml:space="preserve">0.062403 BIO-asptrna_c + </v>
      </c>
    </row>
    <row r="120" spans="1:8" x14ac:dyDescent="0.15">
      <c r="B120" t="str">
        <f t="shared" si="12"/>
        <v>MET-cystrna_c --&gt; 0.104151 BIO-cystrna_c</v>
      </c>
      <c r="C120" s="91" t="s">
        <v>497</v>
      </c>
      <c r="D120" s="90">
        <v>-5.3080000000000002E-3</v>
      </c>
      <c r="E120" s="90" t="s">
        <v>498</v>
      </c>
      <c r="F120" s="92">
        <v>104.15084</v>
      </c>
      <c r="G120" s="90">
        <f t="shared" si="14"/>
        <v>1.7040045696544201E-3</v>
      </c>
      <c r="H120" t="str">
        <f t="shared" si="13"/>
        <v xml:space="preserve">0.001704 BIO-cystrna_c + </v>
      </c>
    </row>
    <row r="121" spans="1:8" x14ac:dyDescent="0.15">
      <c r="B121" t="str">
        <f t="shared" si="12"/>
        <v>MET-glntrna_c --&gt; 0.129137 BIO-glntrna_c</v>
      </c>
      <c r="C121" s="91" t="s">
        <v>499</v>
      </c>
      <c r="D121" s="90">
        <v>-0.29344399999999998</v>
      </c>
      <c r="E121" s="90" t="s">
        <v>500</v>
      </c>
      <c r="F121" s="92">
        <v>129.13715999999999</v>
      </c>
      <c r="G121" s="90">
        <f t="shared" si="14"/>
        <v>0.11680287401593546</v>
      </c>
      <c r="H121" t="str">
        <f t="shared" si="13"/>
        <v xml:space="preserve">0.116803 BIO-glntrna_c + </v>
      </c>
    </row>
    <row r="122" spans="1:8" x14ac:dyDescent="0.15">
      <c r="B122" t="str">
        <f t="shared" si="12"/>
        <v>MET-glutrna_c --&gt; 0.129114 BIO-glutrna_c</v>
      </c>
      <c r="C122" s="91" t="s">
        <v>501</v>
      </c>
      <c r="D122" s="90">
        <v>-0.29344399999999998</v>
      </c>
      <c r="E122" s="90" t="s">
        <v>502</v>
      </c>
      <c r="F122" s="92">
        <v>129.11398</v>
      </c>
      <c r="G122" s="90">
        <f t="shared" si="14"/>
        <v>0.11678190800878702</v>
      </c>
      <c r="H122" t="str">
        <f t="shared" si="13"/>
        <v xml:space="preserve">0.116782 BIO-glutrna_c + </v>
      </c>
    </row>
    <row r="123" spans="1:8" x14ac:dyDescent="0.15">
      <c r="B123" t="str">
        <f t="shared" si="12"/>
        <v>MET-glytrna_c --&gt; 0.058059 BIO-glytrna_c</v>
      </c>
      <c r="C123" s="91" t="s">
        <v>503</v>
      </c>
      <c r="D123" s="90">
        <v>-0.33704400000000001</v>
      </c>
      <c r="E123" s="90" t="s">
        <v>504</v>
      </c>
      <c r="F123" s="92">
        <v>58.059260000000002</v>
      </c>
      <c r="G123" s="90">
        <f t="shared" si="14"/>
        <v>6.031636496686088E-2</v>
      </c>
      <c r="H123" t="str">
        <f t="shared" si="13"/>
        <v xml:space="preserve">0.060316 BIO-glytrna_c + </v>
      </c>
    </row>
    <row r="124" spans="1:8" x14ac:dyDescent="0.15">
      <c r="B124" t="str">
        <f t="shared" si="12"/>
        <v>MET-histrna_c --&gt; 0.138147 BIO-histrna_c</v>
      </c>
      <c r="C124" s="91" t="s">
        <v>505</v>
      </c>
      <c r="D124" s="90">
        <v>-7.3171E-2</v>
      </c>
      <c r="E124" s="90" t="s">
        <v>506</v>
      </c>
      <c r="F124" s="92">
        <v>138.14722</v>
      </c>
      <c r="G124" s="90">
        <f t="shared" si="14"/>
        <v>3.115718436648153E-2</v>
      </c>
      <c r="H124" t="str">
        <f t="shared" si="13"/>
        <v xml:space="preserve">0.031157 BIO-histrna_c + </v>
      </c>
    </row>
    <row r="125" spans="1:8" x14ac:dyDescent="0.15">
      <c r="B125" t="str">
        <f t="shared" si="12"/>
        <v>MET-iletrna_c --&gt; 0.114166 BIO-iletrna_c</v>
      </c>
      <c r="C125" s="91" t="s">
        <v>507</v>
      </c>
      <c r="D125" s="90">
        <v>-0.223306</v>
      </c>
      <c r="E125" s="90" t="s">
        <v>508</v>
      </c>
      <c r="F125" s="92">
        <v>114.16558000000001</v>
      </c>
      <c r="G125" s="90">
        <f t="shared" si="14"/>
        <v>7.8580112013378445E-2</v>
      </c>
      <c r="H125" t="str">
        <f t="shared" si="13"/>
        <v xml:space="preserve">0.07858 BIO-iletrna_c + </v>
      </c>
    </row>
    <row r="126" spans="1:8" x14ac:dyDescent="0.15">
      <c r="B126" t="str">
        <f t="shared" si="12"/>
        <v>MET-leutrna_c --&gt; 0.114166 BIO-leutrna_c</v>
      </c>
      <c r="C126" s="91" t="s">
        <v>509</v>
      </c>
      <c r="D126" s="90">
        <v>-0.30368000000000001</v>
      </c>
      <c r="E126" s="90" t="s">
        <v>508</v>
      </c>
      <c r="F126" s="92">
        <v>114.16558000000001</v>
      </c>
      <c r="G126" s="90">
        <f t="shared" si="14"/>
        <v>0.10686326572605648</v>
      </c>
      <c r="H126" t="str">
        <f t="shared" si="13"/>
        <v xml:space="preserve">0.106863 BIO-leutrna_c + </v>
      </c>
    </row>
    <row r="127" spans="1:8" x14ac:dyDescent="0.15">
      <c r="B127" t="str">
        <f t="shared" si="12"/>
        <v>MET-lystrna_c --&gt; 0.130188 BIO-lystrna_c</v>
      </c>
      <c r="C127" s="91" t="s">
        <v>510</v>
      </c>
      <c r="D127" s="90">
        <v>-0.249086</v>
      </c>
      <c r="E127" s="90" t="s">
        <v>511</v>
      </c>
      <c r="F127" s="92">
        <v>130.18816000000001</v>
      </c>
      <c r="G127" s="90">
        <f t="shared" si="14"/>
        <v>9.9953468997277528E-2</v>
      </c>
      <c r="H127" t="str">
        <f t="shared" si="13"/>
        <v xml:space="preserve">0.099953 BIO-lystrna_c + </v>
      </c>
    </row>
    <row r="128" spans="1:8" x14ac:dyDescent="0.15">
      <c r="B128" t="str">
        <f t="shared" si="12"/>
        <v>MET-mettrna_c --&gt; 0.132204 BIO-mettrna_c</v>
      </c>
      <c r="C128" s="91" t="s">
        <v>512</v>
      </c>
      <c r="D128" s="90">
        <v>-4.3220000000000001E-2</v>
      </c>
      <c r="E128" s="90" t="s">
        <v>513</v>
      </c>
      <c r="F128" s="92">
        <v>132.20400000000001</v>
      </c>
      <c r="G128" s="90">
        <f t="shared" si="14"/>
        <v>1.7611908559119122E-2</v>
      </c>
      <c r="H128" t="str">
        <f t="shared" si="13"/>
        <v xml:space="preserve">0.017612 BIO-mettrna_c + </v>
      </c>
    </row>
    <row r="129" spans="2:8" x14ac:dyDescent="0.15">
      <c r="B129" t="str">
        <f t="shared" si="12"/>
        <v>MET-phetrna_c --&gt; 0.148182 BIO-phetrna_c</v>
      </c>
      <c r="C129" s="91" t="s">
        <v>514</v>
      </c>
      <c r="D129" s="90">
        <v>-0.14255200000000001</v>
      </c>
      <c r="E129" s="90" t="s">
        <v>515</v>
      </c>
      <c r="F129" s="92">
        <v>148.18180000000001</v>
      </c>
      <c r="G129" s="90">
        <f t="shared" si="14"/>
        <v>6.5109632596383638E-2</v>
      </c>
      <c r="H129" t="str">
        <f t="shared" si="13"/>
        <v xml:space="preserve">0.06511 BIO-phetrna_c + </v>
      </c>
    </row>
    <row r="130" spans="2:8" x14ac:dyDescent="0.15">
      <c r="B130" t="str">
        <f t="shared" si="12"/>
        <v>MET-protrna_c --&gt; 0.097115 BIO-protrna_c</v>
      </c>
      <c r="C130" s="91" t="s">
        <v>516</v>
      </c>
      <c r="D130" s="90">
        <v>-0.15999099999999999</v>
      </c>
      <c r="E130" s="90" t="s">
        <v>517</v>
      </c>
      <c r="F130" s="92">
        <v>97.115179999999995</v>
      </c>
      <c r="G130" s="90">
        <f t="shared" si="14"/>
        <v>4.7891642978105928E-2</v>
      </c>
      <c r="H130" t="str">
        <f t="shared" si="13"/>
        <v xml:space="preserve">0.047892 BIO-protrna_c + </v>
      </c>
    </row>
    <row r="131" spans="2:8" x14ac:dyDescent="0.15">
      <c r="B131" t="str">
        <f t="shared" si="12"/>
        <v>MET-sertrna_c --&gt; 0.088085 BIO-sertrna_c</v>
      </c>
      <c r="C131" s="91" t="s">
        <v>518</v>
      </c>
      <c r="D131" s="90">
        <v>-0.202075</v>
      </c>
      <c r="E131" s="90" t="s">
        <v>519</v>
      </c>
      <c r="F131" s="92">
        <v>88.085239999999999</v>
      </c>
      <c r="G131" s="90">
        <f t="shared" si="14"/>
        <v>5.4864672779765193E-2</v>
      </c>
      <c r="H131" t="str">
        <f t="shared" si="13"/>
        <v xml:space="preserve">0.054865 BIO-sertrna_c + </v>
      </c>
    </row>
    <row r="132" spans="2:8" x14ac:dyDescent="0.15">
      <c r="B132" t="str">
        <f t="shared" si="12"/>
        <v>MET-thrtrna_c --&gt; 0.102112 BIO-thrtrna_c</v>
      </c>
      <c r="C132" s="91" t="s">
        <v>520</v>
      </c>
      <c r="D132" s="90">
        <v>-0.211174</v>
      </c>
      <c r="E132" s="90" t="s">
        <v>521</v>
      </c>
      <c r="F132" s="92">
        <v>102.11181999999999</v>
      </c>
      <c r="G132" s="90">
        <f t="shared" si="14"/>
        <v>6.6465079285381035E-2</v>
      </c>
      <c r="H132" t="str">
        <f t="shared" si="13"/>
        <v xml:space="preserve">0.066465 BIO-thrtrna_c + </v>
      </c>
    </row>
    <row r="133" spans="2:8" x14ac:dyDescent="0.15">
      <c r="B133" t="str">
        <f t="shared" si="12"/>
        <v>MET-trptrna_c --&gt; 0.187218 BIO-trptrna_c</v>
      </c>
      <c r="C133" s="91" t="s">
        <v>522</v>
      </c>
      <c r="D133" s="90">
        <v>-2.4643000000000002E-2</v>
      </c>
      <c r="E133" s="90" t="s">
        <v>523</v>
      </c>
      <c r="F133" s="92">
        <v>187.21784</v>
      </c>
      <c r="G133" s="90">
        <f t="shared" si="14"/>
        <v>1.4220598382575047E-2</v>
      </c>
      <c r="H133" t="str">
        <f t="shared" si="13"/>
        <v xml:space="preserve">0.014221 BIO-trptrna_c + </v>
      </c>
    </row>
    <row r="134" spans="2:8" x14ac:dyDescent="0.15">
      <c r="B134" t="str">
        <f t="shared" si="12"/>
        <v>MET-tyrtrna_c --&gt; 0.164181 BIO-tyrtrna_c</v>
      </c>
      <c r="C134" s="91" t="s">
        <v>524</v>
      </c>
      <c r="D134" s="90">
        <v>-7.4309E-2</v>
      </c>
      <c r="E134" s="90" t="s">
        <v>525</v>
      </c>
      <c r="F134" s="92">
        <v>164.18119999999999</v>
      </c>
      <c r="G134" s="90">
        <f t="shared" si="14"/>
        <v>3.7604680783665134E-2</v>
      </c>
      <c r="H134" t="str">
        <f t="shared" si="13"/>
        <v xml:space="preserve">0.037605 BIO-tyrtrna_c + </v>
      </c>
    </row>
    <row r="135" spans="2:8" ht="14" thickBot="1" x14ac:dyDescent="0.2">
      <c r="B135" t="str">
        <f t="shared" si="12"/>
        <v>MET-valtrna_c --&gt; 0.100139 BIO-valtrna_c</v>
      </c>
      <c r="C135" s="93" t="s">
        <v>526</v>
      </c>
      <c r="D135" s="94">
        <v>-0.27789999999999998</v>
      </c>
      <c r="E135" s="94" t="s">
        <v>527</v>
      </c>
      <c r="F135" s="95">
        <v>100.139</v>
      </c>
      <c r="G135" s="90">
        <f t="shared" si="14"/>
        <v>8.577660654022766E-2</v>
      </c>
      <c r="H135" t="str">
        <f>ROUND(G135,6) &amp; " BIO-" &amp; C135</f>
        <v>0.085777 BIO-valtrna_c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zoomScale="110" zoomScaleNormal="110" workbookViewId="0">
      <selection activeCell="B3" sqref="B3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RBABioRxns</vt:lpstr>
      <vt:lpstr>batch-Rabinowitz</vt:lpstr>
      <vt:lpstr>MFA</vt:lpstr>
      <vt:lpstr>batch-Rabinowitz-MFA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2025-05-22T21:35:33Z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