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application/input/"/>
    </mc:Choice>
  </mc:AlternateContent>
  <xr:revisionPtr revIDLastSave="0" documentId="13_ncr:1_{A1BA78A3-2808-1742-96D6-5D4C5BBAAA23}" xr6:coauthVersionLast="47" xr6:coauthVersionMax="47" xr10:uidLastSave="{00000000-0000-0000-0000-000000000000}"/>
  <bookViews>
    <workbookView xWindow="13680" yWindow="860" windowWidth="16560" windowHeight="17280" tabRatio="500" xr2:uid="{00000000-000D-0000-FFFF-FFFF00000000}"/>
  </bookViews>
  <sheets>
    <sheet name="Sheet1" sheetId="1" r:id="rId1"/>
    <sheet name="fatty alcohol (FA) calculations" sheetId="4" r:id="rId2"/>
    <sheet name="FA (24-75 h)" sheetId="7" r:id="rId3"/>
    <sheet name="tag calculations" sheetId="5" r:id="rId4"/>
    <sheet name="tal_calculations" sheetId="2" r:id="rId5"/>
  </sheets>
  <definedNames>
    <definedName name="_xlnm._FilterDatabase" localSheetId="0">Sheet1!$D$1:$D$1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7" i="4" l="1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E5" i="7"/>
  <c r="D5" i="7"/>
  <c r="D4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F56" i="7"/>
  <c r="D56" i="7"/>
  <c r="F55" i="7"/>
  <c r="D55" i="7"/>
  <c r="F54" i="7"/>
  <c r="D54" i="7"/>
  <c r="F53" i="7"/>
  <c r="D53" i="7"/>
  <c r="Q52" i="7"/>
  <c r="F52" i="7"/>
  <c r="D52" i="7"/>
  <c r="Q51" i="7"/>
  <c r="F51" i="7"/>
  <c r="D51" i="7"/>
  <c r="Q50" i="7"/>
  <c r="F50" i="7"/>
  <c r="D50" i="7"/>
  <c r="Q49" i="7"/>
  <c r="F49" i="7"/>
  <c r="D49" i="7"/>
  <c r="Q48" i="7"/>
  <c r="F48" i="7"/>
  <c r="D48" i="7"/>
  <c r="Q47" i="7"/>
  <c r="F47" i="7"/>
  <c r="D47" i="7"/>
  <c r="Q46" i="7"/>
  <c r="F46" i="7"/>
  <c r="D46" i="7"/>
  <c r="Q45" i="7"/>
  <c r="F45" i="7"/>
  <c r="D45" i="7"/>
  <c r="Q44" i="7"/>
  <c r="F44" i="7"/>
  <c r="D44" i="7"/>
  <c r="Q43" i="7"/>
  <c r="F43" i="7"/>
  <c r="D43" i="7"/>
  <c r="Q42" i="7"/>
  <c r="F42" i="7"/>
  <c r="D42" i="7"/>
  <c r="Q41" i="7"/>
  <c r="F41" i="7"/>
  <c r="D41" i="7"/>
  <c r="Q40" i="7"/>
  <c r="F40" i="7"/>
  <c r="D40" i="7"/>
  <c r="Q39" i="7"/>
  <c r="F39" i="7"/>
  <c r="D39" i="7"/>
  <c r="Q38" i="7"/>
  <c r="F38" i="7"/>
  <c r="D38" i="7"/>
  <c r="Q37" i="7"/>
  <c r="F37" i="7"/>
  <c r="D37" i="7"/>
  <c r="Q36" i="7"/>
  <c r="F36" i="7"/>
  <c r="D36" i="7"/>
  <c r="Q35" i="7"/>
  <c r="D35" i="7"/>
  <c r="Q34" i="7"/>
  <c r="D34" i="7"/>
  <c r="Q33" i="7"/>
  <c r="D33" i="7"/>
  <c r="Q32" i="7"/>
  <c r="D32" i="7"/>
  <c r="Q31" i="7"/>
  <c r="D31" i="7"/>
  <c r="Q30" i="7"/>
  <c r="D30" i="7"/>
  <c r="Q29" i="7"/>
  <c r="T29" i="7" s="1" a="1"/>
  <c r="T29" i="7" s="1"/>
  <c r="D29" i="7"/>
  <c r="D28" i="7"/>
  <c r="D27" i="7"/>
  <c r="C16" i="7" a="1"/>
  <c r="C16" i="7" s="1"/>
  <c r="A8" i="7" a="1"/>
  <c r="A8" i="7" s="1"/>
  <c r="AF5" i="7"/>
  <c r="AD5" i="7"/>
  <c r="AB5" i="7"/>
  <c r="AA5" i="7"/>
  <c r="X5" i="7"/>
  <c r="AC5" i="7" s="1"/>
  <c r="V5" i="7"/>
  <c r="U5" i="7"/>
  <c r="R5" i="7"/>
  <c r="W5" i="7" s="1"/>
  <c r="P5" i="7"/>
  <c r="O5" i="7"/>
  <c r="L5" i="7"/>
  <c r="Q5" i="7" s="1"/>
  <c r="B5" i="7"/>
  <c r="AH5" i="7" s="1"/>
  <c r="AF4" i="7"/>
  <c r="AD4" i="7"/>
  <c r="AC4" i="7"/>
  <c r="AB4" i="7"/>
  <c r="AA4" i="7"/>
  <c r="W4" i="7"/>
  <c r="V4" i="7"/>
  <c r="U4" i="7"/>
  <c r="Q4" i="7"/>
  <c r="P4" i="7"/>
  <c r="O4" i="7"/>
  <c r="B4" i="7"/>
  <c r="AH4" i="7" s="1"/>
  <c r="B3" i="2"/>
  <c r="Q16" i="2"/>
  <c r="O10" i="2" s="1"/>
  <c r="P13" i="2"/>
  <c r="O13" i="2"/>
  <c r="Q13" i="2"/>
  <c r="E29" i="7" l="1"/>
  <c r="F29" i="7" s="1"/>
  <c r="E33" i="7"/>
  <c r="F33" i="7" s="1"/>
  <c r="E30" i="7"/>
  <c r="F30" i="7" s="1"/>
  <c r="E32" i="7"/>
  <c r="F32" i="7" s="1"/>
  <c r="E35" i="7"/>
  <c r="F35" i="7" s="1"/>
  <c r="E60" i="7"/>
  <c r="F60" i="7" s="1"/>
  <c r="E64" i="7"/>
  <c r="F64" i="7" s="1"/>
  <c r="E68" i="7"/>
  <c r="F68" i="7" s="1"/>
  <c r="E72" i="7"/>
  <c r="F72" i="7" s="1"/>
  <c r="E27" i="7"/>
  <c r="E57" i="7"/>
  <c r="F57" i="7" s="1"/>
  <c r="E61" i="7"/>
  <c r="F61" i="7" s="1"/>
  <c r="E65" i="7"/>
  <c r="F65" i="7" s="1"/>
  <c r="E69" i="7"/>
  <c r="F69" i="7" s="1"/>
  <c r="E73" i="7"/>
  <c r="F73" i="7" s="1"/>
  <c r="E28" i="7"/>
  <c r="F28" i="7" s="1"/>
  <c r="E31" i="7"/>
  <c r="F31" i="7" s="1"/>
  <c r="E34" i="7"/>
  <c r="F34" i="7" s="1"/>
  <c r="E59" i="7"/>
  <c r="F59" i="7" s="1"/>
  <c r="E63" i="7"/>
  <c r="F63" i="7" s="1"/>
  <c r="E67" i="7"/>
  <c r="F67" i="7" s="1"/>
  <c r="E71" i="7"/>
  <c r="F71" i="7" s="1"/>
  <c r="AF6" i="7"/>
  <c r="E58" i="7"/>
  <c r="F58" i="7" s="1"/>
  <c r="E62" i="7"/>
  <c r="F62" i="7" s="1"/>
  <c r="E66" i="7"/>
  <c r="F66" i="7" s="1"/>
  <c r="E70" i="7"/>
  <c r="F70" i="7" s="1"/>
  <c r="E74" i="7"/>
  <c r="F74" i="7" s="1"/>
  <c r="O22" i="2"/>
  <c r="O16" i="2"/>
  <c r="P16" i="2"/>
  <c r="T6" i="2" s="1"/>
  <c r="Z14" i="5"/>
  <c r="B22" i="5"/>
  <c r="C20" i="5"/>
  <c r="C22" i="5" s="1"/>
  <c r="C19" i="5"/>
  <c r="D19" i="5" s="1"/>
  <c r="E19" i="5" s="1"/>
  <c r="F19" i="5" s="1"/>
  <c r="G19" i="5" s="1"/>
  <c r="H19" i="5" s="1"/>
  <c r="H16" i="5"/>
  <c r="I16" i="5" s="1"/>
  <c r="J16" i="5" s="1"/>
  <c r="K16" i="5"/>
  <c r="L16" i="5" s="1"/>
  <c r="M16" i="5" s="1"/>
  <c r="N16" i="5" s="1"/>
  <c r="D4" i="5" a="1"/>
  <c r="D4" i="5" s="1"/>
  <c r="K4" i="5" s="1" a="1"/>
  <c r="K4" i="5" s="1"/>
  <c r="M4" i="5" s="1" a="1"/>
  <c r="L3" i="2"/>
  <c r="O18" i="2" l="1"/>
  <c r="S6" i="2"/>
  <c r="I19" i="5"/>
  <c r="H27" i="7" a="1"/>
  <c r="H27" i="7" s="1"/>
  <c r="F27" i="7"/>
  <c r="H25" i="7" a="1"/>
  <c r="H25" i="7" s="1"/>
  <c r="D20" i="5"/>
  <c r="M4" i="5"/>
  <c r="M15" i="5"/>
  <c r="M17" i="5" s="1"/>
  <c r="L15" i="5"/>
  <c r="N4" i="5" a="1"/>
  <c r="K15" i="5"/>
  <c r="F4" i="5" a="1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AC4" i="4"/>
  <c r="W4" i="4"/>
  <c r="Q4" i="4"/>
  <c r="X5" i="4"/>
  <c r="AC5" i="4" s="1"/>
  <c r="J33" i="1" s="1"/>
  <c r="R5" i="4"/>
  <c r="W5" i="4" s="1"/>
  <c r="J32" i="1" s="1"/>
  <c r="L5" i="4"/>
  <c r="Q5" i="4" s="1"/>
  <c r="J31" i="1" s="1"/>
  <c r="N3" i="2"/>
  <c r="M3" i="2"/>
  <c r="I3" i="2"/>
  <c r="K3" i="2"/>
  <c r="J19" i="5" l="1"/>
  <c r="O3" i="2"/>
  <c r="Z3" i="2" s="1"/>
  <c r="O24" i="2"/>
  <c r="O20" i="2"/>
  <c r="E20" i="5"/>
  <c r="D22" i="5"/>
  <c r="N4" i="5"/>
  <c r="N15" i="5"/>
  <c r="N17" i="5" s="1"/>
  <c r="F4" i="5"/>
  <c r="Q29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56" i="4"/>
  <c r="B5" i="4"/>
  <c r="AF5" i="4" s="1"/>
  <c r="B4" i="4"/>
  <c r="AF4" i="4" s="1"/>
  <c r="AD4" i="4"/>
  <c r="AD5" i="4"/>
  <c r="AB5" i="4"/>
  <c r="AA5" i="4"/>
  <c r="V5" i="4"/>
  <c r="U5" i="4"/>
  <c r="P5" i="4"/>
  <c r="O5" i="4"/>
  <c r="AB4" i="4"/>
  <c r="AA4" i="4"/>
  <c r="V4" i="4"/>
  <c r="U4" i="4"/>
  <c r="P4" i="4"/>
  <c r="O4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C16" i="4" a="1"/>
  <c r="C16" i="4" s="1"/>
  <c r="A8" i="4" a="1"/>
  <c r="A8" i="4" s="1"/>
  <c r="K19" i="5" l="1"/>
  <c r="L19" i="5" s="1"/>
  <c r="F20" i="5"/>
  <c r="E22" i="5"/>
  <c r="I4" i="5" a="1"/>
  <c r="H4" i="5" a="1"/>
  <c r="O6" i="5" s="1" a="1"/>
  <c r="O6" i="5" s="1"/>
  <c r="T29" i="4" a="1"/>
  <c r="T29" i="4" s="1"/>
  <c r="AH4" i="4"/>
  <c r="AH5" i="4"/>
  <c r="Y3" i="2"/>
  <c r="H3" i="2"/>
  <c r="R3" i="2"/>
  <c r="T3" i="2" s="1"/>
  <c r="X3" i="2" s="1"/>
  <c r="Q3" i="2"/>
  <c r="M19" i="5" l="1"/>
  <c r="AD3" i="2"/>
  <c r="O5" i="2"/>
  <c r="S3" i="2"/>
  <c r="W3" i="2" s="1"/>
  <c r="AF6" i="4"/>
  <c r="AF9" i="4" s="1"/>
  <c r="E27" i="4"/>
  <c r="F27" i="4" s="1"/>
  <c r="G20" i="5"/>
  <c r="F22" i="5"/>
  <c r="J9" i="5"/>
  <c r="J7" i="5"/>
  <c r="J6" i="5"/>
  <c r="J8" i="5"/>
  <c r="H4" i="5"/>
  <c r="H15" i="5"/>
  <c r="H17" i="5" s="1"/>
  <c r="I4" i="5"/>
  <c r="I15" i="5"/>
  <c r="I17" i="5" s="1"/>
  <c r="AE3" i="2"/>
  <c r="E35" i="4"/>
  <c r="F35" i="4" s="1"/>
  <c r="E66" i="4"/>
  <c r="F66" i="4" s="1"/>
  <c r="E65" i="4"/>
  <c r="F65" i="4" s="1"/>
  <c r="E62" i="4"/>
  <c r="F62" i="4" s="1"/>
  <c r="E61" i="4"/>
  <c r="F61" i="4" s="1"/>
  <c r="E72" i="4"/>
  <c r="F72" i="4" s="1"/>
  <c r="E71" i="4"/>
  <c r="F71" i="4" s="1"/>
  <c r="E68" i="4"/>
  <c r="F68" i="4" s="1"/>
  <c r="E64" i="4"/>
  <c r="F64" i="4" s="1"/>
  <c r="E60" i="4"/>
  <c r="F60" i="4" s="1"/>
  <c r="E69" i="4"/>
  <c r="F69" i="4" s="1"/>
  <c r="E63" i="4"/>
  <c r="F63" i="4" s="1"/>
  <c r="E59" i="4"/>
  <c r="F59" i="4" s="1"/>
  <c r="E67" i="4"/>
  <c r="F67" i="4" s="1"/>
  <c r="E74" i="4"/>
  <c r="F74" i="4" s="1"/>
  <c r="E73" i="4"/>
  <c r="F73" i="4" s="1"/>
  <c r="E70" i="4"/>
  <c r="F70" i="4" s="1"/>
  <c r="E58" i="4"/>
  <c r="F58" i="4" s="1"/>
  <c r="E57" i="4"/>
  <c r="F57" i="4" s="1"/>
  <c r="E30" i="4"/>
  <c r="F30" i="4" s="1"/>
  <c r="E32" i="4"/>
  <c r="F32" i="4" s="1"/>
  <c r="E34" i="4"/>
  <c r="F34" i="4" s="1"/>
  <c r="E33" i="4"/>
  <c r="F33" i="4" s="1"/>
  <c r="E29" i="4"/>
  <c r="F29" i="4" s="1"/>
  <c r="E31" i="4"/>
  <c r="F31" i="4" s="1"/>
  <c r="E28" i="4"/>
  <c r="F28" i="4" s="1"/>
  <c r="V3" i="2"/>
  <c r="AA3" i="2"/>
  <c r="AC3" i="2" s="1" a="1"/>
  <c r="AC3" i="2" s="1"/>
  <c r="Z19" i="5" l="1"/>
  <c r="Z17" i="5"/>
  <c r="Z18" i="5"/>
  <c r="Z20" i="5"/>
  <c r="H25" i="4" a="1"/>
  <c r="H25" i="4" s="1"/>
  <c r="J15" i="5"/>
  <c r="J17" i="5" s="1"/>
  <c r="N19" i="5"/>
  <c r="H20" i="5"/>
  <c r="H23" i="5" s="1"/>
  <c r="G22" i="5"/>
  <c r="H27" i="4" a="1"/>
  <c r="H27" i="4" s="1"/>
  <c r="U3" i="2"/>
  <c r="G32" i="1"/>
  <c r="G33" i="1" s="1"/>
  <c r="Z4" i="2" l="1"/>
  <c r="AD4" i="2"/>
  <c r="I20" i="5"/>
  <c r="I23" i="5" s="1"/>
  <c r="H22" i="5"/>
  <c r="J20" i="5" l="1"/>
  <c r="J23" i="5" s="1"/>
  <c r="I22" i="5"/>
  <c r="K20" i="5" l="1"/>
  <c r="J22" i="5"/>
  <c r="L20" i="5" l="1"/>
  <c r="L23" i="5" s="1"/>
  <c r="K22" i="5"/>
  <c r="M20" i="5" l="1"/>
  <c r="M23" i="5" s="1"/>
  <c r="L22" i="5"/>
  <c r="N20" i="5" l="1"/>
  <c r="M22" i="5"/>
  <c r="N22" i="5" l="1"/>
  <c r="N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tc={63C1FB0A-8030-494C-8033-A57BB641C368}</author>
  </authors>
  <commentList>
    <comment ref="J1" authorId="0" shapeId="0" xr:uid="{63C1FB0A-8030-494C-8033-A57BB641C36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Optional, but useful for checking necessary substrate uptakes if yield predictions fail under the given conditions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<sst xmlns="http://schemas.openxmlformats.org/spreadsheetml/2006/main" count="884" uniqueCount="448">
  <si>
    <t>product</t>
  </si>
  <si>
    <t>name</t>
  </si>
  <si>
    <t>precursor</t>
  </si>
  <si>
    <t>MW (g/mol)</t>
  </si>
  <si>
    <t>hdca</t>
  </si>
  <si>
    <t>Hexadecanoic acid</t>
  </si>
  <si>
    <t>Fatty acyl-CoA</t>
  </si>
  <si>
    <t>hxdcol</t>
  </si>
  <si>
    <t>Hexadecanol</t>
  </si>
  <si>
    <t>btoh</t>
  </si>
  <si>
    <t>n-Butanol</t>
  </si>
  <si>
    <t>Threonine or (acetyl-CoA and pyruvate)</t>
  </si>
  <si>
    <t>tag</t>
  </si>
  <si>
    <t>Triacylglycerol</t>
  </si>
  <si>
    <t>nrgn</t>
  </si>
  <si>
    <t>(2S)-Naringenin</t>
  </si>
  <si>
    <t>Tyrosine and malonyl-CoA</t>
  </si>
  <si>
    <t>polyhb</t>
  </si>
  <si>
    <t>Polyhydroxybutyrate</t>
  </si>
  <si>
    <t>Acetoacetyl-CoA</t>
  </si>
  <si>
    <t>citm</t>
  </si>
  <si>
    <t>Citramalate</t>
  </si>
  <si>
    <t>Acetyl-CoA and pyruvate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</si>
  <si>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</si>
  <si>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</si>
  <si>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</si>
  <si>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</si>
  <si>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</si>
  <si>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</si>
  <si>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</si>
  <si>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</si>
  <si>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</si>
  <si>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</si>
  <si>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</si>
  <si>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</si>
  <si>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</si>
  <si>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</si>
  <si>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</si>
  <si>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</si>
  <si>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</si>
  <si>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</si>
  <si>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</si>
  <si>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</si>
  <si>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</si>
  <si>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</si>
  <si>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</si>
  <si>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</si>
  <si>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</si>
  <si>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</si>
  <si>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</si>
  <si>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</si>
  <si>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</si>
  <si>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</si>
  <si>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</si>
  <si>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</si>
  <si>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</si>
  <si>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</si>
  <si>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</si>
  <si>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</si>
  <si>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cou</t>
  </si>
  <si>
    <t>p-Coumaric acid</t>
  </si>
  <si>
    <t>L-Tyrosine</t>
  </si>
  <si>
    <t>rsvtol</t>
  </si>
  <si>
    <t>Resveratrol</t>
  </si>
  <si>
    <t>L-Tyrosine and malonyl-CoA</t>
  </si>
  <si>
    <t>styr</t>
  </si>
  <si>
    <t>Styrene</t>
  </si>
  <si>
    <t>retcln</t>
  </si>
  <si>
    <t>Reticuline</t>
  </si>
  <si>
    <t>L-Tyrosine and L-phenylalanine</t>
  </si>
  <si>
    <t>glyc</t>
  </si>
  <si>
    <t>Glycerol</t>
  </si>
  <si>
    <t>13ppd</t>
  </si>
  <si>
    <t>1,3-Propanediol</t>
  </si>
  <si>
    <t>yieldEXP_conditions</t>
  </si>
  <si>
    <t>yieldExp_LB_(g/g_substrate)</t>
  </si>
  <si>
    <t>yieldExp_UB_(g/g_substrate)</t>
  </si>
  <si>
    <t>https://link.springer.com/article/10.1186/s13068-019-1478-8</t>
  </si>
  <si>
    <t>yieldExp_ref</t>
  </si>
  <si>
    <t>Strain CBS 14; minimal media; N limitation; max growth of 0.14/h; sugar went from 40.8 ± 0.3 to 3.19 ± 0.81 g/l (cultivated in 0.5 l)</t>
  </si>
  <si>
    <t>tal</t>
  </si>
  <si>
    <t>triacetic acid lactone</t>
  </si>
  <si>
    <t>Acetyl-CoA and Malonyl-CoA</t>
  </si>
  <si>
    <t>https://analyticalsciencejournals.onlinelibrary.wiley.com/doi/full/10.1002/bit.28159</t>
  </si>
  <si>
    <t>odealc</t>
  </si>
  <si>
    <t>stalc</t>
  </si>
  <si>
    <t>pmtalc</t>
  </si>
  <si>
    <t>oleyl alcohol</t>
  </si>
  <si>
    <t>stearyl alcohol</t>
  </si>
  <si>
    <t>palmityl alcohol</t>
  </si>
  <si>
    <t>oleoyl-CoA</t>
  </si>
  <si>
    <t>stearoyl-CoA</t>
  </si>
  <si>
    <t>palmitoyl-CoA</t>
  </si>
  <si>
    <t>https://www.ncbi.nlm.nih.gov/pmc/articles/PMC4607723/</t>
  </si>
  <si>
    <t>Fed-batch; 2L; 40 g/L after 24 h; pH 5.0; sucrose as substrate</t>
  </si>
  <si>
    <t>SimulationSettings</t>
  </si>
  <si>
    <t>g substrate</t>
  </si>
  <si>
    <t>2.23±0.06</t>
  </si>
  <si>
    <t>TAL titer (g/L)</t>
  </si>
  <si>
    <t>Strain IFO0880 with genetic modifications made to allow TAL production; grown using glucose. UB is theoretical maximum yield, while LB is observed yield at 95 h. Use biomass from RT_IFO0880 model (Kim et al. (2020)), to provide data based on similar conditions.</t>
  </si>
  <si>
    <t>max</t>
  </si>
  <si>
    <t>biomass (gDCW)</t>
  </si>
  <si>
    <t>min</t>
  </si>
  <si>
    <t>yield (g/g sub)</t>
  </si>
  <si>
    <t>hrs</t>
  </si>
  <si>
    <t>xyl</t>
  </si>
  <si>
    <t>glc</t>
  </si>
  <si>
    <t>% of media mass</t>
  </si>
  <si>
    <t>max uptake flux (mmol/(gDW*h))</t>
  </si>
  <si>
    <t>simulation settings</t>
  </si>
  <si>
    <t>growth rate</t>
  </si>
  <si>
    <t>V (L)</t>
  </si>
  <si>
    <t>fluxExp_UB_(mmol product/(gDW*h))</t>
  </si>
  <si>
    <t>fluxExp_LB_(mmol product/(gDW*h))</t>
  </si>
  <si>
    <t>TAL exchange flux (mmol/(gDW*h))</t>
  </si>
  <si>
    <t>raw</t>
  </si>
  <si>
    <t>product MW (g/mol)</t>
  </si>
  <si>
    <t>biomass MW before normalization (in case components were changed; in most cases, set it to 1)</t>
  </si>
  <si>
    <t>yield / g glc</t>
  </si>
  <si>
    <t>yield / g xyl</t>
  </si>
  <si>
    <t>normalized biomass (gDCW)</t>
  </si>
  <si>
    <t>Fatty alcohols production by oleaginous yeast | Journal of Industrial Microbiology and Biotechnology | Oxford Academic (oup.com)</t>
  </si>
  <si>
    <t>Fatty alcohol (FA) production under different C/N ratios</t>
  </si>
  <si>
    <t>C/N ratio</t>
  </si>
  <si>
    <t>Time (h)</t>
  </si>
  <si>
    <t>Biomass (g/L)</t>
  </si>
  <si>
    <t>Oil (g/L)</t>
  </si>
  <si>
    <t>Intracellular FAs (g/L)</t>
  </si>
  <si>
    <t>Extracellular FAs (g/L)</t>
  </si>
  <si>
    <t>Total FAs (g/L)</t>
  </si>
  <si>
    <t>Productivity (g/L h)</t>
  </si>
  <si>
    <t>Yield (g/g)</t>
  </si>
  <si>
    <t>olealc</t>
  </si>
  <si>
    <t>min yield</t>
  </si>
  <si>
    <t>max yield</t>
  </si>
  <si>
    <t>min yield4</t>
  </si>
  <si>
    <t>max yield5</t>
  </si>
  <si>
    <t>min yield44</t>
  </si>
  <si>
    <t>max yield55</t>
  </si>
  <si>
    <t>volume (L)</t>
  </si>
  <si>
    <t>biomass flux</t>
  </si>
  <si>
    <t>max [substrate]</t>
  </si>
  <si>
    <t>substrate MW (g/mol)</t>
  </si>
  <si>
    <t>substrate uptake flux</t>
  </si>
  <si>
    <t>Biomass - FAs (g/L)</t>
  </si>
  <si>
    <t>sucrose (100 g/L)</t>
  </si>
  <si>
    <t>supplemented with KH2PO4 0.75 g/L, NH4NO3 0.7 g/L, CaCl2·2H2O 0.4 g/L, MgSO4·7H2O 0.4 g/L, corn steep liquor 22.5 g/L and Tergitol™ L-81 5 g/L</t>
  </si>
  <si>
    <t>suc</t>
  </si>
  <si>
    <t>sucr_e</t>
  </si>
  <si>
    <t>KH2PO4</t>
  </si>
  <si>
    <t>0.75 g/L</t>
  </si>
  <si>
    <t>k_e</t>
  </si>
  <si>
    <t>pi_e</t>
  </si>
  <si>
    <t>NH4NO3</t>
  </si>
  <si>
    <t>0.7 g/L</t>
  </si>
  <si>
    <t>nh4_e</t>
  </si>
  <si>
    <t>no3_e</t>
  </si>
  <si>
    <t>CaCl2·2H2O</t>
  </si>
  <si>
    <t>0.4 g/L</t>
  </si>
  <si>
    <t>ca2_e</t>
  </si>
  <si>
    <t>cl_e</t>
  </si>
  <si>
    <t>MgSO4·7H2O</t>
  </si>
  <si>
    <t>mg2_e</t>
  </si>
  <si>
    <t>so4_e</t>
  </si>
  <si>
    <t>corn steep liquor</t>
  </si>
  <si>
    <t>22.5 g/L</t>
  </si>
  <si>
    <t>Tergitol™ L-81</t>
  </si>
  <si>
    <t>5 g/L</t>
  </si>
  <si>
    <t>TERGITOL™ L-81 Surfactant | Dow Inc.</t>
  </si>
  <si>
    <t>Seemingly not a nutrient, so don't have to add it</t>
  </si>
  <si>
    <t>gDW*h</t>
  </si>
  <si>
    <t>compound</t>
  </si>
  <si>
    <t>mass (g/L)</t>
  </si>
  <si>
    <t>rxn</t>
  </si>
  <si>
    <t>flux</t>
  </si>
  <si>
    <t>h_e</t>
  </si>
  <si>
    <t>h2o_e</t>
  </si>
  <si>
    <t>btn_c</t>
  </si>
  <si>
    <t>o2_e</t>
  </si>
  <si>
    <t>co2_e</t>
  </si>
  <si>
    <t>EX_inost_e</t>
  </si>
  <si>
    <t>thm_e</t>
  </si>
  <si>
    <t>ribflv_e</t>
  </si>
  <si>
    <t>nac_e</t>
  </si>
  <si>
    <t>pydxn_e</t>
  </si>
  <si>
    <t>fol_e</t>
  </si>
  <si>
    <t>pnto__R_e</t>
  </si>
  <si>
    <t>4abz_e</t>
  </si>
  <si>
    <t>inost_e</t>
  </si>
  <si>
    <t>cu2_e</t>
  </si>
  <si>
    <t>fe2_e</t>
  </si>
  <si>
    <t>fe3_e</t>
  </si>
  <si>
    <t>mn2_e</t>
  </si>
  <si>
    <t>na1_e</t>
  </si>
  <si>
    <t>ni2_e</t>
  </si>
  <si>
    <t>zn2_e</t>
  </si>
  <si>
    <t>cobalt2_e</t>
  </si>
  <si>
    <t>NOTE: added from YPD to fix feasibility issues</t>
  </si>
  <si>
    <t>Corn Steep Liquor Parts</t>
  </si>
  <si>
    <t>Amino acids</t>
  </si>
  <si>
    <t>Name</t>
  </si>
  <si>
    <t>Unit</t>
  </si>
  <si>
    <t>Test result</t>
  </si>
  <si>
    <t>Aspartic acid</t>
  </si>
  <si>
    <t>%</t>
  </si>
  <si>
    <t>Alanine</t>
  </si>
  <si>
    <t>Threonine</t>
  </si>
  <si>
    <t>Valine</t>
  </si>
  <si>
    <t>Serine</t>
  </si>
  <si>
    <t>%.</t>
  </si>
  <si>
    <t>Methionine</t>
  </si>
  <si>
    <t>Glutamate</t>
  </si>
  <si>
    <t>Isoleucine</t>
  </si>
  <si>
    <t>Glycine</t>
  </si>
  <si>
    <t>Leucine</t>
  </si>
  <si>
    <t>Tyrosine</t>
  </si>
  <si>
    <t>Phenylalanine</t>
  </si>
  <si>
    <t>Lysine</t>
  </si>
  <si>
    <t>Histidine</t>
  </si>
  <si>
    <t>Arginine</t>
  </si>
  <si>
    <t>Proline</t>
  </si>
  <si>
    <t>tryptophan</t>
  </si>
  <si>
    <t>Vitamins</t>
  </si>
  <si>
    <t>Vitamin B2</t>
  </si>
  <si>
    <t>mg/kg</t>
  </si>
  <si>
    <t>Choline</t>
  </si>
  <si>
    <t>mg/100 g</t>
  </si>
  <si>
    <t>Inositol</t>
  </si>
  <si>
    <t>Nutritional substances contained in the corn steep liquor | Download Scientific Diagram (researchgate.net)</t>
  </si>
  <si>
    <t>EX_met__L_e</t>
  </si>
  <si>
    <t>EX_ile__L_e</t>
  </si>
  <si>
    <t>EX_leu__L_e</t>
  </si>
  <si>
    <t>EX_phe__L_e</t>
  </si>
  <si>
    <t>EX_his__L_e</t>
  </si>
  <si>
    <t>EX_pro__L_e</t>
  </si>
  <si>
    <t>EX_val__L_e</t>
  </si>
  <si>
    <t>EX_ala__L_e</t>
  </si>
  <si>
    <t>EX_chol_e</t>
  </si>
  <si>
    <t>EX_trp__L_e</t>
  </si>
  <si>
    <t>EX_arg__L_e</t>
  </si>
  <si>
    <t>EX_lys__L_e</t>
  </si>
  <si>
    <t>EX_tyr__L_e</t>
  </si>
  <si>
    <t>EX_gly_e</t>
  </si>
  <si>
    <t>EX_glu__L_e</t>
  </si>
  <si>
    <t>EX_ser__L_e</t>
  </si>
  <si>
    <t>EX_thr__L_e</t>
  </si>
  <si>
    <t>EX_asp__L_e</t>
  </si>
  <si>
    <t>asp__L_e</t>
  </si>
  <si>
    <t>thr__L_e</t>
  </si>
  <si>
    <t>ser__L_e</t>
  </si>
  <si>
    <t>glu__L_e</t>
  </si>
  <si>
    <t>gly_e</t>
  </si>
  <si>
    <t>tyr__L_e</t>
  </si>
  <si>
    <t>lys__L_e</t>
  </si>
  <si>
    <t>arg__L_e</t>
  </si>
  <si>
    <t>trp__L_e</t>
  </si>
  <si>
    <t>chol_e</t>
  </si>
  <si>
    <t>ala__L_e</t>
  </si>
  <si>
    <t>val__L_e</t>
  </si>
  <si>
    <t>met__L_e</t>
  </si>
  <si>
    <t>ile__L_e</t>
  </si>
  <si>
    <t>leu__L_e</t>
  </si>
  <si>
    <t>phe__L_e</t>
  </si>
  <si>
    <t>his__L_e</t>
  </si>
  <si>
    <t>pro__L_e</t>
  </si>
  <si>
    <t>from corn steep liquor</t>
  </si>
  <si>
    <t>comments</t>
  </si>
  <si>
    <t>g/L</t>
  </si>
  <si>
    <t>min flux</t>
  </si>
  <si>
    <t>yield error</t>
  </si>
  <si>
    <t>yield error2</t>
  </si>
  <si>
    <t>yield error3</t>
  </si>
  <si>
    <t>MW</t>
  </si>
  <si>
    <t>MW2</t>
  </si>
  <si>
    <t>MW3</t>
  </si>
  <si>
    <t>yield%</t>
  </si>
  <si>
    <t>yield%2</t>
  </si>
  <si>
    <t>yield%3</t>
  </si>
  <si>
    <t>min flux2</t>
  </si>
  <si>
    <t>min flux22</t>
  </si>
  <si>
    <t>w/o added YPD parts:</t>
  </si>
  <si>
    <t>EX_sucr_e:(-0.0832311670757478,1000)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-1000,1000);EX_co2_e:(0,1000)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</si>
  <si>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For BiomassKim w/o lipopb</t>
  </si>
  <si>
    <t>manual overrides for max uptake flux, based on simulations</t>
  </si>
  <si>
    <t>g sucr</t>
  </si>
  <si>
    <t>g FAL</t>
  </si>
  <si>
    <t>L</t>
  </si>
  <si>
    <t>mmol</t>
  </si>
  <si>
    <t>Metabolic engineering of oleaginous yeast Rhodotorula toruloides for overproduction of triacetic acid lactone - Cao - 2022 - Biotechnology and Bioengineering - Wiley Online Library</t>
  </si>
  <si>
    <t>Table 1 | Proteome analysis of xylose metabolism in Rhodotorula toruloides during lipid production | Biotechnology for Biofuels and Bioproducts (springer.com)</t>
  </si>
  <si>
    <t>Glucose</t>
  </si>
  <si>
    <t>Xylose</t>
  </si>
  <si>
    <t>Lag phase (h)</t>
  </si>
  <si>
    <t>Expontential phase (h)</t>
  </si>
  <si>
    <r>
      <t>μ</t>
    </r>
    <r>
      <rPr>
        <sz val="12"/>
        <color rgb="FF222222"/>
        <rFont val="Helvetica Neue"/>
        <family val="2"/>
      </rPr>
      <t>max</t>
    </r>
    <r>
      <rPr>
        <sz val="11"/>
        <color rgb="FF222222"/>
        <rFont val="Helvetica Neue"/>
        <family val="2"/>
      </rPr>
      <t> (h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</si>
  <si>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Final DCW (g/l)</t>
  </si>
  <si>
    <t>13.8 ± 0.13</t>
  </si>
  <si>
    <t>11.1 ± 0.1</t>
  </si>
  <si>
    <t>Starting sugar (g/l)</t>
  </si>
  <si>
    <t>40.8 ± 0.3</t>
  </si>
  <si>
    <t>39.4 ± 0.25</t>
  </si>
  <si>
    <t>Residual sugar (g/l)</t>
  </si>
  <si>
    <t>3.19 ± 0.81</t>
  </si>
  <si>
    <t>1.1 ± 1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</si>
  <si>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X/S</t>
    </r>
    <r>
      <rPr>
        <sz val="11"/>
        <color rgb="FF222222"/>
        <rFont val="Helvetica Neue"/>
        <family val="2"/>
      </rPr>
      <t> (gDW/g glucose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</si>
  <si>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0.36 ± 0.004</t>
  </si>
  <si>
    <t>0.28 ± 0.003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</si>
  <si>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0 (%)</t>
    </r>
    <r>
      <rPr>
        <vertAlign val="superscript"/>
        <sz val="11"/>
        <color rgb="FF222222"/>
        <rFont val="Helvetica Neue"/>
        <family val="2"/>
      </rPr>
      <t>a</t>
    </r>
  </si>
  <si>
    <t>7.59 ± 1.54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</si>
  <si>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2 (%)</t>
    </r>
    <r>
      <rPr>
        <vertAlign val="superscript"/>
        <sz val="11"/>
        <color rgb="FF222222"/>
        <rFont val="Helvetica Neue"/>
        <family val="2"/>
      </rPr>
      <t>a</t>
    </r>
  </si>
  <si>
    <t>10.58 ± 1.00</t>
  </si>
  <si>
    <t>13.99 ± 1.5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</si>
  <si>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3 (%)</t>
    </r>
    <r>
      <rPr>
        <vertAlign val="superscript"/>
        <sz val="11"/>
        <color rgb="FF222222"/>
        <rFont val="Helvetica Neue"/>
        <family val="2"/>
      </rPr>
      <t>a</t>
    </r>
  </si>
  <si>
    <t>47.51 ± 1.81</t>
  </si>
  <si>
    <t>47.05 ± 1.4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</si>
  <si>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L/S</t>
    </r>
    <r>
      <rPr>
        <sz val="11"/>
        <color rgb="FF222222"/>
        <rFont val="Helvetica Neue"/>
        <family val="2"/>
      </rPr>
      <t> (g/g)</t>
    </r>
  </si>
  <si>
    <t>0.19 ± 0.01</t>
  </si>
  <si>
    <t>0.15 ± 0.009</t>
  </si>
  <si>
    <t>Glc</t>
  </si>
  <si>
    <t>values</t>
  </si>
  <si>
    <t>error</t>
  </si>
  <si>
    <t>Xyl</t>
  </si>
  <si>
    <t>Simulation settings</t>
  </si>
  <si>
    <t>Sugar consumption (g/l)</t>
  </si>
  <si>
    <t>sugar flux (mmol/(gDW*h))</t>
  </si>
  <si>
    <t>sugar MW (g/mmol)</t>
  </si>
  <si>
    <t>most optimistic combo</t>
  </si>
  <si>
    <t>TAG (mg/gDCW) at P3</t>
  </si>
  <si>
    <t>t1</t>
  </si>
  <si>
    <t>t3</t>
  </si>
  <si>
    <t>% of lipid classes</t>
  </si>
  <si>
    <t>mg/gDCW</t>
  </si>
  <si>
    <t>Phospholipids</t>
  </si>
  <si>
    <t>15.09 ± 0.34</t>
  </si>
  <si>
    <t>16.27 ± 1.5</t>
  </si>
  <si>
    <t>4.11 ± 0.34</t>
  </si>
  <si>
    <t>3.9 ± 0.21</t>
  </si>
  <si>
    <t>Monoacylglycerols</t>
  </si>
  <si>
    <t>1.02 ± 0.33</t>
  </si>
  <si>
    <t>1.35 ± 0.5</t>
  </si>
  <si>
    <t>nd</t>
  </si>
  <si>
    <t>Diglycerols</t>
  </si>
  <si>
    <t>8.35 ± 0.7</t>
  </si>
  <si>
    <t>7.88 ± 0.26</t>
  </si>
  <si>
    <t>4.9 ± 0.3</t>
  </si>
  <si>
    <t>4.02 ± 0.36</t>
  </si>
  <si>
    <t>Sterols</t>
  </si>
  <si>
    <t>14.11 ± 0.34</t>
  </si>
  <si>
    <t>14.61 ± 0.79</t>
  </si>
  <si>
    <t>6.49 ± 0.3</t>
  </si>
  <si>
    <t>5.67 ± 0.15</t>
  </si>
  <si>
    <t>Free fatty acids</t>
  </si>
  <si>
    <t>38.15 ± 0.9</t>
  </si>
  <si>
    <t>40.77 ± 3.1</t>
  </si>
  <si>
    <t>11.9 ± 0.3</t>
  </si>
  <si>
    <t>10.80 ± 0.25</t>
  </si>
  <si>
    <t>Triacylglycerols</t>
  </si>
  <si>
    <t>23.82 ± 1.7</t>
  </si>
  <si>
    <t>19.39 ± 4.5</t>
  </si>
  <si>
    <t>72.64 ± 0.76</t>
  </si>
  <si>
    <t>75.61 ± 0.63</t>
  </si>
  <si>
    <t>TAG/PL</t>
  </si>
  <si>
    <t>Total lipid content</t>
  </si>
  <si>
    <t>9.085 ± 1</t>
  </si>
  <si>
    <t>10.79 ± 1</t>
  </si>
  <si>
    <t>47.51 ± 1.8</t>
  </si>
  <si>
    <t>47.1 ± 1.4</t>
  </si>
  <si>
    <r>
      <t>The chemically defined cultivation medium used for growth experiments contained: 1.173 g/l (NH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)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1.7 g/l yeast nitrogen base without amino acids or ammonium sulfate; 3 g/l KH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PO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0.5 g/l MgSO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–7H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O; 40 g/l carbon source (either xylose or glucose)</t>
    </r>
  </si>
  <si>
    <t>g/l (NH4)2SO4 provided</t>
  </si>
  <si>
    <t>EX_nh4_e</t>
  </si>
  <si>
    <t>frac. MW from NH4</t>
  </si>
  <si>
    <t>Exp. TAG Flux at GSM TAG MW</t>
  </si>
  <si>
    <t>Exp. TAG Flux at glycerol MW</t>
  </si>
  <si>
    <t>Exp. TAG Flux, assuming most common fatty acid (C17:1) is used</t>
  </si>
  <si>
    <t>tetracosanoic acid (CHEBI:28866)</t>
  </si>
  <si>
    <t>Exp. TAG Flux, assuming heaviest fatty acid (C24:0) is used</t>
  </si>
  <si>
    <t>NH4 MW</t>
  </si>
  <si>
    <t>min growth rate (exp. Lasted 104 h)</t>
  </si>
  <si>
    <t>Combined yield + substrate calculations</t>
  </si>
  <si>
    <t>Yield (g/g glc) w/ .5% NaAc</t>
  </si>
  <si>
    <t>glc (g/L) in .5% NaAc</t>
  </si>
  <si>
    <t>glc (g/L) in YPDX</t>
  </si>
  <si>
    <t>g substrate (old)</t>
  </si>
  <si>
    <t>g substrate (new)</t>
  </si>
  <si>
    <t>TAG yield (mg/gDCW)</t>
  </si>
  <si>
    <t>YP2D</t>
  </si>
  <si>
    <t>TAG MW (g/mmol)</t>
  </si>
  <si>
    <t>TAL yield on oilcane juices (g/g carbon sources)</t>
  </si>
  <si>
    <t>assuming exactly 30%</t>
  </si>
  <si>
    <t>TAL titer</t>
  </si>
  <si>
    <t>1.67x YPD</t>
  </si>
  <si>
    <t>TAL Yield w/ .5% NaAc</t>
  </si>
  <si>
    <t>Media</t>
  </si>
  <si>
    <t>Cell OD</t>
  </si>
  <si>
    <t>Residual substrates</t>
  </si>
  <si>
    <t>YPD</t>
  </si>
  <si>
    <t>68±3.2</t>
  </si>
  <si>
    <t>1.97±0.12</t>
  </si>
  <si>
    <t>YPG</t>
  </si>
  <si>
    <t>35±1.5</t>
  </si>
  <si>
    <t>9.7±0.5</t>
  </si>
  <si>
    <t>1.17±0.06</t>
  </si>
  <si>
    <t>YPX</t>
  </si>
  <si>
    <t>71±1.5</t>
  </si>
  <si>
    <t>2.13±0.15</t>
  </si>
  <si>
    <t>YPS</t>
  </si>
  <si>
    <t>45±1.2</t>
  </si>
  <si>
    <t>12.4±0.8</t>
  </si>
  <si>
    <t>1.07±0.06</t>
  </si>
  <si>
    <t>SC</t>
  </si>
  <si>
    <t>19±1.0</t>
  </si>
  <si>
    <t>10.5±0.7</t>
  </si>
  <si>
    <t>0.47±0.06</t>
  </si>
  <si>
    <t>YPDX</t>
  </si>
  <si>
    <t>62±2.6</t>
  </si>
  <si>
    <t>83±2.1</t>
  </si>
  <si>
    <t>3.63±0.15</t>
  </si>
  <si>
    <t>YPD+0.5%NaAc</t>
  </si>
  <si>
    <t>68±3.5</t>
  </si>
  <si>
    <t>0.4±0.1</t>
  </si>
  <si>
    <t>3.33±0.12</t>
  </si>
  <si>
    <t>YPD+1%NaAc</t>
  </si>
  <si>
    <t>62±2.1</t>
  </si>
  <si>
    <t>4.5±0.8</t>
  </si>
  <si>
    <t>3.57±0.12</t>
  </si>
  <si>
    <t>YPD+2%NaAc</t>
  </si>
  <si>
    <t>54±2.6</t>
  </si>
  <si>
    <t>13.6±0.4</t>
  </si>
  <si>
    <t>3.6±0.26</t>
  </si>
  <si>
    <t>YP-NaAc</t>
  </si>
  <si>
    <t>23±2.6</t>
  </si>
  <si>
    <t>15.6±0.6</t>
  </si>
  <si>
    <t>0.84±0.09</t>
  </si>
  <si>
    <t>Table S3. Substrate utilization test.</t>
  </si>
  <si>
    <t>max residual substrate (g/L) on YPD+2% substrate</t>
  </si>
  <si>
    <t>Assuming yield2 = yield1 * titer2/titer1</t>
  </si>
  <si>
    <t>c_sources:EX_xyl__D_e,EX_glc__D_e;EX_xyl__D_e:(-0.164415433160671,1000);EX_glc__D_e:(-0.319696675590194,1000);BIOMASS:(c_sources:EX_xyl__D_e,EX_glc__D_e;EX_xyl__D_e:(-0.164415433160671,1000);EX_glc__D_e:(-0.319696675590194,1000);BIOMASS:(0,0.0138888888888889);BiomassKim_e:(0,0);ATPM_c:(1.22,1000);EX_4abz_e:(-1000,1000);EX_fe3_e:(-1000,1000);EX_fol_e:(-1000,1000);EX_inost_e:(-1000,1000);EX_nac_e:(-1000,1000);EX_pnto__R_e:(-1000,1000);EX_pydxn_e:(-1000,1000);EX_ribflv_e:(-1000,1000);EX_thm_e:(-1000,1000),0.0138888888888889);BiomassKim_e:(0,0);ATPM_c:(1.22,1000);EX_4abz_e:(-1000,1000);EX_fe3_e:(-1000,1000);EX_fol_e:(-1000,1000);EX_inost_e:(-1000,1000);EX_nac_e:(-1000,1000);EX_pnto__R_e:(-1000,1000);EX_pydxn_e:(-1000,1000);EX_ribflv_e:(-1000,1000);EX_thm_e:(-1000,1000)</t>
  </si>
  <si>
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</t>
  </si>
  <si>
    <t>media:reset;c_sources:EX_sucr_e;EX_sucr_e:(-0.174787248262266,1000)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</si>
  <si>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flux (rounded up)</t>
  </si>
  <si>
    <t>media:reset;c_sources:EX_sucr_e;media:reset;c_sources:EX_sucr_e;EX_sucr_e:(-0.174787248262266,0)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(0.0133333333333333,0.0133333333333333)</t>
  </si>
  <si>
    <t>time consuming sucrose (h)</t>
  </si>
  <si>
    <t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</si>
  <si>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WORKS:media:reset;c_sources:EX_sucr_e;media:reset;c_sources:EX_sucr_e;EX_sucr_e:(-1000,1000);EX_k_e:(-100.005466,1000);EX_nh4_e:(-100.011055,1000);EX_ca2_e:(-100.002844,1000);EX_mg2_e:(-100.004689,1000);EX_pi_e:(-100.00225,1000);EX_no3_e:(-100.003217,1000);EX_cl_e:(-100.00643,1000);EX_so4_e:(-100.001187,1000)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</si>
  <si>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Rounded up trace element uptakes to account for contributions from seed cultures, until yields could be replicated</t>
  </si>
  <si>
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</si>
  <si>
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</si>
  <si>
    <t>c_sources:EX_glc__D_e;BIOMASS_AERO_SC_hvd:(0.009615384615,0.14);EX_glc__D_e:(-2.20113372715757,1000);EX_nh4_e:(-0.181824845165991,1000);EX_o2_e:(-26.25403530509562,1000)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</si>
</sst>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rgb="FF000000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  <font>
      <sz val="12"/>
      <color rgb="FF000000"/>
      <name val="Times New Roman"/>
      <family val="1"/>
    </font>
    <font>
      <sz val="12"/>
      <color theme="0"/>
      <name val="Aptos Narrow"/>
      <family val="2"/>
      <scheme val="minor"/>
    </font>
    <font>
      <sz val="15"/>
      <color rgb="FF2A2A2A"/>
      <name val="Inherit"/>
    </font>
    <font>
      <b/>
      <sz val="11"/>
      <color rgb="FF000000"/>
      <name val="Inherit"/>
    </font>
    <font>
      <sz val="11"/>
      <color rgb="FF000000"/>
      <name val="Inherit"/>
    </font>
    <font>
      <sz val="12"/>
      <color rgb="FFA31515"/>
      <name val="Menlo"/>
      <family val="2"/>
    </font>
    <font>
      <sz val="12"/>
      <color rgb="FF000000"/>
      <name val="Aptos Narrow"/>
      <family val="2"/>
      <scheme val="minor"/>
    </font>
    <font>
      <sz val="12"/>
      <color rgb="FF0451A5"/>
      <name val="Menlo"/>
      <family val="2"/>
    </font>
    <font>
      <u/>
      <sz val="12"/>
      <color theme="10"/>
      <name val="Aptos Narrow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  <font>
      <b/>
      <sz val="11"/>
      <name val="Inherit"/>
    </font>
    <font>
      <sz val="12"/>
      <color rgb="FF3B3B3B"/>
      <name val="Menlo"/>
      <family val="2"/>
    </font>
    <font>
      <sz val="12"/>
      <color rgb="FF008000"/>
      <name val="Menlo"/>
      <family val="2"/>
    </font>
    <font>
      <sz val="12"/>
      <color rgb="FF000000"/>
      <name val="Helvetica"/>
      <family val="2"/>
    </font>
    <font>
      <sz val="8"/>
      <name val="Calibri"/>
      <family val="2"/>
      <charset val="1"/>
    </font>
    <font>
      <b/>
      <sz val="11"/>
      <color rgb="FF222222"/>
      <name val="Helvetica Neue"/>
      <family val="2"/>
    </font>
    <font>
      <sz val="11"/>
      <color rgb="FF222222"/>
      <name val="Helvetica Neue"/>
      <family val="2"/>
    </font>
    <font>
      <i/>
      <sz val="11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1"/>
      <color rgb="FF222222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rgb="FF222222"/>
      <name val="Times New Roman"/>
      <family val="1"/>
    </font>
    <font>
      <sz val="14"/>
      <color rgb="FF222222"/>
      <name val="Times New Roman"/>
      <family val="1"/>
    </font>
    <font>
      <sz val="14"/>
      <color rgb="FF474747"/>
      <name val="Arial"/>
      <family val="2"/>
    </font>
    <font>
      <sz val="13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top"/>
    </xf>
    <xf numFmtId="0" fontId="7" fillId="0" borderId="0" xfId="1"/>
    <xf numFmtId="0" fontId="8" fillId="0" borderId="0" xfId="0" applyFont="1"/>
    <xf numFmtId="0" fontId="0" fillId="2" borderId="0" xfId="0" applyFill="1"/>
    <xf numFmtId="0" fontId="6" fillId="0" borderId="2" xfId="0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2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6" fillId="0" borderId="0" xfId="3"/>
    <xf numFmtId="0" fontId="17" fillId="0" borderId="0" xfId="2" applyFont="1"/>
    <xf numFmtId="0" fontId="18" fillId="0" borderId="0" xfId="2" applyFont="1"/>
    <xf numFmtId="0" fontId="9" fillId="0" borderId="0" xfId="2" applyFont="1"/>
    <xf numFmtId="0" fontId="12" fillId="0" borderId="0" xfId="2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2" applyAlignment="1">
      <alignment wrapText="1"/>
    </xf>
    <xf numFmtId="0" fontId="19" fillId="0" borderId="0" xfId="2" applyFont="1" applyAlignment="1">
      <alignment wrapText="1"/>
    </xf>
    <xf numFmtId="0" fontId="20" fillId="0" borderId="0" xfId="0" applyFont="1"/>
    <xf numFmtId="0" fontId="4" fillId="0" borderId="0" xfId="2" applyFont="1"/>
    <xf numFmtId="0" fontId="21" fillId="0" borderId="0" xfId="0" applyFont="1"/>
    <xf numFmtId="0" fontId="22" fillId="0" borderId="0" xfId="0" applyFont="1"/>
    <xf numFmtId="0" fontId="13" fillId="0" borderId="0" xfId="0" applyFont="1"/>
    <xf numFmtId="0" fontId="3" fillId="0" borderId="0" xfId="2" applyFont="1"/>
    <xf numFmtId="0" fontId="3" fillId="0" borderId="0" xfId="2" applyFont="1" applyAlignment="1">
      <alignment horizontal="right"/>
    </xf>
    <xf numFmtId="0" fontId="20" fillId="2" borderId="0" xfId="0" applyFont="1" applyFill="1"/>
    <xf numFmtId="0" fontId="2" fillId="0" borderId="0" xfId="2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2" fontId="33" fillId="0" borderId="0" xfId="0" applyNumberFormat="1" applyFont="1"/>
    <xf numFmtId="2" fontId="0" fillId="0" borderId="0" xfId="0" applyNumberFormat="1"/>
    <xf numFmtId="0" fontId="34" fillId="0" borderId="0" xfId="0" applyFont="1"/>
    <xf numFmtId="0" fontId="1" fillId="0" borderId="0" xfId="2" applyFont="1"/>
    <xf numFmtId="0" fontId="11" fillId="0" borderId="0" xfId="2" applyFont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4" fillId="0" borderId="0" xfId="0" applyFont="1"/>
    <xf numFmtId="0" fontId="0" fillId="0" borderId="0" xfId="0" applyAlignment="1">
      <alignment horizontal="center" wrapText="1"/>
    </xf>
  </cellXfs>
  <cellStyles count="4">
    <cellStyle name="Hyperlink" xfId="1" builtinId="8"/>
    <cellStyle name="Hyperlink 2" xfId="3" xr:uid="{3AA48522-7519-9F43-828E-B33DB6940537}"/>
    <cellStyle name="Normal" xfId="0" builtinId="0"/>
    <cellStyle name="Normal 2" xfId="2" xr:uid="{600F2FB2-99DC-984E-9AF8-86190E469275}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FDF2DE3E-089C-3A44-94F2-903BFE10782A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70D9E-A91B-654D-A47C-D5C5CABA69A5}" name="Table2" displayName="Table2" ref="A26:G74" totalsRowShown="0" headerRowDxfId="81">
  <autoFilter ref="A26:G74" xr:uid="{20B1D7AE-8ADC-814C-803C-911E7413B37B}"/>
  <tableColumns count="7">
    <tableColumn id="1" xr3:uid="{DACC83E2-8C8F-604B-8471-F32253827732}" name="compound"/>
    <tableColumn id="2" xr3:uid="{FD0B30E8-6384-9845-ADCC-C083C7FAFFF9}" name="mass (g/L)"/>
    <tableColumn id="3" xr3:uid="{873B2847-FAA6-024A-9386-AC11E047406C}" name="MW (g/mol)"/>
    <tableColumn id="4" xr3:uid="{22DE98DC-F07A-D543-B63E-E497CB35570E}" name="rxn" dataDxfId="80">
      <calculatedColumnFormula>"EX_"&amp;Table2[[#This Row],[compound]]</calculatedColumnFormula>
    </tableColumn>
    <tableColumn id="5" xr3:uid="{3E6934A0-86F9-4842-AEA4-0828A8959436}" name="flux">
      <calculatedColumnFormula>Table2[[#This Row],[mass (g/L)]]/(Table2[[#This Row],[MW (g/mol)]]/1000)</calculatedColumnFormula>
    </tableColumn>
    <tableColumn id="6" xr3:uid="{AFDC6738-B1B5-A647-994A-5D19837C0C0E}" name="flux (rounded up)" dataDxfId="79" dataCellStyle="Normal 2">
      <calculatedColumnFormula>_xlfn.LET(_xlpm.dec,_xlfn.TEXTAFTER(Table2[[#This Row],[flux]],".",,,,0),_xlpm.rounded,ROUNDUP(Table2[[#This Row],[flux]],6),_xlpm.rounded)</calculatedColumnFormula>
    </tableColumn>
    <tableColumn id="7" xr3:uid="{4D4E485C-EE75-E545-B93E-8A47686E853D}" name="comments" dataDxfId="78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005A5-CA37-3241-B3A7-EA02697673A1}" name="Table15" displayName="Table15" ref="A3:AI5" totalsRowShown="0" headerRowDxfId="77" dataDxfId="76">
  <autoFilter ref="A3:AI5" xr:uid="{7B5005A5-CA37-3241-B3A7-EA02697673A1}"/>
  <tableColumns count="35">
    <tableColumn id="22" xr3:uid="{1B1778BC-7887-8A43-B999-D0CC69F9658A}" name="volume (L)" dataDxfId="75"/>
    <tableColumn id="3" xr3:uid="{5845D5B5-DAE4-1248-A34B-BCA7B7CFC8D8}" name="Biomass - FAs (g/L)" dataDxfId="74">
      <calculatedColumnFormula>Table15[[#This Row],[Biomass (g/L)]]-Table15[[#This Row],[Total FAs (g/L)]]</calculatedColumnFormula>
    </tableColumn>
    <tableColumn id="1" xr3:uid="{FF3F39DC-46F9-3F4C-82D4-ADACA2FFDE02}" name="C/N ratio" dataDxfId="73"/>
    <tableColumn id="2" xr3:uid="{D9E1DDC9-A720-7447-AE0A-5A43232528F0}" name="Time (h)" dataDxfId="72"/>
    <tableColumn id="27" xr3:uid="{B0B3D7B9-ECAC-854E-8198-D30A5C46F0A5}" name="Biomass (g/L)" dataDxfId="71"/>
    <tableColumn id="4" xr3:uid="{A233325A-FE51-3545-8F0A-6A6E5C51D423}" name="Oil (g/L)" dataDxfId="70"/>
    <tableColumn id="5" xr3:uid="{B4541D1D-91B3-FC4C-A0BE-848E102D2B02}" name="Intracellular FAs (g/L)" dataDxfId="69"/>
    <tableColumn id="6" xr3:uid="{39FC5264-F84D-6B44-9A1D-55B635E617B7}" name="Extracellular FAs (g/L)" dataDxfId="68"/>
    <tableColumn id="7" xr3:uid="{D6DC5736-2F3C-804D-8F0D-9355066026DC}" name="Total FAs (g/L)" dataDxfId="67"/>
    <tableColumn id="8" xr3:uid="{1C1C7D42-52A5-1143-9C19-373A08B64FA4}" name="Productivity (g/L h)" dataDxfId="66"/>
    <tableColumn id="9" xr3:uid="{45C50108-CE36-C544-8756-6FB5413D78DB}" name="Yield (g/g)" dataDxfId="65"/>
    <tableColumn id="31" xr3:uid="{EA5B2CC2-24A6-3642-98EA-EE8A08951411}" name="MW" dataDxfId="64"/>
    <tableColumn id="10" xr3:uid="{27247CF1-6139-9840-B19D-B75AC146B089}" name="yield%" dataDxfId="63"/>
    <tableColumn id="11" xr3:uid="{E7684883-8BA2-CF45-937B-2E1766BB8C5E}" name="yield error" dataDxfId="62"/>
    <tableColumn id="12" xr3:uid="{2C57C28F-7B6F-C141-8BF6-F14451F36B01}" name="min yield" dataDxfId="61">
      <calculatedColumnFormula>Table15[[#This Row],[Yield (g/g)]]*(M4-N4)/100</calculatedColumnFormula>
    </tableColumn>
    <tableColumn id="13" xr3:uid="{9FC463DC-40E0-AD41-8573-5A04A99FEE37}" name="max yield" dataDxfId="60">
      <calculatedColumnFormula>Table15[[#This Row],[Yield (g/g)]]*(M4+N4)/100</calculatedColumnFormula>
    </tableColumn>
    <tableColumn id="30" xr3:uid="{FAAEE6CE-971D-004C-AB28-2F506089EB79}" name="min flux" dataDxfId="59">
      <calculatedColumnFormula>Table15[[#This Row],[Total FAs (g/L)]]*((M4-N4)/100)*1000/(L4*Table15[[#This Row],[Biomass (g/L)]]*Table15[[#This Row],[Time (h)]])</calculatedColumnFormula>
    </tableColumn>
    <tableColumn id="32" xr3:uid="{2D1149FC-4512-C04E-9EFF-2A53A9A26C9B}" name="MW2" dataDxfId="58"/>
    <tableColumn id="14" xr3:uid="{6E606BEB-DE25-1E42-AEE4-05591EB551EC}" name="yield%2" dataDxfId="57"/>
    <tableColumn id="15" xr3:uid="{A41F6D08-4407-244C-829F-0BE35337A520}" name="yield error2" dataDxfId="56"/>
    <tableColumn id="16" xr3:uid="{ADE05AF3-DFE7-AB49-837D-479D2BBF9A4D}" name="min yield4" dataDxfId="55">
      <calculatedColumnFormula>Table15[[#This Row],[Yield (g/g)]]*(S4-T4)/100</calculatedColumnFormula>
    </tableColumn>
    <tableColumn id="17" xr3:uid="{F5928DE8-BB9D-9240-A107-D91ABBE24A9F}" name="max yield5" dataDxfId="54">
      <calculatedColumnFormula>Table15[[#This Row],[Yield (g/g)]]*(S4+T4)/100</calculatedColumnFormula>
    </tableColumn>
    <tableColumn id="34" xr3:uid="{4CB2682E-A076-5341-A147-AEE8D4E70572}" name="min flux2" dataDxfId="53">
      <calculatedColumnFormula>Table15[[#This Row],[Total FAs (g/L)]]*((S4-T4)/100)*1000/(R4*Table15[[#This Row],[Biomass (g/L)]]*Table15[[#This Row],[Time (h)]])</calculatedColumnFormula>
    </tableColumn>
    <tableColumn id="33" xr3:uid="{9884F234-13AF-9B48-A74F-BA4B5A86E3CB}" name="MW3" dataDxfId="52"/>
    <tableColumn id="18" xr3:uid="{DA339F4F-2698-C141-99CB-912EF4258B30}" name="yield%3" dataDxfId="51"/>
    <tableColumn id="19" xr3:uid="{9520C2C7-2918-3E41-9A18-8964EB801970}" name="yield error3" dataDxfId="50"/>
    <tableColumn id="20" xr3:uid="{C95FBA5E-7D44-BB4B-9D89-8EAD2C9EB7D2}" name="min yield44" dataDxfId="49">
      <calculatedColumnFormula>Table15[[#This Row],[Yield (g/g)]]*(Y4-Z4)/100</calculatedColumnFormula>
    </tableColumn>
    <tableColumn id="21" xr3:uid="{14A2E473-517D-F842-A718-C0F09C220B0F}" name="max yield55" dataDxfId="48">
      <calculatedColumnFormula>Table15[[#This Row],[Yield (g/g)]]*(Y4+Z4)/100</calculatedColumnFormula>
    </tableColumn>
    <tableColumn id="35" xr3:uid="{D0D6DBDE-21F0-1849-BADC-E89A841533CB}" name="min flux22" dataDxfId="47">
      <calculatedColumnFormula>Table15[[#This Row],[Total FAs (g/L)]]*((Y4-Z4)/100)*1000/(X4*Table15[[#This Row],[Biomass (g/L)]]*Table15[[#This Row],[Time (h)]])</calculatedColumnFormula>
    </tableColumn>
    <tableColumn id="23" xr3:uid="{47BFFE21-4993-D54F-8CA6-EB3C128A708B}" name="biomass flux" dataDxfId="46">
      <calculatedColumnFormula>(1/Table15[[#This Row],[Time (h)]])</calculatedColumnFormula>
    </tableColumn>
    <tableColumn id="24" xr3:uid="{9C83BC6E-A229-B94B-8363-272785B53E70}" name="max [substrate]" dataDxfId="45"/>
    <tableColumn id="25" xr3:uid="{C5C4E710-0080-2C41-A4F7-C129FCFCE546}" name="substrate uptake flux" dataDxfId="44">
      <calculatedColumnFormula>";EX_sucr_e:(-"&amp;((Table15[[#This Row],[Total FAs (g/L)]]/Table15[[#This Row],[Yield (g/g)]])/(Table15[[#This Row],[substrate MW (g/mol)]]/1000))/(Table15[[#This Row],[Biomass - FAs (g/L)]]*Table15[[#This Row],[Time (h)]])&amp;",1000)"</calculatedColumnFormula>
    </tableColumn>
    <tableColumn id="26" xr3:uid="{D5C50718-2981-6446-90C3-52164C639052}" name="substrate MW (g/mol)" dataDxfId="43"/>
    <tableColumn id="28" xr3:uid="{0CB99E8F-E86D-AD4D-A43D-E796F0E5B03E}" name="gDW*h" dataDxfId="42">
      <calculatedColumnFormula>Table15[[#This Row],[Biomass - FAs (g/L)]]*Table15[[#This Row],[volume (L)]]*Table15[[#This Row],[Time (h)]]</calculatedColumnFormula>
    </tableColumn>
    <tableColumn id="29" xr3:uid="{2FF12B86-FF68-C644-AFA4-827B4A7D5E05}" name="time consuming sucrose (h)" dataDxfId="41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8716E-F412-C342-B434-8378B491C272}" name="Table22" displayName="Table22" ref="A26:G74" totalsRowShown="0" headerRowDxfId="40">
  <autoFilter ref="A26:G74" xr:uid="{20B1D7AE-8ADC-814C-803C-911E7413B37B}"/>
  <tableColumns count="7">
    <tableColumn id="1" xr3:uid="{90AF5627-FC3E-704B-BC60-6EDAC3E19E0F}" name="compound"/>
    <tableColumn id="2" xr3:uid="{7E871DEA-CDE5-6443-9A7F-9CB48D21EAEA}" name="mass (g/L)"/>
    <tableColumn id="3" xr3:uid="{68933590-0B89-2C44-A8A0-98F07A6EAD89}" name="MW (g/mol)"/>
    <tableColumn id="4" xr3:uid="{4418BC5B-CA90-C647-8161-626812C4FF9D}" name="rxn" dataDxfId="39">
      <calculatedColumnFormula>"EX_"&amp;Table22[[#This Row],[compound]]</calculatedColumnFormula>
    </tableColumn>
    <tableColumn id="5" xr3:uid="{7951BC34-7365-DA44-A348-F9C5E82F553C}" name="flux">
      <calculatedColumnFormula>Table22[[#This Row],[mass (g/L)]]/(Table22[[#This Row],[MW (g/mol)]]/1000)</calculatedColumnFormula>
    </tableColumn>
    <tableColumn id="6" xr3:uid="{FF512063-5DCF-9847-83D6-E21F85CCF5E6}" name="flux (rounded up)" dataDxfId="38" dataCellStyle="Normal 2">
      <calculatedColumnFormula>_xlfn.LET(_xlpm.dec,_xlfn.TEXTAFTER(Table22[[#This Row],[flux]],".",,,,0),_xlpm.rounded,ROUNDUP(Table22[[#This Row],[flux]],6),Table22[[#This Row],[flux]])</calculatedColumnFormula>
    </tableColumn>
    <tableColumn id="7" xr3:uid="{106D200F-B9F2-7749-A124-D9C9C2F28027}" name="comments" dataDxfId="37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FE40B-4F0F-BF43-B84C-2E980FEB2607}" name="Table153" displayName="Table153" ref="A3:AI5" totalsRowShown="0" headerRowDxfId="36" dataDxfId="35">
  <autoFilter ref="A3:AI5" xr:uid="{7B5005A5-CA37-3241-B3A7-EA02697673A1}"/>
  <tableColumns count="35">
    <tableColumn id="22" xr3:uid="{3BAE8985-E60C-6848-94C5-489F810C9E4A}" name="volume (L)" dataDxfId="34"/>
    <tableColumn id="3" xr3:uid="{18A0C975-42CF-C84E-BA1F-DCDDB5576F9A}" name="Biomass - FAs (g/L)" dataDxfId="33">
      <calculatedColumnFormula>Table153[[#This Row],[Biomass (g/L)]]-Table153[[#This Row],[Total FAs (g/L)]]</calculatedColumnFormula>
    </tableColumn>
    <tableColumn id="1" xr3:uid="{B5F34CCB-06C5-AB40-AB8B-408030EDF5AA}" name="C/N ratio" dataDxfId="32"/>
    <tableColumn id="2" xr3:uid="{E95E82C9-A1D3-084A-8155-AFCF089FEDC4}" name="Time (h)" dataDxfId="31"/>
    <tableColumn id="27" xr3:uid="{74A246EF-DE50-704D-BB6F-BE3C68CF7F5F}" name="Biomass (g/L)" dataDxfId="30"/>
    <tableColumn id="4" xr3:uid="{D936350E-D8D1-724D-914E-1119ED6DBADE}" name="Oil (g/L)" dataDxfId="29"/>
    <tableColumn id="5" xr3:uid="{AF666B84-039A-3E49-B017-EE818B266978}" name="Intracellular FAs (g/L)" dataDxfId="28"/>
    <tableColumn id="6" xr3:uid="{B527D198-B31E-7E4A-95AD-309514C0C118}" name="Extracellular FAs (g/L)" dataDxfId="27"/>
    <tableColumn id="7" xr3:uid="{C8B69E5A-7D86-4746-B03D-D30BBC7C384D}" name="Total FAs (g/L)" dataDxfId="26"/>
    <tableColumn id="8" xr3:uid="{6F5FEAFA-A888-564D-A4C3-BCC8B1ED3245}" name="Productivity (g/L h)" dataDxfId="25"/>
    <tableColumn id="9" xr3:uid="{0CAFD87D-04D2-B945-BC3F-DC98668720B9}" name="Yield (g/g)" dataDxfId="24"/>
    <tableColumn id="31" xr3:uid="{A36C765E-4517-B243-A01A-0406F0651F24}" name="MW" dataDxfId="23"/>
    <tableColumn id="10" xr3:uid="{27D83581-C41C-5242-90B7-1D462041D140}" name="yield%" dataDxfId="22"/>
    <tableColumn id="11" xr3:uid="{539A4C72-AA87-4E40-8EDC-B658789DA54C}" name="yield error" dataDxfId="21"/>
    <tableColumn id="12" xr3:uid="{B1E61019-82CE-6642-B400-ABB9C224FB29}" name="min yield" dataDxfId="20">
      <calculatedColumnFormula>Table153[[#This Row],[Yield (g/g)]]*(M4-N4)/100</calculatedColumnFormula>
    </tableColumn>
    <tableColumn id="13" xr3:uid="{F0F54A23-F9D0-7849-8D5A-06E16284FFEA}" name="max yield" dataDxfId="19">
      <calculatedColumnFormula>Table153[[#This Row],[Yield (g/g)]]*(M4+N4)/100</calculatedColumnFormula>
    </tableColumn>
    <tableColumn id="30" xr3:uid="{97F7804E-98C8-FE4F-8236-2369C7A4F26F}" name="min flux" dataDxfId="18">
      <calculatedColumnFormula>Table153[[#This Row],[Total FAs (g/L)]]*((M4-N4)/100)*1000/(L4*Table153[[#This Row],[Biomass (g/L)]]*Table153[[#This Row],[Time (h)]])</calculatedColumnFormula>
    </tableColumn>
    <tableColumn id="32" xr3:uid="{C3E15B91-73E3-9F4C-8DD8-76DF5E19EE5D}" name="MW2" dataDxfId="17"/>
    <tableColumn id="14" xr3:uid="{70D948E2-E91A-344E-A195-147EB49158AD}" name="yield%2" dataDxfId="16"/>
    <tableColumn id="15" xr3:uid="{FA1D1047-DA47-AD46-A82E-027B87780758}" name="yield error2" dataDxfId="15"/>
    <tableColumn id="16" xr3:uid="{01B7C95A-ABB0-924C-8AA8-F0A22FD35ABE}" name="min yield4" dataDxfId="14">
      <calculatedColumnFormula>Table153[[#This Row],[Yield (g/g)]]*(S4-T4)/100</calculatedColumnFormula>
    </tableColumn>
    <tableColumn id="17" xr3:uid="{2757E71F-4D51-C64E-9B77-B5701E5BAA24}" name="max yield5" dataDxfId="13">
      <calculatedColumnFormula>Table153[[#This Row],[Yield (g/g)]]*(S4+T4)/100</calculatedColumnFormula>
    </tableColumn>
    <tableColumn id="34" xr3:uid="{85A01FA9-5CD3-114A-9B56-C63F648F3560}" name="min flux2" dataDxfId="12">
      <calculatedColumnFormula>Table153[[#This Row],[Total FAs (g/L)]]*((S4-T4)/100)*1000/(R4*Table153[[#This Row],[Biomass (g/L)]]*Table153[[#This Row],[Time (h)]])</calculatedColumnFormula>
    </tableColumn>
    <tableColumn id="33" xr3:uid="{2BA97D47-45FE-4642-922E-77F7C6C8E4E4}" name="MW3" dataDxfId="11"/>
    <tableColumn id="18" xr3:uid="{705A5331-0CFA-0E40-8FC5-A10F0EED12A5}" name="yield%3" dataDxfId="10"/>
    <tableColumn id="19" xr3:uid="{E9F69E79-FCF6-E742-873A-02172897E80A}" name="yield error3" dataDxfId="9"/>
    <tableColumn id="20" xr3:uid="{A87D5A00-F379-3248-9BCE-62D6B2FDAF3C}" name="min yield44" dataDxfId="8">
      <calculatedColumnFormula>Table153[[#This Row],[Yield (g/g)]]*(Y4-Z4)/100</calculatedColumnFormula>
    </tableColumn>
    <tableColumn id="21" xr3:uid="{AC08EE6F-6A76-854A-9091-71E074F88038}" name="max yield55" dataDxfId="7">
      <calculatedColumnFormula>Table153[[#This Row],[Yield (g/g)]]*(Y4+Z4)/100</calculatedColumnFormula>
    </tableColumn>
    <tableColumn id="35" xr3:uid="{24939D05-478B-3E4B-AFBE-31AD3798DA25}" name="min flux22" dataDxfId="6">
      <calculatedColumnFormula>Table153[[#This Row],[Total FAs (g/L)]]*((Y4-Z4)/100)*1000/(X4*Table153[[#This Row],[Biomass (g/L)]]*Table153[[#This Row],[Time (h)]])</calculatedColumnFormula>
    </tableColumn>
    <tableColumn id="23" xr3:uid="{9FC6202B-ECE9-9542-8209-701CD296659C}" name="biomass flux" dataDxfId="5">
      <calculatedColumnFormula>(1/Table153[[#This Row],[Time (h)]])</calculatedColumnFormula>
    </tableColumn>
    <tableColumn id="24" xr3:uid="{82DA6FCE-70D5-BC41-9B0C-7258571F5D2A}" name="max [substrate]" dataDxfId="4"/>
    <tableColumn id="25" xr3:uid="{09FC0505-6E2B-4449-A11D-C3A29D5C9688}" name="substrate uptake flux" dataDxfId="3">
      <calculatedColumnFormula>";EX_sucr_e:(-"&amp;((Table153[[#This Row],[Total FAs (g/L)]]/Table153[[#This Row],[Yield (g/g)]])/(Table153[[#This Row],[substrate MW (g/mol)]]/1000))/(Table153[[#This Row],[Biomass - FAs (g/L)]]*Table153[[#This Row],[Time (h)]])&amp;",1000)"</calculatedColumnFormula>
    </tableColumn>
    <tableColumn id="26" xr3:uid="{A8D15C8C-83FD-B641-B7CC-D1D28C4B0B66}" name="substrate MW (g/mol)" dataDxfId="2"/>
    <tableColumn id="28" xr3:uid="{7D0F8C3F-6E52-5445-8720-8B79397B4638}" name="gDW*h" dataDxfId="1">
      <calculatedColumnFormula>Table153[[#This Row],[Biomass - FAs (g/L)]]*Table153[[#This Row],[volume (L)]]*Table153[[#This Row],[Time (h)]]</calculatedColumnFormula>
    </tableColumn>
    <tableColumn id="29" xr3:uid="{C0CC2656-80FF-414D-8025-4E695760D80E}" name="time consuming sucrose (h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7-10T19:06:05.93" personId="{FDF2DE3E-089C-3A44-94F2-903BFE10782A}" id="{63C1FB0A-8030-494C-8033-A57BB641C368}">
    <text>Optional, but useful for checking necessary substrate uptakes if yield predictions fail under the given conditions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pmc/articles/PMC4607723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nalyticalsciencejournals.onlinelibrary.wiley.com/doi/full/10.1002/bit.28159" TargetMode="External"/><Relationship Id="rId1" Type="http://schemas.openxmlformats.org/officeDocument/2006/relationships/hyperlink" Target="https://link.springer.com/article/10.1186/s13068-019-1478-8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ncbi.nlm.nih.gov/pmc/articles/PMC4607723/" TargetMode="External"/><Relationship Id="rId4" Type="http://schemas.openxmlformats.org/officeDocument/2006/relationships/hyperlink" Target="https://www.ncbi.nlm.nih.gov/pmc/articles/PMC460772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chebi/searchId.do?chebiId=28866" TargetMode="External"/><Relationship Id="rId1" Type="http://schemas.openxmlformats.org/officeDocument/2006/relationships/hyperlink" Target="https://link.springer.com/article/10.1186/s13068-019-1478-8/tables/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alsciencejournals.onlinelibrary.wiley.com/doi/full/10.1002/bit.28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75" zoomScaleNormal="75" workbookViewId="0">
      <pane ySplit="1" topLeftCell="A2" activePane="bottomLeft" state="frozen"/>
      <selection pane="bottomLeft" activeCell="E26" sqref="E26"/>
    </sheetView>
  </sheetViews>
  <sheetFormatPr baseColWidth="10" defaultColWidth="8.5" defaultRowHeight="15"/>
  <cols>
    <col min="1" max="1" width="14.5" customWidth="1"/>
    <col min="2" max="2" width="25.1640625" customWidth="1"/>
    <col min="3" max="3" width="34" customWidth="1"/>
    <col min="4" max="4" width="18" customWidth="1"/>
    <col min="5" max="5" width="25.5" bestFit="1" customWidth="1"/>
    <col min="6" max="6" width="25.6640625" bestFit="1" customWidth="1"/>
    <col min="7" max="7" width="25.6640625" customWidth="1"/>
    <col min="8" max="8" width="18.33203125" bestFit="1" customWidth="1"/>
    <col min="9" max="9" width="11.33203125" customWidth="1"/>
    <col min="10" max="10" width="33.1640625" bestFit="1" customWidth="1"/>
    <col min="1019" max="1025" width="9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75</v>
      </c>
      <c r="F1" s="3" t="s">
        <v>76</v>
      </c>
      <c r="G1" s="3" t="s">
        <v>95</v>
      </c>
      <c r="H1" s="3" t="s">
        <v>74</v>
      </c>
      <c r="I1" s="3" t="s">
        <v>78</v>
      </c>
      <c r="J1" s="7" t="s">
        <v>113</v>
      </c>
      <c r="K1" s="7" t="s">
        <v>112</v>
      </c>
    </row>
    <row r="2" spans="1:11" ht="16">
      <c r="A2" t="s">
        <v>4</v>
      </c>
      <c r="B2" s="2" t="s">
        <v>5</v>
      </c>
      <c r="C2" s="2" t="s">
        <v>6</v>
      </c>
      <c r="D2">
        <v>256.39999999999998</v>
      </c>
      <c r="E2">
        <v>0.1</v>
      </c>
    </row>
    <row r="3" spans="1:11" ht="16">
      <c r="A3" t="s">
        <v>7</v>
      </c>
      <c r="B3" s="2" t="s">
        <v>8</v>
      </c>
      <c r="C3" s="2" t="s">
        <v>6</v>
      </c>
      <c r="D3">
        <v>242.44</v>
      </c>
      <c r="E3">
        <v>5.0000000000000001E-3</v>
      </c>
    </row>
    <row r="4" spans="1:11" ht="16">
      <c r="A4" t="s">
        <v>9</v>
      </c>
      <c r="B4" s="2" t="s">
        <v>10</v>
      </c>
      <c r="C4" s="2" t="s">
        <v>11</v>
      </c>
      <c r="D4">
        <v>74.12</v>
      </c>
      <c r="E4">
        <v>0.04</v>
      </c>
    </row>
    <row r="5" spans="1:11" ht="16">
      <c r="A5" t="s">
        <v>12</v>
      </c>
      <c r="B5" s="2" t="s">
        <v>13</v>
      </c>
      <c r="C5" s="2" t="s">
        <v>13</v>
      </c>
      <c r="D5">
        <v>824.3</v>
      </c>
      <c r="E5">
        <v>0.14000000000000001</v>
      </c>
      <c r="G5" t="s">
        <v>447</v>
      </c>
      <c r="H5" t="s">
        <v>79</v>
      </c>
      <c r="I5" s="4" t="s">
        <v>77</v>
      </c>
    </row>
    <row r="6" spans="1:11" ht="16">
      <c r="A6" t="s">
        <v>14</v>
      </c>
      <c r="B6" s="2" t="s">
        <v>15</v>
      </c>
      <c r="C6" s="2" t="s">
        <v>16</v>
      </c>
      <c r="D6">
        <v>272.25</v>
      </c>
    </row>
    <row r="7" spans="1:11" ht="16">
      <c r="A7" t="s">
        <v>17</v>
      </c>
      <c r="B7" s="2" t="s">
        <v>18</v>
      </c>
      <c r="C7" s="2" t="s">
        <v>19</v>
      </c>
      <c r="D7">
        <v>103.1</v>
      </c>
      <c r="E7">
        <v>0.13</v>
      </c>
    </row>
    <row r="8" spans="1:11" ht="16">
      <c r="A8" t="s">
        <v>20</v>
      </c>
      <c r="B8" s="2" t="s">
        <v>21</v>
      </c>
      <c r="C8" s="2" t="s">
        <v>22</v>
      </c>
      <c r="D8">
        <v>146.1</v>
      </c>
    </row>
    <row r="9" spans="1:11" ht="16">
      <c r="A9" t="s">
        <v>23</v>
      </c>
      <c r="B9" s="2" t="s">
        <v>24</v>
      </c>
      <c r="C9" s="2" t="s">
        <v>25</v>
      </c>
      <c r="D9">
        <v>234.33</v>
      </c>
    </row>
    <row r="10" spans="1:11" ht="16">
      <c r="A10" t="s">
        <v>26</v>
      </c>
      <c r="B10" s="2" t="s">
        <v>27</v>
      </c>
      <c r="C10" s="2" t="s">
        <v>25</v>
      </c>
      <c r="D10">
        <v>246.3</v>
      </c>
      <c r="E10">
        <v>3.0000000000000001E-3</v>
      </c>
    </row>
    <row r="11" spans="1:11" ht="16">
      <c r="A11" t="s">
        <v>28</v>
      </c>
      <c r="B11" s="2" t="s">
        <v>29</v>
      </c>
      <c r="C11" s="2" t="s">
        <v>29</v>
      </c>
      <c r="D11">
        <v>46.07</v>
      </c>
      <c r="E11">
        <v>0.44</v>
      </c>
    </row>
    <row r="12" spans="1:11" ht="16">
      <c r="A12" t="s">
        <v>30</v>
      </c>
      <c r="B12" s="2" t="s">
        <v>31</v>
      </c>
      <c r="C12" s="2" t="s">
        <v>32</v>
      </c>
      <c r="D12">
        <v>89.07</v>
      </c>
      <c r="E12">
        <v>0.69</v>
      </c>
    </row>
    <row r="13" spans="1:11" ht="16">
      <c r="A13" t="s">
        <v>33</v>
      </c>
      <c r="B13" s="2" t="s">
        <v>34</v>
      </c>
      <c r="C13" s="2" t="s">
        <v>32</v>
      </c>
      <c r="D13">
        <v>90.12</v>
      </c>
      <c r="E13">
        <v>0.11</v>
      </c>
    </row>
    <row r="14" spans="1:11" ht="16">
      <c r="A14" t="s">
        <v>35</v>
      </c>
      <c r="B14" s="2" t="s">
        <v>36</v>
      </c>
      <c r="C14" s="2" t="s">
        <v>36</v>
      </c>
      <c r="D14">
        <v>74.12</v>
      </c>
      <c r="E14">
        <v>0.06</v>
      </c>
    </row>
    <row r="15" spans="1:11" ht="16">
      <c r="A15" t="s">
        <v>37</v>
      </c>
      <c r="B15" s="2" t="s">
        <v>38</v>
      </c>
      <c r="C15" s="2" t="s">
        <v>39</v>
      </c>
      <c r="D15">
        <v>90.08</v>
      </c>
      <c r="E15">
        <v>0.13</v>
      </c>
    </row>
    <row r="16" spans="1:11" ht="16">
      <c r="A16" t="s">
        <v>40</v>
      </c>
      <c r="B16" s="2" t="s">
        <v>38</v>
      </c>
      <c r="C16" s="2" t="s">
        <v>41</v>
      </c>
      <c r="D16">
        <v>90.08</v>
      </c>
      <c r="E16">
        <v>0.14000000000000001</v>
      </c>
    </row>
    <row r="17" spans="1:16" ht="16">
      <c r="A17" t="s">
        <v>42</v>
      </c>
      <c r="B17" s="2" t="s">
        <v>43</v>
      </c>
      <c r="C17" s="2" t="s">
        <v>43</v>
      </c>
      <c r="D17">
        <v>116.07</v>
      </c>
      <c r="E17">
        <v>0.11</v>
      </c>
    </row>
    <row r="18" spans="1:16" ht="16">
      <c r="A18" t="s">
        <v>44</v>
      </c>
      <c r="B18" s="2" t="s">
        <v>45</v>
      </c>
      <c r="C18" s="2" t="s">
        <v>45</v>
      </c>
      <c r="D18">
        <v>132.07</v>
      </c>
      <c r="E18">
        <v>0.31</v>
      </c>
    </row>
    <row r="19" spans="1:16" ht="16">
      <c r="A19" t="s">
        <v>46</v>
      </c>
      <c r="B19" s="2" t="s">
        <v>47</v>
      </c>
      <c r="C19" s="2" t="s">
        <v>47</v>
      </c>
      <c r="D19">
        <v>174.15</v>
      </c>
    </row>
    <row r="20" spans="1:16" ht="16">
      <c r="A20" t="s">
        <v>48</v>
      </c>
      <c r="B20" s="2" t="s">
        <v>49</v>
      </c>
      <c r="C20" s="2" t="s">
        <v>50</v>
      </c>
      <c r="D20">
        <v>140.09</v>
      </c>
      <c r="E20">
        <v>7.0000000000000007E-2</v>
      </c>
    </row>
    <row r="21" spans="1:16" ht="16">
      <c r="A21" t="s">
        <v>51</v>
      </c>
      <c r="B21" s="2" t="s">
        <v>52</v>
      </c>
      <c r="C21" s="2" t="s">
        <v>53</v>
      </c>
      <c r="D21">
        <v>137.11000000000001</v>
      </c>
      <c r="E21">
        <v>7.0000000000000007E-2</v>
      </c>
    </row>
    <row r="22" spans="1:16" ht="16">
      <c r="A22" t="s">
        <v>54</v>
      </c>
      <c r="B22" s="2" t="s">
        <v>55</v>
      </c>
      <c r="C22" s="2" t="s">
        <v>55</v>
      </c>
      <c r="D22">
        <v>137.13999999999999</v>
      </c>
      <c r="E22">
        <v>0.01</v>
      </c>
    </row>
    <row r="23" spans="1:16" ht="16">
      <c r="A23" t="s">
        <v>56</v>
      </c>
      <c r="B23" s="2" t="s">
        <v>57</v>
      </c>
      <c r="C23" s="2" t="s">
        <v>58</v>
      </c>
      <c r="D23">
        <v>122.16</v>
      </c>
      <c r="E23">
        <v>0.08</v>
      </c>
    </row>
    <row r="24" spans="1:16" ht="16">
      <c r="A24" t="s">
        <v>59</v>
      </c>
      <c r="B24" s="2" t="s">
        <v>60</v>
      </c>
      <c r="C24" s="2" t="s">
        <v>61</v>
      </c>
      <c r="D24">
        <v>163.15</v>
      </c>
      <c r="E24">
        <v>0.15</v>
      </c>
    </row>
    <row r="25" spans="1:16" ht="16">
      <c r="A25" t="s">
        <v>62</v>
      </c>
      <c r="B25" s="2" t="s">
        <v>63</v>
      </c>
      <c r="C25" s="2" t="s">
        <v>64</v>
      </c>
      <c r="D25">
        <v>228.24</v>
      </c>
      <c r="E25">
        <v>2.0000000000000001E-4</v>
      </c>
    </row>
    <row r="26" spans="1:16" ht="16">
      <c r="A26" t="s">
        <v>65</v>
      </c>
      <c r="B26" s="2" t="s">
        <v>66</v>
      </c>
      <c r="C26" s="2" t="s">
        <v>58</v>
      </c>
      <c r="D26">
        <v>104.15</v>
      </c>
      <c r="E26">
        <v>1E-3</v>
      </c>
    </row>
    <row r="27" spans="1:16" ht="16">
      <c r="A27" t="s">
        <v>67</v>
      </c>
      <c r="B27" s="2" t="s">
        <v>68</v>
      </c>
      <c r="C27" s="2" t="s">
        <v>69</v>
      </c>
      <c r="D27">
        <v>329.4</v>
      </c>
    </row>
    <row r="28" spans="1:16" ht="16">
      <c r="A28" t="s">
        <v>70</v>
      </c>
      <c r="B28" s="2" t="s">
        <v>71</v>
      </c>
      <c r="C28" s="2" t="s">
        <v>71</v>
      </c>
      <c r="D28">
        <v>92.09</v>
      </c>
      <c r="E28">
        <v>0.5</v>
      </c>
    </row>
    <row r="29" spans="1:16" ht="16">
      <c r="A29" t="s">
        <v>72</v>
      </c>
      <c r="B29" s="2" t="s">
        <v>73</v>
      </c>
      <c r="C29" s="2" t="s">
        <v>71</v>
      </c>
      <c r="D29">
        <v>76.09</v>
      </c>
      <c r="G29" s="12"/>
    </row>
    <row r="30" spans="1:16" ht="16">
      <c r="A30" t="s">
        <v>80</v>
      </c>
      <c r="B30" s="2" t="s">
        <v>81</v>
      </c>
      <c r="C30" s="2" t="s">
        <v>82</v>
      </c>
      <c r="D30">
        <v>126.11004</v>
      </c>
      <c r="G30" t="s">
        <v>445</v>
      </c>
      <c r="H30" t="s">
        <v>99</v>
      </c>
      <c r="I30" s="4" t="s">
        <v>83</v>
      </c>
      <c r="J30">
        <v>1.1133019284161489E-2</v>
      </c>
      <c r="K30">
        <v>1.2780647900976147E-2</v>
      </c>
      <c r="L30" t="s">
        <v>436</v>
      </c>
      <c r="M30" t="s">
        <v>437</v>
      </c>
    </row>
    <row r="31" spans="1:16" ht="16">
      <c r="A31" t="s">
        <v>84</v>
      </c>
      <c r="B31" s="2" t="s">
        <v>87</v>
      </c>
      <c r="C31" s="2" t="s">
        <v>90</v>
      </c>
      <c r="D31">
        <v>268.5</v>
      </c>
      <c r="G31" t="s">
        <v>446</v>
      </c>
      <c r="H31" t="s">
        <v>94</v>
      </c>
      <c r="I31" s="4" t="s">
        <v>93</v>
      </c>
      <c r="J31">
        <f>'fatty alcohol (FA) calculations'!Q5</f>
        <v>5.1385852697487392E-3</v>
      </c>
      <c r="K31">
        <v>1000</v>
      </c>
      <c r="L31" t="s">
        <v>438</v>
      </c>
      <c r="M31" t="s">
        <v>438</v>
      </c>
      <c r="N31" t="s">
        <v>440</v>
      </c>
      <c r="O31" t="s">
        <v>443</v>
      </c>
      <c r="P31" t="s">
        <v>444</v>
      </c>
    </row>
    <row r="32" spans="1:16" ht="16">
      <c r="A32" t="s">
        <v>85</v>
      </c>
      <c r="B32" s="2" t="s">
        <v>88</v>
      </c>
      <c r="C32" s="2" t="s">
        <v>91</v>
      </c>
      <c r="D32">
        <v>270.5</v>
      </c>
      <c r="G32" t="str">
        <f>G31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v>
      </c>
      <c r="H32" t="s">
        <v>94</v>
      </c>
      <c r="I32" s="4" t="s">
        <v>93</v>
      </c>
      <c r="J32">
        <f>'fatty alcohol (FA) calculations'!W5</f>
        <v>1.1251305955155509E-3</v>
      </c>
      <c r="K32">
        <v>1000</v>
      </c>
      <c r="M32" s="12"/>
    </row>
    <row r="33" spans="1:11" ht="16">
      <c r="A33" t="s">
        <v>86</v>
      </c>
      <c r="B33" s="2" t="s">
        <v>89</v>
      </c>
      <c r="C33" s="2" t="s">
        <v>92</v>
      </c>
      <c r="D33">
        <v>242.44</v>
      </c>
      <c r="G33" t="str">
        <f>G32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v>
      </c>
      <c r="H33" t="s">
        <v>94</v>
      </c>
      <c r="I33" s="4" t="s">
        <v>93</v>
      </c>
      <c r="J33">
        <f>'fatty alcohol (FA) calculations'!AC5</f>
        <v>7.5321191079101601E-4</v>
      </c>
      <c r="K33">
        <v>1000</v>
      </c>
    </row>
  </sheetData>
  <hyperlinks>
    <hyperlink ref="I5" r:id="rId1" xr:uid="{9A928DED-904B-5546-9440-0B8276D17D45}"/>
    <hyperlink ref="I30" r:id="rId2" xr:uid="{2B9F1AC7-3412-0F4E-821F-A3437FD14E6A}"/>
    <hyperlink ref="I31" r:id="rId3" xr:uid="{F737480C-1C0A-A147-8459-9F4DEB969F5E}"/>
    <hyperlink ref="I32" r:id="rId4" xr:uid="{6D220BEF-46D5-AD46-B15E-1AF0765E5B1F}"/>
    <hyperlink ref="I33" r:id="rId5" xr:uid="{3B74DE36-7D8E-9D4A-8815-B466D8AEC38A}"/>
  </hyperlinks>
  <pageMargins left="0.75" right="0.75" top="1" bottom="1" header="0.51180555555555496" footer="0.51180555555555496"/>
  <pageSetup firstPageNumber="0" orientation="portrait" horizontalDpi="300" verticalDpi="300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16C9-934D-BC4B-8E9A-61C9D1C269A0}">
  <dimension ref="A1:AJ74"/>
  <sheetViews>
    <sheetView topLeftCell="D1" workbookViewId="0">
      <selection activeCell="AF11" sqref="AF11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45" t="s">
        <v>132</v>
      </c>
      <c r="M2" s="46"/>
      <c r="N2" s="46"/>
      <c r="O2" s="46"/>
      <c r="P2" s="46"/>
      <c r="Q2" s="47"/>
      <c r="R2" s="45" t="s">
        <v>85</v>
      </c>
      <c r="S2" s="46"/>
      <c r="T2" s="46"/>
      <c r="U2" s="46"/>
      <c r="V2" s="46"/>
      <c r="W2" s="47"/>
      <c r="X2" s="45" t="s">
        <v>86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8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  <c r="AI3" s="44" t="s">
        <v>441</v>
      </c>
    </row>
    <row r="4" spans="1:36">
      <c r="A4" s="11">
        <v>2</v>
      </c>
      <c r="B4" s="11">
        <f>Table15[[#This Row],[Biomass (g/L)]]-Table15[[#This Row],[Total FAs (g/L)]]</f>
        <v>61.870000000000005</v>
      </c>
      <c r="C4" s="10">
        <v>20</v>
      </c>
      <c r="D4" s="10">
        <v>75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Table15[[#This Row],[Yield (g/g)]]*(M4-N4)/100</f>
        <v>0</v>
      </c>
      <c r="P4" s="11">
        <f>Table15[[#This Row],[Yield (g/g)]]*(M4+N4)/100</f>
        <v>0</v>
      </c>
      <c r="Q4" s="11">
        <f>Table15[[#This Row],[Total FAs (g/L)]]*((M4-N4)/100)*1000/(L4*Table15[[#This Row],[Biomass (g/L)]]*Table15[[#This Row],[Time (h)]])</f>
        <v>0</v>
      </c>
      <c r="R4" s="11">
        <v>270.5</v>
      </c>
      <c r="S4" s="11"/>
      <c r="T4" s="11"/>
      <c r="U4" s="11">
        <f>Table15[[#This Row],[Yield (g/g)]]*(S4-T4)/100</f>
        <v>0</v>
      </c>
      <c r="V4" s="11">
        <f>Table15[[#This Row],[Yield (g/g)]]*(S4+T4)/100</f>
        <v>0</v>
      </c>
      <c r="W4" s="11">
        <f>Table15[[#This Row],[Total FAs (g/L)]]*((S4-T4)/100)*1000/(R4*Table15[[#This Row],[Biomass (g/L)]]*Table15[[#This Row],[Time (h)]])</f>
        <v>0</v>
      </c>
      <c r="X4" s="11">
        <v>242.44</v>
      </c>
      <c r="Y4" s="11"/>
      <c r="Z4" s="11"/>
      <c r="AA4" s="11">
        <f>Table15[[#This Row],[Yield (g/g)]]*(Y4-Z4)/100</f>
        <v>0</v>
      </c>
      <c r="AB4" s="11">
        <f>Table15[[#This Row],[Yield (g/g)]]*(Y4+Z4)/100</f>
        <v>0</v>
      </c>
      <c r="AC4" s="11">
        <f>Table15[[#This Row],[Total FAs (g/L)]]*((Y4-Z4)/100)*1000/(X4*Table15[[#This Row],[Biomass (g/L)]]*Table15[[#This Row],[Time (h)]])</f>
        <v>0</v>
      </c>
      <c r="AD4" s="11">
        <f>(1/Table15[[#This Row],[Time (h)]])</f>
        <v>1.3333333333333334E-2</v>
      </c>
      <c r="AE4" s="11">
        <v>60</v>
      </c>
      <c r="AF4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;EX_sucr_e:(-0.0774392786639351,1000)</v>
      </c>
      <c r="AG4" s="11">
        <v>342.29647999999997</v>
      </c>
      <c r="AH4" s="20">
        <f>Table15[[#This Row],[Biomass - FAs (g/L)]]*Table15[[#This Row],[volume (L)]]*Table15[[#This Row],[Time (h)]]</f>
        <v>9280.5</v>
      </c>
      <c r="AI4" s="20">
        <v>60</v>
      </c>
    </row>
    <row r="5" spans="1:36">
      <c r="A5" s="11">
        <v>2</v>
      </c>
      <c r="B5" s="11">
        <f>Table15[[#This Row],[Biomass (g/L)]]-Table15[[#This Row],[Total FAs (g/L)]]</f>
        <v>46.800000000000004</v>
      </c>
      <c r="C5" s="10">
        <v>3</v>
      </c>
      <c r="D5" s="10">
        <v>75</v>
      </c>
      <c r="E5" s="10">
        <v>55.2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Table15[[#This Row],[Yield (g/g)]]*(M5-N5)/100</f>
        <v>2.7200000000000002E-2</v>
      </c>
      <c r="P5" s="11">
        <f>Table15[[#This Row],[Yield (g/g)]]*(M5+N5)/100</f>
        <v>2.8000000000000004E-2</v>
      </c>
      <c r="Q5" s="11">
        <f>Table15[[#This Row],[Total FAs (g/L)]]*((M5-N5)/100)*1000/(L5*Table15[[#This Row],[Biomass (g/L)]]*Table15[[#This Row],[Time (h)]])</f>
        <v>5.1385852697487392E-3</v>
      </c>
      <c r="R5" s="11">
        <f>R4</f>
        <v>270.5</v>
      </c>
      <c r="S5" s="11">
        <v>19</v>
      </c>
      <c r="T5" s="11">
        <v>4</v>
      </c>
      <c r="U5" s="11">
        <f>Table15[[#This Row],[Yield (g/g)]]*(S5-T5)/100</f>
        <v>6.0000000000000001E-3</v>
      </c>
      <c r="V5" s="11">
        <f>Table15[[#This Row],[Yield (g/g)]]*(S5+T5)/100</f>
        <v>9.1999999999999998E-3</v>
      </c>
      <c r="W5" s="11">
        <f>Table15[[#This Row],[Total FAs (g/L)]]*((S5-T5)/100)*1000/(R5*Table15[[#This Row],[Biomass (g/L)]]*Table15[[#This Row],[Time (h)]])</f>
        <v>1.1251305955155509E-3</v>
      </c>
      <c r="X5" s="11">
        <f>X4</f>
        <v>242.44</v>
      </c>
      <c r="Y5" s="11">
        <v>12</v>
      </c>
      <c r="Z5" s="11">
        <v>3</v>
      </c>
      <c r="AA5" s="11">
        <f>Table15[[#This Row],[Yield (g/g)]]*(Y5-Z5)/100</f>
        <v>3.5999999999999999E-3</v>
      </c>
      <c r="AB5" s="11">
        <f>Table15[[#This Row],[Yield (g/g)]]*(Y5+Z5)/100</f>
        <v>6.0000000000000001E-3</v>
      </c>
      <c r="AC5" s="11">
        <f>Table15[[#This Row],[Total FAs (g/L)]]*((Y5-Z5)/100)*1000/(X5*Table15[[#This Row],[Biomass (g/L)]]*Table15[[#This Row],[Time (h)]])</f>
        <v>7.5321191079101601E-4</v>
      </c>
      <c r="AD5" s="11">
        <f>(1/Table15[[#This Row],[Time (h)]])</f>
        <v>1.3333333333333334E-2</v>
      </c>
      <c r="AE5" s="11">
        <v>60</v>
      </c>
      <c r="AF5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;EX_sucr_e:(-0.174787248262266,1000)</v>
      </c>
      <c r="AG5" s="11">
        <v>342.29647999999997</v>
      </c>
      <c r="AH5" s="20">
        <f>Table15[[#This Row],[Biomass - FAs (g/L)]]*Table15[[#This Row],[volume (L)]]*Table15[[#This Row],[Time (h)]]</f>
        <v>7020.0000000000009</v>
      </c>
      <c r="AI5" s="20">
        <v>60</v>
      </c>
    </row>
    <row r="6" spans="1:36">
      <c r="A6" s="12" t="s">
        <v>145</v>
      </c>
      <c r="AF6" s="12">
        <f>(1/K5)*I5*A5/(AH5*AG5/1000)</f>
        <v>0.17478724826226616</v>
      </c>
    </row>
    <row r="7" spans="1:36">
      <c r="A7" s="12" t="s">
        <v>146</v>
      </c>
      <c r="K7" s="12">
        <f>I5/400</f>
        <v>2.1000000000000001E-2</v>
      </c>
      <c r="AF7" s="33" t="s">
        <v>284</v>
      </c>
      <c r="AG7" s="33" t="s">
        <v>285</v>
      </c>
      <c r="AH7" s="33" t="s">
        <v>286</v>
      </c>
      <c r="AJ7" s="33" t="s">
        <v>287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285</v>
      </c>
      <c r="AG8" s="33" t="s">
        <v>286</v>
      </c>
      <c r="AI8" s="33" t="s">
        <v>170</v>
      </c>
      <c r="AJ8" s="33" t="s">
        <v>284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  <c r="AF9" s="12">
        <f>AF6/3</f>
        <v>5.8262416087422053E-2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  <c r="I22" s="43"/>
    </row>
    <row r="23" spans="1:27">
      <c r="D23" s="13"/>
      <c r="H23" s="12" t="s">
        <v>442</v>
      </c>
    </row>
    <row r="24" spans="1:27">
      <c r="G24" s="31" t="s">
        <v>280</v>
      </c>
      <c r="H24" s="30" t="s">
        <v>281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_xlfn.TEXTJOIN(";",TRUE,_xlfn.VSTACK(Table2[rxn],"BIOMASS")&amp;":("&amp;_xlfn.VSTACK(-Table2[flux (rounded up)],AD5)&amp;",1000)")</f>
        <v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439</v>
      </c>
      <c r="G26" s="19" t="s">
        <v>266</v>
      </c>
      <c r="L26" s="18" t="s">
        <v>198</v>
      </c>
      <c r="M26" s="18"/>
      <c r="N26" s="18"/>
      <c r="O26" s="4" t="s">
        <v>228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"EX_"&amp;Table2[[#This Row],[compound]]</f>
        <v>EX_sucr_e</v>
      </c>
      <c r="E27" s="12">
        <f>($A$5*Table2[[#This Row],[mass (g/L)]]/(Table2[[#This Row],[MW (g/mol)]]/1000))/$AH$5</f>
        <v>0.33292466830299139</v>
      </c>
      <c r="F27" s="12">
        <f>_xlfn.LET(_xlpm.dec,_xlfn.TEXTAFTER(Table2[[#This Row],[flux]],".",,,,0),_xlpm.rounded,ROUNDUP(Table2[[#This Row],[flux]],6),_xlpm.rounded)</f>
        <v>0.33292499999999997</v>
      </c>
      <c r="G27" s="43"/>
      <c r="H27" s="12" t="str" cm="1">
        <f t="array" ref="H27:H74">"v.up('"&amp;Table2[rxn]&amp;"_REV-SPONT')="&amp;Table2[flux]&amp;" * %nscale%;"</f>
        <v>v.up('EX_sucr_e_REV-SPONT')=0.332924668302991 * %nscale%;</v>
      </c>
      <c r="K27" s="27"/>
      <c r="L27" s="28" t="s">
        <v>199</v>
      </c>
      <c r="M27" s="28"/>
      <c r="N27"/>
      <c r="O27"/>
      <c r="P27"/>
      <c r="Q27"/>
      <c r="R27"/>
      <c r="S27"/>
      <c r="T27" t="s">
        <v>267</v>
      </c>
      <c r="U27" s="12">
        <v>9.6</v>
      </c>
      <c r="W27" s="43"/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"EX_"&amp;Table2[[#This Row],[compound]]</f>
        <v>EX_k_e</v>
      </c>
      <c r="E28" s="12">
        <f>($A$5*Table2[[#This Row],[mass (g/L)]]/(Table2[[#This Row],[MW (g/mol)]]/1000))/$AH$5</f>
        <v>5.465076836466385E-3</v>
      </c>
      <c r="F28" s="12">
        <f>_xlfn.LET(_xlpm.dec,_xlfn.TEXTAFTER(Table2[[#This Row],[flux]],".",,,,0),_xlpm.rounded,ROUNDUP(Table2[[#This Row],[flux]],6),_xlpm.rounded)</f>
        <v>5.4660000000000004E-3</v>
      </c>
      <c r="H28" s="12" t="str">
        <v>v.up('EX_k_e_REV-SPONT')=0.00546507683646639 * %nscale%;</v>
      </c>
      <c r="K28" s="27"/>
      <c r="L28" s="28" t="s">
        <v>200</v>
      </c>
      <c r="M28" s="28"/>
      <c r="N28" s="28" t="s">
        <v>201</v>
      </c>
      <c r="O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"EX_"&amp;Table2[[#This Row],[compound]]</f>
        <v>EX_nh4_e</v>
      </c>
      <c r="E29" s="12">
        <f>($A$5*Table2[[#This Row],[mass (g/L)]]/(Table2[[#This Row],[MW (g/mol)]]/1000))/$AH$5</f>
        <v>1.1054889103669589E-2</v>
      </c>
      <c r="F29" s="12">
        <f>_xlfn.LET(_xlpm.dec,_xlfn.TEXTAFTER(Table2[[#This Row],[flux]],".",,,,0),_xlpm.rounded,ROUNDUP(Table2[[#This Row],[flux]],6),_xlpm.rounded)</f>
        <v>1.1054999999999999E-2</v>
      </c>
      <c r="H29" s="12" t="str">
        <v>v.up('EX_nh4_e_REV-SPONT')=0.0110548891036696 * %nscale%;</v>
      </c>
      <c r="K29" s="27"/>
      <c r="L29" s="28" t="s">
        <v>203</v>
      </c>
      <c r="M29" s="28"/>
      <c r="N29" s="28" t="s">
        <v>204</v>
      </c>
      <c r="O29" s="28">
        <v>2.2200000000000002</v>
      </c>
      <c r="P29" s="29" t="s">
        <v>246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"EX_"&amp;Table2[[#This Row],[compound]]</f>
        <v>EX_ca2_e</v>
      </c>
      <c r="E30" s="12">
        <f>($A$5*Table2[[#This Row],[mass (g/L)]]/(Table2[[#This Row],[MW (g/mol)]]/1000))/$AH$5</f>
        <v>2.8433162165697095E-3</v>
      </c>
      <c r="F30" s="12">
        <f>_xlfn.LET(_xlpm.dec,_xlfn.TEXTAFTER(Table2[[#This Row],[flux]],".",,,,0),_xlpm.rounded,ROUNDUP(Table2[[#This Row],[flux]],6),_xlpm.rounded)</f>
        <v>2.8440000000000002E-3</v>
      </c>
      <c r="H30" s="12" t="str">
        <v>v.up('EX_ca2_e_REV-SPONT')=0.00284331621656971 * %nscale%;</v>
      </c>
      <c r="K30" s="27"/>
      <c r="L30" s="28" t="s">
        <v>206</v>
      </c>
      <c r="M30" s="28"/>
      <c r="N30" s="28" t="s">
        <v>204</v>
      </c>
      <c r="O30" s="28">
        <v>1.2</v>
      </c>
      <c r="P30" s="29" t="s">
        <v>245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"EX_"&amp;Table2[[#This Row],[compound]]</f>
        <v>EX_mg2_e</v>
      </c>
      <c r="E31" s="12">
        <f>($A$5*Table2[[#This Row],[mass (g/L)]]/(Table2[[#This Row],[MW (g/mol)]]/1000))/$AH$5</f>
        <v>4.688751860115776E-3</v>
      </c>
      <c r="F31" s="12">
        <f>_xlfn.LET(_xlpm.dec,_xlfn.TEXTAFTER(Table2[[#This Row],[flux]],".",,,,0),_xlpm.rounded,ROUNDUP(Table2[[#This Row],[flux]],6),_xlpm.rounded)</f>
        <v>4.6890000000000005E-3</v>
      </c>
      <c r="H31" s="12" t="str">
        <v>v.up('EX_mg2_e_REV-SPONT')=0.00468875186011578 * %nscale%;</v>
      </c>
      <c r="K31" s="27"/>
      <c r="L31" s="28" t="s">
        <v>208</v>
      </c>
      <c r="M31" s="28"/>
      <c r="N31" s="28" t="s">
        <v>209</v>
      </c>
      <c r="O31" s="28">
        <v>1.28</v>
      </c>
      <c r="P31" s="29" t="s">
        <v>244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"EX_"&amp;Table2[[#This Row],[compound]]</f>
        <v>EX_pi_e</v>
      </c>
      <c r="E32" s="12">
        <f>($A$5*Table2[[#This Row],[mass (g/L)]]/(Table2[[#This Row],[MW (g/mol)]]/1000))/$AH$5</f>
        <v>2.2498995869814327E-3</v>
      </c>
      <c r="F32" s="12">
        <f>_xlfn.LET(_xlpm.dec,_xlfn.TEXTAFTER(Table2[[#This Row],[flux]],".",,,,0),_xlpm.rounded,ROUNDUP(Table2[[#This Row],[flux]],6),_xlpm.rounded)</f>
        <v>2.2500000000000003E-3</v>
      </c>
      <c r="H32" s="12" t="str">
        <v>v.up('EX_pi_e_REV-SPONT')=0.00224989958698143 * %nscale%;</v>
      </c>
      <c r="K32" s="27"/>
      <c r="L32" s="28" t="s">
        <v>211</v>
      </c>
      <c r="M32" s="28"/>
      <c r="N32" s="28" t="s">
        <v>209</v>
      </c>
      <c r="O32" s="28">
        <v>5.41</v>
      </c>
      <c r="P32" s="29" t="s">
        <v>243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156</v>
      </c>
      <c r="B33" s="12">
        <v>0.7</v>
      </c>
      <c r="C33" s="12">
        <v>62.005000000000003</v>
      </c>
      <c r="D33" s="12" t="str">
        <f>"EX_"&amp;Table2[[#This Row],[compound]]</f>
        <v>EX_no3_e</v>
      </c>
      <c r="E33" s="12">
        <f>($A$5*Table2[[#This Row],[mass (g/L)]]/(Table2[[#This Row],[MW (g/mol)]]/1000))/$AH$5</f>
        <v>3.2163567362341644E-3</v>
      </c>
      <c r="F33" s="12">
        <f>_xlfn.LET(_xlpm.dec,_xlfn.TEXTAFTER(Table2[[#This Row],[flux]],".",,,,0),_xlpm.rounded,ROUNDUP(Table2[[#This Row],[flux]],6),_xlpm.rounded)</f>
        <v>3.2170000000000002E-3</v>
      </c>
      <c r="H33" s="12" t="str">
        <v>v.up('EX_no3_e_REV-SPONT')=0.00321635673623416 * %nscale%;</v>
      </c>
      <c r="K33" s="27"/>
      <c r="L33" s="28" t="s">
        <v>213</v>
      </c>
      <c r="M33" s="28"/>
      <c r="N33" s="28" t="s">
        <v>209</v>
      </c>
      <c r="O33" s="28">
        <v>2.0499999999999998</v>
      </c>
      <c r="P33" s="29" t="s">
        <v>242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160</v>
      </c>
      <c r="B34" s="12">
        <v>0.8</v>
      </c>
      <c r="C34" s="12">
        <v>35.450000000000003</v>
      </c>
      <c r="D34" s="12" t="str">
        <f>"EX_"&amp;Table2[[#This Row],[compound]]</f>
        <v>EX_cl_e</v>
      </c>
      <c r="E34" s="12">
        <f>($A$5*Table2[[#This Row],[mass (g/L)]]/(Table2[[#This Row],[MW (g/mol)]]/1000))/$AH$5</f>
        <v>6.4293435238428178E-3</v>
      </c>
      <c r="F34" s="12">
        <f>_xlfn.LET(_xlpm.dec,_xlfn.TEXTAFTER(Table2[[#This Row],[flux]],".",,,,0),_xlpm.rounded,ROUNDUP(Table2[[#This Row],[flux]],6),_xlpm.rounded)</f>
        <v>6.43E-3</v>
      </c>
      <c r="H34" s="12" t="str">
        <v>v.up('EX_cl_e_REV-SPONT')=0.00642934352384282 * %nscale%;</v>
      </c>
      <c r="K34" s="27"/>
      <c r="L34" s="28" t="s">
        <v>215</v>
      </c>
      <c r="M34" s="28"/>
      <c r="N34" s="28" t="s">
        <v>204</v>
      </c>
      <c r="O34" s="28">
        <v>0.62</v>
      </c>
      <c r="P34" s="29" t="s">
        <v>241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163</v>
      </c>
      <c r="B35" s="12">
        <v>0.4</v>
      </c>
      <c r="C35" s="12">
        <v>96.07</v>
      </c>
      <c r="D35" s="12" t="str">
        <f>"EX_"&amp;Table2[[#This Row],[compound]]</f>
        <v>EX_so4_e</v>
      </c>
      <c r="E35" s="12">
        <f>($A$5*Table2[[#This Row],[mass (g/L)]]/(Table2[[#This Row],[MW (g/mol)]]/1000))/$AH$5</f>
        <v>1.1862195686490472E-3</v>
      </c>
      <c r="F35" s="12">
        <f>_xlfn.LET(_xlpm.dec,_xlfn.TEXTAFTER(Table2[[#This Row],[flux]],".",,,,0),_xlpm.rounded,ROUNDUP(Table2[[#This Row],[flux]],6),_xlpm.rounded)</f>
        <v>1.1869999999999999E-3</v>
      </c>
      <c r="H35" s="12" t="str">
        <v>v.up('EX_so4_e_REV-SPONT')=0.00118621956864905 * %nscale%;</v>
      </c>
      <c r="K35" s="27"/>
      <c r="L35" s="28" t="s">
        <v>217</v>
      </c>
      <c r="M35" s="28"/>
      <c r="N35" s="28" t="s">
        <v>209</v>
      </c>
      <c r="O35" s="28">
        <v>1.1599999999999999</v>
      </c>
      <c r="P35" s="29" t="s">
        <v>240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175</v>
      </c>
      <c r="C36" s="12">
        <v>1.008</v>
      </c>
      <c r="D36" s="12" t="str">
        <f>"EX_"&amp;Table2[[#This Row],[compound]]</f>
        <v>EX_h_e</v>
      </c>
      <c r="E36" s="12">
        <v>1000</v>
      </c>
      <c r="F36" s="12">
        <f>_xlfn.LET(_xlpm.dec,_xlfn.TEXTAFTER(Table2[[#This Row],[flux]],".",,,,0),_xlpm.rounded,ROUNDUP(Table2[[#This Row],[flux]],6),_xlpm.rounded)</f>
        <v>1000</v>
      </c>
      <c r="H36" s="12" t="str">
        <v>v.up('EX_h_e_REV-SPONT')=1000 * %nscale%;</v>
      </c>
      <c r="K36" s="27"/>
      <c r="L36" s="28" t="s">
        <v>219</v>
      </c>
      <c r="M36" s="28"/>
      <c r="N36" s="28" t="s">
        <v>204</v>
      </c>
      <c r="O36" s="28">
        <v>1.51</v>
      </c>
      <c r="P36" s="29" t="s">
        <v>239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176</v>
      </c>
      <c r="D37" s="12" t="str">
        <f>"EX_"&amp;Table2[[#This Row],[compound]]</f>
        <v>EX_h2o_e</v>
      </c>
      <c r="E37" s="12">
        <v>1000</v>
      </c>
      <c r="F37" s="12">
        <f>_xlfn.LET(_xlpm.dec,_xlfn.TEXTAFTER(Table2[[#This Row],[flux]],".",,,,0),_xlpm.rounded,ROUNDUP(Table2[[#This Row],[flux]],6),_xlpm.rounded)</f>
        <v>1000</v>
      </c>
      <c r="H37" s="12" t="str">
        <v>v.up('EX_h2o_e_REV-SPONT')=1000 * %nscale%;</v>
      </c>
      <c r="K37" s="27"/>
      <c r="L37" s="28" t="s">
        <v>221</v>
      </c>
      <c r="M37" s="28"/>
      <c r="N37" s="28" t="s">
        <v>209</v>
      </c>
      <c r="O37" s="28">
        <v>0.17</v>
      </c>
      <c r="P37" s="29" t="s">
        <v>238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177</v>
      </c>
      <c r="D38" s="12" t="str">
        <f>"EX_"&amp;Table2[[#This Row],[compound]]</f>
        <v>EX_btn_c</v>
      </c>
      <c r="E38" s="12">
        <v>0.01</v>
      </c>
      <c r="F38" s="12">
        <f>_xlfn.LET(_xlpm.dec,_xlfn.TEXTAFTER(Table2[[#This Row],[flux]],".",,,,0),_xlpm.rounded,ROUNDUP(Table2[[#This Row],[flux]],6),_xlpm.rounded)</f>
        <v>0.01</v>
      </c>
      <c r="H38" s="12" t="str">
        <v>v.up('EX_btn_c_REV-SPONT')=0.01 * %nscale%;</v>
      </c>
      <c r="K38" s="27"/>
      <c r="L38" s="28" t="s">
        <v>222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178</v>
      </c>
      <c r="D39" s="12" t="str">
        <f>"EX_"&amp;Table2[[#This Row],[compound]]</f>
        <v>EX_o2_e</v>
      </c>
      <c r="E39" s="12">
        <v>1000</v>
      </c>
      <c r="F39" s="12">
        <f>_xlfn.LET(_xlpm.dec,_xlfn.TEXTAFTER(Table2[[#This Row],[flux]],".",,,,0),_xlpm.rounded,ROUNDUP(Table2[[#This Row],[flux]],6),_xlpm.rounded)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179</v>
      </c>
      <c r="D40" s="12" t="str">
        <f>"EX_"&amp;Table2[[#This Row],[compound]]</f>
        <v>EX_co2_e</v>
      </c>
      <c r="E40" s="12">
        <v>0</v>
      </c>
      <c r="F40" s="12">
        <f>_xlfn.LET(_xlpm.dec,_xlfn.TEXTAFTER(Table2[[#This Row],[flux]],".",,,,0),_xlpm.rounded,ROUNDUP(Table2[[#This Row],[flux]],6),_xlpm.rounded)</f>
        <v>0</v>
      </c>
      <c r="H40" s="12" t="str">
        <v>v.up('EX_co2_e_REV-SPONT')=0 * %nscale%;</v>
      </c>
      <c r="K40" s="27"/>
      <c r="L40" s="28" t="s">
        <v>223</v>
      </c>
      <c r="M40" s="28"/>
      <c r="N40" s="28" t="s">
        <v>224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181</v>
      </c>
      <c r="D41" s="12" t="str">
        <f>"EX_"&amp;Table2[[#This Row],[compound]]</f>
        <v>EX_thm_e</v>
      </c>
      <c r="E41" s="12">
        <v>1000</v>
      </c>
      <c r="F41" s="12">
        <f>_xlfn.LET(_xlpm.dec,_xlfn.TEXTAFTER(Table2[[#This Row],[flux]],".",,,,0),_xlpm.rounded,ROUNDUP(Table2[[#This Row],[flux]],6),_xlpm.rounded)</f>
        <v>1000</v>
      </c>
      <c r="G41" s="26" t="s">
        <v>197</v>
      </c>
      <c r="H41" s="12" t="str">
        <v>v.up('EX_thm_e_REV-SPONT')=1000 * %nscale%;</v>
      </c>
      <c r="K41" s="27"/>
      <c r="L41" s="28" t="s">
        <v>227</v>
      </c>
      <c r="M41" s="28"/>
      <c r="N41" s="28" t="s">
        <v>226</v>
      </c>
      <c r="O41" s="28">
        <v>226</v>
      </c>
      <c r="P41" s="29" t="s">
        <v>180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197</v>
      </c>
    </row>
    <row r="42" spans="1:23">
      <c r="A42" s="25" t="s">
        <v>182</v>
      </c>
      <c r="D42" s="12" t="str">
        <f>"EX_"&amp;Table2[[#This Row],[compound]]</f>
        <v>EX_ribflv_e</v>
      </c>
      <c r="E42" s="12">
        <v>1000</v>
      </c>
      <c r="F42" s="12">
        <f>_xlfn.LET(_xlpm.dec,_xlfn.TEXTAFTER(Table2[[#This Row],[flux]],".",,,,0),_xlpm.rounded,ROUNDUP(Table2[[#This Row],[flux]],6),_xlpm.rounded)</f>
        <v>1000</v>
      </c>
      <c r="G42" s="26" t="s">
        <v>197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197</v>
      </c>
    </row>
    <row r="43" spans="1:23">
      <c r="A43" s="32" t="s">
        <v>183</v>
      </c>
      <c r="D43" s="12" t="str">
        <f>"EX_"&amp;Table2[[#This Row],[compound]]</f>
        <v>EX_nac_e</v>
      </c>
      <c r="E43" s="12">
        <v>1000</v>
      </c>
      <c r="F43" s="12">
        <f>_xlfn.LET(_xlpm.dec,_xlfn.TEXTAFTER(Table2[[#This Row],[flux]],".",,,,0),_xlpm.rounded,ROUNDUP(Table2[[#This Row],[flux]],6),_xlpm.rounded)</f>
        <v>1000</v>
      </c>
      <c r="G43" s="26" t="s">
        <v>197</v>
      </c>
      <c r="H43" s="12" t="str">
        <v>v.up('EX_nac_e_REV-SPONT')=1000 * %nscale%;</v>
      </c>
      <c r="K43" s="27"/>
      <c r="L43" s="28" t="s">
        <v>225</v>
      </c>
      <c r="M43" s="28"/>
      <c r="N43" s="28" t="s">
        <v>226</v>
      </c>
      <c r="O43" s="28">
        <v>344</v>
      </c>
      <c r="P43" s="29" t="s">
        <v>237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197</v>
      </c>
    </row>
    <row r="44" spans="1:23">
      <c r="A44" s="25" t="s">
        <v>184</v>
      </c>
      <c r="D44" s="12" t="str">
        <f>"EX_"&amp;Table2[[#This Row],[compound]]</f>
        <v>EX_pydxn_e</v>
      </c>
      <c r="E44" s="12">
        <v>1000</v>
      </c>
      <c r="F44" s="12">
        <f>_xlfn.LET(_xlpm.dec,_xlfn.TEXTAFTER(Table2[[#This Row],[flux]],".",,,,0),_xlpm.rounded,ROUNDUP(Table2[[#This Row],[flux]],6),_xlpm.rounded)</f>
        <v>1000</v>
      </c>
      <c r="G44" s="26" t="s">
        <v>197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197</v>
      </c>
    </row>
    <row r="45" spans="1:23">
      <c r="A45" s="32" t="s">
        <v>185</v>
      </c>
      <c r="D45" s="12" t="str">
        <f>"EX_"&amp;Table2[[#This Row],[compound]]</f>
        <v>EX_fol_e</v>
      </c>
      <c r="E45" s="12">
        <v>1000</v>
      </c>
      <c r="F45" s="12">
        <f>_xlfn.LET(_xlpm.dec,_xlfn.TEXTAFTER(Table2[[#This Row],[flux]],".",,,,0),_xlpm.rounded,ROUNDUP(Table2[[#This Row],[flux]],6),_xlpm.rounded)</f>
        <v>1000</v>
      </c>
      <c r="G45" s="26" t="s">
        <v>197</v>
      </c>
      <c r="H45" s="12" t="str">
        <v>v.up('EX_fol_e_REV-SPONT')=1000 * %nscale%;</v>
      </c>
      <c r="K45" s="27"/>
      <c r="L45" s="28" t="s">
        <v>205</v>
      </c>
      <c r="M45" s="28"/>
      <c r="N45" s="28" t="s">
        <v>204</v>
      </c>
      <c r="O45" s="28">
        <v>3.84</v>
      </c>
      <c r="P45" s="29" t="s">
        <v>236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197</v>
      </c>
    </row>
    <row r="46" spans="1:23">
      <c r="A46" s="32" t="s">
        <v>186</v>
      </c>
      <c r="D46" s="12" t="str">
        <f>"EX_"&amp;Table2[[#This Row],[compound]]</f>
        <v>EX_pnto__R_e</v>
      </c>
      <c r="E46" s="12">
        <v>1000</v>
      </c>
      <c r="F46" s="12">
        <f>_xlfn.LET(_xlpm.dec,_xlfn.TEXTAFTER(Table2[[#This Row],[flux]],".",,,,0),_xlpm.rounded,ROUNDUP(Table2[[#This Row],[flux]],6),_xlpm.rounded)</f>
        <v>1000</v>
      </c>
      <c r="G46" s="26" t="s">
        <v>197</v>
      </c>
      <c r="H46" s="12" t="str">
        <v>v.up('EX_pnto__R_e_REV-SPONT')=1000 * %nscale%;</v>
      </c>
      <c r="K46" s="27"/>
      <c r="L46" s="28" t="s">
        <v>207</v>
      </c>
      <c r="M46" s="28"/>
      <c r="N46" s="28" t="s">
        <v>204</v>
      </c>
      <c r="O46" s="28">
        <v>1.98</v>
      </c>
      <c r="P46" s="29" t="s">
        <v>235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197</v>
      </c>
    </row>
    <row r="47" spans="1:23">
      <c r="A47" s="25" t="s">
        <v>187</v>
      </c>
      <c r="D47" s="12" t="str">
        <f>"EX_"&amp;Table2[[#This Row],[compound]]</f>
        <v>EX_4abz_e</v>
      </c>
      <c r="E47" s="12">
        <v>1000</v>
      </c>
      <c r="F47" s="12">
        <f>_xlfn.LET(_xlpm.dec,_xlfn.TEXTAFTER(Table2[[#This Row],[flux]],".",,,,0),_xlpm.rounded,ROUNDUP(Table2[[#This Row],[flux]],6),_xlpm.rounded)</f>
        <v>1000</v>
      </c>
      <c r="G47" s="26" t="s">
        <v>197</v>
      </c>
      <c r="H47" s="12" t="str">
        <v>v.up('EX_4abz_e_REV-SPONT')=1000 * %nscale%;</v>
      </c>
      <c r="K47" s="27"/>
      <c r="L47" s="28" t="s">
        <v>210</v>
      </c>
      <c r="M47" s="28"/>
      <c r="N47" s="28" t="s">
        <v>204</v>
      </c>
      <c r="O47" s="28">
        <v>0.72</v>
      </c>
      <c r="P47" s="29" t="s">
        <v>229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197</v>
      </c>
    </row>
    <row r="48" spans="1:23">
      <c r="A48" s="32" t="s">
        <v>189</v>
      </c>
      <c r="D48" s="12" t="str">
        <f>"EX_"&amp;Table2[[#This Row],[compound]]</f>
        <v>EX_cu2_e</v>
      </c>
      <c r="E48" s="12">
        <v>1000</v>
      </c>
      <c r="F48" s="12">
        <f>_xlfn.LET(_xlpm.dec,_xlfn.TEXTAFTER(Table2[[#This Row],[flux]],".",,,,0),_xlpm.rounded,ROUNDUP(Table2[[#This Row],[flux]],6),_xlpm.rounded)</f>
        <v>1000</v>
      </c>
      <c r="G48" s="26" t="s">
        <v>197</v>
      </c>
      <c r="H48" s="12" t="str">
        <v>v.up('EX_cu2_e_REV-SPONT')=1000 * %nscale%;</v>
      </c>
      <c r="K48" s="27"/>
      <c r="L48" s="28" t="s">
        <v>212</v>
      </c>
      <c r="M48" s="28"/>
      <c r="N48" s="28" t="s">
        <v>204</v>
      </c>
      <c r="O48" s="28">
        <v>1.21</v>
      </c>
      <c r="P48" s="29" t="s">
        <v>230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197</v>
      </c>
    </row>
    <row r="49" spans="1:23">
      <c r="A49" s="32" t="s">
        <v>190</v>
      </c>
      <c r="D49" s="12" t="str">
        <f>"EX_"&amp;Table2[[#This Row],[compound]]</f>
        <v>EX_fe2_e</v>
      </c>
      <c r="E49" s="12">
        <v>1000</v>
      </c>
      <c r="F49" s="12">
        <f>_xlfn.LET(_xlpm.dec,_xlfn.TEXTAFTER(Table2[[#This Row],[flux]],".",,,,0),_xlpm.rounded,ROUNDUP(Table2[[#This Row],[flux]],6),_xlpm.rounded)</f>
        <v>1000</v>
      </c>
      <c r="G49" s="26" t="s">
        <v>197</v>
      </c>
      <c r="H49" s="12" t="str">
        <v>v.up('EX_fe2_e_REV-SPONT')=1000 * %nscale%;</v>
      </c>
      <c r="K49" s="27"/>
      <c r="L49" s="28" t="s">
        <v>214</v>
      </c>
      <c r="M49" s="28"/>
      <c r="N49" s="28" t="s">
        <v>204</v>
      </c>
      <c r="O49" s="28">
        <v>3.4</v>
      </c>
      <c r="P49" s="29" t="s">
        <v>231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197</v>
      </c>
    </row>
    <row r="50" spans="1:23">
      <c r="A50" s="25" t="s">
        <v>191</v>
      </c>
      <c r="D50" s="12" t="str">
        <f>"EX_"&amp;Table2[[#This Row],[compound]]</f>
        <v>EX_fe3_e</v>
      </c>
      <c r="E50" s="12">
        <v>1000</v>
      </c>
      <c r="F50" s="12">
        <f>_xlfn.LET(_xlpm.dec,_xlfn.TEXTAFTER(Table2[[#This Row],[flux]],".",,,,0),_xlpm.rounded,ROUNDUP(Table2[[#This Row],[flux]],6),_xlpm.rounded)</f>
        <v>1000</v>
      </c>
      <c r="G50" s="26" t="s">
        <v>197</v>
      </c>
      <c r="H50" s="12" t="str">
        <v>v.up('EX_fe3_e_REV-SPONT')=1000 * %nscale%;</v>
      </c>
      <c r="K50" s="27"/>
      <c r="L50" s="28" t="s">
        <v>216</v>
      </c>
      <c r="M50" s="28"/>
      <c r="N50" s="28" t="s">
        <v>204</v>
      </c>
      <c r="O50" s="28">
        <v>1.38</v>
      </c>
      <c r="P50" s="29" t="s">
        <v>232</v>
      </c>
      <c r="Q50" s="12">
        <f t="shared" si="0"/>
        <v>0.13247999999999999</v>
      </c>
      <c r="W50" s="26" t="s">
        <v>197</v>
      </c>
    </row>
    <row r="51" spans="1:23">
      <c r="A51" s="25" t="s">
        <v>192</v>
      </c>
      <c r="D51" s="12" t="str">
        <f>"EX_"&amp;Table2[[#This Row],[compound]]</f>
        <v>EX_mn2_e</v>
      </c>
      <c r="E51" s="12">
        <v>1000</v>
      </c>
      <c r="F51" s="12">
        <f>_xlfn.LET(_xlpm.dec,_xlfn.TEXTAFTER(Table2[[#This Row],[flux]],".",,,,0),_xlpm.rounded,ROUNDUP(Table2[[#This Row],[flux]],6),_xlpm.rounded)</f>
        <v>1000</v>
      </c>
      <c r="G51" s="26" t="s">
        <v>197</v>
      </c>
      <c r="H51" s="12" t="str">
        <v>v.up('EX_mn2_e_REV-SPONT')=1000 * %nscale%;</v>
      </c>
      <c r="K51" s="27"/>
      <c r="L51" s="28" t="s">
        <v>218</v>
      </c>
      <c r="M51" s="28"/>
      <c r="N51" s="28" t="s">
        <v>204</v>
      </c>
      <c r="O51" s="28">
        <v>1.1599999999999999</v>
      </c>
      <c r="P51" s="29" t="s">
        <v>233</v>
      </c>
      <c r="Q51" s="12">
        <f t="shared" si="0"/>
        <v>0.11135999999999999</v>
      </c>
      <c r="W51" s="26" t="s">
        <v>197</v>
      </c>
    </row>
    <row r="52" spans="1:23">
      <c r="A52" s="25" t="s">
        <v>193</v>
      </c>
      <c r="D52" s="12" t="str">
        <f>"EX_"&amp;Table2[[#This Row],[compound]]</f>
        <v>EX_na1_e</v>
      </c>
      <c r="E52" s="12">
        <v>1000</v>
      </c>
      <c r="F52" s="12">
        <f>_xlfn.LET(_xlpm.dec,_xlfn.TEXTAFTER(Table2[[#This Row],[flux]],".",,,,0),_xlpm.rounded,ROUNDUP(Table2[[#This Row],[flux]],6),_xlpm.rounded)</f>
        <v>1000</v>
      </c>
      <c r="G52" s="26" t="s">
        <v>197</v>
      </c>
      <c r="H52" s="12" t="str">
        <v>v.up('EX_na1_e_REV-SPONT')=1000 * %nscale%;</v>
      </c>
      <c r="K52" s="27"/>
      <c r="L52" s="28" t="s">
        <v>220</v>
      </c>
      <c r="M52" s="28"/>
      <c r="N52" s="28" t="s">
        <v>204</v>
      </c>
      <c r="O52" s="28">
        <v>3.2</v>
      </c>
      <c r="P52" s="29" t="s">
        <v>234</v>
      </c>
      <c r="Q52" s="12">
        <f t="shared" si="0"/>
        <v>0.30719999999999997</v>
      </c>
      <c r="W52" s="26" t="s">
        <v>197</v>
      </c>
    </row>
    <row r="53" spans="1:23">
      <c r="A53" s="25" t="s">
        <v>194</v>
      </c>
      <c r="D53" s="12" t="str">
        <f>"EX_"&amp;Table2[[#This Row],[compound]]</f>
        <v>EX_ni2_e</v>
      </c>
      <c r="E53" s="12">
        <v>1000</v>
      </c>
      <c r="F53" s="12">
        <f>_xlfn.LET(_xlpm.dec,_xlfn.TEXTAFTER(Table2[[#This Row],[flux]],".",,,,0),_xlpm.rounded,ROUNDUP(Table2[[#This Row],[flux]],6),_xlpm.rounded)</f>
        <v>1000</v>
      </c>
      <c r="G53" s="26" t="s">
        <v>197</v>
      </c>
      <c r="H53" s="12" t="str">
        <v>v.up('EX_ni2_e_REV-SPONT')=1000 * %nscale%;</v>
      </c>
      <c r="K53" s="27"/>
      <c r="W53" s="26" t="s">
        <v>197</v>
      </c>
    </row>
    <row r="54" spans="1:23">
      <c r="A54" s="32" t="s">
        <v>195</v>
      </c>
      <c r="D54" s="12" t="str">
        <f>"EX_"&amp;Table2[[#This Row],[compound]]</f>
        <v>EX_zn2_e</v>
      </c>
      <c r="E54" s="12">
        <v>1000</v>
      </c>
      <c r="F54" s="12">
        <f>_xlfn.LET(_xlpm.dec,_xlfn.TEXTAFTER(Table2[[#This Row],[flux]],".",,,,0),_xlpm.rounded,ROUNDUP(Table2[[#This Row],[flux]],6),_xlpm.rounded)</f>
        <v>1000</v>
      </c>
      <c r="G54" s="26" t="s">
        <v>197</v>
      </c>
      <c r="H54" s="12" t="str">
        <v>v.up('EX_zn2_e_REV-SPONT')=1000 * %nscale%;</v>
      </c>
      <c r="K54" s="27"/>
      <c r="W54" s="26" t="s">
        <v>197</v>
      </c>
    </row>
    <row r="55" spans="1:23">
      <c r="A55" s="25" t="s">
        <v>196</v>
      </c>
      <c r="D55" s="12" t="str">
        <f>"EX_"&amp;Table2[[#This Row],[compound]]</f>
        <v>EX_cobalt2_e</v>
      </c>
      <c r="E55" s="12">
        <v>1000</v>
      </c>
      <c r="F55" s="12">
        <f>_xlfn.LET(_xlpm.dec,_xlfn.TEXTAFTER(Table2[[#This Row],[flux]],".",,,,0),_xlpm.rounded,ROUNDUP(Table2[[#This Row],[flux]],6),_xlpm.rounded)</f>
        <v>1000</v>
      </c>
      <c r="G55" s="26" t="s">
        <v>197</v>
      </c>
      <c r="H55" s="12" t="str">
        <v>v.up('EX_cobalt2_e_REV-SPONT')=1000 * %nscale%;</v>
      </c>
      <c r="W55" s="26" t="s">
        <v>197</v>
      </c>
    </row>
    <row r="56" spans="1:23">
      <c r="A56" s="25" t="s">
        <v>188</v>
      </c>
      <c r="D56" s="12" t="str">
        <f>"EX_"&amp;Table2[[#This Row],[compound]]</f>
        <v>EX_inost_e</v>
      </c>
      <c r="E56" s="12">
        <v>1000</v>
      </c>
      <c r="F56" s="12">
        <f>_xlfn.LET(_xlpm.dec,_xlfn.TEXTAFTER(Table2[[#This Row],[flux]],".",,,,0),_xlpm.rounded,ROUNDUP(Table2[[#This Row],[flux]],6),_xlpm.rounded)</f>
        <v>1000</v>
      </c>
      <c r="G56" s="26"/>
      <c r="H56" s="12" t="str">
        <v>v.up('EX_inost_e_REV-SPONT')=1000 * %nscale%;</v>
      </c>
      <c r="W56" s="26"/>
    </row>
    <row r="57" spans="1:23">
      <c r="A57" s="12" t="s">
        <v>247</v>
      </c>
      <c r="B57" s="12">
        <v>0.21312</v>
      </c>
      <c r="C57" s="12">
        <v>132.09474</v>
      </c>
      <c r="D57" s="12" t="str">
        <f>"EX_"&amp;Table2[[#This Row],[compound]]</f>
        <v>EX_asp__L_e</v>
      </c>
      <c r="E57" s="12">
        <f>($A$5*Table2[[#This Row],[mass (g/L)]]/(Table2[[#This Row],[MW (g/mol)]]/1000))/$AH$5</f>
        <v>4.5965455337546913E-4</v>
      </c>
      <c r="F57" s="12">
        <f>_xlfn.LET(_xlpm.dec,_xlfn.TEXTAFTER(Table2[[#This Row],[flux]],".",,,,0),_xlpm.rounded,ROUNDUP(Table2[[#This Row],[flux]],6),_xlpm.rounded)</f>
        <v>4.6000000000000001E-4</v>
      </c>
      <c r="G57" s="26" t="s">
        <v>265</v>
      </c>
      <c r="H57" s="12" t="str">
        <v>v.up('EX_asp__L_e_REV-SPONT')=0.000459654553375469 * %nscale%;</v>
      </c>
      <c r="W57" s="26" t="s">
        <v>265</v>
      </c>
    </row>
    <row r="58" spans="1:23">
      <c r="A58" s="12" t="s">
        <v>248</v>
      </c>
      <c r="B58" s="12">
        <v>0.1152</v>
      </c>
      <c r="C58" s="12">
        <v>119.11915999999999</v>
      </c>
      <c r="D58" s="12" t="str">
        <f>"EX_"&amp;Table2[[#This Row],[compound]]</f>
        <v>EX_thr__L_e</v>
      </c>
      <c r="E58" s="12">
        <f>($A$5*Table2[[#This Row],[mass (g/L)]]/(Table2[[#This Row],[MW (g/mol)]]/1000))/$AH$5</f>
        <v>2.755267315561394E-4</v>
      </c>
      <c r="F58" s="12">
        <f>_xlfn.LET(_xlpm.dec,_xlfn.TEXTAFTER(Table2[[#This Row],[flux]],".",,,,0),_xlpm.rounded,ROUNDUP(Table2[[#This Row],[flux]],6),_xlpm.rounded)</f>
        <v>2.7600000000000004E-4</v>
      </c>
      <c r="G58" s="26" t="s">
        <v>265</v>
      </c>
      <c r="H58" s="12" t="str">
        <v>v.up('EX_thr__L_e_REV-SPONT')=0.000275526731556139 * %nscale%;</v>
      </c>
      <c r="W58" s="26" t="s">
        <v>265</v>
      </c>
    </row>
    <row r="59" spans="1:23">
      <c r="A59" s="12" t="s">
        <v>249</v>
      </c>
      <c r="B59" s="12">
        <v>0.12288</v>
      </c>
      <c r="C59" s="12">
        <v>105.09258</v>
      </c>
      <c r="D59" s="12" t="str">
        <f>"EX_"&amp;Table2[[#This Row],[compound]]</f>
        <v>EX_ser__L_e</v>
      </c>
      <c r="E59" s="12">
        <f>($A$5*Table2[[#This Row],[mass (g/L)]]/(Table2[[#This Row],[MW (g/mol)]]/1000))/$AH$5</f>
        <v>3.331210158561813E-4</v>
      </c>
      <c r="F59" s="12">
        <f>_xlfn.LET(_xlpm.dec,_xlfn.TEXTAFTER(Table2[[#This Row],[flux]],".",,,,0),_xlpm.rounded,ROUNDUP(Table2[[#This Row],[flux]],6),_xlpm.rounded)</f>
        <v>3.3400000000000004E-4</v>
      </c>
      <c r="G59" s="26" t="s">
        <v>265</v>
      </c>
      <c r="H59" s="12" t="str">
        <v>v.up('EX_ser__L_e_REV-SPONT')=0.000333121015856181 * %nscale%;</v>
      </c>
      <c r="W59" s="26" t="s">
        <v>265</v>
      </c>
    </row>
    <row r="60" spans="1:23">
      <c r="A60" s="12" t="s">
        <v>250</v>
      </c>
      <c r="B60" s="12">
        <v>0.51936000000000004</v>
      </c>
      <c r="C60" s="12">
        <v>146.12132</v>
      </c>
      <c r="D60" s="12" t="str">
        <f>"EX_"&amp;Table2[[#This Row],[compound]]</f>
        <v>EX_glu__L_e</v>
      </c>
      <c r="E60" s="12">
        <f>($A$5*Table2[[#This Row],[mass (g/L)]]/(Table2[[#This Row],[MW (g/mol)]]/1000))/$AH$5</f>
        <v>1.0126230174064398E-3</v>
      </c>
      <c r="F60" s="12">
        <f>_xlfn.LET(_xlpm.dec,_xlfn.TEXTAFTER(Table2[[#This Row],[flux]],".",,,,0),_xlpm.rounded,ROUNDUP(Table2[[#This Row],[flux]],6),_xlpm.rounded)</f>
        <v>1.013E-3</v>
      </c>
      <c r="G60" s="26" t="s">
        <v>265</v>
      </c>
      <c r="H60" s="12" t="str">
        <v>v.up('EX_glu__L_e_REV-SPONT')=0.00101262301740644 * %nscale%;</v>
      </c>
      <c r="W60" s="26" t="s">
        <v>265</v>
      </c>
    </row>
    <row r="61" spans="1:23">
      <c r="A61" s="12" t="s">
        <v>251</v>
      </c>
      <c r="B61" s="12">
        <v>0.19679999999999997</v>
      </c>
      <c r="C61" s="12">
        <v>75.066599999999994</v>
      </c>
      <c r="D61" s="12" t="str">
        <f>"EX_"&amp;Table2[[#This Row],[compound]]</f>
        <v>EX_gly_e</v>
      </c>
      <c r="E61" s="12">
        <f>($A$5*Table2[[#This Row],[mass (g/L)]]/(Table2[[#This Row],[MW (g/mol)]]/1000))/$AH$5</f>
        <v>7.469150869811082E-4</v>
      </c>
      <c r="F61" s="12">
        <f>_xlfn.LET(_xlpm.dec,_xlfn.TEXTAFTER(Table2[[#This Row],[flux]],".",,,,0),_xlpm.rounded,ROUNDUP(Table2[[#This Row],[flux]],6),_xlpm.rounded)</f>
        <v>7.4700000000000005E-4</v>
      </c>
      <c r="G61" s="26" t="s">
        <v>265</v>
      </c>
      <c r="H61" s="12" t="str">
        <v>v.up('EX_gly_e_REV-SPONT')=0.000746915086981108 * %nscale%;</v>
      </c>
      <c r="W61" s="26" t="s">
        <v>265</v>
      </c>
    </row>
    <row r="62" spans="1:23">
      <c r="A62" s="12" t="s">
        <v>252</v>
      </c>
      <c r="B62" s="12">
        <v>5.9519999999999997E-2</v>
      </c>
      <c r="C62" s="12">
        <v>181.18853999999999</v>
      </c>
      <c r="D62" s="12" t="str">
        <f>"EX_"&amp;Table2[[#This Row],[compound]]</f>
        <v>EX_tyr__L_e</v>
      </c>
      <c r="E62" s="12">
        <f>($A$5*Table2[[#This Row],[mass (g/L)]]/(Table2[[#This Row],[MW (g/mol)]]/1000))/$AH$5</f>
        <v>9.3589058983890229E-5</v>
      </c>
      <c r="F62" s="12">
        <f>_xlfn.LET(_xlpm.dec,_xlfn.TEXTAFTER(Table2[[#This Row],[flux]],".",,,,0),_xlpm.rounded,ROUNDUP(Table2[[#This Row],[flux]],6),_xlpm.rounded)</f>
        <v>9.3999999999999994E-5</v>
      </c>
      <c r="G62" s="26" t="s">
        <v>265</v>
      </c>
      <c r="H62" s="12" t="str">
        <v>v.up('EX_tyr__L_e_REV-SPONT')=9.35890589838902E-05 * %nscale%;</v>
      </c>
      <c r="W62" s="26" t="s">
        <v>265</v>
      </c>
    </row>
    <row r="63" spans="1:23">
      <c r="A63" s="12" t="s">
        <v>253</v>
      </c>
      <c r="B63" s="12">
        <v>0.11135999999999999</v>
      </c>
      <c r="C63" s="12">
        <v>147.19550000000001</v>
      </c>
      <c r="D63" s="12" t="str">
        <f>"EX_"&amp;Table2[[#This Row],[compound]]</f>
        <v>EX_lys__L_e</v>
      </c>
      <c r="E63" s="12">
        <f>($A$5*Table2[[#This Row],[mass (g/L)]]/(Table2[[#This Row],[MW (g/mol)]]/1000))/$AH$5</f>
        <v>2.1553984820524893E-4</v>
      </c>
      <c r="F63" s="12">
        <f>_xlfn.LET(_xlpm.dec,_xlfn.TEXTAFTER(Table2[[#This Row],[flux]],".",,,,0),_xlpm.rounded,ROUNDUP(Table2[[#This Row],[flux]],6),_xlpm.rounded)</f>
        <v>2.1599999999999999E-4</v>
      </c>
      <c r="G63" s="26" t="s">
        <v>265</v>
      </c>
      <c r="H63" s="12" t="str">
        <v>v.up('EX_lys__L_e_REV-SPONT')=0.000215539848205249 * %nscale%;</v>
      </c>
      <c r="W63" s="26" t="s">
        <v>265</v>
      </c>
    </row>
    <row r="64" spans="1:23">
      <c r="A64" s="12" t="s">
        <v>254</v>
      </c>
      <c r="B64" s="12">
        <v>0.14495999999999998</v>
      </c>
      <c r="C64" s="12">
        <v>175.2089</v>
      </c>
      <c r="D64" s="12" t="str">
        <f>"EX_"&amp;Table2[[#This Row],[compound]]</f>
        <v>EX_arg__L_e</v>
      </c>
      <c r="E64" s="12">
        <f>($A$5*Table2[[#This Row],[mass (g/L)]]/(Table2[[#This Row],[MW (g/mol)]]/1000))/$AH$5</f>
        <v>2.3571374113498395E-4</v>
      </c>
      <c r="F64" s="12">
        <f>_xlfn.LET(_xlpm.dec,_xlfn.TEXTAFTER(Table2[[#This Row],[flux]],".",,,,0),_xlpm.rounded,ROUNDUP(Table2[[#This Row],[flux]],6),_xlpm.rounded)</f>
        <v>2.3599999999999999E-4</v>
      </c>
      <c r="G64" s="26" t="s">
        <v>265</v>
      </c>
      <c r="H64" s="12" t="str">
        <v>v.up('EX_arg__L_e_REV-SPONT')=0.000235713741134984 * %nscale%;</v>
      </c>
      <c r="W64" s="26" t="s">
        <v>265</v>
      </c>
    </row>
    <row r="65" spans="1:23">
      <c r="A65" s="28" t="s">
        <v>255</v>
      </c>
      <c r="B65" s="12">
        <v>1.6320000000000001E-2</v>
      </c>
      <c r="C65" s="12">
        <v>204.22517999999999</v>
      </c>
      <c r="D65" s="12" t="str">
        <f>"EX_"&amp;Table2[[#This Row],[compound]]</f>
        <v>EX_trp__L_e</v>
      </c>
      <c r="E65" s="12">
        <f>($A$5*Table2[[#This Row],[mass (g/L)]]/(Table2[[#This Row],[MW (g/mol)]]/1000))/$AH$5</f>
        <v>2.2766892160764158E-5</v>
      </c>
      <c r="F65" s="12">
        <f>_xlfn.LET(_xlpm.dec,_xlfn.TEXTAFTER(Table2[[#This Row],[flux]],".",,,,0),_xlpm.rounded,ROUNDUP(Table2[[#This Row],[flux]],6),_xlpm.rounded)</f>
        <v>2.3E-5</v>
      </c>
      <c r="G65" s="26" t="s">
        <v>265</v>
      </c>
      <c r="H65" s="12" t="str">
        <v>v.up('EX_trp__L_e_REV-SPONT')=2.27668921607642E-05 * %nscale%;</v>
      </c>
      <c r="W65" s="26" t="s">
        <v>265</v>
      </c>
    </row>
    <row r="66" spans="1:23">
      <c r="A66" s="12" t="s">
        <v>256</v>
      </c>
      <c r="B66" s="12">
        <v>33.024000000000001</v>
      </c>
      <c r="C66" s="12">
        <v>104.17075999999901</v>
      </c>
      <c r="D66" s="12" t="str">
        <f>"EX_"&amp;Table2[[#This Row],[compound]]</f>
        <v>EX_chol_e</v>
      </c>
      <c r="E66" s="12">
        <f>($A$5*Table2[[#This Row],[mass (g/L)]]/(Table2[[#This Row],[MW (g/mol)]]/1000))/$AH$5</f>
        <v>9.0318502126192593E-2</v>
      </c>
      <c r="F66" s="12">
        <f>_xlfn.LET(_xlpm.dec,_xlfn.TEXTAFTER(Table2[[#This Row],[flux]],".",,,,0),_xlpm.rounded,ROUNDUP(Table2[[#This Row],[flux]],6),_xlpm.rounded)</f>
        <v>9.0318999999999997E-2</v>
      </c>
      <c r="G66" s="26" t="s">
        <v>265</v>
      </c>
      <c r="H66" s="12" t="str">
        <v>v.up('EX_chol_e_REV-SPONT')=0.0903185021261926 * %nscale%;</v>
      </c>
      <c r="W66" s="26" t="s">
        <v>265</v>
      </c>
    </row>
    <row r="67" spans="1:23">
      <c r="A67" s="28" t="s">
        <v>257</v>
      </c>
      <c r="B67" s="12">
        <v>0.36863999999999997</v>
      </c>
      <c r="C67" s="12">
        <v>89.093180000000004</v>
      </c>
      <c r="D67" s="12" t="str">
        <f>"EX_"&amp;Table2[[#This Row],[compound]]</f>
        <v>EX_ala__L_e</v>
      </c>
      <c r="E67" s="12">
        <f>($A$5*Table2[[#This Row],[mass (g/L)]]/(Table2[[#This Row],[MW (g/mol)]]/1000))/$AH$5</f>
        <v>1.1788291878866708E-3</v>
      </c>
      <c r="F67" s="12">
        <f>_xlfn.LET(_xlpm.dec,_xlfn.TEXTAFTER(Table2[[#This Row],[flux]],".",,,,0),_xlpm.rounded,ROUNDUP(Table2[[#This Row],[flux]],6),_xlpm.rounded)</f>
        <v>1.1789999999999999E-3</v>
      </c>
      <c r="G67" s="26" t="s">
        <v>265</v>
      </c>
      <c r="H67" s="12" t="str">
        <v>v.up('EX_ala__L_e_REV-SPONT')=0.00117882918788667 * %nscale%;</v>
      </c>
      <c r="W67" s="26" t="s">
        <v>265</v>
      </c>
    </row>
    <row r="68" spans="1:23">
      <c r="A68" s="12" t="s">
        <v>258</v>
      </c>
      <c r="B68" s="12">
        <v>0.19008</v>
      </c>
      <c r="C68" s="12">
        <v>117.14634</v>
      </c>
      <c r="D68" s="12" t="str">
        <f>"EX_"&amp;Table2[[#This Row],[compound]]</f>
        <v>EX_val__L_e</v>
      </c>
      <c r="E68" s="12">
        <f>($A$5*Table2[[#This Row],[mass (g/L)]]/(Table2[[#This Row],[MW (g/mol)]]/1000))/$AH$5</f>
        <v>4.6227518635107292E-4</v>
      </c>
      <c r="F68" s="12">
        <f>_xlfn.LET(_xlpm.dec,_xlfn.TEXTAFTER(Table2[[#This Row],[flux]],".",,,,0),_xlpm.rounded,ROUNDUP(Table2[[#This Row],[flux]],6),_xlpm.rounded)</f>
        <v>4.6300000000000003E-4</v>
      </c>
      <c r="G68" s="26" t="s">
        <v>265</v>
      </c>
      <c r="H68" s="12" t="str">
        <v>v.up('EX_val__L_e_REV-SPONT')=0.000462275186351073 * %nscale%;</v>
      </c>
      <c r="W68" s="26" t="s">
        <v>265</v>
      </c>
    </row>
    <row r="69" spans="1:23">
      <c r="A69" s="12" t="s">
        <v>259</v>
      </c>
      <c r="B69" s="12">
        <v>6.9120000000000001E-2</v>
      </c>
      <c r="C69" s="12">
        <v>149.21134000000001</v>
      </c>
      <c r="D69" s="12" t="str">
        <f>"EX_"&amp;Table2[[#This Row],[compound]]</f>
        <v>EX_met__L_e</v>
      </c>
      <c r="E69" s="12">
        <f>($A$5*Table2[[#This Row],[mass (g/L)]]/(Table2[[#This Row],[MW (g/mol)]]/1000))/$AH$5</f>
        <v>1.3197594561048572E-4</v>
      </c>
      <c r="F69" s="12">
        <f>_xlfn.LET(_xlpm.dec,_xlfn.TEXTAFTER(Table2[[#This Row],[flux]],".",,,,0),_xlpm.rounded,ROUNDUP(Table2[[#This Row],[flux]],6),_xlpm.rounded)</f>
        <v>1.3200000000000001E-4</v>
      </c>
      <c r="G69" s="26" t="s">
        <v>265</v>
      </c>
      <c r="H69" s="12" t="str">
        <v>v.up('EX_met__L_e_REV-SPONT')=0.000131975945610486 * %nscale%;</v>
      </c>
      <c r="W69" s="26" t="s">
        <v>265</v>
      </c>
    </row>
    <row r="70" spans="1:23">
      <c r="A70" s="12" t="s">
        <v>260</v>
      </c>
      <c r="B70" s="12">
        <v>0.11616</v>
      </c>
      <c r="C70" s="12">
        <v>131.17291999999901</v>
      </c>
      <c r="D70" s="12" t="str">
        <f>"EX_"&amp;Table2[[#This Row],[compound]]</f>
        <v>EX_ile__L_e</v>
      </c>
      <c r="E70" s="12">
        <f>($A$5*Table2[[#This Row],[mass (g/L)]]/(Table2[[#This Row],[MW (g/mol)]]/1000))/$AH$5</f>
        <v>2.5229305785079225E-4</v>
      </c>
      <c r="F70" s="12">
        <f>_xlfn.LET(_xlpm.dec,_xlfn.TEXTAFTER(Table2[[#This Row],[flux]],".",,,,0),_xlpm.rounded,ROUNDUP(Table2[[#This Row],[flux]],6),_xlpm.rounded)</f>
        <v>2.5300000000000002E-4</v>
      </c>
      <c r="G70" s="26" t="s">
        <v>265</v>
      </c>
      <c r="H70" s="12" t="str">
        <v>v.up('EX_ile__L_e_REV-SPONT')=0.000252293057850792 * %nscale%;</v>
      </c>
      <c r="W70" s="26" t="s">
        <v>265</v>
      </c>
    </row>
    <row r="71" spans="1:23">
      <c r="A71" s="12" t="s">
        <v>261</v>
      </c>
      <c r="B71" s="12">
        <v>0.32640000000000002</v>
      </c>
      <c r="C71" s="12">
        <v>131.17291999999901</v>
      </c>
      <c r="D71" s="12" t="str">
        <f>"EX_"&amp;Table2[[#This Row],[compound]]</f>
        <v>EX_leu__L_e</v>
      </c>
      <c r="E71" s="12">
        <f>($A$5*Table2[[#This Row],[mass (g/L)]]/(Table2[[#This Row],[MW (g/mol)]]/1000))/$AH$5</f>
        <v>7.0892264189478815E-4</v>
      </c>
      <c r="F71" s="12">
        <f>_xlfn.LET(_xlpm.dec,_xlfn.TEXTAFTER(Table2[[#This Row],[flux]],".",,,,0),_xlpm.rounded,ROUNDUP(Table2[[#This Row],[flux]],6),_xlpm.rounded)</f>
        <v>7.0899999999999999E-4</v>
      </c>
      <c r="G71" s="26" t="s">
        <v>265</v>
      </c>
      <c r="H71" s="12" t="str">
        <v>v.up('EX_leu__L_e_REV-SPONT')=0.000708922641894788 * %nscale%;</v>
      </c>
      <c r="W71" s="26" t="s">
        <v>265</v>
      </c>
    </row>
    <row r="72" spans="1:23">
      <c r="A72" s="12" t="s">
        <v>262</v>
      </c>
      <c r="B72" s="12">
        <v>0.13247999999999999</v>
      </c>
      <c r="C72" s="12">
        <v>165.18913999999899</v>
      </c>
      <c r="D72" s="12" t="str">
        <f>"EX_"&amp;Table2[[#This Row],[compound]]</f>
        <v>EX_phe__L_e</v>
      </c>
      <c r="E72" s="12">
        <f>($A$5*Table2[[#This Row],[mass (g/L)]]/(Table2[[#This Row],[MW (g/mol)]]/1000))/$AH$5</f>
        <v>2.2848711327869354E-4</v>
      </c>
      <c r="F72" s="12">
        <f>_xlfn.LET(_xlpm.dec,_xlfn.TEXTAFTER(Table2[[#This Row],[flux]],".",,,,0),_xlpm.rounded,ROUNDUP(Table2[[#This Row],[flux]],6),_xlpm.rounded)</f>
        <v>2.2900000000000001E-4</v>
      </c>
      <c r="G72" s="26" t="s">
        <v>265</v>
      </c>
      <c r="H72" s="12" t="str">
        <v>v.up('EX_phe__L_e_REV-SPONT')=0.000228487113278694 * %nscale%;</v>
      </c>
      <c r="W72" s="26" t="s">
        <v>265</v>
      </c>
    </row>
    <row r="73" spans="1:23">
      <c r="A73" s="12" t="s">
        <v>263</v>
      </c>
      <c r="B73" s="12">
        <v>0.11135999999999999</v>
      </c>
      <c r="C73" s="12">
        <v>155.15456</v>
      </c>
      <c r="D73" s="12" t="str">
        <f>"EX_"&amp;Table2[[#This Row],[compound]]</f>
        <v>EX_his__L_e</v>
      </c>
      <c r="E73" s="12">
        <f>($A$5*Table2[[#This Row],[mass (g/L)]]/(Table2[[#This Row],[MW (g/mol)]]/1000))/$AH$5</f>
        <v>2.0448316650503677E-4</v>
      </c>
      <c r="F73" s="12">
        <f>_xlfn.LET(_xlpm.dec,_xlfn.TEXTAFTER(Table2[[#This Row],[flux]],".",,,,0),_xlpm.rounded,ROUNDUP(Table2[[#This Row],[flux]],6),_xlpm.rounded)</f>
        <v>2.05E-4</v>
      </c>
      <c r="G73" s="26" t="s">
        <v>265</v>
      </c>
      <c r="H73" s="12" t="str">
        <v>v.up('EX_his__L_e_REV-SPONT')=0.000204483166505037 * %nscale%;</v>
      </c>
      <c r="W73" s="26" t="s">
        <v>265</v>
      </c>
    </row>
    <row r="74" spans="1:23">
      <c r="A74" s="12" t="s">
        <v>264</v>
      </c>
      <c r="B74" s="12">
        <v>0.30719999999999997</v>
      </c>
      <c r="C74" s="12">
        <v>115.13046</v>
      </c>
      <c r="D74" s="12" t="str">
        <f>"EX_"&amp;Table2[[#This Row],[compound]]</f>
        <v>EX_pro__L_e</v>
      </c>
      <c r="E74" s="12">
        <f>($A$5*Table2[[#This Row],[mass (g/L)]]/(Table2[[#This Row],[MW (g/mol)]]/1000))/$AH$5</f>
        <v>7.6019298039256935E-4</v>
      </c>
      <c r="F74" s="12">
        <f>_xlfn.LET(_xlpm.dec,_xlfn.TEXTAFTER(Table2[[#This Row],[flux]],".",,,,0),_xlpm.rounded,ROUNDUP(Table2[[#This Row],[flux]],6),_xlpm.rounded)</f>
        <v>7.6100000000000007E-4</v>
      </c>
      <c r="G74" s="26" t="s">
        <v>265</v>
      </c>
      <c r="H74" s="12" t="str">
        <v>v.up('EX_pro__L_e_REV-SPONT')=0.000760192980392569 * %nscale%;</v>
      </c>
      <c r="W74" s="26" t="s">
        <v>265</v>
      </c>
    </row>
  </sheetData>
  <mergeCells count="3">
    <mergeCell ref="L2:Q2"/>
    <mergeCell ref="R2:W2"/>
    <mergeCell ref="X2:AC2"/>
  </mergeCells>
  <phoneticPr fontId="23" type="noConversion"/>
  <hyperlinks>
    <hyperlink ref="D22" r:id="rId1" location="overview" display="https://www.dow.com/en-us/pdp.tergitol-l-81-surfactant.77582z.html - overview" xr:uid="{E8219058-2415-3F41-A762-01E716647A54}"/>
    <hyperlink ref="B1" r:id="rId2" display="https://academic.oup.com/jimb/article/42/11/1463/5995377" xr:uid="{36AA8AAE-B110-5E4A-86BE-0AE879CF03B5}"/>
    <hyperlink ref="O26" r:id="rId3" display="https://www.researchgate.net/figure/Nutritional-substances-contained-in-the-corn-steep-liquor_tbl1_342937941" xr:uid="{9CADB7E8-14B6-3A4D-82F3-F4D3A882BC70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6F3-917F-804D-956E-08CAC7DE70CE}">
  <dimension ref="A1:AJ74"/>
  <sheetViews>
    <sheetView topLeftCell="C1" workbookViewId="0">
      <selection activeCell="AF5" sqref="AF5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45" t="s">
        <v>132</v>
      </c>
      <c r="M2" s="46"/>
      <c r="N2" s="46"/>
      <c r="O2" s="46"/>
      <c r="P2" s="46"/>
      <c r="Q2" s="47"/>
      <c r="R2" s="45" t="s">
        <v>85</v>
      </c>
      <c r="S2" s="46"/>
      <c r="T2" s="46"/>
      <c r="U2" s="46"/>
      <c r="V2" s="46"/>
      <c r="W2" s="47"/>
      <c r="X2" s="45" t="s">
        <v>86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8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  <c r="AI3" s="44" t="s">
        <v>441</v>
      </c>
    </row>
    <row r="4" spans="1:36">
      <c r="A4" s="11">
        <v>2</v>
      </c>
      <c r="B4" s="11">
        <f>Table153[[#This Row],[Biomass (g/L)]]-Table153[[#This Row],[Total FAs (g/L)]]</f>
        <v>61.870000000000005</v>
      </c>
      <c r="C4" s="10">
        <v>20</v>
      </c>
      <c r="D4" s="10">
        <f>75-24</f>
        <v>51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Table153[[#This Row],[Yield (g/g)]]*(M4-N4)/100</f>
        <v>0</v>
      </c>
      <c r="P4" s="11">
        <f>Table153[[#This Row],[Yield (g/g)]]*(M4+N4)/100</f>
        <v>0</v>
      </c>
      <c r="Q4" s="11">
        <f>Table153[[#This Row],[Total FAs (g/L)]]*((M4-N4)/100)*1000/(L4*Table153[[#This Row],[Biomass (g/L)]]*Table153[[#This Row],[Time (h)]])</f>
        <v>0</v>
      </c>
      <c r="R4" s="11">
        <v>270.5</v>
      </c>
      <c r="S4" s="11"/>
      <c r="T4" s="11"/>
      <c r="U4" s="11">
        <f>Table153[[#This Row],[Yield (g/g)]]*(S4-T4)/100</f>
        <v>0</v>
      </c>
      <c r="V4" s="11">
        <f>Table153[[#This Row],[Yield (g/g)]]*(S4+T4)/100</f>
        <v>0</v>
      </c>
      <c r="W4" s="11">
        <f>Table153[[#This Row],[Total FAs (g/L)]]*((S4-T4)/100)*1000/(R4*Table153[[#This Row],[Biomass (g/L)]]*Table153[[#This Row],[Time (h)]])</f>
        <v>0</v>
      </c>
      <c r="X4" s="11">
        <v>242.44</v>
      </c>
      <c r="Y4" s="11"/>
      <c r="Z4" s="11"/>
      <c r="AA4" s="11">
        <f>Table153[[#This Row],[Yield (g/g)]]*(Y4-Z4)/100</f>
        <v>0</v>
      </c>
      <c r="AB4" s="11">
        <f>Table153[[#This Row],[Yield (g/g)]]*(Y4+Z4)/100</f>
        <v>0</v>
      </c>
      <c r="AC4" s="11">
        <f>Table153[[#This Row],[Total FAs (g/L)]]*((Y4-Z4)/100)*1000/(X4*Table153[[#This Row],[Biomass (g/L)]]*Table153[[#This Row],[Time (h)]])</f>
        <v>0</v>
      </c>
      <c r="AD4" s="11">
        <f>(1/Table153[[#This Row],[Time (h)]])</f>
        <v>1.9607843137254902E-2</v>
      </c>
      <c r="AE4" s="11">
        <v>60</v>
      </c>
      <c r="AF4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;EX_sucr_e:(-0.113881292152846,1000)</v>
      </c>
      <c r="AG4" s="11">
        <v>342.29647999999997</v>
      </c>
      <c r="AH4" s="20">
        <f>Table153[[#This Row],[Biomass - FAs (g/L)]]*Table153[[#This Row],[volume (L)]]*Table153[[#This Row],[Time (h)]]</f>
        <v>6310.7400000000007</v>
      </c>
      <c r="AI4" s="20">
        <v>60</v>
      </c>
    </row>
    <row r="5" spans="1:36">
      <c r="A5" s="11">
        <v>2</v>
      </c>
      <c r="B5" s="11">
        <f>Table153[[#This Row],[Biomass (g/L)]]-Table153[[#This Row],[Total FAs (g/L)]]</f>
        <v>6.8000000000000025</v>
      </c>
      <c r="C5" s="10">
        <v>3</v>
      </c>
      <c r="D5" s="10">
        <f>75-24</f>
        <v>51</v>
      </c>
      <c r="E5" s="10">
        <f>55.2-40</f>
        <v>15.200000000000003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Table153[[#This Row],[Yield (g/g)]]*(M5-N5)/100</f>
        <v>2.7200000000000002E-2</v>
      </c>
      <c r="P5" s="11">
        <f>Table153[[#This Row],[Yield (g/g)]]*(M5+N5)/100</f>
        <v>2.8000000000000004E-2</v>
      </c>
      <c r="Q5" s="11">
        <f>Table153[[#This Row],[Total FAs (g/L)]]*((M5-N5)/100)*1000/(L5*Table153[[#This Row],[Biomass (g/L)]]*Table153[[#This Row],[Time (h)]])</f>
        <v>2.7442908948348523E-2</v>
      </c>
      <c r="R5" s="11">
        <f>R4</f>
        <v>270.5</v>
      </c>
      <c r="S5" s="11">
        <v>19</v>
      </c>
      <c r="T5" s="11">
        <v>4</v>
      </c>
      <c r="U5" s="11">
        <f>Table153[[#This Row],[Yield (g/g)]]*(S5-T5)/100</f>
        <v>6.0000000000000001E-3</v>
      </c>
      <c r="V5" s="11">
        <f>Table153[[#This Row],[Yield (g/g)]]*(S5+T5)/100</f>
        <v>9.1999999999999998E-3</v>
      </c>
      <c r="W5" s="11">
        <f>Table153[[#This Row],[Total FAs (g/L)]]*((S5-T5)/100)*1000/(R5*Table153[[#This Row],[Biomass (g/L)]]*Table153[[#This Row],[Time (h)]])</f>
        <v>6.0088243878152481E-3</v>
      </c>
      <c r="X5" s="11">
        <f>X4</f>
        <v>242.44</v>
      </c>
      <c r="Y5" s="11">
        <v>12</v>
      </c>
      <c r="Z5" s="11">
        <v>3</v>
      </c>
      <c r="AA5" s="11">
        <f>Table153[[#This Row],[Yield (g/g)]]*(Y5-Z5)/100</f>
        <v>3.5999999999999999E-3</v>
      </c>
      <c r="AB5" s="11">
        <f>Table153[[#This Row],[Yield (g/g)]]*(Y5+Z5)/100</f>
        <v>6.0000000000000001E-3</v>
      </c>
      <c r="AC5" s="11">
        <f>Table153[[#This Row],[Total FAs (g/L)]]*((Y5-Z5)/100)*1000/(X5*Table153[[#This Row],[Biomass (g/L)]]*Table153[[#This Row],[Time (h)]])</f>
        <v>4.0225713501996973E-3</v>
      </c>
      <c r="AD5" s="11">
        <f>(1/Table153[[#This Row],[Time (h)]])</f>
        <v>1.9607843137254902E-2</v>
      </c>
      <c r="AE5" s="11">
        <v>60</v>
      </c>
      <c r="AF5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;EX_sucr_e:(-1.76904048846757,1000)</v>
      </c>
      <c r="AG5" s="11">
        <v>342.29647999999997</v>
      </c>
      <c r="AH5" s="20">
        <f>Table153[[#This Row],[Biomass - FAs (g/L)]]*Table153[[#This Row],[volume (L)]]*Table153[[#This Row],[Time (h)]]</f>
        <v>693.60000000000025</v>
      </c>
      <c r="AI5" s="20">
        <v>60</v>
      </c>
    </row>
    <row r="6" spans="1:36">
      <c r="A6" s="12" t="s">
        <v>145</v>
      </c>
      <c r="AF6" s="12">
        <f>(1/K5)*I5*A5/(AH5*AG5/1000)</f>
        <v>1.7690404884675723</v>
      </c>
    </row>
    <row r="7" spans="1:36">
      <c r="A7" s="12" t="s">
        <v>146</v>
      </c>
      <c r="AF7" s="33" t="s">
        <v>284</v>
      </c>
      <c r="AG7" s="33" t="s">
        <v>285</v>
      </c>
      <c r="AH7" s="33" t="s">
        <v>286</v>
      </c>
      <c r="AJ7" s="33" t="s">
        <v>287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285</v>
      </c>
      <c r="AG8" s="33" t="s">
        <v>286</v>
      </c>
      <c r="AI8" s="33" t="s">
        <v>170</v>
      </c>
      <c r="AJ8" s="33" t="s">
        <v>284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  <c r="I22" s="43"/>
    </row>
    <row r="23" spans="1:27">
      <c r="D23" s="13"/>
    </row>
    <row r="24" spans="1:27">
      <c r="G24" s="31" t="s">
        <v>280</v>
      </c>
      <c r="H24" s="30" t="s">
        <v>281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_xlfn.TEXTJOIN(";",TRUE,_xlfn.VSTACK(Table22[rxn],"BIOMASS")&amp;":("&amp;_xlfn.VSTACK(-Table22[flux],AD5)&amp;",1000)")</f>
        <v>EX_sucr_e:(-3.3695662795372,1000);EX_k_e:(-0.0553126288811909,1000);EX_nh4_e:(-0.111887718436794,1000);EX_ca2_e:(-0.028777508420299,1000);EX_mg2_e:(-0.047455360521933,1000);EX_pi_e:(-0.0227714750585491,1000);EX_no3_e:(-0.0325530915345499,1000);EX_cl_e:(-0.0650720754575787,1000);EX_so4_e:(-0.0120058554958424,1000)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-0.00465221304021885,1000);EX_thr__L_e:(-0.0027886356048502,1000);EX_ser__L_e:(-0.00337155353418453,1000);EX_glu__L_e:(-0.0102488661796326,1000);EX_gly_e:(-0.00755960771425516,1000);EX_tyr__L_e:(-0.000947224904940757,1000);EX_lys__L_e:(-0.00218150192387665,1000);EX_arg__L_e:(-0.0023856840582001,1000);EX_trp__L_e:(-0.000230426157682475,1000);EX_chol_e:(-0.914123248163022,1000);EX_ala__L_e:(-0.0119310566594066,1000);EX_val__L_e:(-0.00467873674767089,1000);EX_met__L_e:(-0.00133574270211305,1000);EX_ile__L_e:(-0.00255348510108501,1000);EX_leu__L_e:(-0.00717508210222233,1000);EX_phe__L_e:(-0.00231254258249197,1000);EX_his__L_e:(-0.00206959606237797,1000);EX_pro__L_e:(-0.00769399469774486,1000);BIOMASS:(0.0196078431372549,1000)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439</v>
      </c>
      <c r="G26" s="19" t="s">
        <v>266</v>
      </c>
      <c r="L26" s="18" t="s">
        <v>198</v>
      </c>
      <c r="M26" s="18"/>
      <c r="N26" s="18"/>
      <c r="O26" s="4" t="s">
        <v>228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"EX_"&amp;Table22[[#This Row],[compound]]</f>
        <v>EX_sucr_e</v>
      </c>
      <c r="E27" s="12">
        <f>($A$5*Table22[[#This Row],[mass (g/L)]]/(Table22[[#This Row],[MW (g/mol)]]/1000))/$AH$5</f>
        <v>3.3695662795371959</v>
      </c>
      <c r="F27" s="12">
        <f>_xlfn.LET(_xlpm.dec,_xlfn.TEXTAFTER(Table22[[#This Row],[flux]],".",,,,0),_xlpm.rounded,ROUNDUP(Table22[[#This Row],[flux]],6),Table22[[#This Row],[flux]])</f>
        <v>3.3695662795371959</v>
      </c>
      <c r="G27" s="43"/>
      <c r="H27" s="12" t="str" cm="1">
        <f t="array" ref="H27:H74">"v.up('"&amp;Table22[rxn]&amp;"_REV-SPONT')="&amp;Table22[flux]&amp;" * %nscale%;"</f>
        <v>v.up('EX_sucr_e_REV-SPONT')=3.3695662795372 * %nscale%;</v>
      </c>
      <c r="K27" s="27"/>
      <c r="L27" s="28" t="s">
        <v>199</v>
      </c>
      <c r="M27" s="28"/>
      <c r="N27"/>
      <c r="O27"/>
      <c r="P27"/>
      <c r="Q27"/>
      <c r="R27"/>
      <c r="S27"/>
      <c r="T27" t="s">
        <v>267</v>
      </c>
      <c r="U27" s="12">
        <v>9.6</v>
      </c>
      <c r="W27" s="43"/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"EX_"&amp;Table22[[#This Row],[compound]]</f>
        <v>EX_k_e</v>
      </c>
      <c r="E28" s="12">
        <f>($A$5*Table22[[#This Row],[mass (g/L)]]/(Table22[[#This Row],[MW (g/mol)]]/1000))/$AH$5</f>
        <v>5.5312628881190901E-2</v>
      </c>
      <c r="F28" s="12">
        <f>_xlfn.LET(_xlpm.dec,_xlfn.TEXTAFTER(Table22[[#This Row],[flux]],".",,,,0),_xlpm.rounded,ROUNDUP(Table22[[#This Row],[flux]],6),Table22[[#This Row],[flux]])</f>
        <v>5.5312628881190901E-2</v>
      </c>
      <c r="H28" s="12" t="str">
        <v>v.up('EX_k_e_REV-SPONT')=0.0553126288811909 * %nscale%;</v>
      </c>
      <c r="K28" s="27"/>
      <c r="L28" s="28" t="s">
        <v>200</v>
      </c>
      <c r="M28" s="28"/>
      <c r="N28" s="28" t="s">
        <v>201</v>
      </c>
      <c r="O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"EX_"&amp;Table22[[#This Row],[compound]]</f>
        <v>EX_nh4_e</v>
      </c>
      <c r="E29" s="12">
        <f>($A$5*Table22[[#This Row],[mass (g/L)]]/(Table22[[#This Row],[MW (g/mol)]]/1000))/$AH$5</f>
        <v>0.11188771843679425</v>
      </c>
      <c r="F29" s="12">
        <f>_xlfn.LET(_xlpm.dec,_xlfn.TEXTAFTER(Table22[[#This Row],[flux]],".",,,,0),_xlpm.rounded,ROUNDUP(Table22[[#This Row],[flux]],6),Table22[[#This Row],[flux]])</f>
        <v>0.11188771843679425</v>
      </c>
      <c r="H29" s="12" t="str">
        <v>v.up('EX_nh4_e_REV-SPONT')=0.111887718436794 * %nscale%;</v>
      </c>
      <c r="K29" s="27"/>
      <c r="L29" s="28" t="s">
        <v>203</v>
      </c>
      <c r="M29" s="28"/>
      <c r="N29" s="28" t="s">
        <v>204</v>
      </c>
      <c r="O29" s="28">
        <v>2.2200000000000002</v>
      </c>
      <c r="P29" s="29" t="s">
        <v>246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"EX_"&amp;Table22[[#This Row],[compound]]</f>
        <v>EX_ca2_e</v>
      </c>
      <c r="E30" s="12">
        <f>($A$5*Table22[[#This Row],[mass (g/L)]]/(Table22[[#This Row],[MW (g/mol)]]/1000))/$AH$5</f>
        <v>2.8777508420298956E-2</v>
      </c>
      <c r="F30" s="12">
        <f>_xlfn.LET(_xlpm.dec,_xlfn.TEXTAFTER(Table22[[#This Row],[flux]],".",,,,0),_xlpm.rounded,ROUNDUP(Table22[[#This Row],[flux]],6),Table22[[#This Row],[flux]])</f>
        <v>2.8777508420298956E-2</v>
      </c>
      <c r="H30" s="12" t="str">
        <v>v.up('EX_ca2_e_REV-SPONT')=0.028777508420299 * %nscale%;</v>
      </c>
      <c r="K30" s="27"/>
      <c r="L30" s="28" t="s">
        <v>206</v>
      </c>
      <c r="M30" s="28"/>
      <c r="N30" s="28" t="s">
        <v>204</v>
      </c>
      <c r="O30" s="28">
        <v>1.2</v>
      </c>
      <c r="P30" s="29" t="s">
        <v>245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"EX_"&amp;Table22[[#This Row],[compound]]</f>
        <v>EX_mg2_e</v>
      </c>
      <c r="E31" s="12">
        <f>($A$5*Table22[[#This Row],[mass (g/L)]]/(Table22[[#This Row],[MW (g/mol)]]/1000))/$AH$5</f>
        <v>4.745536052193302E-2</v>
      </c>
      <c r="F31" s="12">
        <f>_xlfn.LET(_xlpm.dec,_xlfn.TEXTAFTER(Table22[[#This Row],[flux]],".",,,,0),_xlpm.rounded,ROUNDUP(Table22[[#This Row],[flux]],6),Table22[[#This Row],[flux]])</f>
        <v>4.745536052193302E-2</v>
      </c>
      <c r="H31" s="12" t="str">
        <v>v.up('EX_mg2_e_REV-SPONT')=0.047455360521933 * %nscale%;</v>
      </c>
      <c r="K31" s="27"/>
      <c r="L31" s="28" t="s">
        <v>208</v>
      </c>
      <c r="M31" s="28"/>
      <c r="N31" s="28" t="s">
        <v>209</v>
      </c>
      <c r="O31" s="28">
        <v>1.28</v>
      </c>
      <c r="P31" s="29" t="s">
        <v>244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"EX_"&amp;Table22[[#This Row],[compound]]</f>
        <v>EX_pi_e</v>
      </c>
      <c r="E32" s="12">
        <f>($A$5*Table22[[#This Row],[mass (g/L)]]/(Table22[[#This Row],[MW (g/mol)]]/1000))/$AH$5</f>
        <v>2.2771475058549095E-2</v>
      </c>
      <c r="F32" s="12">
        <f>_xlfn.LET(_xlpm.dec,_xlfn.TEXTAFTER(Table22[[#This Row],[flux]],".",,,,0),_xlpm.rounded,ROUNDUP(Table22[[#This Row],[flux]],6),Table22[[#This Row],[flux]])</f>
        <v>2.2771475058549095E-2</v>
      </c>
      <c r="H32" s="12" t="str">
        <v>v.up('EX_pi_e_REV-SPONT')=0.0227714750585491 * %nscale%;</v>
      </c>
      <c r="K32" s="27"/>
      <c r="L32" s="28" t="s">
        <v>211</v>
      </c>
      <c r="M32" s="28"/>
      <c r="N32" s="28" t="s">
        <v>209</v>
      </c>
      <c r="O32" s="28">
        <v>5.41</v>
      </c>
      <c r="P32" s="29" t="s">
        <v>243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156</v>
      </c>
      <c r="B33" s="12">
        <v>0.7</v>
      </c>
      <c r="C33" s="12">
        <v>62.005000000000003</v>
      </c>
      <c r="D33" s="12" t="str">
        <f>"EX_"&amp;Table22[[#This Row],[compound]]</f>
        <v>EX_no3_e</v>
      </c>
      <c r="E33" s="12">
        <f>($A$5*Table22[[#This Row],[mass (g/L)]]/(Table22[[#This Row],[MW (g/mol)]]/1000))/$AH$5</f>
        <v>3.2553091534549924E-2</v>
      </c>
      <c r="F33" s="12">
        <f>_xlfn.LET(_xlpm.dec,_xlfn.TEXTAFTER(Table22[[#This Row],[flux]],".",,,,0),_xlpm.rounded,ROUNDUP(Table22[[#This Row],[flux]],6),Table22[[#This Row],[flux]])</f>
        <v>3.2553091534549924E-2</v>
      </c>
      <c r="H33" s="12" t="str">
        <v>v.up('EX_no3_e_REV-SPONT')=0.0325530915345499 * %nscale%;</v>
      </c>
      <c r="K33" s="27"/>
      <c r="L33" s="28" t="s">
        <v>213</v>
      </c>
      <c r="M33" s="28"/>
      <c r="N33" s="28" t="s">
        <v>209</v>
      </c>
      <c r="O33" s="28">
        <v>2.0499999999999998</v>
      </c>
      <c r="P33" s="29" t="s">
        <v>242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160</v>
      </c>
      <c r="B34" s="12">
        <v>0.8</v>
      </c>
      <c r="C34" s="12">
        <v>35.450000000000003</v>
      </c>
      <c r="D34" s="12" t="str">
        <f>"EX_"&amp;Table22[[#This Row],[compound]]</f>
        <v>EX_cl_e</v>
      </c>
      <c r="E34" s="12">
        <f>($A$5*Table22[[#This Row],[mass (g/L)]]/(Table22[[#This Row],[MW (g/mol)]]/1000))/$AH$5</f>
        <v>6.5072075457578676E-2</v>
      </c>
      <c r="F34" s="12">
        <f>_xlfn.LET(_xlpm.dec,_xlfn.TEXTAFTER(Table22[[#This Row],[flux]],".",,,,0),_xlpm.rounded,ROUNDUP(Table22[[#This Row],[flux]],6),Table22[[#This Row],[flux]])</f>
        <v>6.5072075457578676E-2</v>
      </c>
      <c r="H34" s="12" t="str">
        <v>v.up('EX_cl_e_REV-SPONT')=0.0650720754575787 * %nscale%;</v>
      </c>
      <c r="K34" s="27"/>
      <c r="L34" s="28" t="s">
        <v>215</v>
      </c>
      <c r="M34" s="28"/>
      <c r="N34" s="28" t="s">
        <v>204</v>
      </c>
      <c r="O34" s="28">
        <v>0.62</v>
      </c>
      <c r="P34" s="29" t="s">
        <v>241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163</v>
      </c>
      <c r="B35" s="12">
        <v>0.4</v>
      </c>
      <c r="C35" s="12">
        <v>96.07</v>
      </c>
      <c r="D35" s="12" t="str">
        <f>"EX_"&amp;Table22[[#This Row],[compound]]</f>
        <v>EX_so4_e</v>
      </c>
      <c r="E35" s="12">
        <f>($A$5*Table22[[#This Row],[mass (g/L)]]/(Table22[[#This Row],[MW (g/mol)]]/1000))/$AH$5</f>
        <v>1.2005855495842431E-2</v>
      </c>
      <c r="F35" s="12">
        <f>_xlfn.LET(_xlpm.dec,_xlfn.TEXTAFTER(Table22[[#This Row],[flux]],".",,,,0),_xlpm.rounded,ROUNDUP(Table22[[#This Row],[flux]],6),Table22[[#This Row],[flux]])</f>
        <v>1.2005855495842431E-2</v>
      </c>
      <c r="H35" s="12" t="str">
        <v>v.up('EX_so4_e_REV-SPONT')=0.0120058554958424 * %nscale%;</v>
      </c>
      <c r="K35" s="27"/>
      <c r="L35" s="28" t="s">
        <v>217</v>
      </c>
      <c r="M35" s="28"/>
      <c r="N35" s="28" t="s">
        <v>209</v>
      </c>
      <c r="O35" s="28">
        <v>1.1599999999999999</v>
      </c>
      <c r="P35" s="29" t="s">
        <v>240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175</v>
      </c>
      <c r="C36" s="12">
        <v>1.008</v>
      </c>
      <c r="D36" s="12" t="str">
        <f>"EX_"&amp;Table22[[#This Row],[compound]]</f>
        <v>EX_h_e</v>
      </c>
      <c r="E36" s="12">
        <v>1000</v>
      </c>
      <c r="F36" s="12">
        <f>_xlfn.LET(_xlpm.dec,_xlfn.TEXTAFTER(Table22[[#This Row],[flux]],".",,,,0),_xlpm.rounded,ROUNDUP(Table22[[#This Row],[flux]],6),Table22[[#This Row],[flux]])</f>
        <v>1000</v>
      </c>
      <c r="H36" s="12" t="str">
        <v>v.up('EX_h_e_REV-SPONT')=1000 * %nscale%;</v>
      </c>
      <c r="K36" s="27"/>
      <c r="L36" s="28" t="s">
        <v>219</v>
      </c>
      <c r="M36" s="28"/>
      <c r="N36" s="28" t="s">
        <v>204</v>
      </c>
      <c r="O36" s="28">
        <v>1.51</v>
      </c>
      <c r="P36" s="29" t="s">
        <v>239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176</v>
      </c>
      <c r="D37" s="12" t="str">
        <f>"EX_"&amp;Table22[[#This Row],[compound]]</f>
        <v>EX_h2o_e</v>
      </c>
      <c r="E37" s="12">
        <v>1000</v>
      </c>
      <c r="F37" s="12">
        <f>_xlfn.LET(_xlpm.dec,_xlfn.TEXTAFTER(Table22[[#This Row],[flux]],".",,,,0),_xlpm.rounded,ROUNDUP(Table22[[#This Row],[flux]],6),Table22[[#This Row],[flux]])</f>
        <v>1000</v>
      </c>
      <c r="H37" s="12" t="str">
        <v>v.up('EX_h2o_e_REV-SPONT')=1000 * %nscale%;</v>
      </c>
      <c r="K37" s="27"/>
      <c r="L37" s="28" t="s">
        <v>221</v>
      </c>
      <c r="M37" s="28"/>
      <c r="N37" s="28" t="s">
        <v>209</v>
      </c>
      <c r="O37" s="28">
        <v>0.17</v>
      </c>
      <c r="P37" s="29" t="s">
        <v>238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177</v>
      </c>
      <c r="D38" s="12" t="str">
        <f>"EX_"&amp;Table22[[#This Row],[compound]]</f>
        <v>EX_btn_c</v>
      </c>
      <c r="E38" s="12">
        <v>0.01</v>
      </c>
      <c r="F38" s="12">
        <f>_xlfn.LET(_xlpm.dec,_xlfn.TEXTAFTER(Table22[[#This Row],[flux]],".",,,,0),_xlpm.rounded,ROUNDUP(Table22[[#This Row],[flux]],6),Table22[[#This Row],[flux]])</f>
        <v>0.01</v>
      </c>
      <c r="H38" s="12" t="str">
        <v>v.up('EX_btn_c_REV-SPONT')=0.01 * %nscale%;</v>
      </c>
      <c r="K38" s="27"/>
      <c r="L38" s="28" t="s">
        <v>222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178</v>
      </c>
      <c r="D39" s="12" t="str">
        <f>"EX_"&amp;Table22[[#This Row],[compound]]</f>
        <v>EX_o2_e</v>
      </c>
      <c r="E39" s="12">
        <v>1000</v>
      </c>
      <c r="F39" s="12">
        <f>_xlfn.LET(_xlpm.dec,_xlfn.TEXTAFTER(Table22[[#This Row],[flux]],".",,,,0),_xlpm.rounded,ROUNDUP(Table22[[#This Row],[flux]],6),Table22[[#This Row],[flux]])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179</v>
      </c>
      <c r="D40" s="12" t="str">
        <f>"EX_"&amp;Table22[[#This Row],[compound]]</f>
        <v>EX_co2_e</v>
      </c>
      <c r="E40" s="12">
        <v>0</v>
      </c>
      <c r="F40" s="12">
        <f>_xlfn.LET(_xlpm.dec,_xlfn.TEXTAFTER(Table22[[#This Row],[flux]],".",,,,0),_xlpm.rounded,ROUNDUP(Table22[[#This Row],[flux]],6),Table22[[#This Row],[flux]])</f>
        <v>0</v>
      </c>
      <c r="H40" s="12" t="str">
        <v>v.up('EX_co2_e_REV-SPONT')=0 * %nscale%;</v>
      </c>
      <c r="K40" s="27"/>
      <c r="L40" s="28" t="s">
        <v>223</v>
      </c>
      <c r="M40" s="28"/>
      <c r="N40" s="28" t="s">
        <v>224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181</v>
      </c>
      <c r="D41" s="12" t="str">
        <f>"EX_"&amp;Table22[[#This Row],[compound]]</f>
        <v>EX_thm_e</v>
      </c>
      <c r="E41" s="12">
        <v>1000</v>
      </c>
      <c r="F41" s="12">
        <f>_xlfn.LET(_xlpm.dec,_xlfn.TEXTAFTER(Table22[[#This Row],[flux]],".",,,,0),_xlpm.rounded,ROUNDUP(Table22[[#This Row],[flux]],6),Table22[[#This Row],[flux]])</f>
        <v>1000</v>
      </c>
      <c r="G41" s="26" t="s">
        <v>197</v>
      </c>
      <c r="H41" s="12" t="str">
        <v>v.up('EX_thm_e_REV-SPONT')=1000 * %nscale%;</v>
      </c>
      <c r="K41" s="27"/>
      <c r="L41" s="28" t="s">
        <v>227</v>
      </c>
      <c r="M41" s="28"/>
      <c r="N41" s="28" t="s">
        <v>226</v>
      </c>
      <c r="O41" s="28">
        <v>226</v>
      </c>
      <c r="P41" s="29" t="s">
        <v>180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197</v>
      </c>
    </row>
    <row r="42" spans="1:23">
      <c r="A42" s="25" t="s">
        <v>182</v>
      </c>
      <c r="D42" s="12" t="str">
        <f>"EX_"&amp;Table22[[#This Row],[compound]]</f>
        <v>EX_ribflv_e</v>
      </c>
      <c r="E42" s="12">
        <v>1000</v>
      </c>
      <c r="F42" s="12">
        <f>_xlfn.LET(_xlpm.dec,_xlfn.TEXTAFTER(Table22[[#This Row],[flux]],".",,,,0),_xlpm.rounded,ROUNDUP(Table22[[#This Row],[flux]],6),Table22[[#This Row],[flux]])</f>
        <v>1000</v>
      </c>
      <c r="G42" s="26" t="s">
        <v>197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197</v>
      </c>
    </row>
    <row r="43" spans="1:23">
      <c r="A43" s="32" t="s">
        <v>183</v>
      </c>
      <c r="D43" s="12" t="str">
        <f>"EX_"&amp;Table22[[#This Row],[compound]]</f>
        <v>EX_nac_e</v>
      </c>
      <c r="E43" s="12">
        <v>1000</v>
      </c>
      <c r="F43" s="12">
        <f>_xlfn.LET(_xlpm.dec,_xlfn.TEXTAFTER(Table22[[#This Row],[flux]],".",,,,0),_xlpm.rounded,ROUNDUP(Table22[[#This Row],[flux]],6),Table22[[#This Row],[flux]])</f>
        <v>1000</v>
      </c>
      <c r="G43" s="26" t="s">
        <v>197</v>
      </c>
      <c r="H43" s="12" t="str">
        <v>v.up('EX_nac_e_REV-SPONT')=1000 * %nscale%;</v>
      </c>
      <c r="K43" s="27"/>
      <c r="L43" s="28" t="s">
        <v>225</v>
      </c>
      <c r="M43" s="28"/>
      <c r="N43" s="28" t="s">
        <v>226</v>
      </c>
      <c r="O43" s="28">
        <v>344</v>
      </c>
      <c r="P43" s="29" t="s">
        <v>237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197</v>
      </c>
    </row>
    <row r="44" spans="1:23">
      <c r="A44" s="25" t="s">
        <v>184</v>
      </c>
      <c r="D44" s="12" t="str">
        <f>"EX_"&amp;Table22[[#This Row],[compound]]</f>
        <v>EX_pydxn_e</v>
      </c>
      <c r="E44" s="12">
        <v>1000</v>
      </c>
      <c r="F44" s="12">
        <f>_xlfn.LET(_xlpm.dec,_xlfn.TEXTAFTER(Table22[[#This Row],[flux]],".",,,,0),_xlpm.rounded,ROUNDUP(Table22[[#This Row],[flux]],6),Table22[[#This Row],[flux]])</f>
        <v>1000</v>
      </c>
      <c r="G44" s="26" t="s">
        <v>197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197</v>
      </c>
    </row>
    <row r="45" spans="1:23">
      <c r="A45" s="32" t="s">
        <v>185</v>
      </c>
      <c r="D45" s="12" t="str">
        <f>"EX_"&amp;Table22[[#This Row],[compound]]</f>
        <v>EX_fol_e</v>
      </c>
      <c r="E45" s="12">
        <v>1000</v>
      </c>
      <c r="F45" s="12">
        <f>_xlfn.LET(_xlpm.dec,_xlfn.TEXTAFTER(Table22[[#This Row],[flux]],".",,,,0),_xlpm.rounded,ROUNDUP(Table22[[#This Row],[flux]],6),Table22[[#This Row],[flux]])</f>
        <v>1000</v>
      </c>
      <c r="G45" s="26" t="s">
        <v>197</v>
      </c>
      <c r="H45" s="12" t="str">
        <v>v.up('EX_fol_e_REV-SPONT')=1000 * %nscale%;</v>
      </c>
      <c r="K45" s="27"/>
      <c r="L45" s="28" t="s">
        <v>205</v>
      </c>
      <c r="M45" s="28"/>
      <c r="N45" s="28" t="s">
        <v>204</v>
      </c>
      <c r="O45" s="28">
        <v>3.84</v>
      </c>
      <c r="P45" s="29" t="s">
        <v>236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197</v>
      </c>
    </row>
    <row r="46" spans="1:23">
      <c r="A46" s="32" t="s">
        <v>186</v>
      </c>
      <c r="D46" s="12" t="str">
        <f>"EX_"&amp;Table22[[#This Row],[compound]]</f>
        <v>EX_pnto__R_e</v>
      </c>
      <c r="E46" s="12">
        <v>1000</v>
      </c>
      <c r="F46" s="12">
        <f>_xlfn.LET(_xlpm.dec,_xlfn.TEXTAFTER(Table22[[#This Row],[flux]],".",,,,0),_xlpm.rounded,ROUNDUP(Table22[[#This Row],[flux]],6),Table22[[#This Row],[flux]])</f>
        <v>1000</v>
      </c>
      <c r="G46" s="26" t="s">
        <v>197</v>
      </c>
      <c r="H46" s="12" t="str">
        <v>v.up('EX_pnto__R_e_REV-SPONT')=1000 * %nscale%;</v>
      </c>
      <c r="K46" s="27"/>
      <c r="L46" s="28" t="s">
        <v>207</v>
      </c>
      <c r="M46" s="28"/>
      <c r="N46" s="28" t="s">
        <v>204</v>
      </c>
      <c r="O46" s="28">
        <v>1.98</v>
      </c>
      <c r="P46" s="29" t="s">
        <v>235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197</v>
      </c>
    </row>
    <row r="47" spans="1:23">
      <c r="A47" s="25" t="s">
        <v>187</v>
      </c>
      <c r="D47" s="12" t="str">
        <f>"EX_"&amp;Table22[[#This Row],[compound]]</f>
        <v>EX_4abz_e</v>
      </c>
      <c r="E47" s="12">
        <v>1000</v>
      </c>
      <c r="F47" s="12">
        <f>_xlfn.LET(_xlpm.dec,_xlfn.TEXTAFTER(Table22[[#This Row],[flux]],".",,,,0),_xlpm.rounded,ROUNDUP(Table22[[#This Row],[flux]],6),Table22[[#This Row],[flux]])</f>
        <v>1000</v>
      </c>
      <c r="G47" s="26" t="s">
        <v>197</v>
      </c>
      <c r="H47" s="12" t="str">
        <v>v.up('EX_4abz_e_REV-SPONT')=1000 * %nscale%;</v>
      </c>
      <c r="K47" s="27"/>
      <c r="L47" s="28" t="s">
        <v>210</v>
      </c>
      <c r="M47" s="28"/>
      <c r="N47" s="28" t="s">
        <v>204</v>
      </c>
      <c r="O47" s="28">
        <v>0.72</v>
      </c>
      <c r="P47" s="29" t="s">
        <v>229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197</v>
      </c>
    </row>
    <row r="48" spans="1:23">
      <c r="A48" s="32" t="s">
        <v>189</v>
      </c>
      <c r="D48" s="12" t="str">
        <f>"EX_"&amp;Table22[[#This Row],[compound]]</f>
        <v>EX_cu2_e</v>
      </c>
      <c r="E48" s="12">
        <v>1000</v>
      </c>
      <c r="F48" s="12">
        <f>_xlfn.LET(_xlpm.dec,_xlfn.TEXTAFTER(Table22[[#This Row],[flux]],".",,,,0),_xlpm.rounded,ROUNDUP(Table22[[#This Row],[flux]],6),Table22[[#This Row],[flux]])</f>
        <v>1000</v>
      </c>
      <c r="G48" s="26" t="s">
        <v>197</v>
      </c>
      <c r="H48" s="12" t="str">
        <v>v.up('EX_cu2_e_REV-SPONT')=1000 * %nscale%;</v>
      </c>
      <c r="K48" s="27"/>
      <c r="L48" s="28" t="s">
        <v>212</v>
      </c>
      <c r="M48" s="28"/>
      <c r="N48" s="28" t="s">
        <v>204</v>
      </c>
      <c r="O48" s="28">
        <v>1.21</v>
      </c>
      <c r="P48" s="29" t="s">
        <v>230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197</v>
      </c>
    </row>
    <row r="49" spans="1:23">
      <c r="A49" s="32" t="s">
        <v>190</v>
      </c>
      <c r="D49" s="12" t="str">
        <f>"EX_"&amp;Table22[[#This Row],[compound]]</f>
        <v>EX_fe2_e</v>
      </c>
      <c r="E49" s="12">
        <v>1000</v>
      </c>
      <c r="F49" s="12">
        <f>_xlfn.LET(_xlpm.dec,_xlfn.TEXTAFTER(Table22[[#This Row],[flux]],".",,,,0),_xlpm.rounded,ROUNDUP(Table22[[#This Row],[flux]],6),Table22[[#This Row],[flux]])</f>
        <v>1000</v>
      </c>
      <c r="G49" s="26" t="s">
        <v>197</v>
      </c>
      <c r="H49" s="12" t="str">
        <v>v.up('EX_fe2_e_REV-SPONT')=1000 * %nscale%;</v>
      </c>
      <c r="K49" s="27"/>
      <c r="L49" s="28" t="s">
        <v>214</v>
      </c>
      <c r="M49" s="28"/>
      <c r="N49" s="28" t="s">
        <v>204</v>
      </c>
      <c r="O49" s="28">
        <v>3.4</v>
      </c>
      <c r="P49" s="29" t="s">
        <v>231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197</v>
      </c>
    </row>
    <row r="50" spans="1:23">
      <c r="A50" s="25" t="s">
        <v>191</v>
      </c>
      <c r="D50" s="12" t="str">
        <f>"EX_"&amp;Table22[[#This Row],[compound]]</f>
        <v>EX_fe3_e</v>
      </c>
      <c r="E50" s="12">
        <v>1000</v>
      </c>
      <c r="F50" s="12">
        <f>_xlfn.LET(_xlpm.dec,_xlfn.TEXTAFTER(Table22[[#This Row],[flux]],".",,,,0),_xlpm.rounded,ROUNDUP(Table22[[#This Row],[flux]],6),Table22[[#This Row],[flux]])</f>
        <v>1000</v>
      </c>
      <c r="G50" s="26" t="s">
        <v>197</v>
      </c>
      <c r="H50" s="12" t="str">
        <v>v.up('EX_fe3_e_REV-SPONT')=1000 * %nscale%;</v>
      </c>
      <c r="K50" s="27"/>
      <c r="L50" s="28" t="s">
        <v>216</v>
      </c>
      <c r="M50" s="28"/>
      <c r="N50" s="28" t="s">
        <v>204</v>
      </c>
      <c r="O50" s="28">
        <v>1.38</v>
      </c>
      <c r="P50" s="29" t="s">
        <v>232</v>
      </c>
      <c r="Q50" s="12">
        <f t="shared" si="0"/>
        <v>0.13247999999999999</v>
      </c>
      <c r="W50" s="26" t="s">
        <v>197</v>
      </c>
    </row>
    <row r="51" spans="1:23">
      <c r="A51" s="25" t="s">
        <v>192</v>
      </c>
      <c r="D51" s="12" t="str">
        <f>"EX_"&amp;Table22[[#This Row],[compound]]</f>
        <v>EX_mn2_e</v>
      </c>
      <c r="E51" s="12">
        <v>1000</v>
      </c>
      <c r="F51" s="12">
        <f>_xlfn.LET(_xlpm.dec,_xlfn.TEXTAFTER(Table22[[#This Row],[flux]],".",,,,0),_xlpm.rounded,ROUNDUP(Table22[[#This Row],[flux]],6),Table22[[#This Row],[flux]])</f>
        <v>1000</v>
      </c>
      <c r="G51" s="26" t="s">
        <v>197</v>
      </c>
      <c r="H51" s="12" t="str">
        <v>v.up('EX_mn2_e_REV-SPONT')=1000 * %nscale%;</v>
      </c>
      <c r="K51" s="27"/>
      <c r="L51" s="28" t="s">
        <v>218</v>
      </c>
      <c r="M51" s="28"/>
      <c r="N51" s="28" t="s">
        <v>204</v>
      </c>
      <c r="O51" s="28">
        <v>1.1599999999999999</v>
      </c>
      <c r="P51" s="29" t="s">
        <v>233</v>
      </c>
      <c r="Q51" s="12">
        <f t="shared" si="0"/>
        <v>0.11135999999999999</v>
      </c>
      <c r="W51" s="26" t="s">
        <v>197</v>
      </c>
    </row>
    <row r="52" spans="1:23">
      <c r="A52" s="25" t="s">
        <v>193</v>
      </c>
      <c r="D52" s="12" t="str">
        <f>"EX_"&amp;Table22[[#This Row],[compound]]</f>
        <v>EX_na1_e</v>
      </c>
      <c r="E52" s="12">
        <v>1000</v>
      </c>
      <c r="F52" s="12">
        <f>_xlfn.LET(_xlpm.dec,_xlfn.TEXTAFTER(Table22[[#This Row],[flux]],".",,,,0),_xlpm.rounded,ROUNDUP(Table22[[#This Row],[flux]],6),Table22[[#This Row],[flux]])</f>
        <v>1000</v>
      </c>
      <c r="G52" s="26" t="s">
        <v>197</v>
      </c>
      <c r="H52" s="12" t="str">
        <v>v.up('EX_na1_e_REV-SPONT')=1000 * %nscale%;</v>
      </c>
      <c r="K52" s="27"/>
      <c r="L52" s="28" t="s">
        <v>220</v>
      </c>
      <c r="M52" s="28"/>
      <c r="N52" s="28" t="s">
        <v>204</v>
      </c>
      <c r="O52" s="28">
        <v>3.2</v>
      </c>
      <c r="P52" s="29" t="s">
        <v>234</v>
      </c>
      <c r="Q52" s="12">
        <f t="shared" si="0"/>
        <v>0.30719999999999997</v>
      </c>
      <c r="W52" s="26" t="s">
        <v>197</v>
      </c>
    </row>
    <row r="53" spans="1:23">
      <c r="A53" s="25" t="s">
        <v>194</v>
      </c>
      <c r="D53" s="12" t="str">
        <f>"EX_"&amp;Table22[[#This Row],[compound]]</f>
        <v>EX_ni2_e</v>
      </c>
      <c r="E53" s="12">
        <v>1000</v>
      </c>
      <c r="F53" s="12">
        <f>_xlfn.LET(_xlpm.dec,_xlfn.TEXTAFTER(Table22[[#This Row],[flux]],".",,,,0),_xlpm.rounded,ROUNDUP(Table22[[#This Row],[flux]],6),Table22[[#This Row],[flux]])</f>
        <v>1000</v>
      </c>
      <c r="G53" s="26" t="s">
        <v>197</v>
      </c>
      <c r="H53" s="12" t="str">
        <v>v.up('EX_ni2_e_REV-SPONT')=1000 * %nscale%;</v>
      </c>
      <c r="K53" s="27"/>
      <c r="W53" s="26" t="s">
        <v>197</v>
      </c>
    </row>
    <row r="54" spans="1:23">
      <c r="A54" s="32" t="s">
        <v>195</v>
      </c>
      <c r="D54" s="12" t="str">
        <f>"EX_"&amp;Table22[[#This Row],[compound]]</f>
        <v>EX_zn2_e</v>
      </c>
      <c r="E54" s="12">
        <v>1000</v>
      </c>
      <c r="F54" s="12">
        <f>_xlfn.LET(_xlpm.dec,_xlfn.TEXTAFTER(Table22[[#This Row],[flux]],".",,,,0),_xlpm.rounded,ROUNDUP(Table22[[#This Row],[flux]],6),Table22[[#This Row],[flux]])</f>
        <v>1000</v>
      </c>
      <c r="G54" s="26" t="s">
        <v>197</v>
      </c>
      <c r="H54" s="12" t="str">
        <v>v.up('EX_zn2_e_REV-SPONT')=1000 * %nscale%;</v>
      </c>
      <c r="K54" s="27"/>
      <c r="W54" s="26" t="s">
        <v>197</v>
      </c>
    </row>
    <row r="55" spans="1:23">
      <c r="A55" s="25" t="s">
        <v>196</v>
      </c>
      <c r="D55" s="12" t="str">
        <f>"EX_"&amp;Table22[[#This Row],[compound]]</f>
        <v>EX_cobalt2_e</v>
      </c>
      <c r="E55" s="12">
        <v>1000</v>
      </c>
      <c r="F55" s="12">
        <f>_xlfn.LET(_xlpm.dec,_xlfn.TEXTAFTER(Table22[[#This Row],[flux]],".",,,,0),_xlpm.rounded,ROUNDUP(Table22[[#This Row],[flux]],6),Table22[[#This Row],[flux]])</f>
        <v>1000</v>
      </c>
      <c r="G55" s="26" t="s">
        <v>197</v>
      </c>
      <c r="H55" s="12" t="str">
        <v>v.up('EX_cobalt2_e_REV-SPONT')=1000 * %nscale%;</v>
      </c>
      <c r="W55" s="26" t="s">
        <v>197</v>
      </c>
    </row>
    <row r="56" spans="1:23">
      <c r="A56" s="25" t="s">
        <v>188</v>
      </c>
      <c r="D56" s="12" t="str">
        <f>"EX_"&amp;Table22[[#This Row],[compound]]</f>
        <v>EX_inost_e</v>
      </c>
      <c r="E56" s="12">
        <v>1000</v>
      </c>
      <c r="F56" s="12">
        <f>_xlfn.LET(_xlpm.dec,_xlfn.TEXTAFTER(Table22[[#This Row],[flux]],".",,,,0),_xlpm.rounded,ROUNDUP(Table22[[#This Row],[flux]],6),Table22[[#This Row],[flux]])</f>
        <v>1000</v>
      </c>
      <c r="G56" s="26"/>
      <c r="H56" s="12" t="str">
        <v>v.up('EX_inost_e_REV-SPONT')=1000 * %nscale%;</v>
      </c>
      <c r="W56" s="26"/>
    </row>
    <row r="57" spans="1:23">
      <c r="A57" s="12" t="s">
        <v>247</v>
      </c>
      <c r="B57" s="12">
        <v>0.21312</v>
      </c>
      <c r="C57" s="12">
        <v>132.09474</v>
      </c>
      <c r="D57" s="12" t="str">
        <f>"EX_"&amp;Table22[[#This Row],[compound]]</f>
        <v>EX_asp__L_e</v>
      </c>
      <c r="E57" s="12">
        <f>($A$5*Table22[[#This Row],[mass (g/L)]]/(Table22[[#This Row],[MW (g/mol)]]/1000))/$AH$5</f>
        <v>4.652213040218847E-3</v>
      </c>
      <c r="F57" s="12">
        <f>_xlfn.LET(_xlpm.dec,_xlfn.TEXTAFTER(Table22[[#This Row],[flux]],".",,,,0),_xlpm.rounded,ROUNDUP(Table22[[#This Row],[flux]],6),Table22[[#This Row],[flux]])</f>
        <v>4.652213040218847E-3</v>
      </c>
      <c r="G57" s="26" t="s">
        <v>265</v>
      </c>
      <c r="H57" s="12" t="str">
        <v>v.up('EX_asp__L_e_REV-SPONT')=0.00465221304021885 * %nscale%;</v>
      </c>
      <c r="W57" s="26" t="s">
        <v>265</v>
      </c>
    </row>
    <row r="58" spans="1:23">
      <c r="A58" s="12" t="s">
        <v>248</v>
      </c>
      <c r="B58" s="12">
        <v>0.1152</v>
      </c>
      <c r="C58" s="12">
        <v>119.11915999999999</v>
      </c>
      <c r="D58" s="12" t="str">
        <f>"EX_"&amp;Table22[[#This Row],[compound]]</f>
        <v>EX_thr__L_e</v>
      </c>
      <c r="E58" s="12">
        <f>($A$5*Table22[[#This Row],[mass (g/L)]]/(Table22[[#This Row],[MW (g/mol)]]/1000))/$AH$5</f>
        <v>2.7886356048501993E-3</v>
      </c>
      <c r="F58" s="12">
        <f>_xlfn.LET(_xlpm.dec,_xlfn.TEXTAFTER(Table22[[#This Row],[flux]],".",,,,0),_xlpm.rounded,ROUNDUP(Table22[[#This Row],[flux]],6),Table22[[#This Row],[flux]])</f>
        <v>2.7886356048501993E-3</v>
      </c>
      <c r="G58" s="26" t="s">
        <v>265</v>
      </c>
      <c r="H58" s="12" t="str">
        <v>v.up('EX_thr__L_e_REV-SPONT')=0.0027886356048502 * %nscale%;</v>
      </c>
      <c r="W58" s="26" t="s">
        <v>265</v>
      </c>
    </row>
    <row r="59" spans="1:23">
      <c r="A59" s="12" t="s">
        <v>249</v>
      </c>
      <c r="B59" s="12">
        <v>0.12288</v>
      </c>
      <c r="C59" s="12">
        <v>105.09258</v>
      </c>
      <c r="D59" s="12" t="str">
        <f>"EX_"&amp;Table22[[#This Row],[compound]]</f>
        <v>EX_ser__L_e</v>
      </c>
      <c r="E59" s="12">
        <f>($A$5*Table22[[#This Row],[mass (g/L)]]/(Table22[[#This Row],[MW (g/mol)]]/1000))/$AH$5</f>
        <v>3.3715535341845332E-3</v>
      </c>
      <c r="F59" s="12">
        <f>_xlfn.LET(_xlpm.dec,_xlfn.TEXTAFTER(Table22[[#This Row],[flux]],".",,,,0),_xlpm.rounded,ROUNDUP(Table22[[#This Row],[flux]],6),Table22[[#This Row],[flux]])</f>
        <v>3.3715535341845332E-3</v>
      </c>
      <c r="G59" s="26" t="s">
        <v>265</v>
      </c>
      <c r="H59" s="12" t="str">
        <v>v.up('EX_ser__L_e_REV-SPONT')=0.00337155353418453 * %nscale%;</v>
      </c>
      <c r="W59" s="26" t="s">
        <v>265</v>
      </c>
    </row>
    <row r="60" spans="1:23">
      <c r="A60" s="12" t="s">
        <v>250</v>
      </c>
      <c r="B60" s="12">
        <v>0.51936000000000004</v>
      </c>
      <c r="C60" s="12">
        <v>146.12132</v>
      </c>
      <c r="D60" s="12" t="str">
        <f>"EX_"&amp;Table22[[#This Row],[compound]]</f>
        <v>EX_glu__L_e</v>
      </c>
      <c r="E60" s="12">
        <f>($A$5*Table22[[#This Row],[mass (g/L)]]/(Table22[[#This Row],[MW (g/mol)]]/1000))/$AH$5</f>
        <v>1.024886617963265E-2</v>
      </c>
      <c r="F60" s="12">
        <f>_xlfn.LET(_xlpm.dec,_xlfn.TEXTAFTER(Table22[[#This Row],[flux]],".",,,,0),_xlpm.rounded,ROUNDUP(Table22[[#This Row],[flux]],6),Table22[[#This Row],[flux]])</f>
        <v>1.024886617963265E-2</v>
      </c>
      <c r="G60" s="26" t="s">
        <v>265</v>
      </c>
      <c r="H60" s="12" t="str">
        <v>v.up('EX_glu__L_e_REV-SPONT')=0.0102488661796326 * %nscale%;</v>
      </c>
      <c r="W60" s="26" t="s">
        <v>265</v>
      </c>
    </row>
    <row r="61" spans="1:23">
      <c r="A61" s="12" t="s">
        <v>251</v>
      </c>
      <c r="B61" s="12">
        <v>0.19679999999999997</v>
      </c>
      <c r="C61" s="12">
        <v>75.066599999999994</v>
      </c>
      <c r="D61" s="12" t="str">
        <f>"EX_"&amp;Table22[[#This Row],[compound]]</f>
        <v>EX_gly_e</v>
      </c>
      <c r="E61" s="12">
        <f>($A$5*Table22[[#This Row],[mass (g/L)]]/(Table22[[#This Row],[MW (g/mol)]]/1000))/$AH$5</f>
        <v>7.5596077142551588E-3</v>
      </c>
      <c r="F61" s="12">
        <f>_xlfn.LET(_xlpm.dec,_xlfn.TEXTAFTER(Table22[[#This Row],[flux]],".",,,,0),_xlpm.rounded,ROUNDUP(Table22[[#This Row],[flux]],6),Table22[[#This Row],[flux]])</f>
        <v>7.5596077142551588E-3</v>
      </c>
      <c r="G61" s="26" t="s">
        <v>265</v>
      </c>
      <c r="H61" s="12" t="str">
        <v>v.up('EX_gly_e_REV-SPONT')=0.00755960771425516 * %nscale%;</v>
      </c>
      <c r="W61" s="26" t="s">
        <v>265</v>
      </c>
    </row>
    <row r="62" spans="1:23">
      <c r="A62" s="12" t="s">
        <v>252</v>
      </c>
      <c r="B62" s="12">
        <v>5.9519999999999997E-2</v>
      </c>
      <c r="C62" s="12">
        <v>181.18853999999999</v>
      </c>
      <c r="D62" s="12" t="str">
        <f>"EX_"&amp;Table22[[#This Row],[compound]]</f>
        <v>EX_tyr__L_e</v>
      </c>
      <c r="E62" s="12">
        <f>($A$5*Table22[[#This Row],[mass (g/L)]]/(Table22[[#This Row],[MW (g/mol)]]/1000))/$AH$5</f>
        <v>9.472249049407574E-4</v>
      </c>
      <c r="F62" s="12">
        <f>_xlfn.LET(_xlpm.dec,_xlfn.TEXTAFTER(Table22[[#This Row],[flux]],".",,,,0),_xlpm.rounded,ROUNDUP(Table22[[#This Row],[flux]],6),Table22[[#This Row],[flux]])</f>
        <v>9.472249049407574E-4</v>
      </c>
      <c r="G62" s="26" t="s">
        <v>265</v>
      </c>
      <c r="H62" s="12" t="str">
        <v>v.up('EX_tyr__L_e_REV-SPONT')=0.000947224904940757 * %nscale%;</v>
      </c>
      <c r="W62" s="26" t="s">
        <v>265</v>
      </c>
    </row>
    <row r="63" spans="1:23">
      <c r="A63" s="12" t="s">
        <v>253</v>
      </c>
      <c r="B63" s="12">
        <v>0.11135999999999999</v>
      </c>
      <c r="C63" s="12">
        <v>147.19550000000001</v>
      </c>
      <c r="D63" s="12" t="str">
        <f>"EX_"&amp;Table22[[#This Row],[compound]]</f>
        <v>EX_lys__L_e</v>
      </c>
      <c r="E63" s="12">
        <f>($A$5*Table22[[#This Row],[mass (g/L)]]/(Table22[[#This Row],[MW (g/mol)]]/1000))/$AH$5</f>
        <v>2.1815019238766538E-3</v>
      </c>
      <c r="F63" s="12">
        <f>_xlfn.LET(_xlpm.dec,_xlfn.TEXTAFTER(Table22[[#This Row],[flux]],".",,,,0),_xlpm.rounded,ROUNDUP(Table22[[#This Row],[flux]],6),Table22[[#This Row],[flux]])</f>
        <v>2.1815019238766538E-3</v>
      </c>
      <c r="G63" s="26" t="s">
        <v>265</v>
      </c>
      <c r="H63" s="12" t="str">
        <v>v.up('EX_lys__L_e_REV-SPONT')=0.00218150192387665 * %nscale%;</v>
      </c>
      <c r="W63" s="26" t="s">
        <v>265</v>
      </c>
    </row>
    <row r="64" spans="1:23">
      <c r="A64" s="12" t="s">
        <v>254</v>
      </c>
      <c r="B64" s="12">
        <v>0.14495999999999998</v>
      </c>
      <c r="C64" s="12">
        <v>175.2089</v>
      </c>
      <c r="D64" s="12" t="str">
        <f>"EX_"&amp;Table22[[#This Row],[compound]]</f>
        <v>EX_arg__L_e</v>
      </c>
      <c r="E64" s="12">
        <f>($A$5*Table22[[#This Row],[mass (g/L)]]/(Table22[[#This Row],[MW (g/mol)]]/1000))/$AH$5</f>
        <v>2.3856840582000965E-3</v>
      </c>
      <c r="F64" s="12">
        <f>_xlfn.LET(_xlpm.dec,_xlfn.TEXTAFTER(Table22[[#This Row],[flux]],".",,,,0),_xlpm.rounded,ROUNDUP(Table22[[#This Row],[flux]],6),Table22[[#This Row],[flux]])</f>
        <v>2.3856840582000965E-3</v>
      </c>
      <c r="G64" s="26" t="s">
        <v>265</v>
      </c>
      <c r="H64" s="12" t="str">
        <v>v.up('EX_arg__L_e_REV-SPONT')=0.0023856840582001 * %nscale%;</v>
      </c>
      <c r="W64" s="26" t="s">
        <v>265</v>
      </c>
    </row>
    <row r="65" spans="1:23">
      <c r="A65" s="28" t="s">
        <v>255</v>
      </c>
      <c r="B65" s="12">
        <v>1.6320000000000001E-2</v>
      </c>
      <c r="C65" s="12">
        <v>204.22517999999999</v>
      </c>
      <c r="D65" s="12" t="str">
        <f>"EX_"&amp;Table22[[#This Row],[compound]]</f>
        <v>EX_trp__L_e</v>
      </c>
      <c r="E65" s="12">
        <f>($A$5*Table22[[#This Row],[mass (g/L)]]/(Table22[[#This Row],[MW (g/mol)]]/1000))/$AH$5</f>
        <v>2.3042615768247457E-4</v>
      </c>
      <c r="F65" s="12">
        <f>_xlfn.LET(_xlpm.dec,_xlfn.TEXTAFTER(Table22[[#This Row],[flux]],".",,,,0),_xlpm.rounded,ROUNDUP(Table22[[#This Row],[flux]],6),Table22[[#This Row],[flux]])</f>
        <v>2.3042615768247457E-4</v>
      </c>
      <c r="G65" s="26" t="s">
        <v>265</v>
      </c>
      <c r="H65" s="12" t="str">
        <v>v.up('EX_trp__L_e_REV-SPONT')=0.000230426157682475 * %nscale%;</v>
      </c>
      <c r="W65" s="26" t="s">
        <v>265</v>
      </c>
    </row>
    <row r="66" spans="1:23">
      <c r="A66" s="12" t="s">
        <v>256</v>
      </c>
      <c r="B66" s="12">
        <v>33.024000000000001</v>
      </c>
      <c r="C66" s="12">
        <v>104.17075999999901</v>
      </c>
      <c r="D66" s="12" t="str">
        <f>"EX_"&amp;Table22[[#This Row],[compound]]</f>
        <v>EX_chol_e</v>
      </c>
      <c r="E66" s="12">
        <f>($A$5*Table22[[#This Row],[mass (g/L)]]/(Table22[[#This Row],[MW (g/mol)]]/1000))/$AH$5</f>
        <v>0.91412324816302171</v>
      </c>
      <c r="F66" s="12">
        <f>_xlfn.LET(_xlpm.dec,_xlfn.TEXTAFTER(Table22[[#This Row],[flux]],".",,,,0),_xlpm.rounded,ROUNDUP(Table22[[#This Row],[flux]],6),Table22[[#This Row],[flux]])</f>
        <v>0.91412324816302171</v>
      </c>
      <c r="G66" s="26" t="s">
        <v>265</v>
      </c>
      <c r="H66" s="12" t="str">
        <v>v.up('EX_chol_e_REV-SPONT')=0.914123248163022 * %nscale%;</v>
      </c>
      <c r="W66" s="26" t="s">
        <v>265</v>
      </c>
    </row>
    <row r="67" spans="1:23">
      <c r="A67" s="28" t="s">
        <v>257</v>
      </c>
      <c r="B67" s="12">
        <v>0.36863999999999997</v>
      </c>
      <c r="C67" s="12">
        <v>89.093180000000004</v>
      </c>
      <c r="D67" s="12" t="str">
        <f>"EX_"&amp;Table22[[#This Row],[compound]]</f>
        <v>EX_ala__L_e</v>
      </c>
      <c r="E67" s="12">
        <f>($A$5*Table22[[#This Row],[mass (g/L)]]/(Table22[[#This Row],[MW (g/mol)]]/1000))/$AH$5</f>
        <v>1.1931056659406613E-2</v>
      </c>
      <c r="F67" s="12">
        <f>_xlfn.LET(_xlpm.dec,_xlfn.TEXTAFTER(Table22[[#This Row],[flux]],".",,,,0),_xlpm.rounded,ROUNDUP(Table22[[#This Row],[flux]],6),Table22[[#This Row],[flux]])</f>
        <v>1.1931056659406613E-2</v>
      </c>
      <c r="G67" s="26" t="s">
        <v>265</v>
      </c>
      <c r="H67" s="12" t="str">
        <v>v.up('EX_ala__L_e_REV-SPONT')=0.0119310566594066 * %nscale%;</v>
      </c>
      <c r="W67" s="26" t="s">
        <v>265</v>
      </c>
    </row>
    <row r="68" spans="1:23">
      <c r="A68" s="12" t="s">
        <v>258</v>
      </c>
      <c r="B68" s="12">
        <v>0.19008</v>
      </c>
      <c r="C68" s="12">
        <v>117.14634</v>
      </c>
      <c r="D68" s="12" t="str">
        <f>"EX_"&amp;Table22[[#This Row],[compound]]</f>
        <v>EX_val__L_e</v>
      </c>
      <c r="E68" s="12">
        <f>($A$5*Table22[[#This Row],[mass (g/L)]]/(Table22[[#This Row],[MW (g/mol)]]/1000))/$AH$5</f>
        <v>4.6787367476708924E-3</v>
      </c>
      <c r="F68" s="12">
        <f>_xlfn.LET(_xlpm.dec,_xlfn.TEXTAFTER(Table22[[#This Row],[flux]],".",,,,0),_xlpm.rounded,ROUNDUP(Table22[[#This Row],[flux]],6),Table22[[#This Row],[flux]])</f>
        <v>4.6787367476708924E-3</v>
      </c>
      <c r="G68" s="26" t="s">
        <v>265</v>
      </c>
      <c r="H68" s="12" t="str">
        <v>v.up('EX_val__L_e_REV-SPONT')=0.00467873674767089 * %nscale%;</v>
      </c>
      <c r="W68" s="26" t="s">
        <v>265</v>
      </c>
    </row>
    <row r="69" spans="1:23">
      <c r="A69" s="12" t="s">
        <v>259</v>
      </c>
      <c r="B69" s="12">
        <v>6.9120000000000001E-2</v>
      </c>
      <c r="C69" s="12">
        <v>149.21134000000001</v>
      </c>
      <c r="D69" s="12" t="str">
        <f>"EX_"&amp;Table22[[#This Row],[compound]]</f>
        <v>EX_met__L_e</v>
      </c>
      <c r="E69" s="12">
        <f>($A$5*Table22[[#This Row],[mass (g/L)]]/(Table22[[#This Row],[MW (g/mol)]]/1000))/$AH$5</f>
        <v>1.335742702113047E-3</v>
      </c>
      <c r="F69" s="12">
        <f>_xlfn.LET(_xlpm.dec,_xlfn.TEXTAFTER(Table22[[#This Row],[flux]],".",,,,0),_xlpm.rounded,ROUNDUP(Table22[[#This Row],[flux]],6),Table22[[#This Row],[flux]])</f>
        <v>1.335742702113047E-3</v>
      </c>
      <c r="G69" s="26" t="s">
        <v>265</v>
      </c>
      <c r="H69" s="12" t="str">
        <v>v.up('EX_met__L_e_REV-SPONT')=0.00133574270211305 * %nscale%;</v>
      </c>
      <c r="W69" s="26" t="s">
        <v>265</v>
      </c>
    </row>
    <row r="70" spans="1:23">
      <c r="A70" s="12" t="s">
        <v>260</v>
      </c>
      <c r="B70" s="12">
        <v>0.11616</v>
      </c>
      <c r="C70" s="12">
        <v>131.17291999999901</v>
      </c>
      <c r="D70" s="12" t="str">
        <f>"EX_"&amp;Table22[[#This Row],[compound]]</f>
        <v>EX_ile__L_e</v>
      </c>
      <c r="E70" s="12">
        <f>($A$5*Table22[[#This Row],[mass (g/L)]]/(Table22[[#This Row],[MW (g/mol)]]/1000))/$AH$5</f>
        <v>2.5534851010850074E-3</v>
      </c>
      <c r="F70" s="12">
        <f>_xlfn.LET(_xlpm.dec,_xlfn.TEXTAFTER(Table22[[#This Row],[flux]],".",,,,0),_xlpm.rounded,ROUNDUP(Table22[[#This Row],[flux]],6),Table22[[#This Row],[flux]])</f>
        <v>2.5534851010850074E-3</v>
      </c>
      <c r="G70" s="26" t="s">
        <v>265</v>
      </c>
      <c r="H70" s="12" t="str">
        <v>v.up('EX_ile__L_e_REV-SPONT')=0.00255348510108501 * %nscale%;</v>
      </c>
      <c r="W70" s="26" t="s">
        <v>265</v>
      </c>
    </row>
    <row r="71" spans="1:23">
      <c r="A71" s="12" t="s">
        <v>261</v>
      </c>
      <c r="B71" s="12">
        <v>0.32640000000000002</v>
      </c>
      <c r="C71" s="12">
        <v>131.17291999999901</v>
      </c>
      <c r="D71" s="12" t="str">
        <f>"EX_"&amp;Table22[[#This Row],[compound]]</f>
        <v>EX_leu__L_e</v>
      </c>
      <c r="E71" s="12">
        <f>($A$5*Table22[[#This Row],[mass (g/L)]]/(Table22[[#This Row],[MW (g/mol)]]/1000))/$AH$5</f>
        <v>7.1750821022223349E-3</v>
      </c>
      <c r="F71" s="12">
        <f>_xlfn.LET(_xlpm.dec,_xlfn.TEXTAFTER(Table22[[#This Row],[flux]],".",,,,0),_xlpm.rounded,ROUNDUP(Table22[[#This Row],[flux]],6),Table22[[#This Row],[flux]])</f>
        <v>7.1750821022223349E-3</v>
      </c>
      <c r="G71" s="26" t="s">
        <v>265</v>
      </c>
      <c r="H71" s="12" t="str">
        <v>v.up('EX_leu__L_e_REV-SPONT')=0.00717508210222233 * %nscale%;</v>
      </c>
      <c r="W71" s="26" t="s">
        <v>265</v>
      </c>
    </row>
    <row r="72" spans="1:23">
      <c r="A72" s="12" t="s">
        <v>262</v>
      </c>
      <c r="B72" s="12">
        <v>0.13247999999999999</v>
      </c>
      <c r="C72" s="12">
        <v>165.18913999999899</v>
      </c>
      <c r="D72" s="12" t="str">
        <f>"EX_"&amp;Table22[[#This Row],[compound]]</f>
        <v>EX_phe__L_e</v>
      </c>
      <c r="E72" s="12">
        <f>($A$5*Table22[[#This Row],[mass (g/L)]]/(Table22[[#This Row],[MW (g/mol)]]/1000))/$AH$5</f>
        <v>2.3125425824919669E-3</v>
      </c>
      <c r="F72" s="12">
        <f>_xlfn.LET(_xlpm.dec,_xlfn.TEXTAFTER(Table22[[#This Row],[flux]],".",,,,0),_xlpm.rounded,ROUNDUP(Table22[[#This Row],[flux]],6),Table22[[#This Row],[flux]])</f>
        <v>2.3125425824919669E-3</v>
      </c>
      <c r="G72" s="26" t="s">
        <v>265</v>
      </c>
      <c r="H72" s="12" t="str">
        <v>v.up('EX_phe__L_e_REV-SPONT')=0.00231254258249197 * %nscale%;</v>
      </c>
      <c r="W72" s="26" t="s">
        <v>265</v>
      </c>
    </row>
    <row r="73" spans="1:23">
      <c r="A73" s="12" t="s">
        <v>263</v>
      </c>
      <c r="B73" s="12">
        <v>0.11135999999999999</v>
      </c>
      <c r="C73" s="12">
        <v>155.15456</v>
      </c>
      <c r="D73" s="12" t="str">
        <f>"EX_"&amp;Table22[[#This Row],[compound]]</f>
        <v>EX_his__L_e</v>
      </c>
      <c r="E73" s="12">
        <f>($A$5*Table22[[#This Row],[mass (g/L)]]/(Table22[[#This Row],[MW (g/mol)]]/1000))/$AH$5</f>
        <v>2.0695960623779669E-3</v>
      </c>
      <c r="F73" s="12">
        <f>_xlfn.LET(_xlpm.dec,_xlfn.TEXTAFTER(Table22[[#This Row],[flux]],".",,,,0),_xlpm.rounded,ROUNDUP(Table22[[#This Row],[flux]],6),Table22[[#This Row],[flux]])</f>
        <v>2.0695960623779669E-3</v>
      </c>
      <c r="G73" s="26" t="s">
        <v>265</v>
      </c>
      <c r="H73" s="12" t="str">
        <v>v.up('EX_his__L_e_REV-SPONT')=0.00206959606237797 * %nscale%;</v>
      </c>
      <c r="W73" s="26" t="s">
        <v>265</v>
      </c>
    </row>
    <row r="74" spans="1:23">
      <c r="A74" s="12" t="s">
        <v>264</v>
      </c>
      <c r="B74" s="12">
        <v>0.30719999999999997</v>
      </c>
      <c r="C74" s="12">
        <v>115.13046</v>
      </c>
      <c r="D74" s="12" t="str">
        <f>"EX_"&amp;Table22[[#This Row],[compound]]</f>
        <v>EX_pro__L_e</v>
      </c>
      <c r="E74" s="12">
        <f>($A$5*Table22[[#This Row],[mass (g/L)]]/(Table22[[#This Row],[MW (g/mol)]]/1000))/$AH$5</f>
        <v>7.693994697744861E-3</v>
      </c>
      <c r="F74" s="12">
        <f>_xlfn.LET(_xlpm.dec,_xlfn.TEXTAFTER(Table22[[#This Row],[flux]],".",,,,0),_xlpm.rounded,ROUNDUP(Table22[[#This Row],[flux]],6),Table22[[#This Row],[flux]])</f>
        <v>7.693994697744861E-3</v>
      </c>
      <c r="G74" s="26" t="s">
        <v>265</v>
      </c>
      <c r="H74" s="12" t="str">
        <v>v.up('EX_pro__L_e_REV-SPONT')=0.00769399469774486 * %nscale%;</v>
      </c>
      <c r="W74" s="26" t="s">
        <v>265</v>
      </c>
    </row>
  </sheetData>
  <mergeCells count="3">
    <mergeCell ref="L2:Q2"/>
    <mergeCell ref="R2:W2"/>
    <mergeCell ref="X2:AC2"/>
  </mergeCells>
  <hyperlinks>
    <hyperlink ref="D22" r:id="rId1" location="overview" display="https://www.dow.com/en-us/pdp.tergitol-l-81-surfactant.77582z.html - overview" xr:uid="{A5FF7B4A-AA6E-2D48-A5F2-E264A69326DD}"/>
    <hyperlink ref="B1" r:id="rId2" display="https://academic.oup.com/jimb/article/42/11/1463/5995377" xr:uid="{82033123-1DA9-6E4E-B979-674F43D363D4}"/>
    <hyperlink ref="O26" r:id="rId3" display="https://www.researchgate.net/figure/Nutritional-substances-contained-in-the-corn-steep-liquor_tbl1_342937941" xr:uid="{67C1BDA4-BE40-B148-BC87-3C9CEBD61F4F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C597-08A9-C84F-8B33-EE45750F76C3}">
  <dimension ref="A1:AB38"/>
  <sheetViews>
    <sheetView workbookViewId="0">
      <selection activeCell="F24" sqref="F24"/>
    </sheetView>
  </sheetViews>
  <sheetFormatPr baseColWidth="10" defaultRowHeight="15"/>
  <cols>
    <col min="1" max="1" width="25.1640625" customWidth="1"/>
    <col min="25" max="25" width="20.5" customWidth="1"/>
  </cols>
  <sheetData>
    <row r="1" spans="1:28">
      <c r="A1" s="4" t="s">
        <v>289</v>
      </c>
      <c r="O1" t="s">
        <v>322</v>
      </c>
    </row>
    <row r="2" spans="1:28">
      <c r="C2" s="34"/>
      <c r="F2" s="37" t="s">
        <v>318</v>
      </c>
      <c r="K2" s="37" t="s">
        <v>321</v>
      </c>
      <c r="O2" s="37" t="s">
        <v>318</v>
      </c>
      <c r="Q2" s="37" t="s">
        <v>321</v>
      </c>
      <c r="W2" s="48"/>
      <c r="Y2" s="48" t="s">
        <v>329</v>
      </c>
    </row>
    <row r="3" spans="1:28">
      <c r="A3" s="34"/>
      <c r="B3" s="34" t="s">
        <v>290</v>
      </c>
      <c r="C3" s="34" t="s">
        <v>291</v>
      </c>
      <c r="F3" s="38" t="s">
        <v>319</v>
      </c>
      <c r="G3" s="35" t="s">
        <v>320</v>
      </c>
      <c r="H3" t="s">
        <v>102</v>
      </c>
      <c r="I3" t="s">
        <v>100</v>
      </c>
      <c r="J3" t="s">
        <v>326</v>
      </c>
      <c r="K3" s="38" t="s">
        <v>319</v>
      </c>
      <c r="L3" s="35" t="s">
        <v>320</v>
      </c>
      <c r="M3" t="s">
        <v>102</v>
      </c>
      <c r="N3" t="s">
        <v>100</v>
      </c>
      <c r="O3" t="s">
        <v>102</v>
      </c>
      <c r="P3" t="s">
        <v>100</v>
      </c>
      <c r="Q3" t="s">
        <v>102</v>
      </c>
      <c r="R3" t="s">
        <v>100</v>
      </c>
      <c r="U3" s="34" t="s">
        <v>328</v>
      </c>
      <c r="W3" s="48"/>
      <c r="Y3" s="48"/>
    </row>
    <row r="4" spans="1:28">
      <c r="A4" s="35" t="s">
        <v>292</v>
      </c>
      <c r="B4" s="35">
        <v>8</v>
      </c>
      <c r="C4" s="35">
        <v>16</v>
      </c>
      <c r="D4" t="str" cm="1">
        <f t="array" ref="D4:E14">SUBSTITUTE(SUBSTITUTE(B4:C14," ","")," ","")</f>
        <v>8</v>
      </c>
      <c r="E4" t="str">
        <v>16</v>
      </c>
      <c r="F4" cm="1">
        <f t="array" ref="F4:G14">_xlfn.LET(_xlpm.str,"±",_xlpm.d,_xlfn.CHOOSECOLS(_xlfn.ANCHORARRAY(D4),1),_xlfn.HSTACK(_xlfn.NUMBERVALUE(_xlfn.TEXTBEFORE(_xlpm.d,_xlpm.str,,,,_xlpm.d)),_xlfn.NUMBERVALUE(_xlfn.TEXTAFTER(_xlpm.d,_xlpm.str,,,,0))))</f>
        <v>8</v>
      </c>
      <c r="G4">
        <v>0</v>
      </c>
      <c r="H4" cm="1">
        <f t="array" ref="H4:H14">_xlfn.CHOOSECOLS(_xlfn.ANCHORARRAY(F4),1)-_xlfn.CHOOSECOLS(_xlfn.ANCHORARRAY(F4),2)</f>
        <v>8</v>
      </c>
      <c r="I4" cm="1">
        <f t="array" ref="I4:I14">_xlfn.CHOOSECOLS(_xlfn.ANCHORARRAY(F4),1)+_xlfn.CHOOSECOLS(_xlfn.ANCHORARRAY(F4),2)</f>
        <v>8</v>
      </c>
      <c r="K4" cm="1">
        <f t="array" ref="K4:L14">_xlfn.LET(_xlpm.str,"±",_xlpm.d,_xlfn.CHOOSECOLS(_xlfn.ANCHORARRAY(D4),2),_xlfn.HSTACK(_xlfn.NUMBERVALUE(_xlfn.TEXTBEFORE(_xlpm.d,_xlpm.str,,,,_xlpm.d)),_xlfn.NUMBERVALUE(_xlfn.TEXTAFTER(_xlpm.d,_xlpm.str,,,,0))))</f>
        <v>16</v>
      </c>
      <c r="L4">
        <v>0</v>
      </c>
      <c r="M4" cm="1">
        <f t="array" ref="M4:M14">_xlfn.CHOOSECOLS(_xlfn.ANCHORARRAY(K4),1)-_xlfn.CHOOSECOLS(_xlfn.ANCHORARRAY(K4),2)</f>
        <v>16</v>
      </c>
      <c r="N4" cm="1">
        <f t="array" ref="N4:N14">_xlfn.CHOOSECOLS(_xlfn.ANCHORARRAY(K4),1)+_xlfn.CHOOSECOLS(_xlfn.ANCHORARRAY(K4),2)</f>
        <v>16</v>
      </c>
      <c r="U4" s="34" t="s">
        <v>290</v>
      </c>
      <c r="W4" s="34" t="s">
        <v>291</v>
      </c>
      <c r="Y4" s="34" t="s">
        <v>290</v>
      </c>
      <c r="AA4" s="34" t="s">
        <v>291</v>
      </c>
    </row>
    <row r="5" spans="1:28">
      <c r="A5" s="35" t="s">
        <v>293</v>
      </c>
      <c r="B5" s="35">
        <v>54</v>
      </c>
      <c r="C5" s="35">
        <v>80</v>
      </c>
      <c r="D5" t="str">
        <v>54</v>
      </c>
      <c r="E5" t="str">
        <v>80</v>
      </c>
      <c r="F5">
        <v>54</v>
      </c>
      <c r="G5">
        <v>0</v>
      </c>
      <c r="H5">
        <v>54</v>
      </c>
      <c r="I5">
        <v>54</v>
      </c>
      <c r="K5">
        <v>80</v>
      </c>
      <c r="L5">
        <v>0</v>
      </c>
      <c r="M5">
        <v>80</v>
      </c>
      <c r="N5">
        <v>80</v>
      </c>
      <c r="U5" s="34" t="s">
        <v>330</v>
      </c>
      <c r="V5" s="34" t="s">
        <v>331</v>
      </c>
      <c r="W5" s="34" t="s">
        <v>330</v>
      </c>
      <c r="X5" s="34" t="s">
        <v>331</v>
      </c>
      <c r="Y5" s="34" t="s">
        <v>330</v>
      </c>
      <c r="Z5" s="34" t="s">
        <v>331</v>
      </c>
      <c r="AA5" s="34" t="s">
        <v>330</v>
      </c>
      <c r="AB5" s="34" t="s">
        <v>331</v>
      </c>
    </row>
    <row r="6" spans="1:28" ht="17">
      <c r="A6" s="36" t="s">
        <v>294</v>
      </c>
      <c r="B6" s="35">
        <v>0.14000000000000001</v>
      </c>
      <c r="C6" s="35">
        <v>7.0000000000000007E-2</v>
      </c>
      <c r="D6" t="str">
        <v>0.14</v>
      </c>
      <c r="E6" t="str">
        <v>0.07</v>
      </c>
      <c r="F6">
        <v>0.14000000000000001</v>
      </c>
      <c r="G6">
        <v>0</v>
      </c>
      <c r="H6">
        <v>0.14000000000000001</v>
      </c>
      <c r="I6">
        <v>0.14000000000000001</v>
      </c>
      <c r="J6">
        <f>I6</f>
        <v>0.14000000000000001</v>
      </c>
      <c r="K6">
        <v>7.0000000000000007E-2</v>
      </c>
      <c r="L6">
        <v>0</v>
      </c>
      <c r="M6">
        <v>7.0000000000000007E-2</v>
      </c>
      <c r="N6">
        <v>7.0000000000000007E-2</v>
      </c>
      <c r="O6" t="str" cm="1">
        <f t="array" ref="O6:R6">"BIOMASS:("&amp;_xlfn.HSTACK(H24:I24,M24:N24)&amp;","&amp;_xlfn.HSTACK(H6:I6,M6:N6)&amp;")"</f>
        <v>BIOMASS:(0.009615384615,0.14)</v>
      </c>
      <c r="P6" t="str">
        <v>BIOMASS:(0.009615384615,0.14)</v>
      </c>
      <c r="Q6" t="str">
        <v>BIOMASS:(0.009615384615,0.07)</v>
      </c>
      <c r="R6" t="str">
        <v>BIOMASS:(0.009615384615,0.07)</v>
      </c>
      <c r="T6" s="35" t="s">
        <v>332</v>
      </c>
      <c r="U6" s="35" t="s">
        <v>333</v>
      </c>
      <c r="V6" s="35">
        <v>13.71</v>
      </c>
      <c r="W6" s="35" t="s">
        <v>334</v>
      </c>
      <c r="X6" s="35">
        <v>17.559999999999999</v>
      </c>
      <c r="Y6" s="35" t="s">
        <v>335</v>
      </c>
      <c r="Z6" s="35">
        <v>19.53</v>
      </c>
      <c r="AA6" s="35" t="s">
        <v>336</v>
      </c>
      <c r="AB6" s="35">
        <v>18.37</v>
      </c>
    </row>
    <row r="7" spans="1:28">
      <c r="A7" s="35" t="s">
        <v>295</v>
      </c>
      <c r="B7" s="35" t="s">
        <v>296</v>
      </c>
      <c r="C7" s="35" t="s">
        <v>297</v>
      </c>
      <c r="D7" t="str">
        <v>13.8±0.13</v>
      </c>
      <c r="E7" t="str">
        <v>11.1±0.1</v>
      </c>
      <c r="F7">
        <v>13.8</v>
      </c>
      <c r="G7">
        <v>0.13</v>
      </c>
      <c r="H7">
        <v>13.67</v>
      </c>
      <c r="I7">
        <v>13.930000000000001</v>
      </c>
      <c r="J7">
        <f>H7</f>
        <v>13.67</v>
      </c>
      <c r="K7">
        <v>11.1</v>
      </c>
      <c r="L7">
        <v>0.1</v>
      </c>
      <c r="M7">
        <v>11</v>
      </c>
      <c r="N7">
        <v>11.2</v>
      </c>
      <c r="T7" s="35" t="s">
        <v>337</v>
      </c>
      <c r="U7" s="35" t="s">
        <v>338</v>
      </c>
      <c r="V7" s="35">
        <v>0.93</v>
      </c>
      <c r="W7" s="35" t="s">
        <v>339</v>
      </c>
      <c r="X7" s="35">
        <v>1.46</v>
      </c>
      <c r="Y7" s="35" t="s">
        <v>340</v>
      </c>
      <c r="Z7" s="35" t="s">
        <v>340</v>
      </c>
      <c r="AA7" s="35" t="s">
        <v>340</v>
      </c>
      <c r="AB7" s="35" t="s">
        <v>340</v>
      </c>
    </row>
    <row r="8" spans="1:28">
      <c r="A8" s="35" t="s">
        <v>298</v>
      </c>
      <c r="B8" s="35" t="s">
        <v>299</v>
      </c>
      <c r="C8" s="35" t="s">
        <v>300</v>
      </c>
      <c r="D8" t="str">
        <v>40.8±0.3</v>
      </c>
      <c r="E8" t="str">
        <v>39.4±0.25</v>
      </c>
      <c r="F8">
        <v>40.799999999999997</v>
      </c>
      <c r="G8">
        <v>0.3</v>
      </c>
      <c r="H8">
        <v>40.5</v>
      </c>
      <c r="I8">
        <v>41.099999999999994</v>
      </c>
      <c r="J8">
        <f>I8</f>
        <v>41.099999999999994</v>
      </c>
      <c r="K8">
        <v>39.4</v>
      </c>
      <c r="L8">
        <v>0.25</v>
      </c>
      <c r="M8">
        <v>39.15</v>
      </c>
      <c r="N8">
        <v>39.65</v>
      </c>
      <c r="T8" s="35" t="s">
        <v>341</v>
      </c>
      <c r="U8" s="35" t="s">
        <v>342</v>
      </c>
      <c r="V8" s="35">
        <v>7.59</v>
      </c>
      <c r="W8" s="35" t="s">
        <v>343</v>
      </c>
      <c r="X8" s="35">
        <v>8.5</v>
      </c>
      <c r="Y8" s="35" t="s">
        <v>344</v>
      </c>
      <c r="Z8" s="35">
        <v>23.28</v>
      </c>
      <c r="AA8" s="35" t="s">
        <v>345</v>
      </c>
      <c r="AB8" s="35">
        <v>18.93</v>
      </c>
    </row>
    <row r="9" spans="1:28">
      <c r="A9" s="35" t="s">
        <v>301</v>
      </c>
      <c r="B9" s="35" t="s">
        <v>302</v>
      </c>
      <c r="C9" s="35" t="s">
        <v>303</v>
      </c>
      <c r="D9" t="str">
        <v>3.19±0.81</v>
      </c>
      <c r="E9" t="str">
        <v>1.1±1</v>
      </c>
      <c r="F9">
        <v>3.19</v>
      </c>
      <c r="G9">
        <v>0.81</v>
      </c>
      <c r="H9">
        <v>2.38</v>
      </c>
      <c r="I9">
        <v>4</v>
      </c>
      <c r="J9">
        <f>H9</f>
        <v>2.38</v>
      </c>
      <c r="K9">
        <v>1.1000000000000001</v>
      </c>
      <c r="L9">
        <v>1</v>
      </c>
      <c r="M9">
        <v>0.10000000000000009</v>
      </c>
      <c r="N9">
        <v>2.1</v>
      </c>
      <c r="T9" s="35" t="s">
        <v>346</v>
      </c>
      <c r="U9" s="35" t="s">
        <v>347</v>
      </c>
      <c r="V9" s="35">
        <v>12.82</v>
      </c>
      <c r="W9" s="35" t="s">
        <v>348</v>
      </c>
      <c r="X9" s="35">
        <v>15.76</v>
      </c>
      <c r="Y9" s="35" t="s">
        <v>349</v>
      </c>
      <c r="Z9" s="35">
        <v>30.83</v>
      </c>
      <c r="AA9" s="35" t="s">
        <v>350</v>
      </c>
      <c r="AB9" s="35">
        <v>26.71</v>
      </c>
    </row>
    <row r="10" spans="1:28" ht="17">
      <c r="A10" s="35" t="s">
        <v>304</v>
      </c>
      <c r="B10" s="35" t="s">
        <v>305</v>
      </c>
      <c r="C10" s="35" t="s">
        <v>306</v>
      </c>
      <c r="D10" t="str">
        <v>0.36±0.004</v>
      </c>
      <c r="E10" t="str">
        <v>0.28±0.003</v>
      </c>
      <c r="F10">
        <v>0.36</v>
      </c>
      <c r="G10">
        <v>4.0000000000000001E-3</v>
      </c>
      <c r="H10">
        <v>0.35599999999999998</v>
      </c>
      <c r="I10">
        <v>0.36399999999999999</v>
      </c>
      <c r="K10">
        <v>0.28000000000000003</v>
      </c>
      <c r="L10">
        <v>3.0000000000000001E-3</v>
      </c>
      <c r="M10">
        <v>0.27700000000000002</v>
      </c>
      <c r="N10">
        <v>0.28300000000000003</v>
      </c>
      <c r="T10" s="35" t="s">
        <v>351</v>
      </c>
      <c r="U10" s="35" t="s">
        <v>352</v>
      </c>
      <c r="V10" s="35">
        <v>34.659999999999997</v>
      </c>
      <c r="W10" s="35" t="s">
        <v>353</v>
      </c>
      <c r="X10" s="35">
        <v>43.99</v>
      </c>
      <c r="Y10" s="35" t="s">
        <v>354</v>
      </c>
      <c r="Z10" s="35">
        <v>56.54</v>
      </c>
      <c r="AA10" s="35" t="s">
        <v>355</v>
      </c>
      <c r="AB10" s="35">
        <v>50.87</v>
      </c>
    </row>
    <row r="11" spans="1:28" ht="17">
      <c r="A11" s="35" t="s">
        <v>307</v>
      </c>
      <c r="B11" s="35" t="s">
        <v>308</v>
      </c>
      <c r="C11" s="35"/>
      <c r="D11" t="str">
        <v>7.59±1.54</v>
      </c>
      <c r="E11" t="str">
        <v/>
      </c>
      <c r="F11">
        <v>7.59</v>
      </c>
      <c r="G11">
        <v>1.54</v>
      </c>
      <c r="H11">
        <v>6.05</v>
      </c>
      <c r="I11">
        <v>9.129999999999999</v>
      </c>
      <c r="K11">
        <v>0</v>
      </c>
      <c r="L11">
        <v>0</v>
      </c>
      <c r="M11">
        <v>0</v>
      </c>
      <c r="N11">
        <v>0</v>
      </c>
      <c r="T11" s="35" t="s">
        <v>356</v>
      </c>
      <c r="U11" s="35" t="s">
        <v>357</v>
      </c>
      <c r="V11" s="35">
        <v>21.64</v>
      </c>
      <c r="W11" s="35" t="s">
        <v>358</v>
      </c>
      <c r="X11" s="35">
        <v>20.92</v>
      </c>
      <c r="Y11" s="35" t="s">
        <v>359</v>
      </c>
      <c r="Z11" s="35">
        <v>345.11</v>
      </c>
      <c r="AA11" s="35" t="s">
        <v>360</v>
      </c>
      <c r="AB11" s="35">
        <v>356.12</v>
      </c>
    </row>
    <row r="12" spans="1:28" ht="17">
      <c r="A12" s="35" t="s">
        <v>309</v>
      </c>
      <c r="B12" s="35" t="s">
        <v>310</v>
      </c>
      <c r="C12" s="35" t="s">
        <v>311</v>
      </c>
      <c r="D12" t="str">
        <v>10.58±1.00</v>
      </c>
      <c r="E12" t="str">
        <v>13.99±1.5</v>
      </c>
      <c r="F12">
        <v>10.58</v>
      </c>
      <c r="G12">
        <v>1</v>
      </c>
      <c r="H12">
        <v>9.58</v>
      </c>
      <c r="I12">
        <v>11.58</v>
      </c>
      <c r="K12">
        <v>13.99</v>
      </c>
      <c r="L12">
        <v>1.5</v>
      </c>
      <c r="M12">
        <v>12.49</v>
      </c>
      <c r="N12">
        <v>15.49</v>
      </c>
      <c r="T12" s="35" t="s">
        <v>361</v>
      </c>
      <c r="U12" s="35">
        <v>1.58</v>
      </c>
      <c r="V12" s="35"/>
      <c r="W12" s="35">
        <v>1.19</v>
      </c>
      <c r="X12" s="35"/>
      <c r="Y12" s="35">
        <v>17.66</v>
      </c>
      <c r="Z12" s="35"/>
      <c r="AA12" s="35">
        <v>19.37</v>
      </c>
      <c r="AB12" s="35"/>
    </row>
    <row r="13" spans="1:28" ht="17">
      <c r="A13" s="35" t="s">
        <v>312</v>
      </c>
      <c r="B13" s="35" t="s">
        <v>313</v>
      </c>
      <c r="C13" s="35" t="s">
        <v>314</v>
      </c>
      <c r="D13" t="str">
        <v>47.51±1.81</v>
      </c>
      <c r="E13" t="str">
        <v>47.05±1.4</v>
      </c>
      <c r="F13">
        <v>47.51</v>
      </c>
      <c r="G13">
        <v>1.81</v>
      </c>
      <c r="H13">
        <v>45.699999999999996</v>
      </c>
      <c r="I13">
        <v>49.32</v>
      </c>
      <c r="K13">
        <v>47.05</v>
      </c>
      <c r="L13">
        <v>1.4</v>
      </c>
      <c r="M13">
        <v>45.65</v>
      </c>
      <c r="N13">
        <v>48.449999999999996</v>
      </c>
      <c r="T13" s="35" t="s">
        <v>362</v>
      </c>
      <c r="U13" s="35" t="s">
        <v>363</v>
      </c>
      <c r="V13" s="35"/>
      <c r="W13" s="35" t="s">
        <v>364</v>
      </c>
      <c r="X13" s="35"/>
      <c r="Y13" s="35" t="s">
        <v>365</v>
      </c>
      <c r="Z13" s="35"/>
      <c r="AA13" s="35" t="s">
        <v>366</v>
      </c>
    </row>
    <row r="14" spans="1:28" ht="16">
      <c r="A14" s="35" t="s">
        <v>315</v>
      </c>
      <c r="B14" s="35" t="s">
        <v>316</v>
      </c>
      <c r="C14" s="35" t="s">
        <v>317</v>
      </c>
      <c r="D14" t="str">
        <v>0.19±0.01</v>
      </c>
      <c r="E14" t="str">
        <v>0.15±0.009</v>
      </c>
      <c r="F14">
        <v>0.19</v>
      </c>
      <c r="G14">
        <v>0.01</v>
      </c>
      <c r="H14">
        <v>0.18</v>
      </c>
      <c r="I14">
        <v>0.2</v>
      </c>
      <c r="K14">
        <v>0.15</v>
      </c>
      <c r="L14">
        <v>8.9999999999999993E-3</v>
      </c>
      <c r="M14">
        <v>0.14099999999999999</v>
      </c>
      <c r="N14">
        <v>0.159</v>
      </c>
      <c r="Z14">
        <f>Z11/1000</f>
        <v>0.34511000000000003</v>
      </c>
    </row>
    <row r="15" spans="1:28">
      <c r="A15" s="6" t="s">
        <v>323</v>
      </c>
      <c r="H15">
        <f t="shared" ref="H15:N15" si="0">H8-H9</f>
        <v>38.119999999999997</v>
      </c>
      <c r="I15">
        <f t="shared" si="0"/>
        <v>37.099999999999994</v>
      </c>
      <c r="J15">
        <f t="shared" si="0"/>
        <v>38.719999999999992</v>
      </c>
      <c r="K15">
        <f t="shared" si="0"/>
        <v>38.299999999999997</v>
      </c>
      <c r="L15">
        <f t="shared" si="0"/>
        <v>-0.75</v>
      </c>
      <c r="M15">
        <f t="shared" si="0"/>
        <v>39.049999999999997</v>
      </c>
      <c r="N15">
        <f t="shared" si="0"/>
        <v>37.549999999999997</v>
      </c>
    </row>
    <row r="16" spans="1:28">
      <c r="A16" s="6" t="s">
        <v>325</v>
      </c>
      <c r="H16">
        <f>tal_calculations!G3/1000</f>
        <v>0.18015587999999999</v>
      </c>
      <c r="I16">
        <f t="shared" ref="I16:J16" si="1">H16</f>
        <v>0.18015587999999999</v>
      </c>
      <c r="J16">
        <f t="shared" si="1"/>
        <v>0.18015587999999999</v>
      </c>
      <c r="K16">
        <f>tal_calculations!F3/1000</f>
        <v>0.15012989999999998</v>
      </c>
      <c r="L16">
        <f>K16</f>
        <v>0.15012989999999998</v>
      </c>
      <c r="M16">
        <f t="shared" ref="M16:N16" si="2">L16</f>
        <v>0.15012989999999998</v>
      </c>
      <c r="N16">
        <f t="shared" si="2"/>
        <v>0.15012989999999998</v>
      </c>
    </row>
    <row r="17" spans="1:28">
      <c r="A17" s="6" t="s">
        <v>324</v>
      </c>
      <c r="H17">
        <f>(H15/H16)/(H7/H6)</f>
        <v>2.1670252499805462</v>
      </c>
      <c r="I17">
        <f>(I15/I16)/(I7/I6)</f>
        <v>2.0696761138633955</v>
      </c>
      <c r="J17">
        <f>(J15/J16)*J6/(J7)</f>
        <v>2.2011337271575746</v>
      </c>
      <c r="M17">
        <f>(M15/M16)/(M7/M6)</f>
        <v>1.6552332346854293</v>
      </c>
      <c r="N17">
        <f>(N15/N16)/(N7/N6)</f>
        <v>1.5632295765200672</v>
      </c>
      <c r="T17" t="s">
        <v>371</v>
      </c>
      <c r="Z17">
        <f>J6*Z14/(882.4/1000)</f>
        <v>5.4754533091568462E-2</v>
      </c>
    </row>
    <row r="18" spans="1:28">
      <c r="A18" s="6" t="s">
        <v>327</v>
      </c>
      <c r="T18" t="s">
        <v>372</v>
      </c>
      <c r="Z18">
        <f>J6*Z14/(89.07/1000)</f>
        <v>0.54244302234197839</v>
      </c>
    </row>
    <row r="19" spans="1:28">
      <c r="A19" s="6" t="s">
        <v>368</v>
      </c>
      <c r="B19">
        <v>1.173</v>
      </c>
      <c r="C19">
        <f>B19</f>
        <v>1.173</v>
      </c>
      <c r="D19">
        <f t="shared" ref="D19:N19" si="3">C19</f>
        <v>1.173</v>
      </c>
      <c r="E19">
        <f t="shared" si="3"/>
        <v>1.173</v>
      </c>
      <c r="F19">
        <f t="shared" si="3"/>
        <v>1.173</v>
      </c>
      <c r="G19">
        <f t="shared" si="3"/>
        <v>1.173</v>
      </c>
      <c r="H19">
        <f t="shared" si="3"/>
        <v>1.173</v>
      </c>
      <c r="I19">
        <f t="shared" si="3"/>
        <v>1.173</v>
      </c>
      <c r="J19">
        <f t="shared" si="3"/>
        <v>1.173</v>
      </c>
      <c r="K19">
        <f t="shared" si="3"/>
        <v>1.173</v>
      </c>
      <c r="L19">
        <f t="shared" si="3"/>
        <v>1.173</v>
      </c>
      <c r="M19">
        <f t="shared" si="3"/>
        <v>1.173</v>
      </c>
      <c r="N19">
        <f t="shared" si="3"/>
        <v>1.173</v>
      </c>
      <c r="T19" t="s">
        <v>373</v>
      </c>
      <c r="Z19">
        <f>J6*Z14/((89.07+3*(270.45))/1000)</f>
        <v>5.3658737033828674E-2</v>
      </c>
    </row>
    <row r="20" spans="1:28" ht="18">
      <c r="A20" s="6" t="s">
        <v>272</v>
      </c>
      <c r="B20" s="40">
        <v>132.13999999999999</v>
      </c>
      <c r="C20" s="41">
        <f>B20</f>
        <v>132.13999999999999</v>
      </c>
      <c r="D20" s="41">
        <f t="shared" ref="D20:N20" si="4">C20</f>
        <v>132.13999999999999</v>
      </c>
      <c r="E20" s="41">
        <f t="shared" si="4"/>
        <v>132.13999999999999</v>
      </c>
      <c r="F20" s="41">
        <f t="shared" si="4"/>
        <v>132.13999999999999</v>
      </c>
      <c r="G20" s="41">
        <f t="shared" si="4"/>
        <v>132.13999999999999</v>
      </c>
      <c r="H20" s="41">
        <f t="shared" si="4"/>
        <v>132.13999999999999</v>
      </c>
      <c r="I20" s="41">
        <f t="shared" si="4"/>
        <v>132.13999999999999</v>
      </c>
      <c r="J20" s="41">
        <f t="shared" si="4"/>
        <v>132.13999999999999</v>
      </c>
      <c r="K20" s="41">
        <f t="shared" si="4"/>
        <v>132.13999999999999</v>
      </c>
      <c r="L20" s="41">
        <f t="shared" si="4"/>
        <v>132.13999999999999</v>
      </c>
      <c r="M20" s="41">
        <f t="shared" si="4"/>
        <v>132.13999999999999</v>
      </c>
      <c r="N20" s="41">
        <f t="shared" si="4"/>
        <v>132.13999999999999</v>
      </c>
      <c r="T20" t="s">
        <v>375</v>
      </c>
      <c r="Z20">
        <f>J6*Z14/((89.07+(3*368.6367))/1000)</f>
        <v>4.0431970373397859E-2</v>
      </c>
      <c r="AA20" s="4" t="s">
        <v>374</v>
      </c>
      <c r="AB20" s="42"/>
    </row>
    <row r="21" spans="1:28">
      <c r="A21" s="6" t="s">
        <v>376</v>
      </c>
      <c r="B21">
        <v>18.04</v>
      </c>
      <c r="C21">
        <v>18.04</v>
      </c>
      <c r="D21">
        <v>18.04</v>
      </c>
      <c r="E21">
        <v>18.04</v>
      </c>
      <c r="F21">
        <v>18.04</v>
      </c>
      <c r="G21">
        <v>18.04</v>
      </c>
      <c r="H21">
        <v>18.04</v>
      </c>
      <c r="I21">
        <v>18.04</v>
      </c>
      <c r="J21">
        <v>18.04</v>
      </c>
      <c r="K21">
        <v>18.04</v>
      </c>
      <c r="L21">
        <v>18.04</v>
      </c>
      <c r="M21">
        <v>18.04</v>
      </c>
      <c r="N21">
        <v>18.04</v>
      </c>
    </row>
    <row r="22" spans="1:28">
      <c r="A22" s="6" t="s">
        <v>370</v>
      </c>
      <c r="B22">
        <f t="shared" ref="B22:N22" si="5">(2*18.04)/B20</f>
        <v>0.27304374148630245</v>
      </c>
      <c r="C22">
        <f t="shared" si="5"/>
        <v>0.27304374148630245</v>
      </c>
      <c r="D22">
        <f t="shared" si="5"/>
        <v>0.27304374148630245</v>
      </c>
      <c r="E22">
        <f t="shared" si="5"/>
        <v>0.27304374148630245</v>
      </c>
      <c r="F22">
        <f t="shared" si="5"/>
        <v>0.27304374148630245</v>
      </c>
      <c r="G22">
        <f t="shared" si="5"/>
        <v>0.27304374148630245</v>
      </c>
      <c r="H22">
        <f t="shared" si="5"/>
        <v>0.27304374148630245</v>
      </c>
      <c r="I22">
        <f t="shared" si="5"/>
        <v>0.27304374148630245</v>
      </c>
      <c r="J22">
        <f t="shared" si="5"/>
        <v>0.27304374148630245</v>
      </c>
      <c r="K22">
        <f t="shared" si="5"/>
        <v>0.27304374148630245</v>
      </c>
      <c r="L22">
        <f t="shared" si="5"/>
        <v>0.27304374148630245</v>
      </c>
      <c r="M22">
        <f t="shared" si="5"/>
        <v>0.27304374148630245</v>
      </c>
      <c r="N22">
        <f t="shared" si="5"/>
        <v>0.27304374148630245</v>
      </c>
    </row>
    <row r="23" spans="1:28">
      <c r="A23" s="6" t="s">
        <v>369</v>
      </c>
      <c r="H23">
        <f>(2*H19/(H20/1000))*H6/(H7)</f>
        <v>0.18182484516599134</v>
      </c>
      <c r="I23">
        <f t="shared" ref="I23:J23" si="6">(2*I19/(I20/1000))*I6/(I7)</f>
        <v>0.17843112946296494</v>
      </c>
      <c r="J23">
        <f t="shared" si="6"/>
        <v>0.18182484516599134</v>
      </c>
      <c r="L23">
        <f t="shared" ref="L23:N23" si="7">(2*L19/(L20/1000))*L6/(L7)</f>
        <v>0</v>
      </c>
      <c r="M23">
        <f t="shared" si="7"/>
        <v>0.11297934697359553</v>
      </c>
      <c r="N23">
        <f t="shared" si="7"/>
        <v>0.11096185863478134</v>
      </c>
    </row>
    <row r="24" spans="1:28">
      <c r="A24" s="6" t="s">
        <v>377</v>
      </c>
      <c r="H24">
        <v>9.615384615E-3</v>
      </c>
      <c r="I24">
        <v>9.615384615E-3</v>
      </c>
      <c r="J24">
        <v>9.615384615E-3</v>
      </c>
      <c r="K24">
        <v>9.615384615E-3</v>
      </c>
      <c r="L24">
        <v>9.615384615E-3</v>
      </c>
      <c r="M24">
        <v>9.615384615E-3</v>
      </c>
      <c r="N24">
        <v>9.615384615E-3</v>
      </c>
    </row>
    <row r="25" spans="1:28">
      <c r="A25" s="6"/>
    </row>
    <row r="26" spans="1:28">
      <c r="A26" s="6"/>
    </row>
    <row r="27" spans="1:28">
      <c r="A27" s="6"/>
    </row>
    <row r="28" spans="1:28">
      <c r="A28" s="6"/>
    </row>
    <row r="29" spans="1:28">
      <c r="A29" s="6"/>
    </row>
    <row r="30" spans="1:28">
      <c r="A30" s="6"/>
    </row>
    <row r="31" spans="1:28">
      <c r="A31" s="6"/>
    </row>
    <row r="32" spans="1:2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 ht="23">
      <c r="A38" s="39" t="s">
        <v>367</v>
      </c>
    </row>
  </sheetData>
  <mergeCells count="2">
    <mergeCell ref="W2:W3"/>
    <mergeCell ref="Y2:Y3"/>
  </mergeCells>
  <conditionalFormatting sqref="H14:J1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5:J1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7:J1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4:N1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5:N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hyperlinks>
    <hyperlink ref="A1" r:id="rId1" display="https://link.springer.com/article/10.1186/s13068-019-1478-8/tables/1" xr:uid="{12DECB10-13BE-D448-A529-82590C593460}"/>
    <hyperlink ref="AA20" r:id="rId2" display="https://www.ebi.ac.uk/chebi/searchId.do?chebiId=28866" xr:uid="{DE2D2420-69A1-4940-8C35-5E0FC54F2EE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9C04-4BAF-FA4F-AC11-287F5F092455}">
  <dimension ref="A1:AI24"/>
  <sheetViews>
    <sheetView topLeftCell="F1" workbookViewId="0">
      <selection activeCell="Y3" sqref="Y3"/>
    </sheetView>
  </sheetViews>
  <sheetFormatPr baseColWidth="10" defaultRowHeight="15"/>
  <cols>
    <col min="1" max="1" width="3.5" bestFit="1" customWidth="1"/>
    <col min="2" max="2" width="6.1640625" bestFit="1" customWidth="1"/>
    <col min="3" max="3" width="16.83203125" bestFit="1" customWidth="1"/>
    <col min="8" max="9" width="9.33203125" customWidth="1"/>
    <col min="10" max="10" width="13.33203125" customWidth="1"/>
    <col min="11" max="12" width="11.1640625" customWidth="1"/>
    <col min="13" max="14" width="12.1640625" bestFit="1" customWidth="1"/>
    <col min="19" max="20" width="7.33203125" customWidth="1"/>
    <col min="21" max="24" width="5.83203125" customWidth="1"/>
    <col min="25" max="25" width="16.6640625" bestFit="1" customWidth="1"/>
    <col min="27" max="28" width="5.83203125" customWidth="1"/>
    <col min="30" max="31" width="14.83203125" customWidth="1"/>
  </cols>
  <sheetData>
    <row r="1" spans="1:35" s="2" customFormat="1" ht="192" customHeight="1">
      <c r="D1" s="49" t="s">
        <v>107</v>
      </c>
      <c r="E1" s="49"/>
      <c r="F1" s="49" t="s">
        <v>3</v>
      </c>
      <c r="G1" s="49"/>
      <c r="H1" s="49" t="s">
        <v>101</v>
      </c>
      <c r="I1" s="49"/>
      <c r="J1" s="8" t="s">
        <v>117</v>
      </c>
      <c r="K1" s="49" t="s">
        <v>120</v>
      </c>
      <c r="L1" s="49"/>
      <c r="M1" s="49" t="s">
        <v>110</v>
      </c>
      <c r="N1" s="49"/>
      <c r="P1" s="49" t="s">
        <v>98</v>
      </c>
      <c r="Q1" s="49"/>
      <c r="R1" s="49"/>
      <c r="S1" s="49" t="s">
        <v>103</v>
      </c>
      <c r="T1" s="49"/>
      <c r="U1" s="49" t="s">
        <v>118</v>
      </c>
      <c r="V1" s="49"/>
      <c r="W1" s="49" t="s">
        <v>119</v>
      </c>
      <c r="X1" s="49"/>
      <c r="Y1" s="49" t="s">
        <v>108</v>
      </c>
      <c r="Z1" s="49"/>
      <c r="AA1" s="49" t="s">
        <v>283</v>
      </c>
      <c r="AB1" s="49"/>
      <c r="AD1" s="49" t="s">
        <v>114</v>
      </c>
      <c r="AE1" s="49"/>
      <c r="AF1" s="2" t="s">
        <v>384</v>
      </c>
      <c r="AH1" s="2" t="s">
        <v>386</v>
      </c>
      <c r="AI1" s="2" t="s">
        <v>387</v>
      </c>
    </row>
    <row r="2" spans="1:35">
      <c r="A2" t="s">
        <v>104</v>
      </c>
      <c r="B2" t="s">
        <v>111</v>
      </c>
      <c r="C2" t="s">
        <v>116</v>
      </c>
      <c r="D2" t="s">
        <v>105</v>
      </c>
      <c r="E2" t="s">
        <v>106</v>
      </c>
      <c r="F2" t="s">
        <v>105</v>
      </c>
      <c r="G2" t="s">
        <v>106</v>
      </c>
      <c r="H2" t="s">
        <v>102</v>
      </c>
      <c r="I2" t="s">
        <v>100</v>
      </c>
      <c r="K2" t="s">
        <v>102</v>
      </c>
      <c r="L2" t="s">
        <v>100</v>
      </c>
      <c r="M2" t="s">
        <v>102</v>
      </c>
      <c r="N2" t="s">
        <v>100</v>
      </c>
      <c r="O2" t="s">
        <v>96</v>
      </c>
      <c r="P2" t="s">
        <v>115</v>
      </c>
      <c r="Q2" t="s">
        <v>102</v>
      </c>
      <c r="R2" t="s">
        <v>100</v>
      </c>
      <c r="S2" t="s">
        <v>102</v>
      </c>
      <c r="T2" t="s">
        <v>100</v>
      </c>
      <c r="U2" t="s">
        <v>102</v>
      </c>
      <c r="V2" t="s">
        <v>100</v>
      </c>
      <c r="W2" t="s">
        <v>102</v>
      </c>
      <c r="X2" t="s">
        <v>100</v>
      </c>
      <c r="Y2" t="s">
        <v>105</v>
      </c>
      <c r="Z2" t="s">
        <v>106</v>
      </c>
      <c r="AA2" t="s">
        <v>105</v>
      </c>
      <c r="AB2" t="s">
        <v>106</v>
      </c>
      <c r="AC2" t="s">
        <v>109</v>
      </c>
      <c r="AD2" t="s">
        <v>102</v>
      </c>
      <c r="AE2" t="s">
        <v>100</v>
      </c>
      <c r="AF2" t="s">
        <v>385</v>
      </c>
    </row>
    <row r="3" spans="1:35" ht="16">
      <c r="A3">
        <v>72</v>
      </c>
      <c r="B3">
        <f>0.014</f>
        <v>1.4E-2</v>
      </c>
      <c r="C3">
        <v>126.11004</v>
      </c>
      <c r="D3">
        <v>0.6</v>
      </c>
      <c r="E3">
        <v>1.4</v>
      </c>
      <c r="F3">
        <v>150.12989999999999</v>
      </c>
      <c r="G3">
        <v>180.15588</v>
      </c>
      <c r="H3">
        <f>((62-2.6-0.2)/3)*$B$3</f>
        <v>0.27626666666666666</v>
      </c>
      <c r="I3">
        <f>((62+2.6-0.2)/3)*$B$3</f>
        <v>0.30053333333333332</v>
      </c>
      <c r="J3" s="2">
        <v>1</v>
      </c>
      <c r="K3">
        <f>((62-2.6-0.2)/3)*$B$3*$J$3</f>
        <v>0.27626666666666666</v>
      </c>
      <c r="L3">
        <f>((62+2.6-0.2)/3)*$B$3*$J$3</f>
        <v>0.30053333333333332</v>
      </c>
      <c r="M3" s="6">
        <f>1/$A$3</f>
        <v>1.3888888888888888E-2</v>
      </c>
      <c r="N3" s="6">
        <f>1/$A$3</f>
        <v>1.3888888888888888E-2</v>
      </c>
      <c r="O3">
        <f>O18*B3</f>
        <v>0.26530496453900709</v>
      </c>
      <c r="P3" s="5" t="s">
        <v>97</v>
      </c>
      <c r="Q3" s="5">
        <f>(_xlfn.NUMBERVALUE(_xlfn.TEXTBEFORE(P3,"±"))-_xlfn.NUMBERVALUE(_xlfn.TEXTAFTER(P3,"±")))</f>
        <v>2.17</v>
      </c>
      <c r="R3" s="5">
        <f>(_xlfn.NUMBERVALUE(_xlfn.TEXTBEFORE(P3,"±"))+_xlfn.NUMBERVALUE(_xlfn.TEXTAFTER(P3,"±")))</f>
        <v>2.29</v>
      </c>
      <c r="S3">
        <f>(Q3)/(O3/$B$3)</f>
        <v>0.11450973053892215</v>
      </c>
      <c r="T3">
        <f>(R3)/(O3/$B$3)</f>
        <v>0.12084206586826347</v>
      </c>
      <c r="U3">
        <f>S3*SUM($D$3:$E$3)/$E$3</f>
        <v>0.16358532934131736</v>
      </c>
      <c r="V3">
        <f>T3*SUM($D$3:$E$3)/$E$3</f>
        <v>0.17263152266894782</v>
      </c>
      <c r="W3">
        <f>S3*SUM($D$3:$E$3)/$D$3</f>
        <v>0.38169910179640715</v>
      </c>
      <c r="X3">
        <f>T3*SUM($D$3:$E$3)/$D$3</f>
        <v>0.4028068862275449</v>
      </c>
      <c r="Y3">
        <f>$O$3*(D3/2)/($K$3*$A$3*F3/1000)</f>
        <v>2.6652530690416863E-2</v>
      </c>
      <c r="Z3">
        <f>$O$3*(E3/2)*(1000/G3)/($K$3*$A$3)</f>
        <v>5.1824365231366125E-2</v>
      </c>
      <c r="AA3">
        <f>AB3*Y3/Z3</f>
        <v>0.1644154331606712</v>
      </c>
      <c r="AB3">
        <v>0.31969667559019399</v>
      </c>
      <c r="AC3" t="str" cm="1">
        <f t="array" ref="AC3">_xlfn.TEXTJOIN(";",TRUE,"EX_"&amp;Y2:Z2&amp;"__D_e:(-"&amp;AA3:AB3&amp;",1000)","BIOMASS:("&amp;M3&amp;","&amp;N3&amp;")")</f>
        <v>EX_xyl__D_e:(-0.164415433160671,1000);EX_glc__D_e:(-0.319696675590194,1000);BIOMASS:(0.0138888888888889,0.0138888888888889)</v>
      </c>
      <c r="AD3">
        <f>Q3*(1/I3)*(1000/$C$3)*$B$3/$A$3</f>
        <v>1.1133019284161489E-2</v>
      </c>
      <c r="AE3">
        <f>R3*(1/H3)*(1000/$C$3)*$B$3/$A$3</f>
        <v>1.2780647900976147E-2</v>
      </c>
      <c r="AF3">
        <v>40.99</v>
      </c>
      <c r="AI3">
        <v>8.8999999999999996E-2</v>
      </c>
    </row>
    <row r="4" spans="1:35">
      <c r="O4" s="37" t="s">
        <v>378</v>
      </c>
      <c r="S4" t="s">
        <v>435</v>
      </c>
      <c r="Z4">
        <f>U3*G3/C3</f>
        <v>0.23369161537475405</v>
      </c>
      <c r="AD4">
        <f>Z3*(G3/1000)*1000*U3/C3</f>
        <v>1.211091962668919E-2</v>
      </c>
    </row>
    <row r="5" spans="1:35">
      <c r="A5" t="s">
        <v>433</v>
      </c>
      <c r="O5">
        <f>(Q3)/((1.67*2/(0.47*0.3)*2/2.5))</f>
        <v>0.11450973053892215</v>
      </c>
      <c r="S5" t="s">
        <v>102</v>
      </c>
      <c r="T5" t="s">
        <v>100</v>
      </c>
    </row>
    <row r="6" spans="1:35">
      <c r="B6" t="s">
        <v>392</v>
      </c>
      <c r="C6" t="s">
        <v>393</v>
      </c>
      <c r="D6" t="s">
        <v>394</v>
      </c>
      <c r="E6" t="s">
        <v>98</v>
      </c>
      <c r="G6" t="s">
        <v>434</v>
      </c>
      <c r="S6">
        <f>O16*(2.23-0.06)/P13</f>
        <v>8.5235068992449869E-2</v>
      </c>
      <c r="T6">
        <f>P16*(2.23+0.06)/O13</f>
        <v>0.10390158934467515</v>
      </c>
    </row>
    <row r="7" spans="1:35">
      <c r="B7" t="s">
        <v>395</v>
      </c>
      <c r="C7" t="s">
        <v>396</v>
      </c>
      <c r="D7">
        <v>0</v>
      </c>
      <c r="E7" t="s">
        <v>397</v>
      </c>
      <c r="G7">
        <v>16.2</v>
      </c>
    </row>
    <row r="8" spans="1:35" ht="16">
      <c r="B8" t="s">
        <v>398</v>
      </c>
      <c r="C8" s="2" t="s">
        <v>399</v>
      </c>
      <c r="D8" s="2" t="s">
        <v>400</v>
      </c>
      <c r="E8" s="2" t="s">
        <v>401</v>
      </c>
      <c r="F8" s="2"/>
      <c r="G8" s="2"/>
      <c r="H8" s="2"/>
      <c r="I8" s="2"/>
    </row>
    <row r="9" spans="1:35">
      <c r="B9" t="s">
        <v>402</v>
      </c>
      <c r="C9" t="s">
        <v>403</v>
      </c>
      <c r="D9">
        <v>0</v>
      </c>
      <c r="E9" t="s">
        <v>404</v>
      </c>
      <c r="O9" s="37" t="s">
        <v>379</v>
      </c>
    </row>
    <row r="10" spans="1:35">
      <c r="B10" t="s">
        <v>405</v>
      </c>
      <c r="C10" t="s">
        <v>406</v>
      </c>
      <c r="D10" t="s">
        <v>407</v>
      </c>
      <c r="E10" t="s">
        <v>408</v>
      </c>
      <c r="O10">
        <f>Q16/(2/2.5)</f>
        <v>0.17624999999999996</v>
      </c>
    </row>
    <row r="11" spans="1:35">
      <c r="B11" t="s">
        <v>409</v>
      </c>
      <c r="C11" t="s">
        <v>410</v>
      </c>
      <c r="D11" t="s">
        <v>411</v>
      </c>
      <c r="E11" t="s">
        <v>412</v>
      </c>
      <c r="O11" s="37" t="s">
        <v>389</v>
      </c>
    </row>
    <row r="12" spans="1:35">
      <c r="B12" t="s">
        <v>413</v>
      </c>
      <c r="C12" t="s">
        <v>414</v>
      </c>
      <c r="D12">
        <v>0</v>
      </c>
      <c r="E12" t="s">
        <v>97</v>
      </c>
      <c r="O12" t="s">
        <v>102</v>
      </c>
      <c r="P12" t="s">
        <v>100</v>
      </c>
      <c r="Q12" t="s">
        <v>390</v>
      </c>
    </row>
    <row r="13" spans="1:35">
      <c r="B13" t="s">
        <v>385</v>
      </c>
      <c r="C13" t="s">
        <v>415</v>
      </c>
      <c r="D13">
        <v>0</v>
      </c>
      <c r="E13" t="s">
        <v>416</v>
      </c>
      <c r="O13">
        <f>3.33-0.12</f>
        <v>3.21</v>
      </c>
      <c r="P13">
        <f>3.33+0.12</f>
        <v>3.45</v>
      </c>
      <c r="Q13">
        <f>2*1.67</f>
        <v>3.34</v>
      </c>
    </row>
    <row r="14" spans="1:35">
      <c r="B14" t="s">
        <v>417</v>
      </c>
      <c r="C14" t="s">
        <v>418</v>
      </c>
      <c r="D14" t="s">
        <v>419</v>
      </c>
      <c r="E14" t="s">
        <v>420</v>
      </c>
      <c r="O14" s="37" t="s">
        <v>391</v>
      </c>
    </row>
    <row r="15" spans="1:35" ht="32">
      <c r="B15" t="s">
        <v>421</v>
      </c>
      <c r="C15" t="s">
        <v>422</v>
      </c>
      <c r="D15" t="s">
        <v>423</v>
      </c>
      <c r="E15" t="s">
        <v>424</v>
      </c>
      <c r="O15" t="s">
        <v>102</v>
      </c>
      <c r="P15" t="s">
        <v>100</v>
      </c>
      <c r="Q15" s="2" t="s">
        <v>388</v>
      </c>
    </row>
    <row r="16" spans="1:35">
      <c r="B16" t="s">
        <v>425</v>
      </c>
      <c r="C16" t="s">
        <v>426</v>
      </c>
      <c r="D16" t="s">
        <v>427</v>
      </c>
      <c r="E16" t="s">
        <v>428</v>
      </c>
      <c r="O16">
        <f>Q16*O13/Q13</f>
        <v>0.13551197604790419</v>
      </c>
      <c r="P16">
        <f>Q16*P13/Q13</f>
        <v>0.14564371257485031</v>
      </c>
      <c r="Q16">
        <f>(0.47*0.3)</f>
        <v>0.14099999999999999</v>
      </c>
    </row>
    <row r="17" spans="1:15">
      <c r="B17" t="s">
        <v>429</v>
      </c>
      <c r="C17" t="s">
        <v>430</v>
      </c>
      <c r="D17" t="s">
        <v>431</v>
      </c>
      <c r="E17" t="s">
        <v>432</v>
      </c>
      <c r="O17" s="37" t="s">
        <v>380</v>
      </c>
    </row>
    <row r="18" spans="1:15">
      <c r="O18">
        <f>(1/O16)*O13*(2/(2+0.5))</f>
        <v>18.950354609929079</v>
      </c>
    </row>
    <row r="19" spans="1:15">
      <c r="O19" s="37" t="s">
        <v>381</v>
      </c>
    </row>
    <row r="20" spans="1:15">
      <c r="O20">
        <f>O18*1.4/2</f>
        <v>13.265248226950355</v>
      </c>
    </row>
    <row r="21" spans="1:15">
      <c r="O21" s="37" t="s">
        <v>382</v>
      </c>
    </row>
    <row r="22" spans="1:15">
      <c r="O22">
        <f>(1.67*2*B3/(0.47*0.3)*2/2.5)</f>
        <v>0.26530496453900709</v>
      </c>
    </row>
    <row r="23" spans="1:15" ht="32">
      <c r="A23" s="4" t="s">
        <v>288</v>
      </c>
      <c r="J23" s="2" t="s">
        <v>282</v>
      </c>
      <c r="O23" s="37" t="s">
        <v>383</v>
      </c>
    </row>
    <row r="24" spans="1:15">
      <c r="J24" s="2">
        <v>0.92586684699999999</v>
      </c>
      <c r="O24">
        <f>O18*B3</f>
        <v>0.26530496453900709</v>
      </c>
    </row>
  </sheetData>
  <mergeCells count="12">
    <mergeCell ref="F1:G1"/>
    <mergeCell ref="D1:E1"/>
    <mergeCell ref="Y1:Z1"/>
    <mergeCell ref="M1:N1"/>
    <mergeCell ref="AD1:AE1"/>
    <mergeCell ref="W1:X1"/>
    <mergeCell ref="U1:V1"/>
    <mergeCell ref="H1:I1"/>
    <mergeCell ref="P1:R1"/>
    <mergeCell ref="K1:L1"/>
    <mergeCell ref="S1:T1"/>
    <mergeCell ref="AA1:AB1"/>
  </mergeCells>
  <hyperlinks>
    <hyperlink ref="A23" r:id="rId1" display="https://analyticalsciencejournals.onlinelibrary.wiley.com/doi/full/10.1002/bit.28159" xr:uid="{465281EC-8B34-5B44-9D35-3855906C7B9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fatty alcohol (FA) calculations</vt:lpstr>
      <vt:lpstr>FA (24-75 h)</vt:lpstr>
      <vt:lpstr>tag calculations</vt:lpstr>
      <vt:lpstr>tal_calculations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137</cp:revision>
  <dcterms:created xsi:type="dcterms:W3CDTF">2021-10-04T10:56:17Z</dcterms:created>
  <dcterms:modified xsi:type="dcterms:W3CDTF">2024-10-12T00:19:33Z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