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ame\劍三\計算機\"/>
    </mc:Choice>
  </mc:AlternateContent>
  <xr:revisionPtr revIDLastSave="0" documentId="13_ncr:1_{0217DE72-250B-4B7A-8EAC-FE0F42203985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傷害計算" sheetId="2" r:id="rId1"/>
    <sheet name="配裝模擬" sheetId="4" r:id="rId2"/>
    <sheet name="資料庫" sheetId="7" r:id="rId3"/>
    <sheet name="BUFF" sheetId="5" r:id="rId4"/>
    <sheet name="會破試算" sheetId="1" state="hidden" r:id="rId5"/>
    <sheet name="個人配裝" sheetId="3" state="hidden" r:id="rId6"/>
    <sheet name="名稱用" sheetId="8" state="hidden" r:id="rId7"/>
    <sheet name="結論" sheetId="9" r:id="rId8"/>
  </sheets>
  <definedNames>
    <definedName name="_xlnm._FilterDatabase" localSheetId="2" hidden="1">資料庫!$A$1:$N$344</definedName>
    <definedName name="下裝">資料庫!$B$144:$B$176</definedName>
    <definedName name="下裝附魔">資料庫!$B$276:$B$278</definedName>
    <definedName name="五彩石">名稱用!$B$2:$B$8</definedName>
    <definedName name="衣服">資料庫!$B$47:$B$72</definedName>
    <definedName name="衣服附魔">資料庫!$B$291:$B$293</definedName>
    <definedName name="戒指">資料庫!$B$227:$B$243</definedName>
    <definedName name="戒指附魔">資料庫!$B$282:$B$284</definedName>
    <definedName name="其他宴席">資料庫!$B$301:$B$302</definedName>
    <definedName name="奇穴1">BUFF!$B$14:$D$14</definedName>
    <definedName name="奇穴10">BUFF!$B$23:$E$23</definedName>
    <definedName name="奇穴11">BUFF!$B$24:$E$24</definedName>
    <definedName name="奇穴12">BUFF!$B$25:$E$25</definedName>
    <definedName name="奇穴2">BUFF!$B$15:$D$15</definedName>
    <definedName name="奇穴3">BUFF!$B$16:$E$16</definedName>
    <definedName name="奇穴4">BUFF!$B$17:$E$17</definedName>
    <definedName name="奇穴5">BUFF!$B$18:$E$18</definedName>
    <definedName name="奇穴6">BUFF!$B$19:$E$19</definedName>
    <definedName name="奇穴7">BUFF!$B$20:$E$20</definedName>
    <definedName name="奇穴8">BUFF!$B$21:$E$21</definedName>
    <definedName name="奇穴9">BUFF!$B$22:$E$22</definedName>
    <definedName name="武器">資料庫!$B$257:$B$269</definedName>
    <definedName name="武器附魔">資料庫!$B$287</definedName>
    <definedName name="武器熔錠">資料庫!$B$297:$B$298</definedName>
    <definedName name="宴席">資料庫!$B$339:$B$344</definedName>
    <definedName name="畢業頭部">資料庫!$B$22:$B$46</definedName>
    <definedName name="項鍊">資料庫!$B$192:$B$206</definedName>
    <definedName name="暗器附魔">資料庫!$B$285:$B$286</definedName>
    <definedName name="暗器囊">資料庫!$B$244:$B$256</definedName>
    <definedName name="腰帶">資料庫!$B$73:$B$96</definedName>
    <definedName name="腰帶附魔">資料庫!$B$294:$B$296</definedName>
    <definedName name="腰墜">資料庫!$B$207:$B$226</definedName>
    <definedName name="裝備名稱">資料庫!$B$24:$B$337</definedName>
    <definedName name="裝備部位">名稱用!$A$2:$A$35</definedName>
    <definedName name="輔助食品">資料庫!$B$322:$B$325</definedName>
    <definedName name="輔助藥品">資料庫!$B$303:$B$307</definedName>
    <definedName name="增強食品">資料庫!$B$326:$B$338</definedName>
    <definedName name="增強藥品">資料庫!$B$308:$B$321</definedName>
    <definedName name="鞋子">資料庫!$B$177:$B$191</definedName>
    <definedName name="鞋子附魔">資料庫!$B$279:$B$281</definedName>
    <definedName name="頭部">資料庫!$B$2:$B$46</definedName>
    <definedName name="頭部附魔">資料庫!$B$270:$B$271</definedName>
    <definedName name="幫會宴席">資料庫!$B$299:$B$300</definedName>
    <definedName name="類型">名稱用!$G$2:$G$10</definedName>
    <definedName name="護腕">資料庫!$B$105:$B$143</definedName>
    <definedName name="護腕附魔">資料庫!$B$272:$B$275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9" i="7" l="1"/>
  <c r="I299" i="7"/>
  <c r="I37" i="4"/>
  <c r="D82" i="5"/>
  <c r="C82" i="5"/>
  <c r="G33" i="2"/>
  <c r="G32" i="2"/>
  <c r="G31" i="2"/>
  <c r="G27" i="2"/>
  <c r="G25" i="2"/>
  <c r="G24" i="2"/>
  <c r="G22" i="2"/>
  <c r="G19" i="2"/>
  <c r="G17" i="2"/>
  <c r="G15" i="2"/>
  <c r="G14" i="2"/>
  <c r="G13" i="2"/>
  <c r="B75" i="5"/>
  <c r="G84" i="5"/>
  <c r="H84" i="5"/>
  <c r="E84" i="5"/>
  <c r="J18" i="2"/>
  <c r="G102" i="5"/>
  <c r="L104" i="7" l="1"/>
  <c r="I104" i="7"/>
  <c r="G104" i="7"/>
  <c r="E104" i="7"/>
  <c r="D104" i="7"/>
  <c r="E103" i="7"/>
  <c r="D103" i="7"/>
  <c r="L103" i="7"/>
  <c r="I103" i="7"/>
  <c r="G103" i="7"/>
  <c r="L102" i="7"/>
  <c r="J102" i="7"/>
  <c r="I102" i="7"/>
  <c r="G102" i="7"/>
  <c r="E102" i="7"/>
  <c r="L101" i="7"/>
  <c r="I101" i="7"/>
  <c r="F101" i="7"/>
  <c r="E101" i="7"/>
  <c r="L100" i="7"/>
  <c r="G100" i="7"/>
  <c r="E100" i="7"/>
  <c r="L99" i="7"/>
  <c r="D99" i="7"/>
  <c r="G99" i="7"/>
  <c r="E99" i="7"/>
  <c r="F98" i="7"/>
  <c r="E98" i="7"/>
  <c r="D98" i="7"/>
  <c r="J98" i="7"/>
  <c r="L98" i="7"/>
  <c r="G97" i="7"/>
  <c r="L97" i="7"/>
  <c r="J97" i="7"/>
  <c r="E97" i="7"/>
  <c r="D97" i="7"/>
  <c r="G89" i="7"/>
  <c r="J89" i="7"/>
  <c r="D89" i="7"/>
  <c r="L78" i="7"/>
  <c r="L89" i="7"/>
  <c r="L88" i="7"/>
  <c r="I88" i="7"/>
  <c r="F88" i="7"/>
  <c r="E88" i="7"/>
  <c r="D88" i="7"/>
  <c r="I86" i="7"/>
  <c r="G86" i="7"/>
  <c r="E86" i="7"/>
  <c r="D86" i="7"/>
  <c r="L86" i="7"/>
  <c r="D78" i="7"/>
  <c r="E78" i="7"/>
  <c r="F78" i="7"/>
  <c r="J78" i="7"/>
  <c r="L77" i="7"/>
  <c r="I77" i="7"/>
  <c r="F77" i="7"/>
  <c r="E77" i="7"/>
  <c r="D77" i="7"/>
  <c r="D75" i="7"/>
  <c r="L76" i="7"/>
  <c r="J76" i="7"/>
  <c r="E76" i="7"/>
  <c r="G76" i="7"/>
  <c r="I75" i="7"/>
  <c r="F75" i="7"/>
  <c r="E75" i="7"/>
  <c r="D76" i="7"/>
  <c r="C105" i="5"/>
  <c r="C104" i="5"/>
  <c r="I2" i="4" l="1"/>
  <c r="C2" i="4"/>
  <c r="D2" i="4"/>
  <c r="L134" i="7" l="1"/>
  <c r="I134" i="7"/>
  <c r="G134" i="7"/>
  <c r="E134" i="7"/>
  <c r="D134" i="7"/>
  <c r="D62" i="7"/>
  <c r="E62" i="7"/>
  <c r="J62" i="7"/>
  <c r="G62" i="7"/>
  <c r="I61" i="7"/>
  <c r="F61" i="7"/>
  <c r="D61" i="7"/>
  <c r="E61" i="7"/>
  <c r="L62" i="7"/>
  <c r="L61" i="7"/>
  <c r="L60" i="7"/>
  <c r="I60" i="7"/>
  <c r="D60" i="7"/>
  <c r="E60" i="7"/>
  <c r="G60" i="7"/>
  <c r="L59" i="7"/>
  <c r="J59" i="7"/>
  <c r="F59" i="7"/>
  <c r="E59" i="7"/>
  <c r="D59" i="7"/>
  <c r="L42" i="7"/>
  <c r="J42" i="7"/>
  <c r="G42" i="7"/>
  <c r="E42" i="7"/>
  <c r="D42" i="7"/>
  <c r="I41" i="7"/>
  <c r="F41" i="7"/>
  <c r="E41" i="7"/>
  <c r="D41" i="7"/>
  <c r="L41" i="7"/>
  <c r="L40" i="7"/>
  <c r="E40" i="7"/>
  <c r="G40" i="7"/>
  <c r="J40" i="7"/>
  <c r="D40" i="7"/>
  <c r="J28" i="7"/>
  <c r="D28" i="7"/>
  <c r="I27" i="7"/>
  <c r="J26" i="7"/>
  <c r="F28" i="7"/>
  <c r="G27" i="7"/>
  <c r="G26" i="7"/>
  <c r="E28" i="7"/>
  <c r="E27" i="7"/>
  <c r="E26" i="7"/>
  <c r="D27" i="7"/>
  <c r="D26" i="7"/>
  <c r="L28" i="7"/>
  <c r="L27" i="7"/>
  <c r="L26" i="7"/>
  <c r="L148" i="7"/>
  <c r="G148" i="7"/>
  <c r="E148" i="7"/>
  <c r="O33" i="4"/>
  <c r="B76" i="5" l="1"/>
  <c r="G76" i="5" s="1"/>
  <c r="B74" i="5"/>
  <c r="E13" i="2"/>
  <c r="H94" i="5"/>
  <c r="D16" i="2"/>
  <c r="E19" i="2"/>
  <c r="E36" i="5"/>
  <c r="E36" i="2"/>
  <c r="F36" i="2"/>
  <c r="G20" i="2"/>
  <c r="G18" i="2"/>
  <c r="G12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J44" i="5"/>
  <c r="J38" i="5"/>
  <c r="J21" i="2" s="1"/>
  <c r="J35" i="5"/>
  <c r="J36" i="2"/>
  <c r="J35" i="2"/>
  <c r="J34" i="2"/>
  <c r="J33" i="2"/>
  <c r="J32" i="2"/>
  <c r="J31" i="2"/>
  <c r="J30" i="2"/>
  <c r="J29" i="2"/>
  <c r="J28" i="2"/>
  <c r="J26" i="2"/>
  <c r="J25" i="2"/>
  <c r="J24" i="2"/>
  <c r="J23" i="2"/>
  <c r="J22" i="2"/>
  <c r="J20" i="2"/>
  <c r="J19" i="2"/>
  <c r="J17" i="2"/>
  <c r="J15" i="2"/>
  <c r="J14" i="2"/>
  <c r="J13" i="2"/>
  <c r="J12" i="2"/>
  <c r="B55" i="5"/>
  <c r="B56" i="5"/>
  <c r="B57" i="5"/>
  <c r="J27" i="2" s="1"/>
  <c r="B58" i="5"/>
  <c r="B59" i="5"/>
  <c r="C59" i="5" s="1"/>
  <c r="B60" i="5"/>
  <c r="C60" i="5" s="1"/>
  <c r="B61" i="5"/>
  <c r="J16" i="2" s="1"/>
  <c r="B62" i="5"/>
  <c r="D44" i="5"/>
  <c r="C44" i="5"/>
  <c r="B44" i="5"/>
  <c r="D42" i="5"/>
  <c r="C42" i="5"/>
  <c r="B42" i="5"/>
  <c r="B63" i="5"/>
  <c r="B64" i="5"/>
  <c r="B65" i="5"/>
  <c r="B66" i="5"/>
  <c r="B67" i="5"/>
  <c r="B68" i="5"/>
  <c r="B69" i="5"/>
  <c r="B70" i="5"/>
  <c r="B71" i="5"/>
  <c r="B72" i="5"/>
  <c r="B73" i="5"/>
  <c r="B77" i="5"/>
  <c r="B78" i="5"/>
  <c r="F79" i="5"/>
  <c r="G36" i="2" l="1"/>
  <c r="G29" i="2"/>
  <c r="G21" i="2"/>
  <c r="G26" i="2"/>
  <c r="G30" i="2"/>
  <c r="G34" i="2"/>
  <c r="G23" i="2"/>
  <c r="G35" i="2"/>
  <c r="G16" i="2"/>
  <c r="G28" i="2"/>
  <c r="E6" i="2"/>
  <c r="D6" i="2"/>
  <c r="F6" i="2"/>
  <c r="H109" i="5"/>
  <c r="F106" i="5"/>
  <c r="O109" i="5"/>
  <c r="C98" i="5" l="1"/>
  <c r="C92" i="5"/>
  <c r="M108" i="5"/>
  <c r="M107" i="5"/>
  <c r="J96" i="5"/>
  <c r="O106" i="5"/>
  <c r="O97" i="5"/>
  <c r="C101" i="5"/>
  <c r="C100" i="5"/>
  <c r="C99" i="5"/>
  <c r="H98" i="5"/>
  <c r="G104" i="5"/>
  <c r="H103" i="5"/>
  <c r="F102" i="5"/>
  <c r="E102" i="5"/>
  <c r="C103" i="5"/>
  <c r="H95" i="5"/>
  <c r="C94" i="5"/>
  <c r="J28" i="4"/>
  <c r="D175" i="7"/>
  <c r="D174" i="7"/>
  <c r="E146" i="7"/>
  <c r="E145" i="7"/>
  <c r="D146" i="7"/>
  <c r="D145" i="7"/>
  <c r="L146" i="7"/>
  <c r="J146" i="7"/>
  <c r="I145" i="7"/>
  <c r="F146" i="7"/>
  <c r="F145" i="7"/>
  <c r="I150" i="7"/>
  <c r="D266" i="7"/>
  <c r="F13" i="4"/>
  <c r="H13" i="4"/>
  <c r="N25" i="4"/>
  <c r="M17" i="4"/>
  <c r="M21" i="4"/>
  <c r="M20" i="4"/>
  <c r="M19" i="4"/>
  <c r="M18" i="4"/>
  <c r="M16" i="4"/>
  <c r="M15" i="4"/>
  <c r="M14" i="4"/>
  <c r="M13" i="4"/>
  <c r="M12" i="4"/>
  <c r="M11" i="4"/>
  <c r="M10" i="4"/>
  <c r="L164" i="7"/>
  <c r="L163" i="7"/>
  <c r="L147" i="7"/>
  <c r="L145" i="7"/>
  <c r="L264" i="7"/>
  <c r="L263" i="7"/>
  <c r="L247" i="7"/>
  <c r="L246" i="7"/>
  <c r="L245" i="7"/>
  <c r="L213" i="7"/>
  <c r="L212" i="7"/>
  <c r="L211" i="7"/>
  <c r="L210" i="7"/>
  <c r="L209" i="7"/>
  <c r="L208" i="7"/>
  <c r="L195" i="7"/>
  <c r="L194" i="7"/>
  <c r="L193" i="7"/>
  <c r="L192" i="7"/>
  <c r="L189" i="7"/>
  <c r="L188" i="7"/>
  <c r="L177" i="7"/>
  <c r="L180" i="7"/>
  <c r="L178" i="7"/>
  <c r="L179" i="7"/>
  <c r="B21" i="4"/>
  <c r="B20" i="4"/>
  <c r="B19" i="4"/>
  <c r="B18" i="4"/>
  <c r="B17" i="4"/>
  <c r="B16" i="4"/>
  <c r="B15" i="4"/>
  <c r="B14" i="4"/>
  <c r="B13" i="4"/>
  <c r="B12" i="4"/>
  <c r="B11" i="4"/>
  <c r="B10" i="4"/>
  <c r="K42" i="4"/>
  <c r="K41" i="4"/>
  <c r="K40" i="4"/>
  <c r="K39" i="4"/>
  <c r="K38" i="4"/>
  <c r="K37" i="4"/>
  <c r="K35" i="4"/>
  <c r="K34" i="4"/>
  <c r="K33" i="4"/>
  <c r="K32" i="4"/>
  <c r="K31" i="4"/>
  <c r="K30" i="4"/>
  <c r="K29" i="4"/>
  <c r="K28" i="4"/>
  <c r="K27" i="4"/>
  <c r="K26" i="4"/>
  <c r="K25" i="4"/>
  <c r="K21" i="4"/>
  <c r="K19" i="4"/>
  <c r="K18" i="4"/>
  <c r="K17" i="4"/>
  <c r="K15" i="4"/>
  <c r="K14" i="4"/>
  <c r="K13" i="4"/>
  <c r="K12" i="4"/>
  <c r="K11" i="4"/>
  <c r="K10" i="4"/>
  <c r="K43" i="4"/>
  <c r="J43" i="4"/>
  <c r="J42" i="4"/>
  <c r="J39" i="4"/>
  <c r="J38" i="4"/>
  <c r="J37" i="4"/>
  <c r="J29" i="4"/>
  <c r="J27" i="4"/>
  <c r="J26" i="4"/>
  <c r="J20" i="4"/>
  <c r="J18" i="4"/>
  <c r="J17" i="4"/>
  <c r="J14" i="4"/>
  <c r="J13" i="4"/>
  <c r="J12" i="4"/>
  <c r="J10" i="4"/>
  <c r="I42" i="4"/>
  <c r="I39" i="4"/>
  <c r="I38" i="4"/>
  <c r="I32" i="4"/>
  <c r="I31" i="4"/>
  <c r="I30" i="4"/>
  <c r="I28" i="4"/>
  <c r="I27" i="4"/>
  <c r="I26" i="4"/>
  <c r="I25" i="4"/>
  <c r="I21" i="4"/>
  <c r="I19" i="4"/>
  <c r="I18" i="4"/>
  <c r="I17" i="4"/>
  <c r="I16" i="4"/>
  <c r="I15" i="4"/>
  <c r="I12" i="4"/>
  <c r="I11" i="4"/>
  <c r="I43" i="4"/>
  <c r="H43" i="4"/>
  <c r="H42" i="4"/>
  <c r="H38" i="4"/>
  <c r="H21" i="4"/>
  <c r="H20" i="4"/>
  <c r="H19" i="4"/>
  <c r="H18" i="4"/>
  <c r="H16" i="4"/>
  <c r="H15" i="4"/>
  <c r="H14" i="4"/>
  <c r="H12" i="4"/>
  <c r="H11" i="4"/>
  <c r="H10" i="4"/>
  <c r="G30" i="4"/>
  <c r="G29" i="4"/>
  <c r="G28" i="4"/>
  <c r="G27" i="4"/>
  <c r="G26" i="4"/>
  <c r="G25" i="4"/>
  <c r="G22" i="4"/>
  <c r="G21" i="4"/>
  <c r="G20" i="4"/>
  <c r="G19" i="4"/>
  <c r="G18" i="4"/>
  <c r="G16" i="4"/>
  <c r="G15" i="4"/>
  <c r="G12" i="4"/>
  <c r="G10" i="4"/>
  <c r="F43" i="4"/>
  <c r="F42" i="4"/>
  <c r="F38" i="4"/>
  <c r="F33" i="4"/>
  <c r="F30" i="4"/>
  <c r="F29" i="4"/>
  <c r="F28" i="4"/>
  <c r="F27" i="4"/>
  <c r="F26" i="4"/>
  <c r="F25" i="4"/>
  <c r="F12" i="4"/>
  <c r="F11" i="4"/>
  <c r="E35" i="4"/>
  <c r="E34" i="4"/>
  <c r="E32" i="4"/>
  <c r="E31" i="4"/>
  <c r="E30" i="4"/>
  <c r="E28" i="4"/>
  <c r="E27" i="4"/>
  <c r="E25" i="4"/>
  <c r="D41" i="4"/>
  <c r="D40" i="4"/>
  <c r="D38" i="4"/>
  <c r="D33" i="4"/>
  <c r="D32" i="4"/>
  <c r="D31" i="4"/>
  <c r="D18" i="4"/>
  <c r="D14" i="4"/>
  <c r="D12" i="4"/>
  <c r="L162" i="7"/>
  <c r="L161" i="7"/>
  <c r="L160" i="7"/>
  <c r="L159" i="7"/>
  <c r="L157" i="7"/>
  <c r="L158" i="7"/>
  <c r="I157" i="7"/>
  <c r="G157" i="7"/>
  <c r="E157" i="7"/>
  <c r="D157" i="7"/>
  <c r="L156" i="7"/>
  <c r="K156" i="7"/>
  <c r="I156" i="7"/>
  <c r="F156" i="7"/>
  <c r="E156" i="7"/>
  <c r="D156" i="7"/>
  <c r="L155" i="7"/>
  <c r="K155" i="7"/>
  <c r="I155" i="7"/>
  <c r="G155" i="7"/>
  <c r="E155" i="7"/>
  <c r="D155" i="7"/>
  <c r="L153" i="7"/>
  <c r="J153" i="7"/>
  <c r="I153" i="7"/>
  <c r="E153" i="7"/>
  <c r="L150" i="7"/>
  <c r="F150" i="7"/>
  <c r="F14" i="4" s="1"/>
  <c r="G150" i="7"/>
  <c r="G14" i="4" s="1"/>
  <c r="E150" i="7"/>
  <c r="L186" i="7"/>
  <c r="L185" i="7"/>
  <c r="L184" i="7"/>
  <c r="L183" i="7"/>
  <c r="I246" i="7"/>
  <c r="G246" i="7"/>
  <c r="L176" i="7"/>
  <c r="J176" i="7"/>
  <c r="G176" i="7"/>
  <c r="E176" i="7"/>
  <c r="L175" i="7"/>
  <c r="I175" i="7"/>
  <c r="G175" i="7"/>
  <c r="E175" i="7"/>
  <c r="L174" i="7"/>
  <c r="I174" i="7"/>
  <c r="G174" i="7"/>
  <c r="E174" i="7"/>
  <c r="L173" i="7"/>
  <c r="G173" i="7"/>
  <c r="J173" i="7"/>
  <c r="E173" i="7"/>
  <c r="L172" i="7"/>
  <c r="I172" i="7"/>
  <c r="I14" i="4" s="1"/>
  <c r="F172" i="7"/>
  <c r="E172" i="7"/>
  <c r="L171" i="7"/>
  <c r="G171" i="7"/>
  <c r="E171" i="7"/>
  <c r="L170" i="7"/>
  <c r="I170" i="7"/>
  <c r="F170" i="7"/>
  <c r="E170" i="7"/>
  <c r="D170" i="7"/>
  <c r="L166" i="7"/>
  <c r="L165" i="7"/>
  <c r="L167" i="7"/>
  <c r="L168" i="7"/>
  <c r="L169" i="7"/>
  <c r="I169" i="7"/>
  <c r="F169" i="7"/>
  <c r="G169" i="7"/>
  <c r="E169" i="7"/>
  <c r="J168" i="7"/>
  <c r="F168" i="7"/>
  <c r="E168" i="7"/>
  <c r="E167" i="7"/>
  <c r="J166" i="7"/>
  <c r="I166" i="7"/>
  <c r="F166" i="7"/>
  <c r="E166" i="7"/>
  <c r="J165" i="7"/>
  <c r="G165" i="7"/>
  <c r="E165" i="7"/>
  <c r="J164" i="7"/>
  <c r="E164" i="7"/>
  <c r="L191" i="7"/>
  <c r="I191" i="7"/>
  <c r="F191" i="7"/>
  <c r="E191" i="7"/>
  <c r="D191" i="7"/>
  <c r="L190" i="7"/>
  <c r="I190" i="7"/>
  <c r="G190" i="7"/>
  <c r="E190" i="7"/>
  <c r="D190" i="7"/>
  <c r="I189" i="7"/>
  <c r="G189" i="7"/>
  <c r="E189" i="7"/>
  <c r="D189" i="7"/>
  <c r="K188" i="7"/>
  <c r="J188" i="7"/>
  <c r="G188" i="7"/>
  <c r="D188" i="7"/>
  <c r="E188" i="7"/>
  <c r="I186" i="7"/>
  <c r="E186" i="7"/>
  <c r="J185" i="7"/>
  <c r="I185" i="7"/>
  <c r="F185" i="7"/>
  <c r="E185" i="7"/>
  <c r="G184" i="7"/>
  <c r="F184" i="7"/>
  <c r="E184" i="7"/>
  <c r="J183" i="7"/>
  <c r="H183" i="7"/>
  <c r="G183" i="7"/>
  <c r="E183" i="7"/>
  <c r="L182" i="7"/>
  <c r="J182" i="7"/>
  <c r="I182" i="7"/>
  <c r="E182" i="7"/>
  <c r="L181" i="7"/>
  <c r="F181" i="7"/>
  <c r="E181" i="7"/>
  <c r="L216" i="7"/>
  <c r="L215" i="7"/>
  <c r="L214" i="7"/>
  <c r="L217" i="7"/>
  <c r="L206" i="7"/>
  <c r="L16" i="4" s="1"/>
  <c r="K206" i="7"/>
  <c r="K16" i="4" s="1"/>
  <c r="J206" i="7"/>
  <c r="J16" i="4" s="1"/>
  <c r="F206" i="7"/>
  <c r="F16" i="4" s="1"/>
  <c r="E206" i="7"/>
  <c r="E16" i="4" s="1"/>
  <c r="D206" i="7"/>
  <c r="D16" i="4" s="1"/>
  <c r="L205" i="7"/>
  <c r="J205" i="7"/>
  <c r="G205" i="7"/>
  <c r="E205" i="7"/>
  <c r="D205" i="7"/>
  <c r="L204" i="7"/>
  <c r="J204" i="7"/>
  <c r="F204" i="7"/>
  <c r="E204" i="7"/>
  <c r="D204" i="7"/>
  <c r="L203" i="7"/>
  <c r="I203" i="7"/>
  <c r="G203" i="7"/>
  <c r="E203" i="7"/>
  <c r="D203" i="7"/>
  <c r="L202" i="7"/>
  <c r="I202" i="7"/>
  <c r="H202" i="7"/>
  <c r="G202" i="7"/>
  <c r="E202" i="7"/>
  <c r="E201" i="7"/>
  <c r="L201" i="7"/>
  <c r="J201" i="7"/>
  <c r="I201" i="7"/>
  <c r="L200" i="7"/>
  <c r="G200" i="7"/>
  <c r="E200" i="7"/>
  <c r="L199" i="7"/>
  <c r="J199" i="7"/>
  <c r="F199" i="7"/>
  <c r="E199" i="7"/>
  <c r="D199" i="7"/>
  <c r="L198" i="7"/>
  <c r="J198" i="7"/>
  <c r="I198" i="7"/>
  <c r="G198" i="7"/>
  <c r="E198" i="7"/>
  <c r="L197" i="7"/>
  <c r="J197" i="7"/>
  <c r="F197" i="7"/>
  <c r="E197" i="7"/>
  <c r="J196" i="7"/>
  <c r="E196" i="7"/>
  <c r="L218" i="7"/>
  <c r="F218" i="7"/>
  <c r="E218" i="7"/>
  <c r="L223" i="7"/>
  <c r="I223" i="7"/>
  <c r="D223" i="7"/>
  <c r="F223" i="7"/>
  <c r="E223" i="7"/>
  <c r="L225" i="7"/>
  <c r="J225" i="7"/>
  <c r="F225" i="7"/>
  <c r="E225" i="7"/>
  <c r="D225" i="7"/>
  <c r="D17" i="4" s="1"/>
  <c r="L196" i="7"/>
  <c r="L226" i="7"/>
  <c r="I226" i="7"/>
  <c r="G226" i="7"/>
  <c r="E226" i="7"/>
  <c r="D226" i="7"/>
  <c r="L224" i="7"/>
  <c r="I224" i="7"/>
  <c r="D224" i="7"/>
  <c r="G224" i="7"/>
  <c r="L222" i="7"/>
  <c r="J222" i="7"/>
  <c r="G222" i="7"/>
  <c r="E222" i="7"/>
  <c r="D222" i="7"/>
  <c r="D221" i="7"/>
  <c r="L221" i="7"/>
  <c r="I221" i="7"/>
  <c r="G221" i="7"/>
  <c r="E221" i="7"/>
  <c r="L220" i="7"/>
  <c r="J220" i="7"/>
  <c r="F220" i="7"/>
  <c r="G220" i="7"/>
  <c r="E220" i="7"/>
  <c r="L219" i="7"/>
  <c r="J219" i="7"/>
  <c r="G219" i="7"/>
  <c r="E219" i="7"/>
  <c r="I217" i="7"/>
  <c r="D217" i="7"/>
  <c r="G217" i="7"/>
  <c r="E217" i="7"/>
  <c r="F216" i="7"/>
  <c r="F17" i="4" s="1"/>
  <c r="H216" i="7"/>
  <c r="H17" i="4" s="1"/>
  <c r="G216" i="7"/>
  <c r="G17" i="4" s="1"/>
  <c r="E216" i="7"/>
  <c r="E17" i="4" s="1"/>
  <c r="F215" i="7"/>
  <c r="G215" i="7"/>
  <c r="E215" i="7"/>
  <c r="I214" i="7"/>
  <c r="E214" i="7"/>
  <c r="J208" i="7"/>
  <c r="G208" i="7"/>
  <c r="E208" i="7"/>
  <c r="D208" i="7"/>
  <c r="L243" i="7"/>
  <c r="I243" i="7"/>
  <c r="F243" i="7"/>
  <c r="E243" i="7"/>
  <c r="L242" i="7"/>
  <c r="L18" i="4" s="1"/>
  <c r="F242" i="7"/>
  <c r="F18" i="4" s="1"/>
  <c r="E242" i="7"/>
  <c r="E18" i="4" s="1"/>
  <c r="L241" i="7"/>
  <c r="J241" i="7"/>
  <c r="G241" i="7"/>
  <c r="E241" i="7"/>
  <c r="D241" i="7"/>
  <c r="L240" i="7"/>
  <c r="I240" i="7"/>
  <c r="F240" i="7"/>
  <c r="E240" i="7"/>
  <c r="D240" i="7"/>
  <c r="L239" i="7"/>
  <c r="L19" i="4" s="1"/>
  <c r="J239" i="7"/>
  <c r="J19" i="4" s="1"/>
  <c r="F239" i="7"/>
  <c r="F19" i="4" s="1"/>
  <c r="E239" i="7"/>
  <c r="E19" i="4" s="1"/>
  <c r="D238" i="7"/>
  <c r="D239" i="7"/>
  <c r="D19" i="4" s="1"/>
  <c r="L238" i="7"/>
  <c r="I238" i="7"/>
  <c r="G238" i="7"/>
  <c r="E238" i="7"/>
  <c r="L237" i="7"/>
  <c r="J237" i="7"/>
  <c r="G237" i="7"/>
  <c r="E237" i="7"/>
  <c r="L236" i="7"/>
  <c r="L235" i="7"/>
  <c r="L234" i="7"/>
  <c r="L233" i="7"/>
  <c r="L232" i="7"/>
  <c r="L231" i="7"/>
  <c r="L230" i="7"/>
  <c r="J230" i="7"/>
  <c r="F230" i="7"/>
  <c r="E230" i="7"/>
  <c r="D230" i="7"/>
  <c r="L253" i="7"/>
  <c r="L252" i="7"/>
  <c r="L251" i="7"/>
  <c r="L250" i="7"/>
  <c r="L254" i="7"/>
  <c r="K254" i="7"/>
  <c r="G254" i="7"/>
  <c r="J254" i="7"/>
  <c r="E254" i="7"/>
  <c r="F253" i="7"/>
  <c r="H253" i="7"/>
  <c r="G253" i="7"/>
  <c r="E253" i="7"/>
  <c r="I252" i="7"/>
  <c r="G252" i="7"/>
  <c r="E252" i="7"/>
  <c r="E251" i="7"/>
  <c r="J251" i="7"/>
  <c r="I250" i="7"/>
  <c r="F250" i="7"/>
  <c r="G250" i="7"/>
  <c r="E250" i="7"/>
  <c r="L249" i="7"/>
  <c r="I249" i="7"/>
  <c r="F249" i="7"/>
  <c r="E249" i="7"/>
  <c r="L256" i="7"/>
  <c r="K256" i="7"/>
  <c r="I256" i="7"/>
  <c r="G256" i="7"/>
  <c r="E256" i="7"/>
  <c r="D256" i="7"/>
  <c r="L255" i="7"/>
  <c r="L20" i="4" s="1"/>
  <c r="K255" i="7"/>
  <c r="K20" i="4" s="1"/>
  <c r="I255" i="7"/>
  <c r="I20" i="4" s="1"/>
  <c r="E255" i="7"/>
  <c r="E20" i="4" s="1"/>
  <c r="D255" i="7"/>
  <c r="D20" i="4" s="1"/>
  <c r="F255" i="7"/>
  <c r="F20" i="4" s="1"/>
  <c r="L248" i="7"/>
  <c r="G248" i="7"/>
  <c r="E248" i="7"/>
  <c r="L75" i="7"/>
  <c r="L74" i="7"/>
  <c r="L126" i="7"/>
  <c r="L125" i="7"/>
  <c r="L124" i="7"/>
  <c r="L123" i="7"/>
  <c r="L122" i="7"/>
  <c r="L121" i="7"/>
  <c r="L120" i="7"/>
  <c r="L85" i="7"/>
  <c r="L84" i="7"/>
  <c r="L83" i="7"/>
  <c r="L82" i="7"/>
  <c r="L81" i="7"/>
  <c r="L80" i="7"/>
  <c r="L116" i="7"/>
  <c r="L115" i="7"/>
  <c r="L112" i="7"/>
  <c r="L111" i="7"/>
  <c r="L110" i="7"/>
  <c r="L109" i="7"/>
  <c r="L244" i="7"/>
  <c r="L269" i="7"/>
  <c r="K269" i="7"/>
  <c r="I269" i="7"/>
  <c r="G269" i="7"/>
  <c r="E269" i="7"/>
  <c r="D269" i="7"/>
  <c r="L268" i="7"/>
  <c r="I268" i="7"/>
  <c r="E268" i="7"/>
  <c r="D268" i="7"/>
  <c r="F268" i="7"/>
  <c r="L267" i="7"/>
  <c r="L21" i="4" s="1"/>
  <c r="F267" i="7"/>
  <c r="F21" i="4" s="1"/>
  <c r="J267" i="7"/>
  <c r="J21" i="4" s="1"/>
  <c r="D267" i="7"/>
  <c r="D21" i="4" s="1"/>
  <c r="E267" i="7"/>
  <c r="E21" i="4" s="1"/>
  <c r="L266" i="7"/>
  <c r="I266" i="7"/>
  <c r="F266" i="7"/>
  <c r="E266" i="7"/>
  <c r="L265" i="7"/>
  <c r="D265" i="7"/>
  <c r="J265" i="7"/>
  <c r="G265" i="7"/>
  <c r="E265" i="7"/>
  <c r="L260" i="7"/>
  <c r="L261" i="7"/>
  <c r="L262" i="7"/>
  <c r="D262" i="7"/>
  <c r="G262" i="7"/>
  <c r="J262" i="7"/>
  <c r="E262" i="7"/>
  <c r="D258" i="7"/>
  <c r="E258" i="7"/>
  <c r="L258" i="7"/>
  <c r="L259" i="7"/>
  <c r="J259" i="7"/>
  <c r="F259" i="7"/>
  <c r="E259" i="7"/>
  <c r="D259" i="7"/>
  <c r="L143" i="7"/>
  <c r="K143" i="7"/>
  <c r="F143" i="7"/>
  <c r="I143" i="7"/>
  <c r="E143" i="7"/>
  <c r="D143" i="7"/>
  <c r="L142" i="7"/>
  <c r="J142" i="7"/>
  <c r="G142" i="7"/>
  <c r="E142" i="7"/>
  <c r="D142" i="7"/>
  <c r="L141" i="7"/>
  <c r="I141" i="7"/>
  <c r="D141" i="7"/>
  <c r="G141" i="7"/>
  <c r="E141" i="7"/>
  <c r="L140" i="7"/>
  <c r="J140" i="7"/>
  <c r="G140" i="7"/>
  <c r="E140" i="7"/>
  <c r="L139" i="7"/>
  <c r="I139" i="7"/>
  <c r="F139" i="7"/>
  <c r="E139" i="7"/>
  <c r="L138" i="7"/>
  <c r="I138" i="7"/>
  <c r="E138" i="7"/>
  <c r="L137" i="7"/>
  <c r="J137" i="7"/>
  <c r="F137" i="7"/>
  <c r="E137" i="7"/>
  <c r="D137" i="7"/>
  <c r="L133" i="7"/>
  <c r="L13" i="4" s="1"/>
  <c r="D133" i="7"/>
  <c r="D13" i="4" s="1"/>
  <c r="I133" i="7"/>
  <c r="I13" i="4" s="1"/>
  <c r="G133" i="7"/>
  <c r="G13" i="4" s="1"/>
  <c r="E133" i="7"/>
  <c r="E13" i="4" s="1"/>
  <c r="J132" i="7"/>
  <c r="H132" i="7"/>
  <c r="G132" i="7"/>
  <c r="E132" i="7"/>
  <c r="I131" i="7"/>
  <c r="F131" i="7"/>
  <c r="E131" i="7"/>
  <c r="L132" i="7"/>
  <c r="L131" i="7"/>
  <c r="L130" i="7"/>
  <c r="J130" i="7"/>
  <c r="E130" i="7"/>
  <c r="L129" i="7"/>
  <c r="I129" i="7"/>
  <c r="H129" i="7"/>
  <c r="G129" i="7"/>
  <c r="E129" i="7"/>
  <c r="L128" i="7"/>
  <c r="H128" i="7"/>
  <c r="G128" i="7"/>
  <c r="E128" i="7"/>
  <c r="L127" i="7"/>
  <c r="I127" i="7"/>
  <c r="E127" i="7"/>
  <c r="I116" i="7"/>
  <c r="G116" i="7"/>
  <c r="E116" i="7"/>
  <c r="D116" i="7"/>
  <c r="L114" i="7"/>
  <c r="F114" i="7"/>
  <c r="I114" i="7"/>
  <c r="E114" i="7"/>
  <c r="D114" i="7"/>
  <c r="L113" i="7"/>
  <c r="J113" i="7"/>
  <c r="D113" i="7"/>
  <c r="F113" i="7"/>
  <c r="E113" i="7"/>
  <c r="F112" i="7"/>
  <c r="H112" i="7"/>
  <c r="G112" i="7"/>
  <c r="E112" i="7"/>
  <c r="G111" i="7"/>
  <c r="F111" i="7"/>
  <c r="E111" i="7"/>
  <c r="G110" i="7"/>
  <c r="E110" i="7"/>
  <c r="J109" i="7"/>
  <c r="H109" i="7"/>
  <c r="G109" i="7"/>
  <c r="E109" i="7"/>
  <c r="L107" i="7"/>
  <c r="L108" i="7"/>
  <c r="I108" i="7"/>
  <c r="F108" i="7"/>
  <c r="E108" i="7"/>
  <c r="L96" i="7"/>
  <c r="K96" i="7"/>
  <c r="I96" i="7"/>
  <c r="G96" i="7"/>
  <c r="E96" i="7"/>
  <c r="D96" i="7"/>
  <c r="L95" i="7"/>
  <c r="I95" i="7"/>
  <c r="G95" i="7"/>
  <c r="E95" i="7"/>
  <c r="D95" i="7"/>
  <c r="L94" i="7"/>
  <c r="I94" i="7"/>
  <c r="F94" i="7"/>
  <c r="E94" i="7"/>
  <c r="D94" i="7"/>
  <c r="L93" i="7"/>
  <c r="J93" i="7"/>
  <c r="G93" i="7"/>
  <c r="E93" i="7"/>
  <c r="L92" i="7"/>
  <c r="I92" i="7"/>
  <c r="F92" i="7"/>
  <c r="E92" i="7"/>
  <c r="L91" i="7"/>
  <c r="L12" i="4" s="1"/>
  <c r="E91" i="7"/>
  <c r="E12" i="4" s="1"/>
  <c r="F90" i="7"/>
  <c r="E90" i="7"/>
  <c r="L90" i="7"/>
  <c r="J90" i="7"/>
  <c r="D90" i="7"/>
  <c r="L79" i="7"/>
  <c r="I79" i="7"/>
  <c r="F79" i="7"/>
  <c r="E79" i="7"/>
  <c r="D79" i="7"/>
  <c r="L73" i="7"/>
  <c r="J73" i="7"/>
  <c r="G73" i="7"/>
  <c r="E73" i="7"/>
  <c r="D73" i="7"/>
  <c r="L72" i="7"/>
  <c r="D72" i="7"/>
  <c r="J72" i="7"/>
  <c r="F72" i="7"/>
  <c r="E72" i="7"/>
  <c r="L71" i="7"/>
  <c r="J71" i="7"/>
  <c r="G71" i="7"/>
  <c r="E71" i="7"/>
  <c r="D71" i="7"/>
  <c r="L70" i="7"/>
  <c r="I70" i="7"/>
  <c r="F70" i="7"/>
  <c r="E70" i="7"/>
  <c r="D70" i="7"/>
  <c r="I69" i="7"/>
  <c r="F69" i="7"/>
  <c r="E69" i="7"/>
  <c r="D69" i="7"/>
  <c r="L69" i="7"/>
  <c r="L66" i="7"/>
  <c r="L65" i="7"/>
  <c r="L64" i="7"/>
  <c r="L63" i="7"/>
  <c r="L57" i="7"/>
  <c r="L58" i="7"/>
  <c r="I58" i="7"/>
  <c r="F58" i="7"/>
  <c r="E58" i="7"/>
  <c r="D58" i="7"/>
  <c r="L56" i="7"/>
  <c r="I56" i="7"/>
  <c r="G56" i="7"/>
  <c r="E56" i="7"/>
  <c r="D56" i="7"/>
  <c r="L55" i="7"/>
  <c r="I55" i="7"/>
  <c r="F55" i="7"/>
  <c r="E55" i="7"/>
  <c r="D55" i="7"/>
  <c r="J54" i="7"/>
  <c r="G54" i="7"/>
  <c r="E54" i="7"/>
  <c r="D54" i="7"/>
  <c r="L54" i="7"/>
  <c r="K145" i="7"/>
  <c r="K53" i="7"/>
  <c r="K52" i="7"/>
  <c r="K51" i="7"/>
  <c r="K50" i="7"/>
  <c r="K49" i="7"/>
  <c r="K48" i="7"/>
  <c r="K10" i="7"/>
  <c r="K9" i="7"/>
  <c r="K8" i="7"/>
  <c r="K7" i="7"/>
  <c r="K6" i="7"/>
  <c r="K5" i="7"/>
  <c r="K4" i="7"/>
  <c r="K3" i="7"/>
  <c r="K2" i="7"/>
  <c r="I258" i="7"/>
  <c r="G258" i="7"/>
  <c r="D27" i="2"/>
  <c r="C27" i="2"/>
  <c r="B27" i="2"/>
  <c r="D25" i="2"/>
  <c r="C25" i="2"/>
  <c r="B25" i="2"/>
  <c r="I147" i="7"/>
  <c r="F147" i="7"/>
  <c r="E147" i="7"/>
  <c r="D147" i="7"/>
  <c r="N26" i="4"/>
  <c r="L87" i="7"/>
  <c r="G87" i="7"/>
  <c r="J87" i="7"/>
  <c r="E87" i="7"/>
  <c r="D87" i="7"/>
  <c r="L187" i="7"/>
  <c r="L15" i="4" s="1"/>
  <c r="F187" i="7"/>
  <c r="F15" i="4" s="1"/>
  <c r="J187" i="7"/>
  <c r="J15" i="4" s="1"/>
  <c r="E187" i="7"/>
  <c r="E15" i="4" s="1"/>
  <c r="D187" i="7"/>
  <c r="D15" i="4" s="1"/>
  <c r="L67" i="7"/>
  <c r="L11" i="4" s="1"/>
  <c r="J67" i="7"/>
  <c r="J11" i="4" s="1"/>
  <c r="G67" i="7"/>
  <c r="G11" i="4" s="1"/>
  <c r="E67" i="7"/>
  <c r="E11" i="4" s="1"/>
  <c r="D67" i="7"/>
  <c r="D11" i="4" s="1"/>
  <c r="E53" i="7"/>
  <c r="L53" i="7"/>
  <c r="I53" i="7"/>
  <c r="G53" i="7"/>
  <c r="D53" i="7"/>
  <c r="L52" i="7"/>
  <c r="J52" i="7"/>
  <c r="F52" i="7"/>
  <c r="E52" i="7"/>
  <c r="D52" i="7"/>
  <c r="E50" i="7"/>
  <c r="E51" i="7"/>
  <c r="D50" i="7"/>
  <c r="L51" i="7"/>
  <c r="J51" i="7"/>
  <c r="G51" i="7"/>
  <c r="D51" i="7"/>
  <c r="L50" i="7"/>
  <c r="I50" i="7"/>
  <c r="F50" i="7"/>
  <c r="I49" i="7"/>
  <c r="L49" i="7"/>
  <c r="J49" i="7"/>
  <c r="E49" i="7"/>
  <c r="D49" i="7"/>
  <c r="D48" i="7"/>
  <c r="E48" i="7"/>
  <c r="G48" i="7"/>
  <c r="J48" i="7"/>
  <c r="L48" i="7"/>
  <c r="L47" i="7"/>
  <c r="D47" i="7"/>
  <c r="I47" i="7"/>
  <c r="F47" i="7"/>
  <c r="E47" i="7"/>
  <c r="L46" i="7"/>
  <c r="I46" i="7"/>
  <c r="G46" i="7"/>
  <c r="E46" i="7"/>
  <c r="D46" i="7"/>
  <c r="L45" i="7"/>
  <c r="I45" i="7"/>
  <c r="G45" i="7"/>
  <c r="E45" i="7"/>
  <c r="D45" i="7"/>
  <c r="L44" i="7"/>
  <c r="D44" i="7"/>
  <c r="J44" i="7"/>
  <c r="F44" i="7"/>
  <c r="E44" i="7"/>
  <c r="L24" i="7"/>
  <c r="L43" i="7"/>
  <c r="J43" i="7"/>
  <c r="G43" i="7"/>
  <c r="E43" i="7"/>
  <c r="D43" i="7"/>
  <c r="L39" i="7"/>
  <c r="L10" i="4" s="1"/>
  <c r="N24" i="4"/>
  <c r="N28" i="4"/>
  <c r="B87" i="5"/>
  <c r="C87" i="5" s="1"/>
  <c r="D39" i="7"/>
  <c r="D10" i="4" s="1"/>
  <c r="I39" i="7"/>
  <c r="I10" i="4" s="1"/>
  <c r="F39" i="7"/>
  <c r="F10" i="4" s="1"/>
  <c r="E39" i="7"/>
  <c r="E10" i="4" s="1"/>
  <c r="L38" i="7"/>
  <c r="J38" i="7"/>
  <c r="I38" i="7"/>
  <c r="G38" i="7"/>
  <c r="E38" i="7"/>
  <c r="L37" i="7"/>
  <c r="H37" i="7"/>
  <c r="G37" i="7"/>
  <c r="E37" i="7"/>
  <c r="L36" i="7"/>
  <c r="F36" i="7"/>
  <c r="E36" i="7"/>
  <c r="L35" i="7"/>
  <c r="J35" i="7"/>
  <c r="F35" i="7"/>
  <c r="G35" i="7"/>
  <c r="E35" i="7"/>
  <c r="L34" i="7"/>
  <c r="I34" i="7"/>
  <c r="G34" i="7"/>
  <c r="E34" i="7"/>
  <c r="L33" i="7"/>
  <c r="G33" i="7"/>
  <c r="E33" i="7"/>
  <c r="L32" i="7"/>
  <c r="L31" i="7"/>
  <c r="L30" i="7"/>
  <c r="L29" i="7"/>
  <c r="D31" i="7"/>
  <c r="J31" i="7"/>
  <c r="F31" i="7"/>
  <c r="E31" i="7"/>
  <c r="L25" i="7"/>
  <c r="E25" i="7"/>
  <c r="G25" i="7"/>
  <c r="J25" i="7"/>
  <c r="D25" i="7"/>
  <c r="L23" i="7"/>
  <c r="J23" i="7"/>
  <c r="G23" i="7"/>
  <c r="E23" i="7"/>
  <c r="D23" i="7"/>
  <c r="L22" i="7"/>
  <c r="D22" i="7"/>
  <c r="I22" i="7"/>
  <c r="F22" i="7"/>
  <c r="E22" i="7"/>
  <c r="L21" i="7"/>
  <c r="I21" i="7"/>
  <c r="F21" i="7"/>
  <c r="G21" i="7"/>
  <c r="E21" i="7"/>
  <c r="L20" i="7"/>
  <c r="J20" i="7"/>
  <c r="G20" i="7"/>
  <c r="E20" i="7"/>
  <c r="L19" i="7"/>
  <c r="I19" i="7"/>
  <c r="E19" i="7"/>
  <c r="L18" i="7"/>
  <c r="J18" i="7"/>
  <c r="I18" i="7"/>
  <c r="G18" i="7"/>
  <c r="E18" i="7"/>
  <c r="L17" i="7"/>
  <c r="H17" i="7"/>
  <c r="G17" i="7"/>
  <c r="E17" i="7"/>
  <c r="L16" i="7"/>
  <c r="F16" i="7"/>
  <c r="E16" i="7"/>
  <c r="L15" i="7"/>
  <c r="J15" i="7"/>
  <c r="G15" i="7"/>
  <c r="E15" i="7"/>
  <c r="D15" i="7"/>
  <c r="D14" i="7"/>
  <c r="E14" i="7"/>
  <c r="G14" i="7"/>
  <c r="I14" i="7"/>
  <c r="L14" i="7"/>
  <c r="L13" i="7"/>
  <c r="J13" i="7"/>
  <c r="F13" i="7"/>
  <c r="G13" i="7"/>
  <c r="E13" i="7"/>
  <c r="L12" i="7"/>
  <c r="I12" i="7"/>
  <c r="G12" i="7"/>
  <c r="E12" i="7"/>
  <c r="L11" i="7"/>
  <c r="G11" i="7"/>
  <c r="E11" i="7"/>
  <c r="F9" i="7"/>
  <c r="G10" i="7"/>
  <c r="E10" i="7"/>
  <c r="L10" i="7"/>
  <c r="J10" i="7"/>
  <c r="D10" i="7"/>
  <c r="L9" i="7"/>
  <c r="I9" i="7"/>
  <c r="E8" i="7"/>
  <c r="E9" i="7"/>
  <c r="D9" i="7"/>
  <c r="L8" i="7"/>
  <c r="J8" i="7"/>
  <c r="G8" i="7"/>
  <c r="D8" i="7"/>
  <c r="L7" i="7"/>
  <c r="I7" i="7"/>
  <c r="F7" i="7"/>
  <c r="E7" i="7"/>
  <c r="D7" i="7"/>
  <c r="D6" i="7"/>
  <c r="E6" i="7"/>
  <c r="G6" i="7"/>
  <c r="L6" i="7"/>
  <c r="J6" i="7"/>
  <c r="L5" i="7"/>
  <c r="L4" i="7"/>
  <c r="L3" i="7"/>
  <c r="L2" i="7"/>
  <c r="J5" i="7"/>
  <c r="F5" i="7"/>
  <c r="E5" i="7"/>
  <c r="D5" i="7"/>
  <c r="I4" i="7"/>
  <c r="F4" i="7"/>
  <c r="E4" i="7"/>
  <c r="D4" i="7"/>
  <c r="D3" i="7"/>
  <c r="J3" i="7"/>
  <c r="F3" i="7"/>
  <c r="E3" i="7"/>
  <c r="I2" i="7"/>
  <c r="G2" i="7"/>
  <c r="E2" i="7"/>
  <c r="D2" i="7"/>
  <c r="D24" i="7"/>
  <c r="I261" i="7"/>
  <c r="I24" i="7"/>
  <c r="J227" i="7"/>
  <c r="I227" i="7"/>
  <c r="E227" i="7"/>
  <c r="D227" i="7"/>
  <c r="J207" i="7"/>
  <c r="I207" i="7"/>
  <c r="E207" i="7"/>
  <c r="D207" i="7"/>
  <c r="J144" i="7"/>
  <c r="I144" i="7"/>
  <c r="E144" i="7"/>
  <c r="D144" i="7"/>
  <c r="G6" i="2"/>
  <c r="H86" i="5"/>
  <c r="R86" i="5"/>
  <c r="R27" i="5" s="1"/>
  <c r="J81" i="5"/>
  <c r="I81" i="5"/>
  <c r="I27" i="5" s="1"/>
  <c r="Q81" i="5"/>
  <c r="Q27" i="5" s="1"/>
  <c r="P81" i="5"/>
  <c r="P27" i="5" s="1"/>
  <c r="D81" i="5"/>
  <c r="D27" i="5" s="1"/>
  <c r="I228" i="7"/>
  <c r="F228" i="7"/>
  <c r="E228" i="7"/>
  <c r="D228" i="7"/>
  <c r="J229" i="7"/>
  <c r="G229" i="7"/>
  <c r="E229" i="7"/>
  <c r="D229" i="7"/>
  <c r="I105" i="7"/>
  <c r="F105" i="7"/>
  <c r="E105" i="7"/>
  <c r="D105" i="7"/>
  <c r="G106" i="7"/>
  <c r="J106" i="7"/>
  <c r="E106" i="7"/>
  <c r="D106" i="7"/>
  <c r="E38" i="4"/>
  <c r="G38" i="4"/>
  <c r="E43" i="4"/>
  <c r="E42" i="4"/>
  <c r="G43" i="4"/>
  <c r="G42" i="4"/>
  <c r="F22" i="4"/>
  <c r="F23" i="4"/>
  <c r="D22" i="4"/>
  <c r="J257" i="7"/>
  <c r="F257" i="7"/>
  <c r="E257" i="7"/>
  <c r="D257" i="7"/>
  <c r="D260" i="7"/>
  <c r="J263" i="7"/>
  <c r="J247" i="7"/>
  <c r="J236" i="7"/>
  <c r="J233" i="7"/>
  <c r="J212" i="7"/>
  <c r="J211" i="7"/>
  <c r="J195" i="7"/>
  <c r="J194" i="7"/>
  <c r="J193" i="7"/>
  <c r="J178" i="7"/>
  <c r="J177" i="7"/>
  <c r="J163" i="7"/>
  <c r="J161" i="7"/>
  <c r="J124" i="7"/>
  <c r="J121" i="7"/>
  <c r="J120" i="7"/>
  <c r="J83" i="7"/>
  <c r="J80" i="7"/>
  <c r="J74" i="7"/>
  <c r="J66" i="7"/>
  <c r="J63" i="7"/>
  <c r="J57" i="7"/>
  <c r="I264" i="7"/>
  <c r="I260" i="7"/>
  <c r="I245" i="7"/>
  <c r="I235" i="7"/>
  <c r="I232" i="7"/>
  <c r="I231" i="7"/>
  <c r="I213" i="7"/>
  <c r="I210" i="7"/>
  <c r="I209" i="7"/>
  <c r="I192" i="7"/>
  <c r="I180" i="7"/>
  <c r="I179" i="7"/>
  <c r="I162" i="7"/>
  <c r="I160" i="7"/>
  <c r="I158" i="7"/>
  <c r="I126" i="7"/>
  <c r="I125" i="7"/>
  <c r="I123" i="7"/>
  <c r="I122" i="7"/>
  <c r="I115" i="7"/>
  <c r="I85" i="7"/>
  <c r="I84" i="7"/>
  <c r="I82" i="7"/>
  <c r="I65" i="7"/>
  <c r="I64" i="7"/>
  <c r="G264" i="7"/>
  <c r="G263" i="7"/>
  <c r="G247" i="7"/>
  <c r="G236" i="7"/>
  <c r="G233" i="7"/>
  <c r="G231" i="7"/>
  <c r="G213" i="7"/>
  <c r="G212" i="7"/>
  <c r="G209" i="7"/>
  <c r="G194" i="7"/>
  <c r="G192" i="7"/>
  <c r="G179" i="7"/>
  <c r="G178" i="7"/>
  <c r="G163" i="7"/>
  <c r="G162" i="7"/>
  <c r="G161" i="7"/>
  <c r="G159" i="7"/>
  <c r="G125" i="7"/>
  <c r="G124" i="7"/>
  <c r="G120" i="7"/>
  <c r="G115" i="7"/>
  <c r="G85" i="7"/>
  <c r="G84" i="7"/>
  <c r="G83" i="7"/>
  <c r="G74" i="7"/>
  <c r="G65" i="7"/>
  <c r="G63" i="7"/>
  <c r="G57" i="7"/>
  <c r="F260" i="7"/>
  <c r="F245" i="7"/>
  <c r="F235" i="7"/>
  <c r="F234" i="7"/>
  <c r="F232" i="7"/>
  <c r="F211" i="7"/>
  <c r="F210" i="7"/>
  <c r="F195" i="7"/>
  <c r="F193" i="7"/>
  <c r="F180" i="7"/>
  <c r="F177" i="7"/>
  <c r="F160" i="7"/>
  <c r="F158" i="7"/>
  <c r="F126" i="7"/>
  <c r="F123" i="7"/>
  <c r="F121" i="7"/>
  <c r="F82" i="7"/>
  <c r="F80" i="7"/>
  <c r="F66" i="7"/>
  <c r="F64" i="7"/>
  <c r="F261" i="7"/>
  <c r="E264" i="7"/>
  <c r="E263" i="7"/>
  <c r="E261" i="7"/>
  <c r="E260" i="7"/>
  <c r="E247" i="7"/>
  <c r="E246" i="7"/>
  <c r="E245" i="7"/>
  <c r="E236" i="7"/>
  <c r="E235" i="7"/>
  <c r="E234" i="7"/>
  <c r="E233" i="7"/>
  <c r="E232" i="7"/>
  <c r="E231" i="7"/>
  <c r="E213" i="7"/>
  <c r="E212" i="7"/>
  <c r="E211" i="7"/>
  <c r="E210" i="7"/>
  <c r="E209" i="7"/>
  <c r="E195" i="7"/>
  <c r="E194" i="7"/>
  <c r="E193" i="7"/>
  <c r="E192" i="7"/>
  <c r="E180" i="7"/>
  <c r="E179" i="7"/>
  <c r="E178" i="7"/>
  <c r="E177" i="7"/>
  <c r="E163" i="7"/>
  <c r="E162" i="7"/>
  <c r="E161" i="7"/>
  <c r="E160" i="7"/>
  <c r="E159" i="7"/>
  <c r="E158" i="7"/>
  <c r="E126" i="7"/>
  <c r="E125" i="7"/>
  <c r="E124" i="7"/>
  <c r="E123" i="7"/>
  <c r="E122" i="7"/>
  <c r="E121" i="7"/>
  <c r="E120" i="7"/>
  <c r="E115" i="7"/>
  <c r="E85" i="7"/>
  <c r="E84" i="7"/>
  <c r="E83" i="7"/>
  <c r="E82" i="7"/>
  <c r="E81" i="7"/>
  <c r="E80" i="7"/>
  <c r="E74" i="7"/>
  <c r="E66" i="7"/>
  <c r="E65" i="7"/>
  <c r="E64" i="7"/>
  <c r="E63" i="7"/>
  <c r="E57" i="7"/>
  <c r="D264" i="7"/>
  <c r="D263" i="7"/>
  <c r="D261" i="7"/>
  <c r="D247" i="7"/>
  <c r="D233" i="7"/>
  <c r="D232" i="7"/>
  <c r="D231" i="7"/>
  <c r="D213" i="7"/>
  <c r="D212" i="7"/>
  <c r="D211" i="7"/>
  <c r="D210" i="7"/>
  <c r="D209" i="7"/>
  <c r="D195" i="7"/>
  <c r="D194" i="7"/>
  <c r="D193" i="7"/>
  <c r="D192" i="7"/>
  <c r="D180" i="7"/>
  <c r="D179" i="7"/>
  <c r="D178" i="7"/>
  <c r="D177" i="7"/>
  <c r="D163" i="7"/>
  <c r="D162" i="7"/>
  <c r="D158" i="7"/>
  <c r="D126" i="7"/>
  <c r="D125" i="7"/>
  <c r="D121" i="7"/>
  <c r="D120" i="7"/>
  <c r="D115" i="7"/>
  <c r="D85" i="7"/>
  <c r="D84" i="7"/>
  <c r="D80" i="7"/>
  <c r="D74" i="7"/>
  <c r="D66" i="7"/>
  <c r="D65" i="7"/>
  <c r="D64" i="7"/>
  <c r="D63" i="7"/>
  <c r="D57" i="7"/>
  <c r="J30" i="7"/>
  <c r="I32" i="7"/>
  <c r="G32" i="7"/>
  <c r="E32" i="7"/>
  <c r="D32" i="7"/>
  <c r="G30" i="7"/>
  <c r="E30" i="7"/>
  <c r="D30" i="7"/>
  <c r="G29" i="7"/>
  <c r="I29" i="7"/>
  <c r="E29" i="7"/>
  <c r="D29" i="7"/>
  <c r="F24" i="7"/>
  <c r="E24" i="7"/>
  <c r="P18" i="2"/>
  <c r="G83" i="5"/>
  <c r="F83" i="5"/>
  <c r="E27" i="5"/>
  <c r="O96" i="5"/>
  <c r="F12" i="5"/>
  <c r="H12" i="5"/>
  <c r="L27" i="2" s="1"/>
  <c r="E12" i="5"/>
  <c r="C93" i="5"/>
  <c r="Q7" i="5"/>
  <c r="B91" i="5"/>
  <c r="K91" i="5" s="1"/>
  <c r="B88" i="5"/>
  <c r="K88" i="5" s="1"/>
  <c r="R19" i="5"/>
  <c r="Q19" i="5"/>
  <c r="P19" i="5"/>
  <c r="I6" i="5"/>
  <c r="P23" i="2" s="1"/>
  <c r="I8" i="5"/>
  <c r="L21" i="2" s="1"/>
  <c r="J18" i="5"/>
  <c r="P35" i="2" s="1"/>
  <c r="M21" i="5"/>
  <c r="P27" i="2" s="1"/>
  <c r="R13" i="5"/>
  <c r="P19" i="2"/>
  <c r="S17" i="5"/>
  <c r="P33" i="2" s="1"/>
  <c r="O24" i="5"/>
  <c r="P29" i="2"/>
  <c r="J25" i="5"/>
  <c r="I25" i="5"/>
  <c r="H25" i="5"/>
  <c r="O18" i="5"/>
  <c r="N18" i="5"/>
  <c r="H22" i="5"/>
  <c r="I22" i="5"/>
  <c r="J22" i="5"/>
  <c r="O15" i="5"/>
  <c r="N15" i="5"/>
  <c r="M15" i="5"/>
  <c r="R15" i="5" s="1"/>
  <c r="L18" i="2" s="1"/>
  <c r="L14" i="5"/>
  <c r="K14" i="5"/>
  <c r="S9" i="5"/>
  <c r="P25" i="2"/>
  <c r="R6" i="5"/>
  <c r="P21" i="2" s="1"/>
  <c r="Q2" i="5"/>
  <c r="P13" i="2"/>
  <c r="H2" i="5"/>
  <c r="P15" i="2" s="1"/>
  <c r="P11" i="5"/>
  <c r="O11" i="5"/>
  <c r="N11" i="5"/>
  <c r="M10" i="5"/>
  <c r="L10" i="5"/>
  <c r="K10" i="5"/>
  <c r="H10" i="5"/>
  <c r="P31" i="2" s="1"/>
  <c r="D11" i="5"/>
  <c r="C11" i="5"/>
  <c r="B11" i="5"/>
  <c r="D7" i="5"/>
  <c r="C7" i="5"/>
  <c r="B7" i="5"/>
  <c r="I7" i="5" s="1"/>
  <c r="B3" i="5"/>
  <c r="F4" i="5"/>
  <c r="E4" i="5"/>
  <c r="H4" i="5" s="1"/>
  <c r="L16" i="2" s="1"/>
  <c r="D3" i="5"/>
  <c r="C3" i="5"/>
  <c r="P7" i="5"/>
  <c r="O7" i="5"/>
  <c r="L4" i="5"/>
  <c r="Q4" i="5" s="1"/>
  <c r="L13" i="2" s="1"/>
  <c r="M4" i="5"/>
  <c r="N3" i="5"/>
  <c r="P3" i="5"/>
  <c r="O3" i="5"/>
  <c r="L27" i="5"/>
  <c r="M2" i="4"/>
  <c r="K2" i="4"/>
  <c r="J2" i="4"/>
  <c r="M8" i="4"/>
  <c r="L8" i="4"/>
  <c r="K8" i="4"/>
  <c r="J8" i="4"/>
  <c r="I8" i="4"/>
  <c r="H8" i="4"/>
  <c r="G8" i="4"/>
  <c r="F8" i="4"/>
  <c r="E8" i="4"/>
  <c r="D8" i="4"/>
  <c r="C8" i="4"/>
  <c r="B8" i="4"/>
  <c r="H22" i="4"/>
  <c r="H23" i="4"/>
  <c r="H24" i="4"/>
  <c r="F24" i="4"/>
  <c r="E24" i="4"/>
  <c r="E22" i="4"/>
  <c r="E23" i="4"/>
  <c r="I22" i="4"/>
  <c r="J22" i="4"/>
  <c r="N25" i="1"/>
  <c r="M25" i="1"/>
  <c r="O25" i="1"/>
  <c r="M24" i="1"/>
  <c r="O23" i="1"/>
  <c r="N23" i="1"/>
  <c r="N24" i="1"/>
  <c r="M23" i="1"/>
  <c r="O24" i="1"/>
  <c r="O21" i="1"/>
  <c r="N20" i="1"/>
  <c r="M20" i="1"/>
  <c r="N18" i="1"/>
  <c r="M18" i="1"/>
  <c r="N21" i="1"/>
  <c r="M21" i="1"/>
  <c r="O20" i="1"/>
  <c r="O1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" i="1"/>
  <c r="E51" i="1"/>
  <c r="F51" i="1"/>
  <c r="E106" i="1"/>
  <c r="E105" i="1"/>
  <c r="E104" i="1"/>
  <c r="E103" i="1"/>
  <c r="F103" i="1"/>
  <c r="E102" i="1"/>
  <c r="E101" i="1"/>
  <c r="F101" i="1"/>
  <c r="E100" i="1"/>
  <c r="F100" i="1"/>
  <c r="E99" i="1"/>
  <c r="E98" i="1"/>
  <c r="F99" i="1"/>
  <c r="E97" i="1"/>
  <c r="E96" i="1"/>
  <c r="E95" i="1"/>
  <c r="F95" i="1"/>
  <c r="E94" i="1"/>
  <c r="E93" i="1"/>
  <c r="E92" i="1"/>
  <c r="E91" i="1"/>
  <c r="F91" i="1"/>
  <c r="E90" i="1"/>
  <c r="E89" i="1"/>
  <c r="F89" i="1"/>
  <c r="E88" i="1"/>
  <c r="E87" i="1"/>
  <c r="E86" i="1"/>
  <c r="F86" i="1"/>
  <c r="E85" i="1"/>
  <c r="F85" i="1"/>
  <c r="E84" i="1"/>
  <c r="E83" i="1"/>
  <c r="E82" i="1"/>
  <c r="F83" i="1"/>
  <c r="E81" i="1"/>
  <c r="E80" i="1"/>
  <c r="E79" i="1"/>
  <c r="E78" i="1"/>
  <c r="F79" i="1"/>
  <c r="E77" i="1"/>
  <c r="E76" i="1"/>
  <c r="F76" i="1"/>
  <c r="E75" i="1"/>
  <c r="E74" i="1"/>
  <c r="F74" i="1"/>
  <c r="E73" i="1"/>
  <c r="F73" i="1"/>
  <c r="E72" i="1"/>
  <c r="E71" i="1"/>
  <c r="E70" i="1"/>
  <c r="F70" i="1"/>
  <c r="E69" i="1"/>
  <c r="E68" i="1"/>
  <c r="E67" i="1"/>
  <c r="E66" i="1"/>
  <c r="F66" i="1"/>
  <c r="E65" i="1"/>
  <c r="E64" i="1"/>
  <c r="E63" i="1"/>
  <c r="F63" i="1"/>
  <c r="E62" i="1"/>
  <c r="E61" i="1"/>
  <c r="F61" i="1"/>
  <c r="E60" i="1"/>
  <c r="E59" i="1"/>
  <c r="F59" i="1"/>
  <c r="E58" i="1"/>
  <c r="E57" i="1"/>
  <c r="F57" i="1"/>
  <c r="E56" i="1"/>
  <c r="E55" i="1"/>
  <c r="F55" i="1"/>
  <c r="E54" i="1"/>
  <c r="E53" i="1"/>
  <c r="E52" i="1"/>
  <c r="E50" i="1"/>
  <c r="E49" i="1"/>
  <c r="F49" i="1"/>
  <c r="E48" i="1"/>
  <c r="E47" i="1"/>
  <c r="E46" i="1"/>
  <c r="F47" i="1"/>
  <c r="E45" i="1"/>
  <c r="F45" i="1"/>
  <c r="E44" i="1"/>
  <c r="E43" i="1"/>
  <c r="F43" i="1"/>
  <c r="E42" i="1"/>
  <c r="E41" i="1"/>
  <c r="F41" i="1"/>
  <c r="E40" i="1"/>
  <c r="E39" i="1"/>
  <c r="E38" i="1"/>
  <c r="E37" i="1"/>
  <c r="F38" i="1"/>
  <c r="E36" i="1"/>
  <c r="E35" i="1"/>
  <c r="E34" i="1"/>
  <c r="F34" i="1"/>
  <c r="E33" i="1"/>
  <c r="F33" i="1"/>
  <c r="E32" i="1"/>
  <c r="E31" i="1"/>
  <c r="F31" i="1"/>
  <c r="E30" i="1"/>
  <c r="E29" i="1"/>
  <c r="F29" i="1"/>
  <c r="E28" i="1"/>
  <c r="F28" i="1"/>
  <c r="E27" i="1"/>
  <c r="E26" i="1"/>
  <c r="F26" i="1"/>
  <c r="E25" i="1"/>
  <c r="E24" i="1"/>
  <c r="F25" i="1"/>
  <c r="E23" i="1"/>
  <c r="E22" i="1"/>
  <c r="E21" i="1"/>
  <c r="F21" i="1"/>
  <c r="E20" i="1"/>
  <c r="E19" i="1"/>
  <c r="E18" i="1"/>
  <c r="E17" i="1"/>
  <c r="F17" i="1"/>
  <c r="E16" i="1"/>
  <c r="E15" i="1"/>
  <c r="E14" i="1"/>
  <c r="F14" i="1"/>
  <c r="E13" i="1"/>
  <c r="F13" i="1"/>
  <c r="E12" i="1"/>
  <c r="E11" i="1"/>
  <c r="E10" i="1"/>
  <c r="F11" i="1"/>
  <c r="E9" i="1"/>
  <c r="F9" i="1"/>
  <c r="E8" i="1"/>
  <c r="E7" i="1"/>
  <c r="F7" i="1"/>
  <c r="F23" i="1"/>
  <c r="F96" i="1"/>
  <c r="F12" i="1"/>
  <c r="F20" i="1"/>
  <c r="F40" i="1"/>
  <c r="F65" i="1"/>
  <c r="F69" i="1"/>
  <c r="F81" i="1"/>
  <c r="F97" i="1"/>
  <c r="F46" i="1"/>
  <c r="F71" i="1"/>
  <c r="F16" i="1"/>
  <c r="F24" i="1"/>
  <c r="F32" i="1"/>
  <c r="F35" i="1"/>
  <c r="F53" i="1"/>
  <c r="F56" i="1"/>
  <c r="F77" i="1"/>
  <c r="F84" i="1"/>
  <c r="F105" i="1"/>
  <c r="F52" i="1"/>
  <c r="F106" i="1"/>
  <c r="F72" i="1"/>
  <c r="F60" i="1"/>
  <c r="F68" i="1"/>
  <c r="F80" i="1"/>
  <c r="F36" i="1"/>
  <c r="F19" i="1"/>
  <c r="F92" i="1"/>
  <c r="F62" i="1"/>
  <c r="F48" i="1"/>
  <c r="F94" i="1"/>
  <c r="F54" i="1"/>
  <c r="F15" i="1"/>
  <c r="F93" i="1"/>
  <c r="F8" i="1"/>
  <c r="F37" i="1"/>
  <c r="F75" i="1"/>
  <c r="F102" i="1"/>
  <c r="F87" i="1"/>
  <c r="F67" i="1"/>
  <c r="F42" i="1"/>
  <c r="F82" i="1"/>
  <c r="F22" i="1"/>
  <c r="F90" i="1"/>
  <c r="F39" i="1"/>
  <c r="F88" i="1"/>
  <c r="F44" i="1"/>
  <c r="F27" i="1"/>
  <c r="F104" i="1"/>
  <c r="F30" i="1"/>
  <c r="F98" i="1"/>
  <c r="F18" i="1"/>
  <c r="F64" i="1"/>
  <c r="F10" i="1"/>
  <c r="F58" i="1"/>
  <c r="F50" i="1"/>
  <c r="F78" i="1"/>
  <c r="S11" i="5"/>
  <c r="L23" i="2" s="1"/>
  <c r="B89" i="5"/>
  <c r="K89" i="5" s="1"/>
  <c r="B90" i="5"/>
  <c r="K90" i="5" s="1"/>
  <c r="N27" i="4"/>
  <c r="L14" i="4" l="1"/>
  <c r="L17" i="4"/>
  <c r="E14" i="4"/>
  <c r="C4" i="4" s="1"/>
  <c r="F4" i="4"/>
  <c r="E6" i="4" s="1"/>
  <c r="F27" i="5"/>
  <c r="H4" i="4"/>
  <c r="G6" i="4" s="1"/>
  <c r="H2" i="2" s="1"/>
  <c r="B4" i="4"/>
  <c r="I4" i="4"/>
  <c r="H6" i="4" s="1"/>
  <c r="G2" i="2" s="1"/>
  <c r="H4" i="2" s="1"/>
  <c r="G4" i="4"/>
  <c r="R7" i="5"/>
  <c r="S18" i="5"/>
  <c r="S19" i="5"/>
  <c r="L32" i="2" s="1"/>
  <c r="Q3" i="5"/>
  <c r="O25" i="5"/>
  <c r="H3" i="5"/>
  <c r="H11" i="5"/>
  <c r="S10" i="5"/>
  <c r="R14" i="5"/>
  <c r="M22" i="5"/>
  <c r="J27" i="5"/>
  <c r="C27" i="5"/>
  <c r="K27" i="5"/>
  <c r="K16" i="2" s="1"/>
  <c r="H27" i="5"/>
  <c r="M27" i="5"/>
  <c r="G27" i="5"/>
  <c r="C6" i="4" l="1"/>
  <c r="I6" i="4"/>
  <c r="I4" i="2"/>
  <c r="I6" i="2" s="1"/>
  <c r="F6" i="4"/>
  <c r="F2" i="2" s="1"/>
  <c r="G4" i="2" s="1"/>
  <c r="L6" i="4" s="1"/>
  <c r="B2" i="2"/>
  <c r="A4" i="2" s="1"/>
  <c r="K4" i="4" s="1"/>
  <c r="D4" i="4"/>
  <c r="E4" i="4" s="1"/>
  <c r="D6" i="4" s="1"/>
  <c r="C2" i="2"/>
  <c r="B4" i="2" s="1"/>
  <c r="L4" i="4" s="1"/>
  <c r="E2" i="2"/>
  <c r="F4" i="2" s="1"/>
  <c r="K31" i="2"/>
  <c r="K12" i="2"/>
  <c r="K19" i="2"/>
  <c r="K24" i="2"/>
  <c r="K23" i="2"/>
  <c r="K32" i="2"/>
  <c r="K22" i="2"/>
  <c r="K17" i="2"/>
  <c r="K34" i="2"/>
  <c r="K13" i="2"/>
  <c r="K20" i="2"/>
  <c r="K30" i="2"/>
  <c r="K29" i="2"/>
  <c r="K21" i="2"/>
  <c r="K18" i="2"/>
  <c r="K15" i="2"/>
  <c r="K25" i="2"/>
  <c r="K35" i="2"/>
  <c r="K26" i="2"/>
  <c r="K36" i="2"/>
  <c r="K14" i="2"/>
  <c r="K33" i="2"/>
  <c r="K27" i="2"/>
  <c r="K28" i="2"/>
  <c r="C4" i="2" l="1"/>
  <c r="M4" i="4" s="1"/>
  <c r="I8" i="2"/>
  <c r="I7" i="2"/>
  <c r="N6" i="4"/>
  <c r="K6" i="4"/>
  <c r="H7" i="2"/>
  <c r="H6" i="2"/>
  <c r="J6" i="2" s="1"/>
  <c r="O6" i="4" s="1"/>
  <c r="M6" i="4"/>
  <c r="H8" i="2"/>
  <c r="D2" i="2"/>
  <c r="S86" i="5" l="1"/>
  <c r="S27" i="5" s="1"/>
  <c r="D4" i="2"/>
  <c r="E4" i="2" s="1"/>
  <c r="J7" i="2"/>
  <c r="J8" i="2"/>
  <c r="N4" i="4" l="1"/>
  <c r="M16" i="2"/>
  <c r="N32" i="4" s="1"/>
  <c r="M15" i="2" l="1"/>
  <c r="O4" i="4"/>
  <c r="M35" i="2"/>
  <c r="M34" i="2"/>
  <c r="M31" i="2"/>
  <c r="M25" i="2"/>
  <c r="M23" i="2"/>
  <c r="M13" i="2"/>
  <c r="N31" i="4" s="1"/>
  <c r="M32" i="2"/>
  <c r="M19" i="2"/>
  <c r="M14" i="2"/>
  <c r="M29" i="2"/>
  <c r="M33" i="2"/>
  <c r="K7" i="2"/>
  <c r="M28" i="2"/>
  <c r="M26" i="2"/>
  <c r="M21" i="2"/>
  <c r="M24" i="2"/>
  <c r="M18" i="2"/>
  <c r="M27" i="2"/>
  <c r="M12" i="2"/>
  <c r="K8" i="2"/>
  <c r="M22" i="2"/>
  <c r="M30" i="2"/>
  <c r="M17" i="2"/>
  <c r="N33" i="4" s="1"/>
  <c r="K6" i="2"/>
  <c r="N30" i="4" s="1"/>
  <c r="M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夏菲</author>
  </authors>
  <commentList>
    <comment ref="N1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 xml:space="preserve">灸：
</t>
        </r>
        <r>
          <rPr>
            <sz val="9"/>
            <color indexed="81"/>
            <rFont val="細明體"/>
            <family val="3"/>
            <charset val="136"/>
          </rPr>
          <t>1.有攸需開六層奇穴
2.含弘須開十層奇穴
3.含弘無疆皆只能擇1</t>
        </r>
      </text>
    </comment>
    <comment ref="G11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>夏菲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僅估算</t>
        </r>
      </text>
    </comment>
    <comment ref="A33" authorId="0" shapeId="0" xr:uid="{00000000-0006-0000-0000-000003000000}">
      <text>
        <r>
          <rPr>
            <b/>
            <sz val="9"/>
            <color indexed="81"/>
            <rFont val="細明體"/>
            <family val="3"/>
            <charset val="136"/>
          </rPr>
          <t>夏菲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無數據，僅估算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夏菲</author>
  </authors>
  <commentList>
    <comment ref="G28" authorId="0" shapeId="0" xr:uid="{9BC30510-39B5-41BC-9730-9C3629920011}">
      <text>
        <r>
          <rPr>
            <b/>
            <sz val="9"/>
            <color indexed="81"/>
            <rFont val="細明體"/>
            <family val="3"/>
            <charset val="136"/>
          </rPr>
          <t>夏菲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僅估算</t>
        </r>
      </text>
    </comment>
    <comment ref="A50" authorId="0" shapeId="0" xr:uid="{D992EB4D-29DD-46FA-A87C-1484CD7B2C83}">
      <text>
        <r>
          <rPr>
            <b/>
            <sz val="9"/>
            <color indexed="81"/>
            <rFont val="細明體"/>
            <family val="3"/>
            <charset val="136"/>
          </rPr>
          <t>夏菲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無數據，僅估算</t>
        </r>
      </text>
    </comment>
  </commentList>
</comments>
</file>

<file path=xl/sharedStrings.xml><?xml version="1.0" encoding="utf-8"?>
<sst xmlns="http://schemas.openxmlformats.org/spreadsheetml/2006/main" count="2047" uniqueCount="1051">
  <si>
    <t>會效：</t>
    <phoneticPr fontId="1" type="noConversion"/>
  </si>
  <si>
    <t>←請在左側填入面板會效%，例如：175%</t>
    <phoneticPr fontId="1" type="noConversion"/>
  </si>
  <si>
    <t>破防會心收益比較表</t>
    <phoneticPr fontId="1" type="noConversion"/>
  </si>
  <si>
    <t>破防%</t>
  </si>
  <si>
    <t>最終傷害</t>
  </si>
  <si>
    <t>增強倍數</t>
  </si>
  <si>
    <t>會心%</t>
    <phoneticPr fontId="1" type="noConversion"/>
  </si>
  <si>
    <t>最終傷害</t>
    <phoneticPr fontId="1" type="noConversion"/>
  </si>
  <si>
    <t>增強倍數</t>
    <phoneticPr fontId="1" type="noConversion"/>
  </si>
  <si>
    <t>肆級五彩</t>
  </si>
  <si>
    <t>伍級五彩</t>
  </si>
  <si>
    <t>陸級五彩</t>
  </si>
  <si>
    <t>鑲嵌等級</t>
  </si>
  <si>
    <t>會效%</t>
  </si>
  <si>
    <t>一層會效%</t>
    <phoneticPr fontId="1" type="noConversion"/>
  </si>
  <si>
    <t>二層會效%</t>
    <phoneticPr fontId="1" type="noConversion"/>
  </si>
  <si>
    <t>三層會效%</t>
    <phoneticPr fontId="1" type="noConversion"/>
  </si>
  <si>
    <t>表格製作：沉冤</t>
    <phoneticPr fontId="1" type="noConversion"/>
  </si>
  <si>
    <t>請注意，不同版本與不同流派以及不同團隊配置將影響面板數據，請自行調整計算。</t>
    <phoneticPr fontId="1" type="noConversion"/>
  </si>
  <si>
    <t>表格最後更新日：2019.04.19</t>
    <phoneticPr fontId="1" type="noConversion"/>
  </si>
  <si>
    <t>角色空身會效為175%</t>
    <phoneticPr fontId="1" type="noConversion"/>
  </si>
  <si>
    <t>常見會效加成來源換算(100年代)</t>
    <phoneticPr fontId="1" type="noConversion"/>
  </si>
  <si>
    <t>破防</t>
    <phoneticPr fontId="2" type="noConversion"/>
  </si>
  <si>
    <t>會心</t>
    <phoneticPr fontId="2" type="noConversion"/>
  </si>
  <si>
    <t>會效</t>
    <phoneticPr fontId="2" type="noConversion"/>
  </si>
  <si>
    <t>無雙</t>
    <phoneticPr fontId="2" type="noConversion"/>
  </si>
  <si>
    <t>命中</t>
    <phoneticPr fontId="2" type="noConversion"/>
  </si>
  <si>
    <t>英雄</t>
    <phoneticPr fontId="2" type="noConversion"/>
  </si>
  <si>
    <t>10人</t>
    <phoneticPr fontId="2" type="noConversion"/>
  </si>
  <si>
    <t>被識破率</t>
    <phoneticPr fontId="2" type="noConversion"/>
  </si>
  <si>
    <t>攻擊</t>
    <phoneticPr fontId="2" type="noConversion"/>
  </si>
  <si>
    <t>無雙需求</t>
    <phoneticPr fontId="2" type="noConversion"/>
  </si>
  <si>
    <t>命中需求</t>
    <phoneticPr fontId="2" type="noConversion"/>
  </si>
  <si>
    <t>對象</t>
    <phoneticPr fontId="2" type="noConversion"/>
  </si>
  <si>
    <t>斜打狗背</t>
    <phoneticPr fontId="2" type="noConversion"/>
  </si>
  <si>
    <t>技能係數</t>
    <phoneticPr fontId="2" type="noConversion"/>
  </si>
  <si>
    <t>技能名稱</t>
    <phoneticPr fontId="2" type="noConversion"/>
  </si>
  <si>
    <t>龍戰於野</t>
    <phoneticPr fontId="2" type="noConversion"/>
  </si>
  <si>
    <t>蛟龍翻江</t>
    <phoneticPr fontId="2" type="noConversion"/>
  </si>
  <si>
    <t>雙龍取水</t>
    <phoneticPr fontId="2" type="noConversion"/>
  </si>
  <si>
    <t>亢龍有悔</t>
    <phoneticPr fontId="2" type="noConversion"/>
  </si>
  <si>
    <t>撥狗朝天</t>
    <phoneticPr fontId="2" type="noConversion"/>
  </si>
  <si>
    <t>龍躍於淵</t>
    <phoneticPr fontId="2" type="noConversion"/>
  </si>
  <si>
    <t>棒打狗頭</t>
    <phoneticPr fontId="2" type="noConversion"/>
  </si>
  <si>
    <t>惡狗攔路</t>
    <phoneticPr fontId="2" type="noConversion"/>
  </si>
  <si>
    <t>犬牙交錯</t>
    <phoneticPr fontId="2" type="noConversion"/>
  </si>
  <si>
    <t>蜀犬吠日</t>
    <phoneticPr fontId="2" type="noConversion"/>
  </si>
  <si>
    <t>時乘六龍</t>
    <phoneticPr fontId="2" type="noConversion"/>
  </si>
  <si>
    <t>橫打雙獒</t>
    <phoneticPr fontId="2" type="noConversion"/>
  </si>
  <si>
    <t>紀錄</t>
    <phoneticPr fontId="2" type="noConversion"/>
  </si>
  <si>
    <t>石頭</t>
    <phoneticPr fontId="2" type="noConversion"/>
  </si>
  <si>
    <t>配裝模擬器</t>
    <phoneticPr fontId="2" type="noConversion"/>
  </si>
  <si>
    <t>https://www.j3pz.com/dps/xiaochen/#</t>
    <phoneticPr fontId="2" type="noConversion"/>
  </si>
  <si>
    <t>2層會效</t>
    <phoneticPr fontId="1" type="noConversion"/>
  </si>
  <si>
    <t>3層會效</t>
    <phoneticPr fontId="1" type="noConversion"/>
  </si>
  <si>
    <t>破防適合%</t>
    <phoneticPr fontId="1" type="noConversion"/>
  </si>
  <si>
    <t>會心適合%</t>
    <phoneticPr fontId="1" type="noConversion"/>
  </si>
  <si>
    <t>會效%</t>
    <phoneticPr fontId="1" type="noConversion"/>
  </si>
  <si>
    <t>附魔</t>
    <phoneticPr fontId="2" type="noConversion"/>
  </si>
  <si>
    <t>1層會效</t>
    <phoneticPr fontId="1" type="noConversion"/>
  </si>
  <si>
    <t>0層會效</t>
    <phoneticPr fontId="1" type="noConversion"/>
  </si>
  <si>
    <t>邊際效益</t>
    <phoneticPr fontId="1" type="noConversion"/>
  </si>
  <si>
    <t>設2300裝備會破總合為66%</t>
    <phoneticPr fontId="1" type="noConversion"/>
  </si>
  <si>
    <t>破防總收</t>
    <phoneticPr fontId="1" type="noConversion"/>
  </si>
  <si>
    <t>會心總收</t>
    <phoneticPr fontId="1" type="noConversion"/>
  </si>
  <si>
    <t>綜合收益</t>
    <phoneticPr fontId="1" type="noConversion"/>
  </si>
  <si>
    <t>0層會效喝酒</t>
    <phoneticPr fontId="1" type="noConversion"/>
  </si>
  <si>
    <t>2層會效喝酒</t>
    <phoneticPr fontId="1" type="noConversion"/>
  </si>
  <si>
    <t>理論傷害</t>
    <phoneticPr fontId="2" type="noConversion"/>
  </si>
  <si>
    <t>圓桌命中</t>
    <phoneticPr fontId="2" type="noConversion"/>
  </si>
  <si>
    <t>實際命中</t>
    <phoneticPr fontId="2" type="noConversion"/>
  </si>
  <si>
    <t>吃魚</t>
    <phoneticPr fontId="2" type="noConversion"/>
  </si>
  <si>
    <t>3層會效喝酒</t>
    <phoneticPr fontId="1" type="noConversion"/>
  </si>
  <si>
    <t>僵直時間</t>
    <phoneticPr fontId="2" type="noConversion"/>
  </si>
  <si>
    <t>控制時間</t>
    <phoneticPr fontId="2" type="noConversion"/>
  </si>
  <si>
    <t>內力消耗</t>
    <phoneticPr fontId="2" type="noConversion"/>
  </si>
  <si>
    <t>內力獲取</t>
    <phoneticPr fontId="2" type="noConversion"/>
  </si>
  <si>
    <t>小基傷</t>
    <phoneticPr fontId="2" type="noConversion"/>
  </si>
  <si>
    <t>大基傷</t>
    <phoneticPr fontId="2" type="noConversion"/>
  </si>
  <si>
    <t>詠唱時間</t>
    <phoneticPr fontId="2" type="noConversion"/>
  </si>
  <si>
    <t>調息時間</t>
    <phoneticPr fontId="2" type="noConversion"/>
  </si>
  <si>
    <t>天下無狗</t>
  </si>
  <si>
    <t>狂龍亂舞</t>
    <phoneticPr fontId="2" type="noConversion"/>
  </si>
  <si>
    <t>見龍在田</t>
  </si>
  <si>
    <t>神龍擺尾</t>
  </si>
  <si>
    <t>飛龍在天</t>
  </si>
  <si>
    <t>龍遊天地</t>
  </si>
  <si>
    <t>龍騰五岳</t>
  </si>
  <si>
    <t>配裝</t>
    <phoneticPr fontId="3" type="noConversion"/>
  </si>
  <si>
    <t>頭部</t>
  </si>
  <si>
    <t>頭部</t>
    <phoneticPr fontId="3" type="noConversion"/>
  </si>
  <si>
    <t>衣服</t>
  </si>
  <si>
    <t>衣服</t>
    <phoneticPr fontId="3" type="noConversion"/>
  </si>
  <si>
    <t>腰帶</t>
  </si>
  <si>
    <t>腰帶</t>
    <phoneticPr fontId="3" type="noConversion"/>
  </si>
  <si>
    <t>護腕</t>
  </si>
  <si>
    <t>護腕</t>
    <phoneticPr fontId="3" type="noConversion"/>
  </si>
  <si>
    <t>下裝</t>
  </si>
  <si>
    <t>下裝</t>
    <phoneticPr fontId="3" type="noConversion"/>
  </si>
  <si>
    <t>鞋子</t>
  </si>
  <si>
    <t>鞋子</t>
    <phoneticPr fontId="3" type="noConversion"/>
  </si>
  <si>
    <t>項鍊</t>
  </si>
  <si>
    <t>項鍊</t>
    <phoneticPr fontId="3" type="noConversion"/>
  </si>
  <si>
    <t>腰墜</t>
  </si>
  <si>
    <t>腰墜</t>
    <phoneticPr fontId="3" type="noConversion"/>
  </si>
  <si>
    <t>戒指</t>
  </si>
  <si>
    <t>戒指</t>
    <phoneticPr fontId="3" type="noConversion"/>
  </si>
  <si>
    <t>暗器囊</t>
  </si>
  <si>
    <t>暗器囊</t>
    <phoneticPr fontId="3" type="noConversion"/>
  </si>
  <si>
    <t>武器</t>
  </si>
  <si>
    <t>武器</t>
    <phoneticPr fontId="3" type="noConversion"/>
  </si>
  <si>
    <t>頭部附魔</t>
  </si>
  <si>
    <t>頭部附魔</t>
    <phoneticPr fontId="3" type="noConversion"/>
  </si>
  <si>
    <t>護腕附魔</t>
  </si>
  <si>
    <t>護腕附魔</t>
    <phoneticPr fontId="3" type="noConversion"/>
  </si>
  <si>
    <t>下裝附魔</t>
  </si>
  <si>
    <t>下裝附魔</t>
    <phoneticPr fontId="3" type="noConversion"/>
  </si>
  <si>
    <t>鞋子附魔</t>
  </si>
  <si>
    <t>鞋子附魔</t>
    <phoneticPr fontId="3" type="noConversion"/>
  </si>
  <si>
    <t>名稱</t>
    <phoneticPr fontId="3" type="noConversion"/>
  </si>
  <si>
    <t>戒指附魔</t>
  </si>
  <si>
    <t>戒指附魔</t>
    <phoneticPr fontId="3" type="noConversion"/>
  </si>
  <si>
    <t>暗器附魔</t>
  </si>
  <si>
    <t>暗器附魔</t>
    <phoneticPr fontId="3" type="noConversion"/>
  </si>
  <si>
    <t>武器附魔</t>
  </si>
  <si>
    <t>武器附魔</t>
    <phoneticPr fontId="3" type="noConversion"/>
  </si>
  <si>
    <t>武器熔錠</t>
    <phoneticPr fontId="3" type="noConversion"/>
  </si>
  <si>
    <t>幫會宴席</t>
    <phoneticPr fontId="3" type="noConversion"/>
  </si>
  <si>
    <t>其他宴席</t>
    <phoneticPr fontId="3" type="noConversion"/>
  </si>
  <si>
    <t>宴席</t>
    <phoneticPr fontId="3" type="noConversion"/>
  </si>
  <si>
    <t>輔助藥品</t>
    <phoneticPr fontId="3" type="noConversion"/>
  </si>
  <si>
    <t>輔助食品</t>
    <phoneticPr fontId="3" type="noConversion"/>
  </si>
  <si>
    <t>增強食品</t>
    <phoneticPr fontId="3" type="noConversion"/>
  </si>
  <si>
    <t>增強藥品</t>
    <phoneticPr fontId="3" type="noConversion"/>
  </si>
  <si>
    <t>人物數值</t>
    <phoneticPr fontId="3" type="noConversion"/>
  </si>
  <si>
    <t>力道</t>
    <phoneticPr fontId="3" type="noConversion"/>
  </si>
  <si>
    <t>攻擊力</t>
    <phoneticPr fontId="3" type="noConversion"/>
  </si>
  <si>
    <t>命中</t>
    <phoneticPr fontId="3" type="noConversion"/>
  </si>
  <si>
    <t>會心</t>
    <phoneticPr fontId="3" type="noConversion"/>
  </si>
  <si>
    <t>會心效果</t>
    <phoneticPr fontId="3" type="noConversion"/>
  </si>
  <si>
    <t>破防</t>
    <phoneticPr fontId="3" type="noConversion"/>
  </si>
  <si>
    <t>無雙</t>
    <phoneticPr fontId="3" type="noConversion"/>
  </si>
  <si>
    <t>龍戰於野</t>
    <phoneticPr fontId="3" type="noConversion"/>
  </si>
  <si>
    <t>傷害 3%</t>
    <phoneticPr fontId="3" type="noConversion"/>
  </si>
  <si>
    <t>會心 3%</t>
    <phoneticPr fontId="3" type="noConversion"/>
  </si>
  <si>
    <t>會心 2%</t>
    <phoneticPr fontId="3" type="noConversion"/>
  </si>
  <si>
    <t>傷害 4%</t>
    <phoneticPr fontId="3" type="noConversion"/>
  </si>
  <si>
    <t>傷害 5%</t>
    <phoneticPr fontId="3" type="noConversion"/>
  </si>
  <si>
    <t>CD-1</t>
    <phoneticPr fontId="3" type="noConversion"/>
  </si>
  <si>
    <t>部位</t>
    <phoneticPr fontId="3" type="noConversion"/>
  </si>
  <si>
    <t>品質分數</t>
    <phoneticPr fontId="3" type="noConversion"/>
  </si>
  <si>
    <t>出處</t>
    <phoneticPr fontId="3" type="noConversion"/>
  </si>
  <si>
    <t>裝備名稱</t>
    <phoneticPr fontId="3" type="noConversion"/>
  </si>
  <si>
    <t>外功攻擊</t>
    <phoneticPr fontId="3" type="noConversion"/>
  </si>
  <si>
    <t>基礎數值</t>
    <phoneticPr fontId="3" type="noConversion"/>
  </si>
  <si>
    <t>無雙(%)</t>
    <phoneticPr fontId="3" type="noConversion"/>
  </si>
  <si>
    <t>破防(%)</t>
    <phoneticPr fontId="3" type="noConversion"/>
  </si>
  <si>
    <t>命中(%)</t>
    <phoneticPr fontId="3" type="noConversion"/>
  </si>
  <si>
    <t>會心效果(%)</t>
    <phoneticPr fontId="3" type="noConversion"/>
  </si>
  <si>
    <t>會心(%)</t>
    <phoneticPr fontId="3" type="noConversion"/>
  </si>
  <si>
    <t>類別</t>
    <phoneticPr fontId="3" type="noConversion"/>
  </si>
  <si>
    <t>破命</t>
    <phoneticPr fontId="3" type="noConversion"/>
  </si>
  <si>
    <t>會命</t>
    <phoneticPr fontId="3" type="noConversion"/>
  </si>
  <si>
    <t>玄戈冠</t>
    <phoneticPr fontId="3" type="noConversion"/>
  </si>
  <si>
    <t>會無</t>
    <phoneticPr fontId="3" type="noConversion"/>
  </si>
  <si>
    <t>寒山靴</t>
  </si>
  <si>
    <t>刻深衫</t>
    <phoneticPr fontId="3" type="noConversion"/>
  </si>
  <si>
    <t>距離+1</t>
    <phoneticPr fontId="3" type="noConversion"/>
  </si>
  <si>
    <t>亢龍有悔</t>
    <phoneticPr fontId="3" type="noConversion"/>
  </si>
  <si>
    <t>會心 4%</t>
    <phoneticPr fontId="3" type="noConversion"/>
  </si>
  <si>
    <t>施展後外攻+20%持續8秒</t>
    <phoneticPr fontId="3" type="noConversion"/>
  </si>
  <si>
    <t>會心 5%</t>
    <phoneticPr fontId="3" type="noConversion"/>
  </si>
  <si>
    <t>惡狗攔路</t>
    <phoneticPr fontId="3" type="noConversion"/>
  </si>
  <si>
    <t>撥狗朝天</t>
    <phoneticPr fontId="3" type="noConversion"/>
  </si>
  <si>
    <t>天下無狗</t>
    <phoneticPr fontId="3" type="noConversion"/>
  </si>
  <si>
    <t>範圍+1</t>
    <phoneticPr fontId="3" type="noConversion"/>
  </si>
  <si>
    <t>個數+1</t>
    <phoneticPr fontId="3" type="noConversion"/>
  </si>
  <si>
    <t>驅散不利效果</t>
    <phoneticPr fontId="3" type="noConversion"/>
  </si>
  <si>
    <t>範圍+1(2)</t>
    <phoneticPr fontId="3" type="noConversion"/>
  </si>
  <si>
    <t>個數+1(2)</t>
    <phoneticPr fontId="3" type="noConversion"/>
  </si>
  <si>
    <t>亢龍(DOT)</t>
    <phoneticPr fontId="2" type="noConversion"/>
  </si>
  <si>
    <t>玄戈帶</t>
    <phoneticPr fontId="3" type="noConversion"/>
  </si>
  <si>
    <t>許過腰帶</t>
    <phoneticPr fontId="3" type="noConversion"/>
  </si>
  <si>
    <t>命凡腰帶</t>
    <phoneticPr fontId="3" type="noConversion"/>
  </si>
  <si>
    <t>變歸腰帶</t>
    <phoneticPr fontId="3" type="noConversion"/>
  </si>
  <si>
    <t>刻深帶</t>
    <phoneticPr fontId="3" type="noConversion"/>
  </si>
  <si>
    <t>寒山腰帶</t>
    <phoneticPr fontId="3" type="noConversion"/>
  </si>
  <si>
    <t>詭義護腕</t>
    <phoneticPr fontId="3" type="noConversion"/>
  </si>
  <si>
    <t>山曉護腕</t>
    <phoneticPr fontId="3" type="noConversion"/>
  </si>
  <si>
    <t>平陵護腕</t>
    <phoneticPr fontId="3" type="noConversion"/>
  </si>
  <si>
    <t>寒山纏</t>
    <phoneticPr fontId="3" type="noConversion"/>
  </si>
  <si>
    <t>碎山褲</t>
    <phoneticPr fontId="3" type="noConversion"/>
  </si>
  <si>
    <t>覺語褲</t>
    <phoneticPr fontId="3" type="noConversion"/>
  </si>
  <si>
    <t>續光褲</t>
    <phoneticPr fontId="3" type="noConversion"/>
  </si>
  <si>
    <t>羅曉褲</t>
    <phoneticPr fontId="3" type="noConversion"/>
  </si>
  <si>
    <t>刻深褲</t>
    <phoneticPr fontId="3" type="noConversion"/>
  </si>
  <si>
    <t>寒山褲</t>
    <phoneticPr fontId="3" type="noConversion"/>
  </si>
  <si>
    <t>刻深鏈</t>
    <phoneticPr fontId="3" type="noConversion"/>
  </si>
  <si>
    <t>玄戈鏈</t>
    <phoneticPr fontId="3" type="noConversion"/>
  </si>
  <si>
    <t>碎山鏈</t>
    <phoneticPr fontId="3" type="noConversion"/>
  </si>
  <si>
    <t>橫海鏈</t>
    <phoneticPr fontId="3" type="noConversion"/>
  </si>
  <si>
    <t>刻深墜</t>
    <phoneticPr fontId="3" type="noConversion"/>
  </si>
  <si>
    <t>碎山墜</t>
    <phoneticPr fontId="3" type="noConversion"/>
  </si>
  <si>
    <t>窮奇墜</t>
    <phoneticPr fontId="3" type="noConversion"/>
  </si>
  <si>
    <t>玄戈指環</t>
    <phoneticPr fontId="3" type="noConversion"/>
  </si>
  <si>
    <t>途寬戒</t>
    <phoneticPr fontId="3" type="noConversion"/>
  </si>
  <si>
    <t>論戰</t>
    <phoneticPr fontId="3" type="noConversion"/>
  </si>
  <si>
    <t>冥報</t>
    <phoneticPr fontId="3" type="noConversion"/>
  </si>
  <si>
    <t>遠鴻</t>
    <phoneticPr fontId="3" type="noConversion"/>
  </si>
  <si>
    <t>還鴉帶影</t>
    <phoneticPr fontId="3" type="noConversion"/>
  </si>
  <si>
    <t>轅角棒</t>
    <phoneticPr fontId="3" type="noConversion"/>
  </si>
  <si>
    <t>外攻攻擊</t>
    <phoneticPr fontId="3" type="noConversion"/>
  </si>
  <si>
    <t>刻深帽</t>
    <phoneticPr fontId="3" type="noConversion"/>
  </si>
  <si>
    <t>寒山冠</t>
    <phoneticPr fontId="3" type="noConversion"/>
  </si>
  <si>
    <t>玄戈衣</t>
    <phoneticPr fontId="3" type="noConversion"/>
  </si>
  <si>
    <t>碎山衫</t>
    <phoneticPr fontId="3" type="noConversion"/>
  </si>
  <si>
    <t>寒山衣</t>
    <phoneticPr fontId="3" type="noConversion"/>
  </si>
  <si>
    <t>玄戈袖</t>
    <phoneticPr fontId="3" type="noConversion"/>
  </si>
  <si>
    <t>碎山袖</t>
    <phoneticPr fontId="3" type="noConversion"/>
  </si>
  <si>
    <t>刻深袖</t>
    <phoneticPr fontId="3" type="noConversion"/>
  </si>
  <si>
    <t>碎山鞋</t>
    <phoneticPr fontId="3" type="noConversion"/>
  </si>
  <si>
    <t>刻深靴</t>
    <phoneticPr fontId="3" type="noConversion"/>
  </si>
  <si>
    <t>玄戈佩</t>
    <phoneticPr fontId="3" type="noConversion"/>
  </si>
  <si>
    <t>刻深戒</t>
    <phoneticPr fontId="3" type="noConversion"/>
  </si>
  <si>
    <t>碎山戒</t>
    <phoneticPr fontId="3" type="noConversion"/>
  </si>
  <si>
    <t>音虹戒</t>
    <phoneticPr fontId="3" type="noConversion"/>
  </si>
  <si>
    <t>久言戒</t>
    <phoneticPr fontId="3" type="noConversion"/>
  </si>
  <si>
    <t>刻深囊</t>
    <phoneticPr fontId="3" type="noConversion"/>
  </si>
  <si>
    <t>千仞</t>
    <phoneticPr fontId="3" type="noConversion"/>
  </si>
  <si>
    <t>備註</t>
    <phoneticPr fontId="3" type="noConversion"/>
  </si>
  <si>
    <t>招式會心後額外獲得3%內力值</t>
  </si>
  <si>
    <t>招式會心後額外獲得3%內力值</t>
    <phoneticPr fontId="3" type="noConversion"/>
  </si>
  <si>
    <t>5秒內造成傷害的5%轉化為內力</t>
    <phoneticPr fontId="3" type="noConversion"/>
  </si>
  <si>
    <t>橫打雙獒</t>
  </si>
  <si>
    <t>仙蹤·頭·鑄（外攻）</t>
  </si>
  <si>
    <t>仙蹤·鞋·繡（外攻）</t>
  </si>
  <si>
    <t>仙蹤·兵·鑄（外攻）</t>
    <phoneticPr fontId="3" type="noConversion"/>
  </si>
  <si>
    <t>潛龍勿用</t>
  </si>
  <si>
    <t>潛龍勿用</t>
    <phoneticPr fontId="2" type="noConversion"/>
  </si>
  <si>
    <t>反截狗臀</t>
    <phoneticPr fontId="2" type="noConversion"/>
  </si>
  <si>
    <t>按狗低頭</t>
    <phoneticPr fontId="2" type="noConversion"/>
  </si>
  <si>
    <t>催盞</t>
  </si>
  <si>
    <t>8</t>
  </si>
  <si>
    <t>奇穴</t>
    <phoneticPr fontId="2" type="noConversion"/>
  </si>
  <si>
    <t>第一層</t>
    <phoneticPr fontId="2" type="noConversion"/>
  </si>
  <si>
    <t>第二層</t>
    <phoneticPr fontId="2" type="noConversion"/>
  </si>
  <si>
    <t>第三層</t>
    <phoneticPr fontId="2" type="noConversion"/>
  </si>
  <si>
    <t>第四層</t>
    <phoneticPr fontId="2" type="noConversion"/>
  </si>
  <si>
    <t>第五層</t>
    <phoneticPr fontId="2" type="noConversion"/>
  </si>
  <si>
    <t>第六層</t>
    <phoneticPr fontId="2" type="noConversion"/>
  </si>
  <si>
    <t>第七層</t>
    <phoneticPr fontId="2" type="noConversion"/>
  </si>
  <si>
    <t>第八層</t>
    <phoneticPr fontId="2" type="noConversion"/>
  </si>
  <si>
    <t>第九層</t>
    <phoneticPr fontId="2" type="noConversion"/>
  </si>
  <si>
    <t>第十層</t>
    <phoneticPr fontId="2" type="noConversion"/>
  </si>
  <si>
    <t>第十一層</t>
    <phoneticPr fontId="2" type="noConversion"/>
  </si>
  <si>
    <t>第十二層</t>
    <phoneticPr fontId="2" type="noConversion"/>
  </si>
  <si>
    <t>奇穴</t>
    <phoneticPr fontId="3" type="noConversion"/>
  </si>
  <si>
    <t>第一層</t>
    <phoneticPr fontId="3" type="noConversion"/>
  </si>
  <si>
    <t>第二層</t>
    <phoneticPr fontId="3" type="noConversion"/>
  </si>
  <si>
    <t>第三層</t>
    <phoneticPr fontId="3" type="noConversion"/>
  </si>
  <si>
    <t>第四層</t>
    <phoneticPr fontId="3" type="noConversion"/>
  </si>
  <si>
    <t>第五層</t>
    <phoneticPr fontId="3" type="noConversion"/>
  </si>
  <si>
    <t>第六層</t>
    <phoneticPr fontId="3" type="noConversion"/>
  </si>
  <si>
    <t>第七層</t>
    <phoneticPr fontId="3" type="noConversion"/>
  </si>
  <si>
    <t>第八層</t>
    <phoneticPr fontId="3" type="noConversion"/>
  </si>
  <si>
    <t>第九層</t>
    <phoneticPr fontId="3" type="noConversion"/>
  </si>
  <si>
    <t>第十層</t>
    <phoneticPr fontId="3" type="noConversion"/>
  </si>
  <si>
    <t>第十一層</t>
    <phoneticPr fontId="3" type="noConversion"/>
  </si>
  <si>
    <t>第十二層</t>
    <phoneticPr fontId="3" type="noConversion"/>
  </si>
  <si>
    <t>玄黃</t>
  </si>
  <si>
    <t>禦龍</t>
  </si>
  <si>
    <t>洪荒</t>
  </si>
  <si>
    <t>斜打狗背</t>
  </si>
  <si>
    <t>仁德</t>
  </si>
  <si>
    <t>醉逍遙</t>
  </si>
  <si>
    <t>克己</t>
  </si>
  <si>
    <t>益元</t>
  </si>
  <si>
    <t>煙霞</t>
  </si>
  <si>
    <t>無疆</t>
    <phoneticPr fontId="3" type="noConversion"/>
  </si>
  <si>
    <t>流形</t>
    <phoneticPr fontId="3" type="noConversion"/>
  </si>
  <si>
    <t>有攸</t>
  </si>
  <si>
    <t>飛龍</t>
  </si>
  <si>
    <t>越淵</t>
  </si>
  <si>
    <t>滿盈</t>
  </si>
  <si>
    <t>雨龍</t>
  </si>
  <si>
    <t>馴致</t>
  </si>
  <si>
    <t>不息</t>
  </si>
  <si>
    <t>含弘</t>
  </si>
  <si>
    <t>復禮</t>
  </si>
  <si>
    <t>寬野</t>
  </si>
  <si>
    <t>飲江</t>
  </si>
  <si>
    <t>袖氣</t>
    <phoneticPr fontId="3" type="noConversion"/>
  </si>
  <si>
    <t>撼如雷</t>
    <phoneticPr fontId="3" type="noConversion"/>
  </si>
  <si>
    <t>碎星辰</t>
    <phoneticPr fontId="3" type="noConversion"/>
  </si>
  <si>
    <t>酒中仙</t>
    <phoneticPr fontId="3" type="noConversion"/>
  </si>
  <si>
    <t>最終破防=基礎破防*(1+破防提高總百分比)+ 基礎屬性*心法基礎屬性~破防轉換係數</t>
    <phoneticPr fontId="2" type="noConversion"/>
  </si>
  <si>
    <t>會效</t>
    <phoneticPr fontId="3" type="noConversion"/>
  </si>
  <si>
    <t>破防加成</t>
    <phoneticPr fontId="3" type="noConversion"/>
  </si>
  <si>
    <t>易傷</t>
    <phoneticPr fontId="3" type="noConversion"/>
  </si>
  <si>
    <t>無視防禦</t>
    <phoneticPr fontId="3" type="noConversion"/>
  </si>
  <si>
    <t>套裝效果</t>
    <phoneticPr fontId="3" type="noConversion"/>
  </si>
  <si>
    <t>武勇</t>
    <phoneticPr fontId="3" type="noConversion"/>
  </si>
  <si>
    <t>安患</t>
    <phoneticPr fontId="3" type="noConversion"/>
  </si>
  <si>
    <t>玄黃</t>
    <phoneticPr fontId="3" type="noConversion"/>
  </si>
  <si>
    <t>堅冰</t>
    <phoneticPr fontId="3" type="noConversion"/>
  </si>
  <si>
    <t>追遠</t>
    <phoneticPr fontId="3" type="noConversion"/>
  </si>
  <si>
    <t>自強</t>
    <phoneticPr fontId="3" type="noConversion"/>
  </si>
  <si>
    <t>戰龍</t>
    <phoneticPr fontId="3" type="noConversion"/>
  </si>
  <si>
    <t>仁德</t>
    <phoneticPr fontId="3" type="noConversion"/>
  </si>
  <si>
    <t>五彩石一</t>
  </si>
  <si>
    <t>五彩石一</t>
    <phoneticPr fontId="3" type="noConversion"/>
  </si>
  <si>
    <t>五彩石二</t>
  </si>
  <si>
    <t>五彩石二</t>
    <phoneticPr fontId="3" type="noConversion"/>
  </si>
  <si>
    <t>五彩石三</t>
  </si>
  <si>
    <t>五彩石三</t>
    <phoneticPr fontId="3" type="noConversion"/>
  </si>
  <si>
    <t>屬性</t>
    <phoneticPr fontId="3" type="noConversion"/>
  </si>
  <si>
    <t>外功攻擊</t>
  </si>
  <si>
    <t>命中等級</t>
    <phoneticPr fontId="3" type="noConversion"/>
  </si>
  <si>
    <t>無雙等級</t>
    <phoneticPr fontId="3" type="noConversion"/>
  </si>
  <si>
    <t>破防等級</t>
    <phoneticPr fontId="3" type="noConversion"/>
  </si>
  <si>
    <t>會心等級</t>
    <phoneticPr fontId="3" type="noConversion"/>
  </si>
  <si>
    <t>會心效果等級</t>
  </si>
  <si>
    <t>會心效果等級</t>
    <phoneticPr fontId="3" type="noConversion"/>
  </si>
  <si>
    <t>數值列表</t>
    <phoneticPr fontId="3" type="noConversion"/>
  </si>
  <si>
    <t>外攻破防會效加速</t>
    <phoneticPr fontId="3" type="noConversion"/>
  </si>
  <si>
    <t>外攻破防會效武傷</t>
    <phoneticPr fontId="3" type="noConversion"/>
  </si>
  <si>
    <t>武器熔錠</t>
  </si>
  <si>
    <t>仙蹤·瀑沙熔錠（外傷）</t>
  </si>
  <si>
    <t>衣服附魔</t>
    <phoneticPr fontId="3" type="noConversion"/>
  </si>
  <si>
    <t>腰帶附魔</t>
    <phoneticPr fontId="3" type="noConversion"/>
  </si>
  <si>
    <t>落水打狗</t>
    <phoneticPr fontId="3" type="noConversion"/>
  </si>
  <si>
    <t>利物</t>
    <phoneticPr fontId="3" type="noConversion"/>
  </si>
  <si>
    <t>攸行</t>
    <phoneticPr fontId="3" type="noConversion"/>
  </si>
  <si>
    <t>惻隱</t>
    <phoneticPr fontId="3" type="noConversion"/>
  </si>
  <si>
    <t>知至</t>
    <phoneticPr fontId="3" type="noConversion"/>
  </si>
  <si>
    <t>亢野</t>
    <phoneticPr fontId="3" type="noConversion"/>
  </si>
  <si>
    <t>雲龍</t>
    <phoneticPr fontId="3" type="noConversion"/>
  </si>
  <si>
    <t>乾元</t>
    <phoneticPr fontId="3" type="noConversion"/>
  </si>
  <si>
    <t>息元</t>
    <phoneticPr fontId="3" type="noConversion"/>
  </si>
  <si>
    <t>復徵</t>
    <phoneticPr fontId="3" type="noConversion"/>
  </si>
  <si>
    <t>明辨</t>
    <phoneticPr fontId="3" type="noConversion"/>
  </si>
  <si>
    <t>無咎</t>
    <phoneticPr fontId="3" type="noConversion"/>
  </si>
  <si>
    <t>降龍</t>
  </si>
  <si>
    <t>降龍</t>
    <phoneticPr fontId="3" type="noConversion"/>
  </si>
  <si>
    <t>神龍降世</t>
    <phoneticPr fontId="3" type="noConversion"/>
  </si>
  <si>
    <t>禦鴻於天</t>
    <phoneticPr fontId="3" type="noConversion"/>
  </si>
  <si>
    <t>無疆</t>
  </si>
  <si>
    <t>技能加傷</t>
    <phoneticPr fontId="2" type="noConversion"/>
  </si>
  <si>
    <t>技能加會</t>
    <phoneticPr fontId="2" type="noConversion"/>
  </si>
  <si>
    <t>你的選擇</t>
    <phoneticPr fontId="3" type="noConversion"/>
  </si>
  <si>
    <t>貞固</t>
    <phoneticPr fontId="3" type="noConversion"/>
  </si>
  <si>
    <t>催盞</t>
    <phoneticPr fontId="3" type="noConversion"/>
  </si>
  <si>
    <t>含弘</t>
    <phoneticPr fontId="3" type="noConversion"/>
  </si>
  <si>
    <t>外部效果</t>
    <phoneticPr fontId="3" type="noConversion"/>
  </si>
  <si>
    <t>丐幫本人</t>
    <phoneticPr fontId="3" type="noConversion"/>
  </si>
  <si>
    <t>無疆&gt;&gt;&gt;仁德</t>
    <phoneticPr fontId="6" type="noConversion"/>
  </si>
  <si>
    <t>(1+非技能秘笈傷害加成)*(技能基礎傷害+面板攻擊*技能係數)*(1+疊加傷害加成)*(1+破防)*(會心率*會心效果+命中率+識破率*0.25)*(1+易傷)*(1-目標防禦)</t>
    <phoneticPr fontId="2" type="noConversion"/>
  </si>
  <si>
    <t>酒中仙</t>
    <phoneticPr fontId="2" type="noConversion"/>
  </si>
  <si>
    <t>調息時間減少5秒</t>
    <phoneticPr fontId="3" type="noConversion"/>
  </si>
  <si>
    <t>調息時間減少5秒(2)</t>
    <phoneticPr fontId="3" type="noConversion"/>
  </si>
  <si>
    <t>調息時間減少5秒(3)</t>
    <phoneticPr fontId="3" type="noConversion"/>
  </si>
  <si>
    <t>運功時間減少12.5%</t>
    <phoneticPr fontId="3" type="noConversion"/>
  </si>
  <si>
    <t>運功時間減少12.5%(2)</t>
    <phoneticPr fontId="3" type="noConversion"/>
  </si>
  <si>
    <t>狂龍亂舞</t>
    <phoneticPr fontId="3" type="noConversion"/>
  </si>
  <si>
    <t>蜀犬吠日</t>
    <phoneticPr fontId="3" type="noConversion"/>
  </si>
  <si>
    <t>橫打雙獒</t>
    <phoneticPr fontId="3" type="noConversion"/>
  </si>
  <si>
    <t>力道</t>
    <phoneticPr fontId="2" type="noConversion"/>
  </si>
  <si>
    <t>香梅</t>
    <phoneticPr fontId="3" type="noConversion"/>
  </si>
  <si>
    <t>盈久(&lt;50)</t>
    <phoneticPr fontId="3" type="noConversion"/>
  </si>
  <si>
    <t>持續時間(s)</t>
    <phoneticPr fontId="3" type="noConversion"/>
  </si>
  <si>
    <t>基礎攻擊</t>
    <phoneticPr fontId="2" type="noConversion"/>
  </si>
  <si>
    <t>總攻擊</t>
    <phoneticPr fontId="2" type="noConversion"/>
  </si>
  <si>
    <t>盈久(&gt;50)</t>
    <phoneticPr fontId="3" type="noConversion"/>
  </si>
  <si>
    <t>盈久(&gt;60)</t>
    <phoneticPr fontId="3" type="noConversion"/>
  </si>
  <si>
    <t>盈久(&gt;70)</t>
    <phoneticPr fontId="3" type="noConversion"/>
  </si>
  <si>
    <t>疏狂</t>
  </si>
  <si>
    <t>基礎外攻</t>
    <phoneticPr fontId="3" type="noConversion"/>
  </si>
  <si>
    <t>會心等級</t>
    <phoneticPr fontId="2" type="noConversion"/>
  </si>
  <si>
    <t>基礎攻擊</t>
    <phoneticPr fontId="3" type="noConversion"/>
  </si>
  <si>
    <t>基礎破防</t>
    <phoneticPr fontId="3" type="noConversion"/>
  </si>
  <si>
    <t>天韶件數</t>
    <phoneticPr fontId="3" type="noConversion"/>
  </si>
  <si>
    <t>鶴夢件數</t>
    <phoneticPr fontId="3" type="noConversion"/>
  </si>
  <si>
    <t>亢龍+10%</t>
    <phoneticPr fontId="3" type="noConversion"/>
  </si>
  <si>
    <t>外傷+10%</t>
    <phoneticPr fontId="3" type="noConversion"/>
  </si>
  <si>
    <t>燁陽晶石·暗器（外破）</t>
  </si>
  <si>
    <t>傷害</t>
    <phoneticPr fontId="3" type="noConversion"/>
  </si>
  <si>
    <t>觸發</t>
    <phoneticPr fontId="3" type="noConversion"/>
  </si>
  <si>
    <t>合計</t>
    <phoneticPr fontId="3" type="noConversion"/>
  </si>
  <si>
    <t>秘笈選擇</t>
    <phoneticPr fontId="2" type="noConversion"/>
  </si>
  <si>
    <t>龍躍於淵</t>
    <phoneticPr fontId="3" type="noConversion"/>
  </si>
  <si>
    <t>龍騰五岳</t>
    <phoneticPr fontId="2" type="noConversion"/>
  </si>
  <si>
    <t>DOT</t>
    <phoneticPr fontId="2" type="noConversion"/>
  </si>
  <si>
    <t>配裝數據</t>
    <phoneticPr fontId="2" type="noConversion"/>
  </si>
  <si>
    <t>最終破防</t>
    <phoneticPr fontId="3" type="noConversion"/>
  </si>
  <si>
    <t>全技能傷害</t>
    <phoneticPr fontId="3" type="noConversion"/>
  </si>
  <si>
    <t>酒後第一次亢龍</t>
    <phoneticPr fontId="2" type="noConversion"/>
  </si>
  <si>
    <t>額外回10%內力</t>
    <phoneticPr fontId="3" type="noConversion"/>
  </si>
  <si>
    <t>破防值</t>
    <phoneticPr fontId="3" type="noConversion"/>
  </si>
  <si>
    <t>基礎破防</t>
    <phoneticPr fontId="2" type="noConversion"/>
  </si>
  <si>
    <t>最終破防%</t>
    <phoneticPr fontId="2" type="noConversion"/>
  </si>
  <si>
    <t>會心%</t>
    <phoneticPr fontId="2" type="noConversion"/>
  </si>
  <si>
    <t>會效%</t>
    <phoneticPr fontId="2" type="noConversion"/>
  </si>
  <si>
    <t>無雙%</t>
    <phoneticPr fontId="2" type="noConversion"/>
  </si>
  <si>
    <t>命中%</t>
    <phoneticPr fontId="2" type="noConversion"/>
  </si>
  <si>
    <t>最終破防值</t>
    <phoneticPr fontId="2" type="noConversion"/>
  </si>
  <si>
    <t xml:space="preserve"> 龍騰五岳</t>
    <phoneticPr fontId="2" type="noConversion"/>
  </si>
  <si>
    <t xml:space="preserve"> 天下無狗</t>
    <phoneticPr fontId="2" type="noConversion"/>
  </si>
  <si>
    <t xml:space="preserve"> 狂龍亂舞</t>
    <phoneticPr fontId="2" type="noConversion"/>
  </si>
  <si>
    <t xml:space="preserve"> 蜀犬吠日</t>
    <phoneticPr fontId="2" type="noConversion"/>
  </si>
  <si>
    <t xml:space="preserve"> 惡狗攔路</t>
    <phoneticPr fontId="2" type="noConversion"/>
  </si>
  <si>
    <t xml:space="preserve"> 龍躍於淵</t>
    <phoneticPr fontId="2" type="noConversion"/>
  </si>
  <si>
    <t>會心會效20%</t>
    <phoneticPr fontId="2" type="noConversion"/>
  </si>
  <si>
    <t>命中3%破防10%</t>
    <phoneticPr fontId="2" type="noConversion"/>
  </si>
  <si>
    <t>會心5%會效10%</t>
    <phoneticPr fontId="2" type="noConversion"/>
  </si>
  <si>
    <t>基礎外攻5%</t>
    <phoneticPr fontId="2" type="noConversion"/>
  </si>
  <si>
    <t>全屬性+52</t>
    <phoneticPr fontId="2" type="noConversion"/>
  </si>
  <si>
    <t>破防200點x</t>
    <phoneticPr fontId="2" type="noConversion"/>
  </si>
  <si>
    <t>亢龍秘笈</t>
    <phoneticPr fontId="3" type="noConversion"/>
  </si>
  <si>
    <t>勾選核取方塊以安裝秘笈</t>
    <phoneticPr fontId="2" type="noConversion"/>
  </si>
  <si>
    <t>所有裝備皆為6階精滿</t>
    <phoneticPr fontId="3" type="noConversion"/>
  </si>
  <si>
    <t>快速導覽</t>
    <phoneticPr fontId="3" type="noConversion"/>
  </si>
  <si>
    <t>龍頭</t>
    <phoneticPr fontId="3" type="noConversion"/>
  </si>
  <si>
    <t>亢龍傷害+10%x</t>
    <phoneticPr fontId="2" type="noConversion"/>
  </si>
  <si>
    <t>幫會宴席</t>
  </si>
  <si>
    <t>蒸魚菜盤</t>
    <phoneticPr fontId="3" type="noConversion"/>
  </si>
  <si>
    <t>其他宴席</t>
  </si>
  <si>
    <t>煉獄水煮魚</t>
    <phoneticPr fontId="3" type="noConversion"/>
  </si>
  <si>
    <t>輔助藥品</t>
  </si>
  <si>
    <t>中品大力丸</t>
    <phoneticPr fontId="3" type="noConversion"/>
  </si>
  <si>
    <t>上品大力丸</t>
    <phoneticPr fontId="3" type="noConversion"/>
  </si>
  <si>
    <t>增強藥品</t>
  </si>
  <si>
    <t>中品玉璃散</t>
    <phoneticPr fontId="3" type="noConversion"/>
  </si>
  <si>
    <t>中品凝神散</t>
    <phoneticPr fontId="3" type="noConversion"/>
  </si>
  <si>
    <t>中品破穢散</t>
    <phoneticPr fontId="3" type="noConversion"/>
  </si>
  <si>
    <t>中品亢龍散</t>
    <phoneticPr fontId="3" type="noConversion"/>
  </si>
  <si>
    <t>上品玉璃散</t>
    <phoneticPr fontId="3" type="noConversion"/>
  </si>
  <si>
    <t>上品凝神散</t>
  </si>
  <si>
    <t>上品破穢散</t>
    <phoneticPr fontId="3" type="noConversion"/>
  </si>
  <si>
    <t>上品亢龍散</t>
    <phoneticPr fontId="3" type="noConversion"/>
  </si>
  <si>
    <t>輔助食品</t>
  </si>
  <si>
    <t>三鮮湯</t>
    <phoneticPr fontId="3" type="noConversion"/>
  </si>
  <si>
    <t>三鮮粥</t>
    <phoneticPr fontId="3" type="noConversion"/>
  </si>
  <si>
    <t>增強食品</t>
  </si>
  <si>
    <t>魚香肉絲</t>
    <phoneticPr fontId="3" type="noConversion"/>
  </si>
  <si>
    <t>毛血旺</t>
    <phoneticPr fontId="3" type="noConversion"/>
  </si>
  <si>
    <t>水煮肉片</t>
    <phoneticPr fontId="3" type="noConversion"/>
  </si>
  <si>
    <t>煎餅果子</t>
    <phoneticPr fontId="3" type="noConversion"/>
  </si>
  <si>
    <t>酸菜魚</t>
    <phoneticPr fontId="3" type="noConversion"/>
  </si>
  <si>
    <t>白肉血腸</t>
    <phoneticPr fontId="3" type="noConversion"/>
  </si>
  <si>
    <t>紅燒排骨</t>
    <phoneticPr fontId="3" type="noConversion"/>
  </si>
  <si>
    <t>太后餅</t>
    <phoneticPr fontId="3" type="noConversion"/>
  </si>
  <si>
    <t>龍戰於野秘笈</t>
    <phoneticPr fontId="6" type="noConversion"/>
  </si>
  <si>
    <t>CD</t>
    <phoneticPr fontId="6" type="noConversion"/>
  </si>
  <si>
    <t>全傷害</t>
    <phoneticPr fontId="6" type="noConversion"/>
  </si>
  <si>
    <t>亢龍</t>
    <phoneticPr fontId="6" type="noConversion"/>
  </si>
  <si>
    <t>特效</t>
    <phoneticPr fontId="6" type="noConversion"/>
  </si>
  <si>
    <t>傷害5%</t>
    <phoneticPr fontId="6" type="noConversion"/>
  </si>
  <si>
    <t>傷害4%</t>
    <phoneticPr fontId="6" type="noConversion"/>
  </si>
  <si>
    <t>會心4%</t>
    <phoneticPr fontId="6" type="noConversion"/>
  </si>
  <si>
    <t>撥狗</t>
    <phoneticPr fontId="6" type="noConversion"/>
  </si>
  <si>
    <t>除了會心2%外</t>
    <phoneticPr fontId="6" type="noConversion"/>
  </si>
  <si>
    <t>蜀犬</t>
    <phoneticPr fontId="6" type="noConversion"/>
  </si>
  <si>
    <t>會心5%</t>
    <phoneticPr fontId="6" type="noConversion"/>
  </si>
  <si>
    <t>(會心4%)</t>
    <phoneticPr fontId="6" type="noConversion"/>
  </si>
  <si>
    <t>橫打</t>
    <phoneticPr fontId="6" type="noConversion"/>
  </si>
  <si>
    <t>除了會心3%外</t>
    <phoneticPr fontId="6" type="noConversion"/>
  </si>
  <si>
    <t>龍騰五岳</t>
    <phoneticPr fontId="6" type="noConversion"/>
  </si>
  <si>
    <t>中品大力丸</t>
  </si>
  <si>
    <t>水煮肉片</t>
  </si>
  <si>
    <t>【印象】水晶芙蓉宴</t>
    <phoneticPr fontId="3" type="noConversion"/>
  </si>
  <si>
    <t>水晶芙蓉宴</t>
    <phoneticPr fontId="3" type="noConversion"/>
  </si>
  <si>
    <t>【印象】玉笛誰家聽落梅</t>
    <phoneticPr fontId="3" type="noConversion"/>
  </si>
  <si>
    <t>玉笛誰家聽梅落</t>
    <phoneticPr fontId="3" type="noConversion"/>
  </si>
  <si>
    <t>二十四橋明月宴</t>
    <phoneticPr fontId="3" type="noConversion"/>
  </si>
  <si>
    <t>清涼月霍碎</t>
    <phoneticPr fontId="3" type="noConversion"/>
  </si>
  <si>
    <t>點骨丹</t>
    <phoneticPr fontId="3" type="noConversion"/>
  </si>
  <si>
    <t>玉樞丹</t>
    <phoneticPr fontId="3" type="noConversion"/>
  </si>
  <si>
    <t>玉璃丹</t>
    <phoneticPr fontId="3" type="noConversion"/>
  </si>
  <si>
    <t>宴席</t>
  </si>
  <si>
    <t>天韶·酬江革帶</t>
  </si>
  <si>
    <t>天韶·酬江短襖</t>
  </si>
  <si>
    <t>中品破穢散</t>
  </si>
  <si>
    <t>三鮮湯</t>
  </si>
  <si>
    <t>破防等級</t>
  </si>
  <si>
    <t>無宴席</t>
  </si>
  <si>
    <t>無宴席</t>
    <phoneticPr fontId="3" type="noConversion"/>
  </si>
  <si>
    <t>無</t>
    <phoneticPr fontId="3" type="noConversion"/>
  </si>
  <si>
    <t>備註</t>
    <phoneticPr fontId="2" type="noConversion"/>
  </si>
  <si>
    <t>肅殺袖</t>
    <phoneticPr fontId="3" type="noConversion"/>
  </si>
  <si>
    <t>尋蹤覓寶·制化袖</t>
  </si>
  <si>
    <t>昭武戒</t>
    <phoneticPr fontId="3" type="noConversion"/>
  </si>
  <si>
    <t>肅殺戒</t>
    <phoneticPr fontId="3" type="noConversion"/>
  </si>
  <si>
    <t>附魔</t>
    <phoneticPr fontId="6" type="noConversion"/>
  </si>
  <si>
    <t>攻擊&gt;破防</t>
    <phoneticPr fontId="6" type="noConversion"/>
  </si>
  <si>
    <t>(舊版本除外)</t>
    <phoneticPr fontId="6" type="noConversion"/>
  </si>
  <si>
    <t>會心收益低於破防</t>
    <phoneticPr fontId="6" type="noConversion"/>
  </si>
  <si>
    <t>觸發各種+破防buff時，破防收益會增加</t>
    <phoneticPr fontId="6" type="noConversion"/>
  </si>
  <si>
    <t>命中值</t>
    <phoneticPr fontId="3" type="noConversion"/>
  </si>
  <si>
    <t>會心值</t>
    <phoneticPr fontId="3" type="noConversion"/>
  </si>
  <si>
    <t>龍戰後亢龍破防25%</t>
    <phoneticPr fontId="2" type="noConversion"/>
  </si>
  <si>
    <t>木樁等級</t>
    <phoneticPr fontId="3" type="noConversion"/>
  </si>
  <si>
    <t>防禦等級</t>
    <phoneticPr fontId="3" type="noConversion"/>
  </si>
  <si>
    <t>減傷率</t>
    <phoneticPr fontId="3" type="noConversion"/>
  </si>
  <si>
    <t>識破率</t>
    <phoneticPr fontId="3" type="noConversion"/>
  </si>
  <si>
    <t>亢龍破防</t>
    <phoneticPr fontId="3" type="noConversion"/>
  </si>
  <si>
    <t>亢龍破防率</t>
    <phoneticPr fontId="3" type="noConversion"/>
  </si>
  <si>
    <t>亢龍破防增傷</t>
    <phoneticPr fontId="3" type="noConversion"/>
  </si>
  <si>
    <t>龍戰亢龍後破防+20%</t>
    <phoneticPr fontId="2" type="noConversion"/>
  </si>
  <si>
    <t>挑戰</t>
  </si>
  <si>
    <t>珍．重製．染（外會效）</t>
    <phoneticPr fontId="3" type="noConversion"/>
  </si>
  <si>
    <t>攻擊破防會效</t>
    <phoneticPr fontId="6" type="noConversion"/>
  </si>
  <si>
    <t>&gt;</t>
    <phoneticPr fontId="6" type="noConversion"/>
  </si>
  <si>
    <t>攻擊會效破防</t>
    <phoneticPr fontId="6" type="noConversion"/>
  </si>
  <si>
    <t>第三屬性破防的話亢龍傷害高但是小技能傷害低</t>
    <phoneticPr fontId="6" type="noConversion"/>
  </si>
  <si>
    <t>詭異護腕</t>
    <phoneticPr fontId="6" type="noConversion"/>
  </si>
  <si>
    <t>不可搭配特效武器</t>
    <phoneticPr fontId="6" type="noConversion"/>
  </si>
  <si>
    <t>爍旻墜</t>
  </si>
  <si>
    <t>炎赫戒</t>
    <phoneticPr fontId="3" type="noConversion"/>
  </si>
  <si>
    <t>仙蹤·褲·鑄（外破）</t>
  </si>
  <si>
    <t>月冷長河·慟悲褲</t>
  </si>
  <si>
    <t>長健囊</t>
    <phoneticPr fontId="3" type="noConversion"/>
  </si>
  <si>
    <t>煉獄水煮魚</t>
  </si>
  <si>
    <t>仙蹤·腕·繡（外破）</t>
  </si>
  <si>
    <t>醉雲冠</t>
    <phoneticPr fontId="3" type="noConversion"/>
  </si>
  <si>
    <t>宿莽冠</t>
    <phoneticPr fontId="3" type="noConversion"/>
  </si>
  <si>
    <t>房玄帽</t>
    <phoneticPr fontId="3" type="noConversion"/>
  </si>
  <si>
    <t>江貢兌換</t>
    <phoneticPr fontId="3" type="noConversion"/>
  </si>
  <si>
    <t>破無</t>
    <phoneticPr fontId="3" type="noConversion"/>
  </si>
  <si>
    <t>非儒帽</t>
    <phoneticPr fontId="3" type="noConversion"/>
  </si>
  <si>
    <t>裝備分數</t>
    <phoneticPr fontId="3" type="noConversion"/>
  </si>
  <si>
    <t>月冷長河·魄縈帽</t>
  </si>
  <si>
    <t>望月冠</t>
    <phoneticPr fontId="3" type="noConversion"/>
  </si>
  <si>
    <t>知微通玄·五倉帽</t>
  </si>
  <si>
    <t>方士</t>
    <phoneticPr fontId="3" type="noConversion"/>
  </si>
  <si>
    <t>試煉之地</t>
    <phoneticPr fontId="3" type="noConversion"/>
  </si>
  <si>
    <t>獲旌帽</t>
  </si>
  <si>
    <t>肅殺冠</t>
    <phoneticPr fontId="3" type="noConversion"/>
  </si>
  <si>
    <t>剪雲冠</t>
    <phoneticPr fontId="3" type="noConversion"/>
  </si>
  <si>
    <t>凌絕件數</t>
    <phoneticPr fontId="3" type="noConversion"/>
  </si>
  <si>
    <t>伐檀冠</t>
    <phoneticPr fontId="3" type="noConversion"/>
  </si>
  <si>
    <t>臨歧帽</t>
    <phoneticPr fontId="3" type="noConversion"/>
  </si>
  <si>
    <t>聽角冠</t>
    <phoneticPr fontId="3" type="noConversion"/>
  </si>
  <si>
    <t>茲松冠</t>
    <phoneticPr fontId="3" type="noConversion"/>
  </si>
  <si>
    <t>醉雲衣</t>
    <phoneticPr fontId="3" type="noConversion"/>
  </si>
  <si>
    <t>宿莽袍</t>
    <phoneticPr fontId="3" type="noConversion"/>
  </si>
  <si>
    <t>房玄衫</t>
    <phoneticPr fontId="3" type="noConversion"/>
  </si>
  <si>
    <t>命無</t>
    <phoneticPr fontId="3" type="noConversion"/>
  </si>
  <si>
    <t>望月衣</t>
    <phoneticPr fontId="3" type="noConversion"/>
  </si>
  <si>
    <t>朱顏衣</t>
    <phoneticPr fontId="3" type="noConversion"/>
  </si>
  <si>
    <t>獲旌衣</t>
    <phoneticPr fontId="3" type="noConversion"/>
  </si>
  <si>
    <t>越冷</t>
    <phoneticPr fontId="3" type="noConversion"/>
  </si>
  <si>
    <t>肅殺衣</t>
    <phoneticPr fontId="3" type="noConversion"/>
  </si>
  <si>
    <t>昭武袍</t>
    <phoneticPr fontId="3" type="noConversion"/>
  </si>
  <si>
    <t>凌絕·酒狂衣</t>
  </si>
  <si>
    <t>昭武褲</t>
    <phoneticPr fontId="3" type="noConversion"/>
  </si>
  <si>
    <t>天韶·酬江屐</t>
  </si>
  <si>
    <t>天韶·酬江軟帽</t>
  </si>
  <si>
    <t>燁陽晶石·戒指（命中）</t>
  </si>
  <si>
    <t>伐檀衣</t>
    <phoneticPr fontId="3" type="noConversion"/>
  </si>
  <si>
    <t>戍遠衣</t>
    <phoneticPr fontId="3" type="noConversion"/>
  </si>
  <si>
    <t>聽角衫</t>
    <phoneticPr fontId="3" type="noConversion"/>
  </si>
  <si>
    <t>茲松衣</t>
    <phoneticPr fontId="3" type="noConversion"/>
  </si>
  <si>
    <t>切糕裝</t>
    <phoneticPr fontId="3" type="noConversion"/>
  </si>
  <si>
    <t>剪雲帶</t>
    <phoneticPr fontId="3" type="noConversion"/>
  </si>
  <si>
    <t>伐檀帶</t>
    <phoneticPr fontId="3" type="noConversion"/>
  </si>
  <si>
    <t>析酈</t>
    <phoneticPr fontId="3" type="noConversion"/>
  </si>
  <si>
    <t>孱陵</t>
    <phoneticPr fontId="3" type="noConversion"/>
  </si>
  <si>
    <t>樂鄉</t>
    <phoneticPr fontId="3" type="noConversion"/>
  </si>
  <si>
    <t>臨歧腰帶</t>
    <phoneticPr fontId="3" type="noConversion"/>
  </si>
  <si>
    <t>聽角纏腰</t>
    <phoneticPr fontId="3" type="noConversion"/>
  </si>
  <si>
    <t>茲鬆腰帶</t>
    <phoneticPr fontId="3" type="noConversion"/>
  </si>
  <si>
    <t>戍遠護手</t>
    <phoneticPr fontId="3" type="noConversion"/>
  </si>
  <si>
    <t>報天子</t>
    <phoneticPr fontId="3" type="noConversion"/>
  </si>
  <si>
    <t>坐紫庭</t>
    <phoneticPr fontId="3" type="noConversion"/>
  </si>
  <si>
    <t>承乾坤</t>
    <phoneticPr fontId="3" type="noConversion"/>
  </si>
  <si>
    <t>聽角護手</t>
    <phoneticPr fontId="3" type="noConversion"/>
  </si>
  <si>
    <t>伐檀護手</t>
    <phoneticPr fontId="3" type="noConversion"/>
  </si>
  <si>
    <t>茲松袖</t>
    <phoneticPr fontId="3" type="noConversion"/>
  </si>
  <si>
    <t>醉津棒</t>
    <phoneticPr fontId="3" type="noConversion"/>
  </si>
  <si>
    <t>醋鯔棒</t>
    <phoneticPr fontId="3" type="noConversion"/>
  </si>
  <si>
    <t>小歲酒</t>
    <phoneticPr fontId="3" type="noConversion"/>
  </si>
  <si>
    <t>梅煎</t>
  </si>
  <si>
    <t>富水燒春</t>
    <phoneticPr fontId="3" type="noConversion"/>
  </si>
  <si>
    <t>酣眠棒</t>
    <phoneticPr fontId="3" type="noConversion"/>
  </si>
  <si>
    <t>怒海爭鋒先行活動</t>
    <phoneticPr fontId="3" type="noConversion"/>
  </si>
  <si>
    <t>戍遠囊</t>
    <phoneticPr fontId="3" type="noConversion"/>
  </si>
  <si>
    <t>賂齊</t>
    <phoneticPr fontId="3" type="noConversion"/>
  </si>
  <si>
    <t>聽角囊</t>
    <phoneticPr fontId="3" type="noConversion"/>
  </si>
  <si>
    <t>剪雲指環</t>
    <phoneticPr fontId="3" type="noConversion"/>
  </si>
  <si>
    <t>聽香戒</t>
    <phoneticPr fontId="3" type="noConversion"/>
  </si>
  <si>
    <t>聽角指環</t>
    <phoneticPr fontId="3" type="noConversion"/>
  </si>
  <si>
    <t>臨歧戒</t>
    <phoneticPr fontId="3" type="noConversion"/>
  </si>
  <si>
    <t>伐檀指環</t>
    <phoneticPr fontId="3" type="noConversion"/>
  </si>
  <si>
    <t>戍遠戒</t>
    <phoneticPr fontId="3" type="noConversion"/>
  </si>
  <si>
    <t>懷章戒</t>
    <phoneticPr fontId="3" type="noConversion"/>
  </si>
  <si>
    <t>克賊戒</t>
    <phoneticPr fontId="3" type="noConversion"/>
  </si>
  <si>
    <t>剪雲墜</t>
    <phoneticPr fontId="3" type="noConversion"/>
  </si>
  <si>
    <t>冰火島（尊敬）</t>
    <phoneticPr fontId="3" type="noConversion"/>
  </si>
  <si>
    <t>激鬥墜</t>
    <phoneticPr fontId="3" type="noConversion"/>
  </si>
  <si>
    <t>聽角佩</t>
    <phoneticPr fontId="3" type="noConversion"/>
  </si>
  <si>
    <t>臨歧墜</t>
    <phoneticPr fontId="3" type="noConversion"/>
  </si>
  <si>
    <t>戍遠墜</t>
    <phoneticPr fontId="3" type="noConversion"/>
  </si>
  <si>
    <t>殺滿川</t>
    <phoneticPr fontId="3" type="noConversion"/>
  </si>
  <si>
    <t>伐檀墜</t>
    <phoneticPr fontId="3" type="noConversion"/>
  </si>
  <si>
    <t>聽角項飾</t>
    <phoneticPr fontId="3" type="noConversion"/>
  </si>
  <si>
    <t>伐檀鏈</t>
    <phoneticPr fontId="3" type="noConversion"/>
  </si>
  <si>
    <t>戍遠項飾</t>
    <phoneticPr fontId="3" type="noConversion"/>
  </si>
  <si>
    <t>靖海盟（尊敬）</t>
    <phoneticPr fontId="3" type="noConversion"/>
  </si>
  <si>
    <t>靖海盟（崇拜）</t>
    <phoneticPr fontId="3" type="noConversion"/>
  </si>
  <si>
    <t>戍遠靴</t>
    <phoneticPr fontId="3" type="noConversion"/>
  </si>
  <si>
    <t>臨歧靴</t>
    <phoneticPr fontId="3" type="noConversion"/>
  </si>
  <si>
    <t>聽角靴</t>
    <phoneticPr fontId="3" type="noConversion"/>
  </si>
  <si>
    <t>茲松靴</t>
    <phoneticPr fontId="3" type="noConversion"/>
  </si>
  <si>
    <t>無界褲（會破命）</t>
    <phoneticPr fontId="3" type="noConversion"/>
  </si>
  <si>
    <t>戍遠褲</t>
    <phoneticPr fontId="3" type="noConversion"/>
  </si>
  <si>
    <t>林邑褲</t>
    <phoneticPr fontId="3" type="noConversion"/>
  </si>
  <si>
    <t>日林褲</t>
    <phoneticPr fontId="3" type="noConversion"/>
  </si>
  <si>
    <t>扶南褲</t>
    <phoneticPr fontId="3" type="noConversion"/>
  </si>
  <si>
    <t>臨歧褲</t>
    <phoneticPr fontId="3" type="noConversion"/>
  </si>
  <si>
    <t>聽角裳</t>
    <phoneticPr fontId="3" type="noConversion"/>
  </si>
  <si>
    <t>茲松褲</t>
    <phoneticPr fontId="3" type="noConversion"/>
  </si>
  <si>
    <t>會會無</t>
    <phoneticPr fontId="3" type="noConversion"/>
  </si>
  <si>
    <t>會破</t>
    <phoneticPr fontId="3" type="noConversion"/>
  </si>
  <si>
    <t>會會破</t>
    <phoneticPr fontId="3" type="noConversion"/>
  </si>
  <si>
    <t>會會</t>
    <phoneticPr fontId="3" type="noConversion"/>
  </si>
  <si>
    <t>會會命</t>
    <phoneticPr fontId="3" type="noConversion"/>
  </si>
  <si>
    <t>破命無</t>
    <phoneticPr fontId="3" type="noConversion"/>
  </si>
  <si>
    <t>會破命</t>
    <phoneticPr fontId="3" type="noConversion"/>
  </si>
  <si>
    <t>會命無</t>
    <phoneticPr fontId="3" type="noConversion"/>
  </si>
  <si>
    <t>會破無</t>
    <phoneticPr fontId="3" type="noConversion"/>
  </si>
  <si>
    <t>137＋１０</t>
    <phoneticPr fontId="3" type="noConversion"/>
  </si>
  <si>
    <t>激鬥護頸(3)</t>
    <phoneticPr fontId="3" type="noConversion"/>
  </si>
  <si>
    <t>橫海墜(4)</t>
    <phoneticPr fontId="3" type="noConversion"/>
  </si>
  <si>
    <t>激鬥墜(4)</t>
    <phoneticPr fontId="3" type="noConversion"/>
  </si>
  <si>
    <t>激鬥護頸(4)</t>
    <phoneticPr fontId="3" type="noConversion"/>
  </si>
  <si>
    <t>無界褲（命無）</t>
    <phoneticPr fontId="3" type="noConversion"/>
  </si>
  <si>
    <t>剪雲下裳</t>
    <phoneticPr fontId="3" type="noConversion"/>
  </si>
  <si>
    <t>無界頭飾（會命）2120</t>
    <phoneticPr fontId="3" type="noConversion"/>
  </si>
  <si>
    <t>無界頭飾（會破無）2120</t>
    <phoneticPr fontId="3" type="noConversion"/>
  </si>
  <si>
    <t>無界頭飾（會命無）2200</t>
    <phoneticPr fontId="3" type="noConversion"/>
  </si>
  <si>
    <t>無界頭飾（會無）2280</t>
    <phoneticPr fontId="3" type="noConversion"/>
  </si>
  <si>
    <t>無界頭飾（會破命）2280</t>
    <phoneticPr fontId="3" type="noConversion"/>
  </si>
  <si>
    <t>無界頭飾（會命）2400</t>
    <phoneticPr fontId="3" type="noConversion"/>
  </si>
  <si>
    <t>無界頭飾（會破無）2400</t>
    <phoneticPr fontId="3" type="noConversion"/>
  </si>
  <si>
    <t>無界頭飾（會命無）2520</t>
    <phoneticPr fontId="3" type="noConversion"/>
  </si>
  <si>
    <t>無界護臂（無雙）2200</t>
    <phoneticPr fontId="3" type="noConversion"/>
  </si>
  <si>
    <t>無界護臂（破命）2200</t>
    <phoneticPr fontId="3" type="noConversion"/>
  </si>
  <si>
    <t>無界護臂（會會無）2200</t>
    <phoneticPr fontId="3" type="noConversion"/>
  </si>
  <si>
    <t>無界護臂（會心）2200</t>
    <phoneticPr fontId="3" type="noConversion"/>
  </si>
  <si>
    <t>無界護臂（會破）2200</t>
    <phoneticPr fontId="3" type="noConversion"/>
  </si>
  <si>
    <t>無界護臂（會會破）2200</t>
    <phoneticPr fontId="3" type="noConversion"/>
  </si>
  <si>
    <t>無界護臂（命中）2400</t>
    <phoneticPr fontId="3" type="noConversion"/>
  </si>
  <si>
    <t>無界護臂（會會）2400</t>
    <phoneticPr fontId="3" type="noConversion"/>
  </si>
  <si>
    <t>無界護臂（會會命）2400</t>
    <phoneticPr fontId="3" type="noConversion"/>
  </si>
  <si>
    <t>無界護臂（無雙）2520</t>
    <phoneticPr fontId="3" type="noConversion"/>
  </si>
  <si>
    <t>無界護臂（破命）2520</t>
    <phoneticPr fontId="3" type="noConversion"/>
  </si>
  <si>
    <t>無界護臂（會會無）2520</t>
    <phoneticPr fontId="3" type="noConversion"/>
  </si>
  <si>
    <t>無界褲（無雙）2400</t>
    <phoneticPr fontId="3" type="noConversion"/>
  </si>
  <si>
    <t>無界褲（會無）2520</t>
    <phoneticPr fontId="3" type="noConversion"/>
  </si>
  <si>
    <t>無界褲（破命無）2520</t>
    <phoneticPr fontId="3" type="noConversion"/>
  </si>
  <si>
    <t>無界褲（會心）2520</t>
    <phoneticPr fontId="3" type="noConversion"/>
  </si>
  <si>
    <t>無界褲（破無）2520</t>
    <phoneticPr fontId="3" type="noConversion"/>
  </si>
  <si>
    <t>無界褲（會破命）2520</t>
    <phoneticPr fontId="3" type="noConversion"/>
  </si>
  <si>
    <t>無界鞋（破防）2400</t>
    <phoneticPr fontId="3" type="noConversion"/>
  </si>
  <si>
    <t>無界鞋（命無）2400</t>
    <phoneticPr fontId="3" type="noConversion"/>
  </si>
  <si>
    <t>無界鞋（會會無）2400</t>
    <phoneticPr fontId="3" type="noConversion"/>
  </si>
  <si>
    <t>無界鞋（會破）2400</t>
    <phoneticPr fontId="3" type="noConversion"/>
  </si>
  <si>
    <t>無界鞋（破命無）2400</t>
    <phoneticPr fontId="3" type="noConversion"/>
  </si>
  <si>
    <t>無界鞋（命中）2400</t>
    <phoneticPr fontId="3" type="noConversion"/>
  </si>
  <si>
    <t>無界項鏈（無雙）2400</t>
    <phoneticPr fontId="3" type="noConversion"/>
  </si>
  <si>
    <t>無界項鏈（破無）2400</t>
    <phoneticPr fontId="3" type="noConversion"/>
  </si>
  <si>
    <t>無界項鏈（會命無）2400</t>
    <phoneticPr fontId="3" type="noConversion"/>
  </si>
  <si>
    <t>無界項鏈（會心）2520</t>
    <phoneticPr fontId="3" type="noConversion"/>
  </si>
  <si>
    <t>無界項鏈（命無）2520</t>
    <phoneticPr fontId="3" type="noConversion"/>
  </si>
  <si>
    <t>無界項鏈（會會命）2520</t>
    <phoneticPr fontId="3" type="noConversion"/>
  </si>
  <si>
    <t>無界腰墜（命中）2400</t>
    <phoneticPr fontId="3" type="noConversion"/>
  </si>
  <si>
    <t>無界腰墜（會破）2400</t>
    <phoneticPr fontId="3" type="noConversion"/>
  </si>
  <si>
    <t>無界腰墜（會會破）2400</t>
    <phoneticPr fontId="3" type="noConversion"/>
  </si>
  <si>
    <t>無界腰墜（破防）2520</t>
    <phoneticPr fontId="3" type="noConversion"/>
  </si>
  <si>
    <t>無界腰墜（會無）2520</t>
    <phoneticPr fontId="3" type="noConversion"/>
  </si>
  <si>
    <t>無界腰墜（會破無）2520</t>
    <phoneticPr fontId="3" type="noConversion"/>
  </si>
  <si>
    <t>無界囊（會心）2400</t>
    <phoneticPr fontId="3" type="noConversion"/>
  </si>
  <si>
    <t>無界囊（破命）2400</t>
    <phoneticPr fontId="3" type="noConversion"/>
  </si>
  <si>
    <t>無界囊（會破命）2400</t>
    <phoneticPr fontId="3" type="noConversion"/>
  </si>
  <si>
    <t>無界囊（無雙）2400</t>
    <phoneticPr fontId="3" type="noConversion"/>
  </si>
  <si>
    <t>無界囊（會命）2400</t>
    <phoneticPr fontId="3" type="noConversion"/>
  </si>
  <si>
    <t>無界囊（會會破）2400</t>
    <phoneticPr fontId="3" type="noConversion"/>
  </si>
  <si>
    <t>無界頭飾（破防）2200</t>
    <phoneticPr fontId="3" type="noConversion"/>
  </si>
  <si>
    <t>無界頭飾（會會）2200</t>
    <phoneticPr fontId="3" type="noConversion"/>
  </si>
  <si>
    <t>無界頭飾（命中）2280</t>
    <phoneticPr fontId="3" type="noConversion"/>
  </si>
  <si>
    <t>無界頭飾（會心）2120</t>
    <phoneticPr fontId="3" type="noConversion"/>
  </si>
  <si>
    <t>無界頭飾（會心）2400</t>
    <phoneticPr fontId="3" type="noConversion"/>
  </si>
  <si>
    <t>無界頭飾（破防）2520</t>
    <phoneticPr fontId="3" type="noConversion"/>
  </si>
  <si>
    <t>無界頭飾（會會）2520</t>
    <phoneticPr fontId="3" type="noConversion"/>
  </si>
  <si>
    <t>類型</t>
    <phoneticPr fontId="3" type="noConversion"/>
  </si>
  <si>
    <t>天韶·酬江束腕</t>
  </si>
  <si>
    <t>會心精簡</t>
    <phoneticPr fontId="3" type="noConversion"/>
  </si>
  <si>
    <t>會命精簡</t>
    <phoneticPr fontId="3" type="noConversion"/>
  </si>
  <si>
    <t>會破無精簡</t>
    <phoneticPr fontId="3" type="noConversion"/>
  </si>
  <si>
    <t>破命套裝</t>
    <phoneticPr fontId="3" type="noConversion"/>
  </si>
  <si>
    <t>破防精簡</t>
    <phoneticPr fontId="3" type="noConversion"/>
  </si>
  <si>
    <t>會會精簡</t>
    <phoneticPr fontId="3" type="noConversion"/>
  </si>
  <si>
    <t>會命無精簡</t>
    <phoneticPr fontId="3" type="noConversion"/>
  </si>
  <si>
    <t>命中精簡</t>
    <phoneticPr fontId="3" type="noConversion"/>
  </si>
  <si>
    <t>會無精簡</t>
    <phoneticPr fontId="3" type="noConversion"/>
  </si>
  <si>
    <t>會破命精簡</t>
    <phoneticPr fontId="3" type="noConversion"/>
  </si>
  <si>
    <t>會無套裝</t>
    <phoneticPr fontId="3" type="noConversion"/>
  </si>
  <si>
    <t>外攻半精簡</t>
    <phoneticPr fontId="3" type="noConversion"/>
  </si>
  <si>
    <t>破命半精簡</t>
    <phoneticPr fontId="3" type="noConversion"/>
  </si>
  <si>
    <t>會無半精簡</t>
    <phoneticPr fontId="3" type="noConversion"/>
  </si>
  <si>
    <t>無雙精簡</t>
    <phoneticPr fontId="3" type="noConversion"/>
  </si>
  <si>
    <t>破命精簡</t>
    <phoneticPr fontId="3" type="noConversion"/>
  </si>
  <si>
    <t>會會無精簡</t>
    <phoneticPr fontId="3" type="noConversion"/>
  </si>
  <si>
    <t>會破精簡</t>
    <phoneticPr fontId="3" type="noConversion"/>
  </si>
  <si>
    <t>會會破精簡</t>
    <phoneticPr fontId="3" type="noConversion"/>
  </si>
  <si>
    <t>會命套裝</t>
    <phoneticPr fontId="3" type="noConversion"/>
  </si>
  <si>
    <t>破無精簡</t>
    <phoneticPr fontId="3" type="noConversion"/>
  </si>
  <si>
    <t>會會命精簡</t>
    <phoneticPr fontId="3" type="noConversion"/>
  </si>
  <si>
    <t>命中半精簡</t>
    <phoneticPr fontId="3" type="noConversion"/>
  </si>
  <si>
    <t>破命無精簡</t>
    <phoneticPr fontId="3" type="noConversion"/>
  </si>
  <si>
    <t>破無套裝</t>
    <phoneticPr fontId="3" type="noConversion"/>
  </si>
  <si>
    <t>命無精簡</t>
    <phoneticPr fontId="3" type="noConversion"/>
  </si>
  <si>
    <t>會無特效</t>
    <phoneticPr fontId="3" type="noConversion"/>
  </si>
  <si>
    <t>破無特效</t>
    <phoneticPr fontId="3" type="noConversion"/>
  </si>
  <si>
    <t>破防半精簡</t>
    <phoneticPr fontId="3" type="noConversion"/>
  </si>
  <si>
    <t>會命切糕</t>
    <phoneticPr fontId="3" type="noConversion"/>
  </si>
  <si>
    <t>破命切糕</t>
    <phoneticPr fontId="3" type="noConversion"/>
  </si>
  <si>
    <t>會無切糕</t>
    <phoneticPr fontId="3" type="noConversion"/>
  </si>
  <si>
    <t>破無切糕</t>
    <phoneticPr fontId="3" type="noConversion"/>
  </si>
  <si>
    <t>蒼·安戎·繡（外破）</t>
  </si>
  <si>
    <t>蒼·安戎·紋（外破）</t>
  </si>
  <si>
    <t>蒼·安戎·紋（外攻）</t>
  </si>
  <si>
    <t>蒼·安戎·繡（外攻）</t>
  </si>
  <si>
    <t>凌絕腰鞋</t>
    <phoneticPr fontId="3" type="noConversion"/>
  </si>
  <si>
    <t>凌絕1頭</t>
    <phoneticPr fontId="3" type="noConversion"/>
  </si>
  <si>
    <t>凌絕頭腰</t>
    <phoneticPr fontId="3" type="noConversion"/>
  </si>
  <si>
    <t>凌絕衣腰</t>
    <phoneticPr fontId="3" type="noConversion"/>
  </si>
  <si>
    <t>凌絕衣鞋</t>
    <phoneticPr fontId="3" type="noConversion"/>
  </si>
  <si>
    <t>凌絕頭鞋</t>
    <phoneticPr fontId="3" type="noConversion"/>
  </si>
  <si>
    <t>迴風送客·白月褲</t>
  </si>
  <si>
    <t>知微通玄·入淵褲</t>
  </si>
  <si>
    <t>燁陽晶石·戒指（外傷）</t>
  </si>
  <si>
    <t>凌絕·酒狂束腕</t>
  </si>
  <si>
    <t>2破命戒，1附命中</t>
    <phoneticPr fontId="3" type="noConversion"/>
  </si>
  <si>
    <t>仙蹤·頭·鑄（命中）</t>
  </si>
  <si>
    <t>1破無戒1破命戒1破命墜1附命中</t>
    <phoneticPr fontId="3" type="noConversion"/>
  </si>
  <si>
    <t>切糕衣天韶手.破命無無界褲天韶手２破無戒1破命墜</t>
    <phoneticPr fontId="3" type="noConversion"/>
  </si>
  <si>
    <t>切糕衣天韶手.破無無界褲.２破命戒.1破命墜</t>
    <phoneticPr fontId="3" type="noConversion"/>
  </si>
  <si>
    <t>切糕衣天韶手.破無囊.1破無破命戒.1破無墜.2無雙附</t>
    <phoneticPr fontId="3" type="noConversion"/>
  </si>
  <si>
    <t>切糕衣天韶手.破無特腰.2破無戒附命.2無雙附</t>
    <phoneticPr fontId="3" type="noConversion"/>
  </si>
  <si>
    <t>切糕衣天韶手2破無戒附命1破無墜2無雙附</t>
    <phoneticPr fontId="3" type="noConversion"/>
  </si>
  <si>
    <t>切糕衣天韶手.破無囊.1破無破命戒.1破無特腰.2無雙附</t>
    <phoneticPr fontId="3" type="noConversion"/>
  </si>
  <si>
    <t>1破命精簡戒1破無戒1破命墜</t>
    <phoneticPr fontId="3" type="noConversion"/>
  </si>
  <si>
    <t>1破精簡戒1破命戒1破命墜1無雙附</t>
    <phoneticPr fontId="3" type="noConversion"/>
  </si>
  <si>
    <t>願望清單</t>
    <phoneticPr fontId="2" type="noConversion"/>
  </si>
  <si>
    <t>切糕衣.破無囊.破命無無界褲.破無特腰.２破命戒.1無雙附1命中附</t>
    <phoneticPr fontId="3" type="noConversion"/>
  </si>
  <si>
    <t>切糕衣.破命囊.破命無無界褲.破無特腰.1破命破無戒.1無雙附</t>
    <phoneticPr fontId="3" type="noConversion"/>
  </si>
  <si>
    <t>切糕衣.純破戒+破命戒.命無褲.破無特腰.2無雙附</t>
    <phoneticPr fontId="3" type="noConversion"/>
  </si>
  <si>
    <t>目前裝備(4天韶.無雙手.破無墜.2會無戒.全外攻附)</t>
    <phoneticPr fontId="3" type="noConversion"/>
  </si>
  <si>
    <t>預算</t>
    <phoneticPr fontId="2" type="noConversion"/>
  </si>
  <si>
    <t>順位</t>
    <phoneticPr fontId="2" type="noConversion"/>
  </si>
  <si>
    <t>基礎外攻5%外破10%</t>
    <phoneticPr fontId="2" type="noConversion"/>
  </si>
  <si>
    <t>沒有勾選降龍伏虎陣，有碎星辰</t>
    <phoneticPr fontId="2" type="noConversion"/>
  </si>
  <si>
    <t>圓桌</t>
    <phoneticPr fontId="2" type="noConversion"/>
  </si>
  <si>
    <t>實戰狀態</t>
    <phoneticPr fontId="2" type="noConversion"/>
  </si>
  <si>
    <t>衣服附魔</t>
  </si>
  <si>
    <t>腰帶附魔</t>
  </si>
  <si>
    <t>霽月．衣．染（無雙）</t>
    <phoneticPr fontId="3" type="noConversion"/>
  </si>
  <si>
    <t>霽月．腰．甲（無雙）</t>
    <phoneticPr fontId="3" type="noConversion"/>
  </si>
  <si>
    <t>重製·八仙盤</t>
  </si>
  <si>
    <t>出處</t>
    <phoneticPr fontId="2" type="noConversion"/>
  </si>
  <si>
    <t>聲望：東海丐幫分舵(尊敬)</t>
    <phoneticPr fontId="3" type="noConversion"/>
  </si>
  <si>
    <t>英雄冰火島·荒血路：沒藏呼月</t>
  </si>
  <si>
    <t>英雄塵歸海·巨冥灣：無面鬼
挑戰冰火島·荒血路：沒藏呼月</t>
  </si>
  <si>
    <t>英雄塵歸海·巨冥灣：虎翼突襲</t>
  </si>
  <si>
    <t>挑戰塵歸海·巨冥灣：晏厄</t>
  </si>
  <si>
    <t>挑戰塵歸海·巨冥灣：虎翼突襲</t>
  </si>
  <si>
    <t>塵歸海·巨冥灣：晏厄
狼牙堡·燕然峰：石斑
風雷刀谷·鍛刀廳：柳時清
風雪稻香村：無名
南詔皇宮：摩提耶羅
燭龍殿：千秋子
戰寶迦蘭：風火雲三使</t>
  </si>
  <si>
    <t>塵歸海·巨冥灣：虎翼突襲
狼牙堡·狼神殿：史思明
狼牙堡·輝天塹：百慕玲與莊愈華
太原之戰·逐虎驅狼：史思明
大明宮：無名
南詔皇宮：閣邏鳳
荻花宮後山：牡丹</t>
  </si>
  <si>
    <t>英雄冰火島·荒血路：拿雲</t>
  </si>
  <si>
    <t>英雄冰火島·青蓮獄：伊瑪目</t>
  </si>
  <si>
    <t>英雄塵歸海·巨冥灣：晏厄
挑戰冰火島·荒血路：拿雲</t>
  </si>
  <si>
    <t>英雄塵歸海·饕餮洞：黃穆
挑戰冰火島·青蓮獄：伊瑪目</t>
  </si>
  <si>
    <t>挑戰塵歸海·饕餮洞：黃穆</t>
  </si>
  <si>
    <t>英雄塵歸海·巨冥灣：孫楚珊</t>
  </si>
  <si>
    <t>英雄塵歸海·巨冥灣：邢不僵
挑戰冰火島·荒血路：鉑爾</t>
  </si>
  <si>
    <t>挑戰塵歸海·饕餮洞：黃穆
挑戰塵歸海·巨冥灣：邢不僵</t>
  </si>
  <si>
    <t>挑戰塵歸海·饕餮洞：黃穆
挑戰塵歸海·巨冥灣：孫楚珊</t>
  </si>
  <si>
    <t>挑戰塵歸海·巨冥灣：孫楚珊</t>
  </si>
  <si>
    <t>挑戰塵歸海·饕餮洞：黃穆
挑戰塵歸海·巨冥灣：無面鬼</t>
  </si>
  <si>
    <t>挑戰塵歸海·巨冥灣：邢不僵</t>
  </si>
  <si>
    <t>英雄塵歸海·巨冥灣：鬼首
挑戰冰火島·荒血路：羅納真</t>
  </si>
  <si>
    <t>挑戰塵歸海·巨冥灣：鬼首</t>
  </si>
  <si>
    <t>挑戰塵歸海·饕餮洞：黃穆
挑戰塵歸海·巨冥灣：晏厄</t>
  </si>
  <si>
    <t>英雄塵歸海·饕餮洞：黃穆</t>
  </si>
  <si>
    <t>挑戰塵歸海·饕餮洞：黃穆
挑戰塵歸海·巨冥灣：鬼首</t>
  </si>
  <si>
    <t>挑戰塵歸海·巨冥灣：無面鬼</t>
  </si>
  <si>
    <t>挑戰塵歸海·饕餮洞：關卡寶箱
挑戰塵歸海·巨冥灣：關卡寶箱</t>
  </si>
  <si>
    <t>挑戰塵歸海·巨冥灣：虎翼突襲</t>
    <phoneticPr fontId="3" type="noConversion"/>
  </si>
  <si>
    <t>鶴夢·嘯傲軟帽</t>
  </si>
  <si>
    <t>尋蹤覓寶·制化帽</t>
  </si>
  <si>
    <t>知微通玄·入淵帽</t>
  </si>
  <si>
    <t>尋蹤覓寶·宿世帽</t>
  </si>
  <si>
    <t>迴風送客·白月冠</t>
  </si>
  <si>
    <t>凌絕·酒狂抹額</t>
  </si>
  <si>
    <t>月冷長河·魂聚衣</t>
  </si>
  <si>
    <t>鶴夢·嘯傲短襖</t>
  </si>
  <si>
    <t>迴風送客·疳蠱衣</t>
  </si>
  <si>
    <t>知微通玄·入淵帶</t>
  </si>
  <si>
    <t>迴風送客·魘海腰帶</t>
  </si>
  <si>
    <t>凌絕·酒狂革帶</t>
  </si>
  <si>
    <t>知微通玄·入淵袖</t>
  </si>
  <si>
    <t>尋蹤覓寶·宿世袖</t>
  </si>
  <si>
    <t>迴風送客·業火護手</t>
  </si>
  <si>
    <t>凌絕·酒狂屐</t>
  </si>
  <si>
    <t>俠客島·姜氏</t>
  </si>
  <si>
    <t>月冷長河·招邪短棍</t>
  </si>
  <si>
    <t>尋蹤覓寶·任行棒</t>
  </si>
  <si>
    <t>迴風送客·打魎棒</t>
  </si>
  <si>
    <t>仙蹤·腕·繡（會心）</t>
  </si>
  <si>
    <t>仙蹤·腕·繡（無雙）</t>
  </si>
  <si>
    <t>仙蹤·褲·鑄（會心）</t>
  </si>
  <si>
    <t>仙蹤·褲·鑄（無雙）</t>
  </si>
  <si>
    <t>仙蹤·鞋·繡（命中）</t>
  </si>
  <si>
    <t>仙蹤·鞋·繡（急速）</t>
  </si>
  <si>
    <t>燁陽晶石·戒指（力道）</t>
  </si>
  <si>
    <t>燁陽晶石·暗器（力道）</t>
  </si>
  <si>
    <t>仙蹤·兵·鑄（外攻）</t>
  </si>
  <si>
    <t>仙蹤·兵·鑄（外傷）</t>
  </si>
  <si>
    <t>重製·玉陽丹</t>
  </si>
  <si>
    <t>珍·滌魂丹</t>
  </si>
  <si>
    <t>重製·滌魂丹</t>
  </si>
  <si>
    <t>重製·金麟丹</t>
  </si>
  <si>
    <t>重製·桂花金棗</t>
  </si>
  <si>
    <t>重製·芋絲蒸肉糕</t>
  </si>
  <si>
    <t>珍·鴛鴦雞</t>
  </si>
  <si>
    <t>切糕裝</t>
  </si>
  <si>
    <t>世界 BOSS</t>
  </si>
  <si>
    <t>挑戰冰火島·青蓮獄：伊瑪目</t>
    <phoneticPr fontId="3" type="noConversion"/>
  </si>
  <si>
    <t>挑戰塵歸海·饕餮洞：黃穆</t>
    <phoneticPr fontId="3" type="noConversion"/>
  </si>
  <si>
    <t>風雷刀谷·千雷殿：伊瑪目
上陽宮·雙曜亭：哥舒翰
血戰天策：固守天策府 /  沙叱博
龍淵澤：慕容野狐、殷青絲
荻花宮後山：提坦德亞羅</t>
  </si>
  <si>
    <t>狼牙堡·輝天塹：烏夜啼
風雷刀谷·千雷殿：柳秀岳
秦皇陵：石麒麟 /  王翦
燭龍殿：南之雷神
龍淵澤：裡赤梅、蘇貝德哈</t>
  </si>
  <si>
    <t>塵歸海·巨冥灣：無面鬼
狼牙堡·輝天塹：烏夜啼
太原之戰·逐虎驅狼：安雨 /  白陶
南詔皇宮：摩提耶羅
燭龍殿：醉蛛老人
戰寶迦蘭：平等</t>
  </si>
  <si>
    <t>夜狼山寶箱 / 野人首領 / 王史涯</t>
  </si>
  <si>
    <t>呼延興平 / 渾渾噩噩的魂靈 / 伏鹿地</t>
  </si>
  <si>
    <t>挑戰周天嶼：白沫
上陽宮·觀風殿：獨孤先生
血戰天策：黑齒元佑
大明宮：伊瑪目
荻花聖殿：卓婉清 /  飛猿之影</t>
  </si>
  <si>
    <t>挑戰冰火島·荒血路：鉑爾 / 挑戰冰火島·青蓮獄：伊瑪目</t>
  </si>
  <si>
    <t>挑戰冰火島·荒血路：拿雲 /  挑戰冰火島·青蓮獄：伊瑪目</t>
  </si>
  <si>
    <t>獲得氣勁風·斬流 / 大幅度提升自身外功破防等級(1409點) / 持續15秒。CD3分鐘。</t>
  </si>
  <si>
    <t>挑戰冰火島·荒血路：羅納真 / 挑戰冰火島·青蓮獄：伊瑪目</t>
  </si>
  <si>
    <t>英雄塵歸海·巨冥灣：鬼首 /  孫楚珊 /  晏厄</t>
  </si>
  <si>
    <t>挑戰塵歸海·巨冥灣：邢不僵 /  無面鬼</t>
  </si>
  <si>
    <t>俠義值*8100 / 鶴夢牌</t>
    <phoneticPr fontId="3" type="noConversion"/>
  </si>
  <si>
    <t>俠義值*7200 / 鶴夢牌</t>
    <phoneticPr fontId="3" type="noConversion"/>
  </si>
  <si>
    <t>俠義值*16500 / 天韶牌（挑荒4/英巨6）</t>
    <phoneticPr fontId="3" type="noConversion"/>
  </si>
  <si>
    <t>俠義值*12800 / 天韶牌（挑荒2 / 英巨4）</t>
    <phoneticPr fontId="3" type="noConversion"/>
  </si>
  <si>
    <t>俠義值*12800 / 天韶牌（挑荒1 / 英巨3）</t>
    <phoneticPr fontId="3" type="noConversion"/>
  </si>
  <si>
    <t>俠義值*12800 / 天韶牌（挑荒3 / 英巨4）</t>
    <phoneticPr fontId="3" type="noConversion"/>
  </si>
  <si>
    <t>俠義值*45700 / 凌絕牌（挑巨1）</t>
    <phoneticPr fontId="3" type="noConversion"/>
  </si>
  <si>
    <t>俠義值*65300  /  凌絕牌（挑巨6）</t>
    <phoneticPr fontId="3" type="noConversion"/>
  </si>
  <si>
    <t>俠義值*58800 / 凌絕牌（挑巨5）</t>
    <phoneticPr fontId="3" type="noConversion"/>
  </si>
  <si>
    <t>俠義值*45800 / 凌絕牌（挑巨3）</t>
    <phoneticPr fontId="3" type="noConversion"/>
  </si>
  <si>
    <t>俠義值*45800 / 凌絕牌（挑巨4）</t>
    <phoneticPr fontId="3" type="noConversion"/>
  </si>
  <si>
    <t>俠義值*18300 / 天韶牌（挑荒5 / 英饕）</t>
    <phoneticPr fontId="3" type="noConversion"/>
  </si>
  <si>
    <t>望月褲</t>
    <phoneticPr fontId="3" type="noConversion"/>
  </si>
  <si>
    <t>英雄塵歸海·巨冥灣：虎翼突襲</t>
    <phoneticPr fontId="3" type="noConversion"/>
  </si>
  <si>
    <t>塵歸海·巨冥灣：無面鬼
狼牙堡·輝天塹：烏夜啼
太原之戰·逐虎驅狼：安雨 /  白陶
南詔皇宮：摩提耶羅
戰寶迦蘭：平等</t>
    <phoneticPr fontId="3" type="noConversion"/>
  </si>
  <si>
    <t>塵歸海·巨冥灣：無面鬼
狼牙堡·輝天塹：月泉淮.狼牙堡·戰獸山：烏靈風.秦皇陵：安祿山、戰寶軍械庫：澹臺枯火、燭龍殿：烏蒙貴</t>
    <phoneticPr fontId="3" type="noConversion"/>
  </si>
  <si>
    <t>破命精簡腰.天韶衣手.破命褲.破無戒*2.無雙附*2</t>
    <phoneticPr fontId="2" type="noConversion"/>
  </si>
  <si>
    <t>破命精簡腰.無界破無褲.天韶衣手.破命戒*2.破無特腰.無雙附*2</t>
    <phoneticPr fontId="2" type="noConversion"/>
  </si>
  <si>
    <t>破命精簡腰.天韶衣手.破無褲.破無戒墜*1破命戒*1.無雙附*2</t>
    <phoneticPr fontId="2" type="noConversion"/>
  </si>
  <si>
    <t>命中後有一定機率獲得雷·銳刃(外功攻擊提高395 / 全會心等級提高378)效果。不可與該類其他氣勁並存。</t>
    <phoneticPr fontId="3" type="noConversion"/>
  </si>
  <si>
    <t>臨歧戒</t>
  </si>
  <si>
    <t>賂齊</t>
  </si>
  <si>
    <t>蒸魚菜盤</t>
  </si>
  <si>
    <t>會無武器.破命破無戒.殺滿川.無雙附*2.2330破命精簡腰.凌絕衣手</t>
    <phoneticPr fontId="2" type="noConversion"/>
  </si>
  <si>
    <t>懷章戒</t>
  </si>
  <si>
    <t>霽月．衣．染（無雙）</t>
  </si>
  <si>
    <t>不含特效效果</t>
    <phoneticPr fontId="2" type="noConversion"/>
  </si>
  <si>
    <t>會命手</t>
    <phoneticPr fontId="2" type="noConversion"/>
  </si>
  <si>
    <t>會無手破命戒</t>
    <phoneticPr fontId="2" type="noConversion"/>
  </si>
  <si>
    <t>破命戒*2會命褲</t>
    <phoneticPr fontId="2" type="noConversion"/>
  </si>
  <si>
    <t>會心附魔</t>
    <phoneticPr fontId="2" type="noConversion"/>
  </si>
  <si>
    <t>破防附魔</t>
    <phoneticPr fontId="2" type="noConversion"/>
  </si>
  <si>
    <t>命中附+1個</t>
    <phoneticPr fontId="2" type="noConversion"/>
  </si>
  <si>
    <t>破無特效武.破無手.破命戒*2命中附*2.殺滿川.攻擊附*2.會命褲</t>
    <phoneticPr fontId="2" type="noConversion"/>
  </si>
  <si>
    <t>破無特效武.會無手.殺滿川.外攻附*2.破命褲.破命戒*2命中附*2</t>
    <phoneticPr fontId="2" type="noConversion"/>
  </si>
  <si>
    <t>破無特效武.會命手.2330純破+破無戒雙命附.殺滿川.無雙附*2.破命褲.會心附*2</t>
    <phoneticPr fontId="2" type="noConversion"/>
  </si>
  <si>
    <t>破無特效武.破無腰.破命破無戒.殺滿川.無雙附*2.會命褲.純破精簡戒命中附+破無戒攻附</t>
    <phoneticPr fontId="2" type="noConversion"/>
  </si>
  <si>
    <t>破命武器.無雙手.破命破無戒.殺滿川.攻擊附*2.破命精簡褲</t>
    <phoneticPr fontId="2" type="noConversion"/>
  </si>
  <si>
    <t>破命武器.無雙手.破命破無戒.殺滿川.攻擊附*2.會命褲</t>
    <phoneticPr fontId="2" type="noConversion"/>
  </si>
  <si>
    <t>破命武.破無手.破命破無戒.殺滿川.無雙附*2.會命褲.2600純破精簡戒命中附+破無戒攻附.全會附</t>
    <phoneticPr fontId="2" type="noConversion"/>
  </si>
  <si>
    <t>破命武.無手.破命破無戒.殺滿川.無雙附*2.會命褲.2330純破精簡戒命中附+破無戒攻附</t>
    <phoneticPr fontId="2" type="noConversion"/>
  </si>
  <si>
    <t>破無特效武.會會命無界手.殺滿川.無雙附*2.會命褲.破無戒*1破命戒*1命中附*2</t>
    <phoneticPr fontId="2" type="noConversion"/>
  </si>
  <si>
    <t>會無精簡腰</t>
    <phoneticPr fontId="2" type="noConversion"/>
  </si>
  <si>
    <t>破無特效武.會無鞋.殺滿川.無雙附*1攻擊附*1.破命褲.破無戒*1純破戒*1命中附*2.全破附</t>
    <phoneticPr fontId="2" type="noConversion"/>
  </si>
  <si>
    <t>會無鞋破命褲</t>
    <phoneticPr fontId="2" type="noConversion"/>
  </si>
  <si>
    <t>無精簡</t>
    <phoneticPr fontId="2" type="noConversion"/>
  </si>
  <si>
    <t>破命精簡手破命褲</t>
    <phoneticPr fontId="2" type="noConversion"/>
  </si>
  <si>
    <t>2600純破精簡戒</t>
    <phoneticPr fontId="2" type="noConversion"/>
  </si>
  <si>
    <t>同分下會心越高，基礎傷害提高，但亢龍傷害越低</t>
    <phoneticPr fontId="6" type="noConversion"/>
  </si>
  <si>
    <t>純攻腰帶</t>
    <phoneticPr fontId="2" type="noConversion"/>
  </si>
  <si>
    <t>同上但命中附*3.全破附</t>
    <phoneticPr fontId="2" type="noConversion"/>
  </si>
  <si>
    <t>無雙附魔</t>
    <phoneticPr fontId="2" type="noConversion"/>
  </si>
  <si>
    <t>會無武.破無腰.殺滿川.無雙附*1攻擊附*1.破命褲.破無戒*1純破戒*1命中附*2.全破附</t>
    <phoneticPr fontId="2" type="noConversion"/>
  </si>
  <si>
    <t>全破</t>
    <phoneticPr fontId="2" type="noConversion"/>
  </si>
  <si>
    <t>破無腰</t>
    <phoneticPr fontId="2" type="noConversion"/>
  </si>
  <si>
    <t>破無特效武</t>
    <phoneticPr fontId="2" type="noConversion"/>
  </si>
  <si>
    <t>純破戒指</t>
    <phoneticPr fontId="2" type="noConversion"/>
  </si>
  <si>
    <t>破無特效武.會無精簡腰.殺滿川.無雙附*2.破命褲.破無戒*1純破戒*1命中附*2.全破附</t>
    <phoneticPr fontId="2" type="noConversion"/>
  </si>
  <si>
    <t>破無特效武.破命精簡手.殺滿川.無雙附*1攻擊附*1.破命褲.破無戒*1純破戒*1命中附*3.全破附</t>
    <phoneticPr fontId="2" type="noConversion"/>
  </si>
  <si>
    <t>同上但命中附-1</t>
    <phoneticPr fontId="2" type="noConversion"/>
  </si>
  <si>
    <t>破無特效武.純攻腰.殺滿川.無雙附*4.破命褲.破無戒*1純破戒*1命中附*3</t>
    <phoneticPr fontId="2" type="noConversion"/>
  </si>
  <si>
    <t>會無武.純攻腰.殺滿川.無雙附*4.破命褲.破無戒*1純破戒*1命中附*3</t>
    <phoneticPr fontId="2" type="noConversion"/>
  </si>
  <si>
    <t>腰帶繼續破命精簡</t>
    <phoneticPr fontId="2" type="noConversion"/>
  </si>
  <si>
    <t>2330破命腰</t>
    <phoneticPr fontId="2" type="noConversion"/>
  </si>
  <si>
    <t>析酈</t>
  </si>
  <si>
    <t>破無+凌絕手</t>
    <phoneticPr fontId="2" type="noConversion"/>
  </si>
  <si>
    <t>坐紫婷+丐幫腰帶</t>
    <phoneticPr fontId="2" type="noConversion"/>
  </si>
  <si>
    <t>純攻+凌絕手</t>
    <phoneticPr fontId="2" type="noConversion"/>
  </si>
  <si>
    <t>破命腰+凌決手</t>
    <phoneticPr fontId="2" type="noConversion"/>
  </si>
  <si>
    <t>霽月．腰．甲（無雙）</t>
  </si>
  <si>
    <t>會無</t>
    <phoneticPr fontId="2" type="noConversion"/>
  </si>
  <si>
    <t>破無</t>
    <phoneticPr fontId="2" type="noConversion"/>
  </si>
  <si>
    <t>世界 BOSS</t>
    <phoneticPr fontId="3" type="noConversion"/>
  </si>
  <si>
    <r>
      <t>破防</t>
    </r>
    <r>
      <rPr>
        <b/>
        <sz val="12"/>
        <color indexed="8"/>
        <rFont val="王漢宗特黑體繁"/>
        <family val="3"/>
        <charset val="136"/>
      </rPr>
      <t>15%外攻15%</t>
    </r>
    <phoneticPr fontId="2" type="noConversion"/>
  </si>
  <si>
    <t>忽視30%防禦</t>
    <phoneticPr fontId="2" type="noConversion"/>
  </si>
  <si>
    <t>丐幫[自強][不息]</t>
    <phoneticPr fontId="2" type="noConversion"/>
  </si>
  <si>
    <t>神龍隊</t>
    <phoneticPr fontId="2" type="noConversion"/>
  </si>
  <si>
    <t>外攻5%會效20%</t>
    <phoneticPr fontId="2" type="noConversion"/>
  </si>
  <si>
    <t>內外攻+20%</t>
    <phoneticPr fontId="2" type="noConversion"/>
  </si>
  <si>
    <t>外攻+30%</t>
    <phoneticPr fontId="2" type="noConversion"/>
  </si>
  <si>
    <t>如果有長拳</t>
    <phoneticPr fontId="2" type="noConversion"/>
  </si>
  <si>
    <t>層數：</t>
    <phoneticPr fontId="2" type="noConversion"/>
  </si>
  <si>
    <t>激雷</t>
    <phoneticPr fontId="3" type="noConversion"/>
  </si>
  <si>
    <t>一鼓</t>
    <phoneticPr fontId="3" type="noConversion"/>
  </si>
  <si>
    <t>二鼓</t>
    <phoneticPr fontId="3" type="noConversion"/>
  </si>
  <si>
    <t>寒嘯千軍</t>
    <phoneticPr fontId="3" type="noConversion"/>
  </si>
  <si>
    <t>丐陣</t>
    <phoneticPr fontId="3" type="noConversion"/>
  </si>
  <si>
    <t>丐陣隊友會心</t>
    <phoneticPr fontId="3" type="noConversion"/>
  </si>
  <si>
    <t>丐陣伏虎</t>
    <phoneticPr fontId="3" type="noConversion"/>
  </si>
  <si>
    <t>劍純陣</t>
    <phoneticPr fontId="3" type="noConversion"/>
  </si>
  <si>
    <t>策陣</t>
    <phoneticPr fontId="3" type="noConversion"/>
  </si>
  <si>
    <t>黃雞陣</t>
    <phoneticPr fontId="3" type="noConversion"/>
  </si>
  <si>
    <t xml:space="preserve">會心1%x </t>
    <phoneticPr fontId="2" type="noConversion"/>
  </si>
  <si>
    <t>策陣疾如風</t>
    <phoneticPr fontId="3" type="noConversion"/>
  </si>
  <si>
    <t>劍純會心</t>
    <phoneticPr fontId="3" type="noConversion"/>
  </si>
  <si>
    <t>加成</t>
    <phoneticPr fontId="3" type="noConversion"/>
  </si>
  <si>
    <t>Trigger</t>
  </si>
  <si>
    <t>Trigger</t>
    <phoneticPr fontId="3" type="noConversion"/>
  </si>
  <si>
    <t>Judge</t>
    <phoneticPr fontId="3" type="noConversion"/>
  </si>
  <si>
    <t>目標氣血&lt;35%</t>
    <phoneticPr fontId="2" type="noConversion"/>
  </si>
  <si>
    <t>降龍斬殺</t>
    <phoneticPr fontId="3" type="noConversion"/>
  </si>
  <si>
    <t>梅花三弄</t>
    <phoneticPr fontId="3" type="noConversion"/>
  </si>
  <si>
    <t>如果有長拳</t>
    <phoneticPr fontId="3" type="noConversion"/>
  </si>
  <si>
    <t>傲血戰意 - 東方灸</t>
    <phoneticPr fontId="2" type="noConversion"/>
  </si>
  <si>
    <t>亢龍秘笈 (8s)</t>
    <phoneticPr fontId="2" type="noConversion"/>
  </si>
  <si>
    <t>套裝效果10%攻 (6s)</t>
    <phoneticPr fontId="2" type="noConversion"/>
  </si>
  <si>
    <t>盈久 50%-59% (8s)</t>
    <phoneticPr fontId="2" type="noConversion"/>
  </si>
  <si>
    <t>盈久 60%-69% (8s)</t>
    <phoneticPr fontId="2" type="noConversion"/>
  </si>
  <si>
    <t>盈久 &gt;70% (8s)</t>
    <phoneticPr fontId="2" type="noConversion"/>
  </si>
  <si>
    <t>盈久 &lt;50% (8s)</t>
    <phoneticPr fontId="2" type="noConversion"/>
  </si>
  <si>
    <t>會心後陣眼30%外破 (5s)</t>
    <phoneticPr fontId="2" type="noConversion"/>
  </si>
  <si>
    <t>內外攻+40% (30s)</t>
    <phoneticPr fontId="2" type="noConversion"/>
  </si>
  <si>
    <t>內外攻+20% (30s)</t>
    <phoneticPr fontId="2" type="noConversion"/>
  </si>
  <si>
    <t>激鬥護頸(4)</t>
    <phoneticPr fontId="2" type="noConversion"/>
  </si>
  <si>
    <t>明辨</t>
    <phoneticPr fontId="3" type="noConversion"/>
  </si>
  <si>
    <t>破防5%x</t>
    <phoneticPr fontId="2" type="noConversion"/>
  </si>
  <si>
    <t>外防等級</t>
    <phoneticPr fontId="2" type="noConversion"/>
  </si>
  <si>
    <t>減免傷害</t>
    <phoneticPr fontId="2" type="noConversion"/>
  </si>
  <si>
    <t>息元</t>
    <phoneticPr fontId="3" type="noConversion"/>
  </si>
  <si>
    <t>亢龍(DOT)</t>
    <phoneticPr fontId="3" type="noConversion"/>
  </si>
  <si>
    <t>精簡看DOT，破防看亢龍，會心整體提升</t>
    <phoneticPr fontId="2" type="noConversion"/>
  </si>
  <si>
    <t>無界褲（會）</t>
    <phoneticPr fontId="3" type="noConversion"/>
  </si>
  <si>
    <t>純會精簡</t>
    <phoneticPr fontId="3" type="noConversion"/>
  </si>
  <si>
    <t>無界褲（破無）</t>
    <phoneticPr fontId="3" type="noConversion"/>
  </si>
  <si>
    <t>大俠之路 - 凌雪藏鋒版本</t>
    <phoneticPr fontId="3" type="noConversion"/>
  </si>
  <si>
    <t>大俠之路 - 怒海爭鋒版本</t>
    <phoneticPr fontId="3" type="noConversion"/>
  </si>
  <si>
    <t>古釀褲（３）</t>
    <phoneticPr fontId="3" type="noConversion"/>
  </si>
  <si>
    <t>古釀褲（２）</t>
    <phoneticPr fontId="3" type="noConversion"/>
  </si>
  <si>
    <t>無界褲（破）</t>
    <phoneticPr fontId="3" type="noConversion"/>
  </si>
  <si>
    <t>無界褲（會破無）</t>
    <phoneticPr fontId="3" type="noConversion"/>
  </si>
  <si>
    <t>會心半精簡</t>
    <phoneticPr fontId="3" type="noConversion"/>
  </si>
  <si>
    <t>會命半精簡</t>
    <phoneticPr fontId="3" type="noConversion"/>
  </si>
  <si>
    <t>忘懸冠</t>
    <phoneticPr fontId="3" type="noConversion"/>
  </si>
  <si>
    <t>凌雪藏鋒 10人副本</t>
    <phoneticPr fontId="3" type="noConversion"/>
  </si>
  <si>
    <t>會無</t>
    <phoneticPr fontId="3" type="noConversion"/>
  </si>
  <si>
    <t>金剎冠</t>
    <phoneticPr fontId="3" type="noConversion"/>
  </si>
  <si>
    <t>會命</t>
    <phoneticPr fontId="3" type="noConversion"/>
  </si>
  <si>
    <t>雲晚冠</t>
    <phoneticPr fontId="3" type="noConversion"/>
  </si>
  <si>
    <t>破無</t>
    <phoneticPr fontId="3" type="noConversion"/>
  </si>
  <si>
    <t>怒海爭鋒龍門尋寶商店</t>
    <phoneticPr fontId="3" type="noConversion"/>
  </si>
  <si>
    <t>海傾勢回·波揚冠</t>
  </si>
  <si>
    <t>知微通玄·停海帽</t>
  </si>
  <si>
    <t>破命</t>
    <phoneticPr fontId="3" type="noConversion"/>
  </si>
  <si>
    <t>尋蹤覓寶·思疆帽</t>
  </si>
  <si>
    <t>忘懸衣</t>
  </si>
  <si>
    <t>世外蓬萊 龍門尋寶商店 / 飛沙令*1335</t>
    <phoneticPr fontId="3" type="noConversion"/>
  </si>
  <si>
    <t>怒海爭鋒 龍門尋寶商店 / 飛沙令*1335</t>
    <phoneticPr fontId="3" type="noConversion"/>
  </si>
  <si>
    <t>凌雪藏鋒 龍門尋寶商店</t>
    <phoneticPr fontId="3" type="noConversion"/>
  </si>
  <si>
    <t>世外蓬萊 龍門尋寶商店 / 飛沙令*1485</t>
    <phoneticPr fontId="3" type="noConversion"/>
  </si>
  <si>
    <t>怒海爭鋒 龍門尋寶商店 / 飛沙令*1485</t>
    <phoneticPr fontId="3" type="noConversion"/>
  </si>
  <si>
    <t>世外蓬萊 龍門尋寶商店</t>
    <phoneticPr fontId="3" type="noConversion"/>
  </si>
  <si>
    <t>怒海爭鋒 龍門尋寶商店</t>
    <phoneticPr fontId="3" type="noConversion"/>
  </si>
  <si>
    <t>蠱青衣</t>
  </si>
  <si>
    <t>金剎衣</t>
  </si>
  <si>
    <t>雲晚衣</t>
    <phoneticPr fontId="3" type="noConversion"/>
  </si>
  <si>
    <t>忘懸腰帶</t>
    <phoneticPr fontId="3" type="noConversion"/>
  </si>
  <si>
    <t>蠱青腰帶</t>
    <phoneticPr fontId="3" type="noConversion"/>
  </si>
  <si>
    <t>金剎護腰</t>
    <phoneticPr fontId="3" type="noConversion"/>
  </si>
  <si>
    <t>蠱青護手</t>
    <phoneticPr fontId="3" type="noConversion"/>
  </si>
  <si>
    <t>金剎護腕</t>
    <phoneticPr fontId="3" type="noConversion"/>
  </si>
  <si>
    <t>雲晚袖</t>
    <phoneticPr fontId="3" type="noConversion"/>
  </si>
  <si>
    <t>海傾勢回·華夜衣</t>
    <phoneticPr fontId="3" type="noConversion"/>
  </si>
  <si>
    <t>海傾勢回·歸潮腰帶</t>
    <phoneticPr fontId="3" type="noConversion"/>
  </si>
  <si>
    <t>知微通玄·停海帶</t>
    <phoneticPr fontId="3" type="noConversion"/>
  </si>
  <si>
    <t>海傾勢回·遏浪護手</t>
    <phoneticPr fontId="3" type="noConversion"/>
  </si>
  <si>
    <t>知微通玄·停海袖</t>
    <phoneticPr fontId="3" type="noConversion"/>
  </si>
  <si>
    <t>尋蹤覓寶·思疆袖</t>
    <phoneticPr fontId="3" type="noConversion"/>
  </si>
  <si>
    <t>當前版本</t>
    <phoneticPr fontId="6" type="noConversion"/>
  </si>
  <si>
    <t>會心1%</t>
    <phoneticPr fontId="6" type="noConversion"/>
  </si>
  <si>
    <t>破防1%</t>
    <phoneticPr fontId="6" type="noConversion"/>
  </si>
  <si>
    <t>無雙1%</t>
    <phoneticPr fontId="6" type="noConversion"/>
  </si>
  <si>
    <t>命中1%</t>
    <phoneticPr fontId="6" type="noConversion"/>
  </si>
  <si>
    <t>日林褲</t>
  </si>
  <si>
    <t>殺滿川</t>
  </si>
  <si>
    <t>心宸帶</t>
    <phoneticPr fontId="3" type="noConversion"/>
  </si>
  <si>
    <t>江貢兌換</t>
    <phoneticPr fontId="3" type="noConversion"/>
  </si>
  <si>
    <t>會命</t>
    <phoneticPr fontId="3" type="noConversion"/>
  </si>
  <si>
    <t>凌雪藏鋒 龍門尋寶商店</t>
    <phoneticPr fontId="3" type="noConversion"/>
  </si>
  <si>
    <t>曉天·醉夢腰帶</t>
    <phoneticPr fontId="3" type="noConversion"/>
  </si>
  <si>
    <t>曉天牌</t>
    <phoneticPr fontId="3" type="noConversion"/>
  </si>
  <si>
    <t xml:space="preserve">重纓帶 </t>
    <phoneticPr fontId="3" type="noConversion"/>
  </si>
  <si>
    <t>破無</t>
    <phoneticPr fontId="3" type="noConversion"/>
  </si>
  <si>
    <t>挑風腰帶</t>
  </si>
  <si>
    <t>歲溫腰帶</t>
  </si>
  <si>
    <t>會心精簡</t>
    <phoneticPr fontId="3" type="noConversion"/>
  </si>
  <si>
    <t>涉機腰帶</t>
  </si>
  <si>
    <t>破命精簡</t>
    <phoneticPr fontId="3" type="noConversion"/>
  </si>
  <si>
    <t>藏燭腰帶</t>
    <phoneticPr fontId="3" type="noConversion"/>
  </si>
  <si>
    <t>會命無精簡</t>
    <phoneticPr fontId="3" type="noConversion"/>
  </si>
  <si>
    <t>暗魂纏腰</t>
    <phoneticPr fontId="3" type="noConversion"/>
  </si>
  <si>
    <t>宿影腰帶</t>
  </si>
  <si>
    <t>會命切糕</t>
    <phoneticPr fontId="3" type="noConversion"/>
  </si>
  <si>
    <t>會心</t>
    <phoneticPr fontId="2" type="noConversion"/>
  </si>
  <si>
    <t>無雙</t>
    <phoneticPr fontId="2" type="noConversion"/>
  </si>
  <si>
    <t>切糕件數</t>
    <phoneticPr fontId="2" type="noConversion"/>
  </si>
  <si>
    <t>會3%命3%會效15%</t>
    <phoneticPr fontId="2" type="noConversion"/>
  </si>
  <si>
    <t>自強</t>
  </si>
  <si>
    <t>撼如雷時全隊基攻5%</t>
    <phoneticPr fontId="2" type="noConversion"/>
  </si>
  <si>
    <t>力道3%外攻5%外破20%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</si>
</sst>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76" formatCode="0.0000"/>
    <numFmt numFmtId="177" formatCode="0.0%"/>
    <numFmt numFmtId="178" formatCode="0.00_ "/>
    <numFmt numFmtId="179" formatCode="0_ "/>
    <numFmt numFmtId="180" formatCode="0.00_);[Red]\(0.00\)"/>
    <numFmt numFmtId="181" formatCode="0_);[Red]\(0\)"/>
    <numFmt numFmtId="182" formatCode="#,##0_);[Red]\(#,##0\)"/>
    <numFmt numFmtId="183" formatCode="#,##0.00_);[Red]\(#,##0.00\)"/>
    <numFmt numFmtId="184" formatCode="0.0_ "/>
    <numFmt numFmtId="185" formatCode="#,##0_ "/>
    <numFmt numFmtId="186" formatCode="0.0000_ "/>
    <numFmt numFmtId="187" formatCode="0.000_ "/>
    <numFmt numFmtId="188" formatCode="_-* #,##0_-;\-* #,##0_-;_-* &quot;-&quot;??_-;_-@_-"/>
  </numFmts>
  <fonts count="65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王漢宗特黑體繁"/>
      <family val="3"/>
      <charset val="136"/>
    </font>
    <font>
      <sz val="12"/>
      <name val="蒙纳盈富体"/>
      <family val="3"/>
      <charset val="136"/>
    </font>
    <font>
      <sz val="9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name val="王漢宗特黑體繁"/>
      <family val="3"/>
      <charset val="136"/>
    </font>
    <font>
      <sz val="12"/>
      <name val="蒙纳盈富体"/>
      <family val="3"/>
      <charset val="136"/>
    </font>
    <font>
      <sz val="12"/>
      <name val="王漢宗特黑體繁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b/>
      <sz val="12"/>
      <name val="蒙纳盈富体"/>
      <family val="3"/>
      <charset val="136"/>
    </font>
    <font>
      <sz val="12"/>
      <name val="蒙纳盈富体"/>
      <family val="3"/>
      <charset val="136"/>
    </font>
    <font>
      <i/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u/>
      <sz val="12"/>
      <name val="蒙纳盈富体"/>
      <family val="3"/>
      <charset val="136"/>
    </font>
    <font>
      <sz val="12"/>
      <name val="蒙纳盈富体"/>
      <family val="3"/>
      <charset val="136"/>
    </font>
    <font>
      <i/>
      <sz val="12"/>
      <name val="蒙纳盈富体"/>
      <family val="3"/>
      <charset val="136"/>
    </font>
    <font>
      <b/>
      <sz val="12"/>
      <color indexed="8"/>
      <name val="王漢宗特黑體繁"/>
      <family val="3"/>
      <charset val="136"/>
    </font>
    <font>
      <sz val="12"/>
      <name val="蒙纳盈富体"/>
      <family val="3"/>
      <charset val="136"/>
    </font>
    <font>
      <sz val="12"/>
      <name val="王漢宗特黑體繁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王漢宗特黑體繁"/>
      <family val="3"/>
      <charset val="136"/>
    </font>
    <font>
      <sz val="12"/>
      <color theme="1"/>
      <name val="王漢宗特黑體繁"/>
      <family val="3"/>
      <charset val="136"/>
    </font>
    <font>
      <sz val="12"/>
      <color theme="1"/>
      <name val="蒙纳盈富体"/>
      <family val="3"/>
      <charset val="136"/>
    </font>
    <font>
      <b/>
      <sz val="12"/>
      <color theme="1"/>
      <name val="蒙纳盈富体"/>
      <family val="3"/>
      <charset val="136"/>
    </font>
    <font>
      <sz val="12"/>
      <color rgb="FFFF0000"/>
      <name val="蒙纳盈富体"/>
      <family val="3"/>
      <charset val="136"/>
    </font>
    <font>
      <sz val="12"/>
      <color rgb="FFFF0000"/>
      <name val="王漢宗特黑體繁"/>
      <family val="3"/>
      <charset val="136"/>
    </font>
    <font>
      <i/>
      <sz val="12"/>
      <color rgb="FFFF0000"/>
      <name val="王漢宗特黑體繁"/>
      <family val="3"/>
      <charset val="136"/>
    </font>
    <font>
      <i/>
      <sz val="12"/>
      <color theme="1"/>
      <name val="王漢宗特黑體繁"/>
      <family val="3"/>
      <charset val="136"/>
    </font>
    <font>
      <sz val="12"/>
      <color theme="1" tint="4.9989318521683403E-2"/>
      <name val="王漢宗特黑體繁"/>
      <family val="3"/>
      <charset val="136"/>
    </font>
    <font>
      <sz val="12"/>
      <color rgb="FF7030A0"/>
      <name val="蒙纳盈富体"/>
      <family val="3"/>
      <charset val="136"/>
    </font>
    <font>
      <sz val="12"/>
      <color theme="7" tint="-0.249977111117893"/>
      <name val="蒙纳盈富体"/>
      <family val="3"/>
      <charset val="136"/>
    </font>
    <font>
      <sz val="12"/>
      <color theme="9"/>
      <name val="蒙纳盈富体"/>
      <family val="3"/>
      <charset val="136"/>
    </font>
    <font>
      <b/>
      <sz val="12"/>
      <color theme="0"/>
      <name val="蒙纳盈富体"/>
      <family val="3"/>
      <charset val="136"/>
    </font>
    <font>
      <sz val="12"/>
      <color theme="4" tint="-0.249977111117893"/>
      <name val="蒙纳盈富体"/>
      <family val="3"/>
      <charset val="136"/>
    </font>
    <font>
      <sz val="12"/>
      <color theme="5"/>
      <name val="蒙纳盈富体"/>
      <family val="3"/>
      <charset val="136"/>
    </font>
    <font>
      <sz val="12"/>
      <color theme="5" tint="-0.249977111117893"/>
      <name val="蒙纳盈富体"/>
      <family val="3"/>
      <charset val="136"/>
    </font>
    <font>
      <sz val="12"/>
      <color theme="0"/>
      <name val="蒙纳盈富体"/>
      <family val="3"/>
      <charset val="136"/>
    </font>
    <font>
      <i/>
      <sz val="12"/>
      <color theme="1"/>
      <name val="蒙纳盈富体"/>
      <family val="3"/>
      <charset val="136"/>
    </font>
    <font>
      <i/>
      <sz val="12"/>
      <color theme="7" tint="-0.249977111117893"/>
      <name val="蒙纳盈富体"/>
      <family val="3"/>
      <charset val="136"/>
    </font>
    <font>
      <i/>
      <sz val="12"/>
      <color rgb="FFFF0000"/>
      <name val="蒙纳盈富体"/>
      <family val="3"/>
      <charset val="136"/>
    </font>
    <font>
      <i/>
      <sz val="12"/>
      <color theme="4" tint="-0.249977111117893"/>
      <name val="蒙纳盈富体"/>
      <family val="3"/>
      <charset val="136"/>
    </font>
    <font>
      <sz val="12"/>
      <color theme="0"/>
      <name val="王漢宗特黑體繁"/>
      <family val="3"/>
      <charset val="136"/>
    </font>
    <font>
      <sz val="12"/>
      <color theme="3" tint="0.79998168889431442"/>
      <name val="王漢宗特黑體繁"/>
      <family val="3"/>
      <charset val="136"/>
    </font>
    <font>
      <sz val="12"/>
      <color theme="7" tint="0.59999389629810485"/>
      <name val="王漢宗特黑體繁"/>
      <family val="3"/>
      <charset val="136"/>
    </font>
    <font>
      <b/>
      <sz val="12"/>
      <color theme="4" tint="0.79998168889431442"/>
      <name val="王漢宗特黑體繁"/>
      <family val="3"/>
      <charset val="136"/>
    </font>
    <font>
      <sz val="12"/>
      <color theme="5" tint="-0.249977111117893"/>
      <name val="王漢宗特黑體繁"/>
      <family val="3"/>
      <charset val="136"/>
    </font>
    <font>
      <sz val="9"/>
      <color rgb="FF000000"/>
      <name val="Microsoft JhengHei UI"/>
      <family val="2"/>
      <charset val="136"/>
    </font>
    <font>
      <sz val="12"/>
      <color theme="1"/>
      <name val="新細明體"/>
      <family val="1"/>
      <charset val="136"/>
    </font>
  </fonts>
  <fills count="4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6E2"/>
        <bgColor indexed="64"/>
      </patternFill>
    </fill>
    <fill>
      <patternFill patternType="solid">
        <fgColor rgb="FFC5EC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4BD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57B7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AC6C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7D9CE"/>
        <bgColor indexed="64"/>
      </patternFill>
    </fill>
    <fill>
      <patternFill patternType="solid">
        <fgColor rgb="FFC3EBC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1B9B9"/>
        <bgColor indexed="64"/>
      </patternFill>
    </fill>
    <fill>
      <patternFill patternType="solid">
        <fgColor rgb="FFEFE6F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C5916"/>
        <bgColor indexed="64"/>
      </patternFill>
    </fill>
    <fill>
      <patternFill patternType="solid">
        <fgColor rgb="FF9F5FCF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rgb="FF9A1E1E"/>
      </left>
      <right style="thin">
        <color rgb="FF9A1E1E"/>
      </right>
      <top style="thin">
        <color rgb="FF9A1E1E"/>
      </top>
      <bottom style="thin">
        <color rgb="FF9A1E1E"/>
      </bottom>
      <diagonal/>
    </border>
    <border>
      <left style="thin">
        <color rgb="FF9A1E1E"/>
      </left>
      <right style="thin">
        <color rgb="FF9A1E1E"/>
      </right>
      <top style="thin">
        <color rgb="FF9A1E1E"/>
      </top>
      <bottom/>
      <diagonal/>
    </border>
    <border>
      <left style="thin">
        <color rgb="FFE57B7B"/>
      </left>
      <right style="thin">
        <color rgb="FFE57B7B"/>
      </right>
      <top style="thin">
        <color rgb="FFE57B7B"/>
      </top>
      <bottom style="thin">
        <color rgb="FFE57B7B"/>
      </bottom>
      <diagonal/>
    </border>
    <border>
      <left style="double">
        <color indexed="64"/>
      </left>
      <right style="double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double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9" tint="0.79998168889431442"/>
      </top>
      <bottom style="medium">
        <color indexed="64"/>
      </bottom>
      <diagonal/>
    </border>
    <border>
      <left style="medium">
        <color theme="1"/>
      </left>
      <right/>
      <top style="medium">
        <color theme="9" tint="0.79998168889431442"/>
      </top>
      <bottom style="medium">
        <color theme="9" tint="0.79998168889431442"/>
      </bottom>
      <diagonal/>
    </border>
    <border>
      <left style="medium">
        <color theme="1"/>
      </left>
      <right/>
      <top style="medium">
        <color theme="9" tint="0.79998168889431442"/>
      </top>
      <bottom/>
      <diagonal/>
    </border>
    <border>
      <left style="medium">
        <color theme="1"/>
      </left>
      <right/>
      <top style="medium">
        <color theme="9" tint="0.79998168889431442"/>
      </top>
      <bottom style="medium">
        <color theme="1"/>
      </bottom>
      <diagonal/>
    </border>
    <border>
      <left/>
      <right style="medium">
        <color theme="1"/>
      </right>
      <top style="medium">
        <color theme="9" tint="0.79998168889431442"/>
      </top>
      <bottom/>
      <diagonal/>
    </border>
    <border>
      <left/>
      <right style="medium">
        <color theme="1"/>
      </right>
      <top style="medium">
        <color theme="9" tint="0.79998168889431442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theme="9" tint="0.79998168889431442"/>
      </bottom>
      <diagonal/>
    </border>
    <border>
      <left/>
      <right style="medium">
        <color theme="1"/>
      </right>
      <top style="medium">
        <color theme="9" tint="0.79998168889431442"/>
      </top>
      <bottom style="medium">
        <color theme="9" tint="0.79998168889431442"/>
      </bottom>
      <diagonal/>
    </border>
    <border>
      <left style="medium">
        <color theme="1"/>
      </left>
      <right/>
      <top style="medium">
        <color theme="9" tint="0.79998168889431442"/>
      </top>
      <bottom style="thin">
        <color theme="0"/>
      </bottom>
      <diagonal/>
    </border>
    <border>
      <left/>
      <right style="medium">
        <color theme="1"/>
      </right>
      <top style="medium">
        <color theme="9" tint="0.79998168889431442"/>
      </top>
      <bottom style="thin">
        <color theme="0"/>
      </bottom>
      <diagonal/>
    </border>
    <border>
      <left style="medium">
        <color theme="1"/>
      </left>
      <right/>
      <top/>
      <bottom style="medium">
        <color theme="9" tint="0.79998168889431442"/>
      </bottom>
      <diagonal/>
    </border>
    <border>
      <left/>
      <right style="medium">
        <color theme="1"/>
      </right>
      <top style="medium">
        <color theme="9" tint="0.79998168889431442"/>
      </top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9" tint="0.79998168889431442"/>
      </bottom>
      <diagonal/>
    </border>
    <border>
      <left/>
      <right/>
      <top/>
      <bottom style="medium">
        <color theme="1" tint="0.14999847407452621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 style="medium">
        <color theme="1" tint="0.14999847407452621"/>
      </bottom>
      <diagonal/>
    </border>
    <border>
      <left style="medium">
        <color theme="1" tint="0.14999847407452621"/>
      </left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 style="medium">
        <color theme="1" tint="0.14999847407452621"/>
      </left>
      <right style="medium">
        <color theme="1" tint="0.14999847407452621"/>
      </right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medium">
        <color theme="1" tint="0.14999847407452621"/>
      </left>
      <right style="medium">
        <color theme="1" tint="0.14999847407452621"/>
      </right>
      <top/>
      <bottom/>
      <diagonal/>
    </border>
    <border>
      <left/>
      <right style="medium">
        <color theme="1" tint="0.14999847407452621"/>
      </right>
      <top/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 style="medium">
        <color theme="1" tint="0.14999847407452621"/>
      </left>
      <right style="medium">
        <color theme="1" tint="0.14999847407452621"/>
      </right>
      <top style="medium">
        <color theme="1" tint="0.14999847407452621"/>
      </top>
      <bottom/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/>
      <top style="thin">
        <color theme="8" tint="0.79998168889431442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</borders>
  <cellStyleXfs count="5">
    <xf numFmtId="0" fontId="0" fillId="0" borderId="0">
      <alignment vertical="center"/>
    </xf>
    <xf numFmtId="0" fontId="34" fillId="2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576">
    <xf numFmtId="0" fontId="0" fillId="0" borderId="0" xfId="0">
      <alignment vertical="center"/>
    </xf>
    <xf numFmtId="0" fontId="37" fillId="3" borderId="0" xfId="0" applyFont="1" applyFill="1" applyAlignment="1">
      <alignment horizontal="center" vertical="center"/>
    </xf>
    <xf numFmtId="179" fontId="37" fillId="3" borderId="0" xfId="0" applyNumberFormat="1" applyFont="1" applyFill="1">
      <alignment vertical="center"/>
    </xf>
    <xf numFmtId="10" fontId="37" fillId="3" borderId="0" xfId="0" applyNumberFormat="1" applyFont="1" applyFill="1">
      <alignment vertical="center"/>
    </xf>
    <xf numFmtId="10" fontId="37" fillId="3" borderId="0" xfId="0" applyNumberFormat="1" applyFont="1" applyFill="1" applyAlignment="1">
      <alignment horizontal="center" vertical="center"/>
    </xf>
    <xf numFmtId="178" fontId="37" fillId="3" borderId="0" xfId="0" applyNumberFormat="1" applyFont="1" applyFill="1" applyAlignment="1">
      <alignment horizontal="center" vertical="center"/>
    </xf>
    <xf numFmtId="180" fontId="37" fillId="3" borderId="0" xfId="0" applyNumberFormat="1" applyFont="1" applyFill="1" applyAlignment="1">
      <alignment horizontal="center" vertical="center"/>
    </xf>
    <xf numFmtId="0" fontId="37" fillId="3" borderId="0" xfId="0" applyFont="1" applyFill="1">
      <alignment vertical="center"/>
    </xf>
    <xf numFmtId="0" fontId="38" fillId="0" borderId="0" xfId="0" applyFont="1" applyAlignment="1">
      <alignment horizontal="center" vertical="center"/>
    </xf>
    <xf numFmtId="179" fontId="38" fillId="0" borderId="0" xfId="0" applyNumberFormat="1" applyFont="1">
      <alignment vertical="center"/>
    </xf>
    <xf numFmtId="10" fontId="38" fillId="0" borderId="0" xfId="0" applyNumberFormat="1" applyFont="1">
      <alignment vertical="center"/>
    </xf>
    <xf numFmtId="182" fontId="38" fillId="0" borderId="0" xfId="0" applyNumberFormat="1" applyFont="1">
      <alignment vertical="center"/>
    </xf>
    <xf numFmtId="178" fontId="38" fillId="0" borderId="0" xfId="0" applyNumberFormat="1" applyFont="1">
      <alignment vertical="center"/>
    </xf>
    <xf numFmtId="180" fontId="38" fillId="0" borderId="0" xfId="0" applyNumberFormat="1" applyFont="1">
      <alignment vertical="center"/>
    </xf>
    <xf numFmtId="181" fontId="38" fillId="0" borderId="0" xfId="0" applyNumberFormat="1" applyFont="1">
      <alignment vertical="center"/>
    </xf>
    <xf numFmtId="0" fontId="38" fillId="0" borderId="0" xfId="0" applyFont="1">
      <alignment vertical="center"/>
    </xf>
    <xf numFmtId="183" fontId="38" fillId="0" borderId="0" xfId="0" applyNumberFormat="1" applyFont="1">
      <alignment vertical="center"/>
    </xf>
    <xf numFmtId="178" fontId="38" fillId="0" borderId="0" xfId="0" applyNumberFormat="1" applyFont="1" applyAlignment="1">
      <alignment horizontal="right" vertical="center"/>
    </xf>
    <xf numFmtId="184" fontId="38" fillId="0" borderId="0" xfId="0" applyNumberFormat="1" applyFont="1">
      <alignment vertical="center"/>
    </xf>
    <xf numFmtId="9" fontId="38" fillId="0" borderId="0" xfId="0" applyNumberFormat="1" applyFont="1">
      <alignment vertical="center"/>
    </xf>
    <xf numFmtId="0" fontId="37" fillId="4" borderId="1" xfId="0" applyFont="1" applyFill="1" applyBorder="1" applyAlignment="1">
      <alignment horizontal="center" vertical="center"/>
    </xf>
    <xf numFmtId="0" fontId="39" fillId="5" borderId="0" xfId="0" applyFont="1" applyFill="1">
      <alignment vertical="center"/>
    </xf>
    <xf numFmtId="0" fontId="39" fillId="0" borderId="0" xfId="0" applyFont="1">
      <alignment vertical="center"/>
    </xf>
    <xf numFmtId="0" fontId="39" fillId="6" borderId="0" xfId="0" applyFont="1" applyFill="1">
      <alignment vertical="center"/>
    </xf>
    <xf numFmtId="0" fontId="40" fillId="6" borderId="0" xfId="0" applyFont="1" applyFill="1" applyAlignment="1">
      <alignment horizontal="center" vertical="center"/>
    </xf>
    <xf numFmtId="0" fontId="39" fillId="0" borderId="0" xfId="0" applyFont="1">
      <alignment vertical="center"/>
    </xf>
    <xf numFmtId="9" fontId="39" fillId="2" borderId="2" xfId="1" applyNumberFormat="1" applyFont="1" applyBorder="1">
      <alignment vertical="center"/>
    </xf>
    <xf numFmtId="0" fontId="40" fillId="0" borderId="0" xfId="0" applyFont="1">
      <alignment vertical="center"/>
    </xf>
    <xf numFmtId="0" fontId="40" fillId="0" borderId="3" xfId="0" applyFont="1" applyBorder="1">
      <alignment vertical="center"/>
    </xf>
    <xf numFmtId="0" fontId="40" fillId="0" borderId="0" xfId="0" applyFont="1" applyBorder="1">
      <alignment vertical="center"/>
    </xf>
    <xf numFmtId="9" fontId="39" fillId="0" borderId="0" xfId="0" applyNumberFormat="1" applyFont="1">
      <alignment vertical="center"/>
    </xf>
    <xf numFmtId="0" fontId="39" fillId="0" borderId="3" xfId="0" applyFont="1" applyBorder="1">
      <alignment vertical="center"/>
    </xf>
    <xf numFmtId="9" fontId="39" fillId="0" borderId="0" xfId="0" applyNumberFormat="1" applyFont="1" applyBorder="1">
      <alignment vertical="center"/>
    </xf>
    <xf numFmtId="176" fontId="39" fillId="0" borderId="3" xfId="0" applyNumberFormat="1" applyFont="1" applyBorder="1">
      <alignment vertical="center"/>
    </xf>
    <xf numFmtId="176" fontId="39" fillId="0" borderId="0" xfId="0" applyNumberFormat="1" applyFont="1">
      <alignment vertical="center"/>
    </xf>
    <xf numFmtId="0" fontId="39" fillId="0" borderId="4" xfId="0" applyFont="1" applyBorder="1">
      <alignment vertical="center"/>
    </xf>
    <xf numFmtId="2" fontId="39" fillId="0" borderId="4" xfId="0" applyNumberFormat="1" applyFont="1" applyBorder="1">
      <alignment vertical="center"/>
    </xf>
    <xf numFmtId="2" fontId="39" fillId="0" borderId="0" xfId="0" applyNumberFormat="1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0" xfId="0" applyFont="1">
      <alignment vertical="center"/>
    </xf>
    <xf numFmtId="9" fontId="41" fillId="0" borderId="0" xfId="0" applyNumberFormat="1" applyFont="1" applyAlignment="1">
      <alignment horizontal="right" vertical="center"/>
    </xf>
    <xf numFmtId="0" fontId="41" fillId="0" borderId="0" xfId="0" applyFont="1" applyAlignment="1">
      <alignment horizontal="right" vertical="center"/>
    </xf>
    <xf numFmtId="0" fontId="39" fillId="0" borderId="0" xfId="0" applyFont="1" applyAlignment="1">
      <alignment horizontal="right" vertical="center"/>
    </xf>
    <xf numFmtId="10" fontId="38" fillId="0" borderId="0" xfId="0" applyNumberFormat="1" applyFont="1" applyAlignment="1">
      <alignment horizontal="center" vertical="center"/>
    </xf>
    <xf numFmtId="9" fontId="38" fillId="0" borderId="0" xfId="0" applyNumberFormat="1" applyFont="1" applyAlignment="1">
      <alignment horizontal="center" vertical="center"/>
    </xf>
    <xf numFmtId="0" fontId="38" fillId="7" borderId="0" xfId="0" applyFont="1" applyFill="1">
      <alignment vertical="center"/>
    </xf>
    <xf numFmtId="0" fontId="39" fillId="0" borderId="0" xfId="0" applyFont="1">
      <alignment vertical="center"/>
    </xf>
    <xf numFmtId="0" fontId="38" fillId="8" borderId="0" xfId="0" applyFont="1" applyFill="1">
      <alignment vertical="center"/>
    </xf>
    <xf numFmtId="180" fontId="38" fillId="0" borderId="0" xfId="0" applyNumberFormat="1" applyFont="1" applyAlignment="1">
      <alignment horizontal="center" vertical="center"/>
    </xf>
    <xf numFmtId="0" fontId="37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86" fontId="37" fillId="3" borderId="0" xfId="0" applyNumberFormat="1" applyFont="1" applyFill="1" applyAlignment="1">
      <alignment horizontal="center" vertical="center"/>
    </xf>
    <xf numFmtId="9" fontId="38" fillId="0" borderId="0" xfId="3" applyFont="1">
      <alignment vertical="center"/>
    </xf>
    <xf numFmtId="10" fontId="39" fillId="0" borderId="0" xfId="3" applyNumberFormat="1" applyFont="1">
      <alignment vertical="center"/>
    </xf>
    <xf numFmtId="0" fontId="38" fillId="6" borderId="0" xfId="0" applyFont="1" applyFill="1" applyAlignment="1">
      <alignment horizontal="center" vertical="center"/>
    </xf>
    <xf numFmtId="0" fontId="37" fillId="4" borderId="5" xfId="0" applyFont="1" applyFill="1" applyBorder="1" applyAlignment="1">
      <alignment horizontal="center" vertical="center"/>
    </xf>
    <xf numFmtId="181" fontId="38" fillId="0" borderId="0" xfId="0" applyNumberFormat="1" applyFont="1" applyAlignment="1">
      <alignment horizontal="center" vertical="center"/>
    </xf>
    <xf numFmtId="0" fontId="39" fillId="6" borderId="0" xfId="0" applyFont="1" applyFill="1" applyAlignment="1">
      <alignment horizontal="center" vertical="center"/>
    </xf>
    <xf numFmtId="9" fontId="38" fillId="0" borderId="0" xfId="3" applyFont="1" applyAlignment="1">
      <alignment horizontal="center" vertical="center"/>
    </xf>
    <xf numFmtId="0" fontId="39" fillId="5" borderId="0" xfId="0" applyFont="1" applyFill="1" applyAlignment="1">
      <alignment horizontal="center" vertical="center"/>
    </xf>
    <xf numFmtId="10" fontId="38" fillId="10" borderId="0" xfId="0" applyNumberFormat="1" applyFont="1" applyFill="1" applyAlignment="1">
      <alignment horizontal="center" vertical="center"/>
    </xf>
    <xf numFmtId="185" fontId="38" fillId="10" borderId="0" xfId="0" applyNumberFormat="1" applyFont="1" applyFill="1">
      <alignment vertical="center"/>
    </xf>
    <xf numFmtId="185" fontId="38" fillId="11" borderId="0" xfId="0" applyNumberFormat="1" applyFont="1" applyFill="1">
      <alignment vertical="center"/>
    </xf>
    <xf numFmtId="10" fontId="38" fillId="11" borderId="0" xfId="0" applyNumberFormat="1" applyFont="1" applyFill="1" applyAlignment="1">
      <alignment horizontal="center" vertical="center"/>
    </xf>
    <xf numFmtId="0" fontId="38" fillId="11" borderId="0" xfId="0" applyFont="1" applyFill="1" applyAlignment="1">
      <alignment horizontal="center" vertical="center"/>
    </xf>
    <xf numFmtId="0" fontId="38" fillId="11" borderId="0" xfId="0" applyFont="1" applyFill="1">
      <alignment vertical="center"/>
    </xf>
    <xf numFmtId="0" fontId="38" fillId="10" borderId="0" xfId="0" applyFont="1" applyFill="1">
      <alignment vertical="center"/>
    </xf>
    <xf numFmtId="0" fontId="4" fillId="10" borderId="0" xfId="0" applyFont="1" applyFill="1" applyAlignment="1">
      <alignment horizontal="center" vertical="center"/>
    </xf>
    <xf numFmtId="0" fontId="38" fillId="12" borderId="0" xfId="0" applyFont="1" applyFill="1">
      <alignment vertical="center"/>
    </xf>
    <xf numFmtId="0" fontId="38" fillId="10" borderId="0" xfId="0" applyFont="1" applyFill="1" applyAlignment="1">
      <alignment horizontal="center" vertical="center"/>
    </xf>
    <xf numFmtId="0" fontId="38" fillId="13" borderId="6" xfId="0" applyFont="1" applyFill="1" applyBorder="1" applyAlignment="1">
      <alignment horizontal="center" vertical="center"/>
    </xf>
    <xf numFmtId="179" fontId="38" fillId="13" borderId="6" xfId="0" applyNumberFormat="1" applyFont="1" applyFill="1" applyBorder="1" applyAlignment="1">
      <alignment horizontal="center" vertical="center"/>
    </xf>
    <xf numFmtId="178" fontId="38" fillId="13" borderId="6" xfId="0" applyNumberFormat="1" applyFont="1" applyFill="1" applyBorder="1" applyAlignment="1">
      <alignment horizontal="center" vertical="center"/>
    </xf>
    <xf numFmtId="10" fontId="38" fillId="13" borderId="6" xfId="0" applyNumberFormat="1" applyFont="1" applyFill="1" applyBorder="1" applyAlignment="1">
      <alignment horizontal="center" vertical="center"/>
    </xf>
    <xf numFmtId="183" fontId="38" fillId="13" borderId="6" xfId="0" applyNumberFormat="1" applyFont="1" applyFill="1" applyBorder="1" applyAlignment="1">
      <alignment horizontal="center" vertical="center"/>
    </xf>
    <xf numFmtId="180" fontId="38" fillId="13" borderId="6" xfId="0" applyNumberFormat="1" applyFont="1" applyFill="1" applyBorder="1" applyAlignment="1">
      <alignment horizontal="center" vertical="center"/>
    </xf>
    <xf numFmtId="0" fontId="38" fillId="13" borderId="0" xfId="0" applyFont="1" applyFill="1">
      <alignment vertical="center"/>
    </xf>
    <xf numFmtId="0" fontId="38" fillId="6" borderId="4" xfId="0" applyFont="1" applyFill="1" applyBorder="1" applyAlignment="1">
      <alignment horizontal="center" vertical="center"/>
    </xf>
    <xf numFmtId="179" fontId="38" fillId="6" borderId="4" xfId="0" applyNumberFormat="1" applyFont="1" applyFill="1" applyBorder="1" applyAlignment="1">
      <alignment horizontal="center" vertical="center"/>
    </xf>
    <xf numFmtId="10" fontId="38" fillId="6" borderId="4" xfId="0" applyNumberFormat="1" applyFont="1" applyFill="1" applyBorder="1" applyAlignment="1">
      <alignment horizontal="center" vertical="center"/>
    </xf>
    <xf numFmtId="183" fontId="38" fillId="6" borderId="4" xfId="0" applyNumberFormat="1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37" fillId="11" borderId="8" xfId="0" applyFont="1" applyFill="1" applyBorder="1" applyAlignment="1">
      <alignment vertical="center"/>
    </xf>
    <xf numFmtId="177" fontId="38" fillId="0" borderId="0" xfId="0" applyNumberFormat="1" applyFont="1">
      <alignment vertical="center"/>
    </xf>
    <xf numFmtId="10" fontId="37" fillId="14" borderId="0" xfId="0" applyNumberFormat="1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37" fillId="14" borderId="0" xfId="0" applyFont="1" applyFill="1">
      <alignment vertical="center"/>
    </xf>
    <xf numFmtId="181" fontId="38" fillId="14" borderId="0" xfId="0" applyNumberFormat="1" applyFont="1" applyFill="1">
      <alignment vertical="center"/>
    </xf>
    <xf numFmtId="0" fontId="38" fillId="14" borderId="0" xfId="0" applyFont="1" applyFill="1">
      <alignment vertical="center"/>
    </xf>
    <xf numFmtId="10" fontId="38" fillId="8" borderId="0" xfId="0" applyNumberFormat="1" applyFont="1" applyFill="1" applyAlignment="1">
      <alignment horizontal="center" vertical="center"/>
    </xf>
    <xf numFmtId="0" fontId="38" fillId="8" borderId="0" xfId="0" applyFont="1" applyFill="1" applyBorder="1">
      <alignment vertical="center"/>
    </xf>
    <xf numFmtId="9" fontId="38" fillId="8" borderId="0" xfId="0" applyNumberFormat="1" applyFont="1" applyFill="1" applyBorder="1">
      <alignment vertical="center"/>
    </xf>
    <xf numFmtId="180" fontId="37" fillId="15" borderId="0" xfId="0" applyNumberFormat="1" applyFont="1" applyFill="1" applyAlignment="1">
      <alignment horizontal="center" vertical="center"/>
    </xf>
    <xf numFmtId="180" fontId="4" fillId="6" borderId="0" xfId="0" applyNumberFormat="1" applyFont="1" applyFill="1" applyAlignment="1">
      <alignment horizontal="center" vertical="center"/>
    </xf>
    <xf numFmtId="180" fontId="38" fillId="6" borderId="0" xfId="0" applyNumberFormat="1" applyFont="1" applyFill="1">
      <alignment vertical="center"/>
    </xf>
    <xf numFmtId="0" fontId="37" fillId="15" borderId="0" xfId="0" applyFont="1" applyFill="1">
      <alignment vertical="center"/>
    </xf>
    <xf numFmtId="180" fontId="38" fillId="15" borderId="0" xfId="0" applyNumberFormat="1" applyFont="1" applyFill="1">
      <alignment vertical="center"/>
    </xf>
    <xf numFmtId="0" fontId="38" fillId="0" borderId="9" xfId="0" applyFont="1" applyBorder="1" applyAlignment="1">
      <alignment horizontal="center" vertical="center"/>
    </xf>
    <xf numFmtId="179" fontId="38" fillId="0" borderId="9" xfId="0" applyNumberFormat="1" applyFont="1" applyBorder="1" applyAlignment="1">
      <alignment horizontal="center" vertical="center"/>
    </xf>
    <xf numFmtId="181" fontId="38" fillId="0" borderId="9" xfId="0" applyNumberFormat="1" applyFont="1" applyBorder="1" applyAlignment="1">
      <alignment horizontal="center" vertical="center"/>
    </xf>
    <xf numFmtId="185" fontId="38" fillId="0" borderId="9" xfId="0" applyNumberFormat="1" applyFont="1" applyBorder="1" applyAlignment="1">
      <alignment horizontal="center" vertical="center"/>
    </xf>
    <xf numFmtId="10" fontId="38" fillId="0" borderId="9" xfId="3" applyNumberFormat="1" applyFont="1" applyBorder="1" applyAlignment="1">
      <alignment horizontal="center" vertical="center"/>
    </xf>
    <xf numFmtId="10" fontId="38" fillId="0" borderId="9" xfId="0" applyNumberFormat="1" applyFont="1" applyBorder="1" applyAlignment="1">
      <alignment horizontal="center" vertical="center"/>
    </xf>
    <xf numFmtId="0" fontId="37" fillId="9" borderId="10" xfId="0" applyFont="1" applyFill="1" applyBorder="1" applyAlignment="1">
      <alignment horizontal="center" vertical="center"/>
    </xf>
    <xf numFmtId="0" fontId="37" fillId="9" borderId="11" xfId="0" applyFont="1" applyFill="1" applyBorder="1" applyAlignment="1">
      <alignment horizontal="center" vertical="center"/>
    </xf>
    <xf numFmtId="179" fontId="37" fillId="9" borderId="11" xfId="0" applyNumberFormat="1" applyFont="1" applyFill="1" applyBorder="1" applyAlignment="1">
      <alignment horizontal="center" vertical="center"/>
    </xf>
    <xf numFmtId="10" fontId="37" fillId="9" borderId="11" xfId="0" applyNumberFormat="1" applyFont="1" applyFill="1" applyBorder="1" applyAlignment="1">
      <alignment horizontal="center" vertical="center"/>
    </xf>
    <xf numFmtId="10" fontId="37" fillId="9" borderId="12" xfId="0" applyNumberFormat="1" applyFont="1" applyFill="1" applyBorder="1" applyAlignment="1">
      <alignment horizontal="center" vertical="center"/>
    </xf>
    <xf numFmtId="179" fontId="4" fillId="9" borderId="13" xfId="0" applyNumberFormat="1" applyFont="1" applyFill="1" applyBorder="1" applyAlignment="1">
      <alignment horizontal="center" vertical="center"/>
    </xf>
    <xf numFmtId="179" fontId="4" fillId="9" borderId="14" xfId="0" applyNumberFormat="1" applyFont="1" applyFill="1" applyBorder="1" applyAlignment="1">
      <alignment horizontal="center" vertical="center"/>
    </xf>
    <xf numFmtId="10" fontId="4" fillId="9" borderId="14" xfId="3" applyNumberFormat="1" applyFont="1" applyFill="1" applyBorder="1" applyAlignment="1">
      <alignment horizontal="center" vertical="center"/>
    </xf>
    <xf numFmtId="10" fontId="4" fillId="9" borderId="14" xfId="0" applyNumberFormat="1" applyFont="1" applyFill="1" applyBorder="1" applyAlignment="1">
      <alignment horizontal="center" vertical="center"/>
    </xf>
    <xf numFmtId="10" fontId="4" fillId="9" borderId="15" xfId="0" applyNumberFormat="1" applyFont="1" applyFill="1" applyBorder="1" applyAlignment="1">
      <alignment horizontal="center" vertical="center"/>
    </xf>
    <xf numFmtId="0" fontId="42" fillId="12" borderId="0" xfId="0" applyFont="1" applyFill="1">
      <alignment vertical="center"/>
    </xf>
    <xf numFmtId="0" fontId="43" fillId="4" borderId="0" xfId="0" applyFont="1" applyFill="1">
      <alignment vertical="center"/>
    </xf>
    <xf numFmtId="0" fontId="43" fillId="4" borderId="0" xfId="0" applyFont="1" applyFill="1" applyAlignment="1">
      <alignment horizontal="center" vertical="center"/>
    </xf>
    <xf numFmtId="10" fontId="43" fillId="4" borderId="0" xfId="0" applyNumberFormat="1" applyFont="1" applyFill="1" applyAlignment="1">
      <alignment horizontal="center" vertical="center"/>
    </xf>
    <xf numFmtId="0" fontId="44" fillId="4" borderId="0" xfId="0" applyFont="1" applyFill="1">
      <alignment vertical="center"/>
    </xf>
    <xf numFmtId="0" fontId="43" fillId="8" borderId="0" xfId="0" applyFont="1" applyFill="1">
      <alignment vertical="center"/>
    </xf>
    <xf numFmtId="180" fontId="45" fillId="6" borderId="0" xfId="0" applyNumberFormat="1" applyFont="1" applyFill="1" applyAlignment="1">
      <alignment horizontal="center" vertical="center"/>
    </xf>
    <xf numFmtId="0" fontId="38" fillId="16" borderId="0" xfId="0" applyFont="1" applyFill="1" applyAlignment="1">
      <alignment vertical="center"/>
    </xf>
    <xf numFmtId="10" fontId="4" fillId="16" borderId="0" xfId="0" applyNumberFormat="1" applyFont="1" applyFill="1" applyAlignment="1">
      <alignment horizontal="center" vertical="center"/>
    </xf>
    <xf numFmtId="181" fontId="38" fillId="16" borderId="0" xfId="0" applyNumberFormat="1" applyFont="1" applyFill="1">
      <alignment vertical="center"/>
    </xf>
    <xf numFmtId="0" fontId="38" fillId="16" borderId="0" xfId="0" applyFont="1" applyFill="1" applyAlignment="1">
      <alignment horizontal="center" vertical="center"/>
    </xf>
    <xf numFmtId="0" fontId="39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181" fontId="37" fillId="9" borderId="14" xfId="3" applyNumberFormat="1" applyFont="1" applyFill="1" applyBorder="1" applyAlignment="1">
      <alignment horizontal="center" vertical="center"/>
    </xf>
    <xf numFmtId="0" fontId="39" fillId="6" borderId="0" xfId="0" applyFont="1" applyFill="1" applyAlignment="1">
      <alignment horizontal="center" vertical="center"/>
    </xf>
    <xf numFmtId="0" fontId="39" fillId="0" borderId="0" xfId="0" applyFont="1">
      <alignment vertical="center"/>
    </xf>
    <xf numFmtId="0" fontId="39" fillId="0" borderId="0" xfId="0" applyFont="1">
      <alignment vertical="center"/>
    </xf>
    <xf numFmtId="0" fontId="41" fillId="0" borderId="0" xfId="0" applyFont="1">
      <alignment vertical="center"/>
    </xf>
    <xf numFmtId="0" fontId="10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182" fontId="39" fillId="0" borderId="0" xfId="0" applyNumberFormat="1" applyFont="1">
      <alignment vertical="center"/>
    </xf>
    <xf numFmtId="10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10" fontId="41" fillId="0" borderId="0" xfId="0" applyNumberFormat="1" applyFont="1">
      <alignment vertical="center"/>
    </xf>
    <xf numFmtId="182" fontId="41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180" fontId="41" fillId="0" borderId="0" xfId="0" applyNumberFormat="1" applyFont="1">
      <alignment vertical="center"/>
    </xf>
    <xf numFmtId="0" fontId="36" fillId="0" borderId="0" xfId="0" applyFont="1">
      <alignment vertical="center"/>
    </xf>
    <xf numFmtId="9" fontId="0" fillId="0" borderId="0" xfId="0" applyNumberFormat="1">
      <alignment vertical="center"/>
    </xf>
    <xf numFmtId="0" fontId="38" fillId="0" borderId="0" xfId="0" applyFont="1" applyAlignment="1">
      <alignment horizontal="center" vertical="center"/>
    </xf>
    <xf numFmtId="10" fontId="38" fillId="0" borderId="0" xfId="3" applyNumberFormat="1" applyFont="1">
      <alignment vertical="center"/>
    </xf>
    <xf numFmtId="10" fontId="38" fillId="0" borderId="0" xfId="0" applyNumberFormat="1" applyFont="1">
      <alignment vertical="center"/>
    </xf>
    <xf numFmtId="0" fontId="39" fillId="0" borderId="0" xfId="0" applyFont="1">
      <alignment vertical="center"/>
    </xf>
    <xf numFmtId="0" fontId="12" fillId="0" borderId="0" xfId="0" applyFont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10" fontId="13" fillId="0" borderId="0" xfId="0" applyNumberFormat="1" applyFont="1">
      <alignment vertical="center"/>
    </xf>
    <xf numFmtId="182" fontId="13" fillId="0" borderId="0" xfId="0" applyNumberFormat="1" applyFont="1">
      <alignment vertical="center"/>
    </xf>
    <xf numFmtId="10" fontId="41" fillId="0" borderId="0" xfId="0" applyNumberFormat="1" applyFont="1">
      <alignment vertical="center"/>
    </xf>
    <xf numFmtId="10" fontId="46" fillId="0" borderId="0" xfId="0" applyNumberFormat="1" applyFont="1">
      <alignment vertical="center"/>
    </xf>
    <xf numFmtId="182" fontId="46" fillId="0" borderId="0" xfId="0" applyNumberFormat="1" applyFont="1">
      <alignment vertical="center"/>
    </xf>
    <xf numFmtId="10" fontId="47" fillId="0" borderId="0" xfId="0" applyNumberFormat="1" applyFont="1">
      <alignment vertical="center"/>
    </xf>
    <xf numFmtId="0" fontId="41" fillId="0" borderId="0" xfId="0" applyFont="1">
      <alignment vertical="center"/>
    </xf>
    <xf numFmtId="182" fontId="41" fillId="0" borderId="0" xfId="0" applyNumberFormat="1" applyFont="1">
      <alignment vertical="center"/>
    </xf>
    <xf numFmtId="179" fontId="41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187" fontId="38" fillId="0" borderId="0" xfId="0" applyNumberFormat="1" applyFont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0" applyNumberFormat="1" applyFont="1">
      <alignment vertical="center"/>
    </xf>
    <xf numFmtId="0" fontId="39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39" fillId="0" borderId="0" xfId="0" applyFont="1">
      <alignment vertical="center"/>
    </xf>
    <xf numFmtId="0" fontId="39" fillId="0" borderId="0" xfId="0" applyFont="1">
      <alignment vertical="center"/>
    </xf>
    <xf numFmtId="0" fontId="39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40" fillId="6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9" fillId="0" borderId="0" xfId="0" applyFont="1">
      <alignment vertical="center"/>
    </xf>
    <xf numFmtId="0" fontId="38" fillId="14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39" fillId="0" borderId="0" xfId="0" applyFont="1">
      <alignment vertical="center"/>
    </xf>
    <xf numFmtId="0" fontId="48" fillId="0" borderId="0" xfId="0" applyFont="1" applyAlignment="1">
      <alignment horizontal="center" vertical="center"/>
    </xf>
    <xf numFmtId="0" fontId="40" fillId="17" borderId="0" xfId="0" applyFont="1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49" fillId="19" borderId="0" xfId="0" applyFont="1" applyFill="1" applyAlignment="1">
      <alignment horizontal="center" vertical="center"/>
    </xf>
    <xf numFmtId="0" fontId="40" fillId="20" borderId="0" xfId="0" applyFont="1" applyFill="1" applyAlignment="1">
      <alignment horizontal="center" vertical="center"/>
    </xf>
    <xf numFmtId="0" fontId="40" fillId="21" borderId="0" xfId="0" applyFont="1" applyFill="1" applyAlignment="1">
      <alignment horizontal="center" vertical="center"/>
    </xf>
    <xf numFmtId="0" fontId="40" fillId="1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40" fillId="5" borderId="0" xfId="0" applyFont="1" applyFill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21" fillId="22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9" fillId="6" borderId="0" xfId="0" applyFont="1" applyFill="1" applyAlignment="1">
      <alignment horizontal="center"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1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2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 wrapText="1"/>
    </xf>
    <xf numFmtId="179" fontId="22" fillId="0" borderId="0" xfId="0" applyNumberFormat="1" applyFont="1">
      <alignment vertical="center"/>
    </xf>
    <xf numFmtId="179" fontId="22" fillId="0" borderId="0" xfId="0" applyNumberFormat="1" applyFont="1" applyAlignment="1">
      <alignment horizontal="center" vertical="center"/>
    </xf>
    <xf numFmtId="10" fontId="22" fillId="0" borderId="0" xfId="0" applyNumberFormat="1" applyFont="1">
      <alignment vertical="center"/>
    </xf>
    <xf numFmtId="182" fontId="22" fillId="0" borderId="0" xfId="0" applyNumberFormat="1" applyFont="1">
      <alignment vertical="center"/>
    </xf>
    <xf numFmtId="0" fontId="53" fillId="23" borderId="0" xfId="0" applyFont="1" applyFill="1" applyAlignment="1">
      <alignment vertical="center"/>
    </xf>
    <xf numFmtId="0" fontId="22" fillId="6" borderId="0" xfId="0" applyFont="1" applyFill="1">
      <alignment vertical="center"/>
    </xf>
    <xf numFmtId="0" fontId="41" fillId="6" borderId="0" xfId="0" applyFont="1" applyFill="1">
      <alignment vertical="center"/>
    </xf>
    <xf numFmtId="0" fontId="39" fillId="24" borderId="0" xfId="0" applyFont="1" applyFill="1" applyAlignment="1">
      <alignment horizontal="center" vertical="center"/>
    </xf>
    <xf numFmtId="179" fontId="40" fillId="24" borderId="0" xfId="0" applyNumberFormat="1" applyFont="1" applyFill="1" applyAlignment="1">
      <alignment horizontal="center" vertical="center"/>
    </xf>
    <xf numFmtId="10" fontId="40" fillId="24" borderId="0" xfId="0" applyNumberFormat="1" applyFont="1" applyFill="1" applyAlignment="1">
      <alignment horizontal="center" vertical="center"/>
    </xf>
    <xf numFmtId="182" fontId="40" fillId="24" borderId="0" xfId="0" applyNumberFormat="1" applyFont="1" applyFill="1" applyAlignment="1">
      <alignment horizontal="center" vertical="center"/>
    </xf>
    <xf numFmtId="0" fontId="39" fillId="24" borderId="0" xfId="0" applyFont="1" applyFill="1">
      <alignment vertical="center"/>
    </xf>
    <xf numFmtId="0" fontId="13" fillId="25" borderId="0" xfId="0" applyFont="1" applyFill="1" applyAlignment="1">
      <alignment horizontal="center" vertical="center"/>
    </xf>
    <xf numFmtId="0" fontId="23" fillId="25" borderId="0" xfId="0" applyFont="1" applyFill="1">
      <alignment vertical="center"/>
    </xf>
    <xf numFmtId="0" fontId="13" fillId="25" borderId="0" xfId="0" applyFont="1" applyFill="1">
      <alignment vertical="center"/>
    </xf>
    <xf numFmtId="182" fontId="13" fillId="25" borderId="0" xfId="0" applyNumberFormat="1" applyFont="1" applyFill="1">
      <alignment vertical="center"/>
    </xf>
    <xf numFmtId="0" fontId="10" fillId="25" borderId="0" xfId="0" applyFont="1" applyFill="1" applyAlignment="1">
      <alignment horizontal="center" vertical="center"/>
    </xf>
    <xf numFmtId="0" fontId="54" fillId="25" borderId="0" xfId="0" applyFont="1" applyFill="1">
      <alignment vertical="center"/>
    </xf>
    <xf numFmtId="0" fontId="12" fillId="25" borderId="0" xfId="0" applyFont="1" applyFill="1">
      <alignment vertical="center"/>
    </xf>
    <xf numFmtId="182" fontId="10" fillId="25" borderId="0" xfId="0" applyNumberFormat="1" applyFont="1" applyFill="1">
      <alignment vertical="center"/>
    </xf>
    <xf numFmtId="0" fontId="10" fillId="25" borderId="0" xfId="0" applyFont="1" applyFill="1">
      <alignment vertical="center"/>
    </xf>
    <xf numFmtId="0" fontId="41" fillId="25" borderId="0" xfId="0" applyFont="1" applyFill="1" applyAlignment="1">
      <alignment horizontal="center" vertical="center"/>
    </xf>
    <xf numFmtId="0" fontId="41" fillId="25" borderId="0" xfId="0" applyFont="1" applyFill="1">
      <alignment vertical="center"/>
    </xf>
    <xf numFmtId="182" fontId="41" fillId="25" borderId="0" xfId="0" applyNumberFormat="1" applyFont="1" applyFill="1">
      <alignment vertical="center"/>
    </xf>
    <xf numFmtId="0" fontId="22" fillId="25" borderId="0" xfId="0" applyFont="1" applyFill="1">
      <alignment vertical="center"/>
    </xf>
    <xf numFmtId="0" fontId="46" fillId="25" borderId="0" xfId="0" applyFont="1" applyFill="1" applyAlignment="1">
      <alignment horizontal="center" vertical="center"/>
    </xf>
    <xf numFmtId="0" fontId="46" fillId="25" borderId="0" xfId="0" applyFont="1" applyFill="1">
      <alignment vertical="center"/>
    </xf>
    <xf numFmtId="182" fontId="46" fillId="25" borderId="0" xfId="0" applyNumberFormat="1" applyFont="1" applyFill="1">
      <alignment vertical="center"/>
    </xf>
    <xf numFmtId="0" fontId="39" fillId="25" borderId="0" xfId="0" applyFont="1" applyFill="1" applyAlignment="1">
      <alignment horizontal="center" vertical="center"/>
    </xf>
    <xf numFmtId="0" fontId="39" fillId="25" borderId="0" xfId="0" applyFont="1" applyFill="1">
      <alignment vertical="center"/>
    </xf>
    <xf numFmtId="0" fontId="39" fillId="25" borderId="0" xfId="0" applyFont="1" applyFill="1">
      <alignment vertical="center"/>
    </xf>
    <xf numFmtId="182" fontId="39" fillId="25" borderId="0" xfId="0" applyNumberFormat="1" applyFont="1" applyFill="1">
      <alignment vertical="center"/>
    </xf>
    <xf numFmtId="10" fontId="23" fillId="25" borderId="0" xfId="0" applyNumberFormat="1" applyFont="1" applyFill="1">
      <alignment vertical="center"/>
    </xf>
    <xf numFmtId="180" fontId="37" fillId="3" borderId="0" xfId="0" applyNumberFormat="1" applyFont="1" applyFill="1" applyAlignment="1">
      <alignment horizontal="center" vertical="center"/>
    </xf>
    <xf numFmtId="0" fontId="39" fillId="0" borderId="0" xfId="0" applyFont="1" applyBorder="1">
      <alignment vertical="center"/>
    </xf>
    <xf numFmtId="0" fontId="39" fillId="0" borderId="0" xfId="0" applyFont="1" applyAlignment="1">
      <alignment horizontal="center" vertical="center" wrapText="1"/>
    </xf>
    <xf numFmtId="0" fontId="39" fillId="6" borderId="0" xfId="0" applyFont="1" applyFill="1" applyAlignment="1">
      <alignment horizontal="center" vertical="center"/>
    </xf>
    <xf numFmtId="0" fontId="39" fillId="0" borderId="0" xfId="0" applyFont="1">
      <alignment vertical="center"/>
    </xf>
    <xf numFmtId="188" fontId="39" fillId="25" borderId="0" xfId="2" applyNumberFormat="1" applyFont="1" applyFill="1">
      <alignment vertical="center"/>
    </xf>
    <xf numFmtId="188" fontId="39" fillId="0" borderId="0" xfId="2" applyNumberFormat="1" applyFont="1">
      <alignment vertical="center"/>
    </xf>
    <xf numFmtId="188" fontId="41" fillId="0" borderId="0" xfId="2" applyNumberFormat="1" applyFont="1">
      <alignment vertical="center"/>
    </xf>
    <xf numFmtId="188" fontId="52" fillId="0" borderId="0" xfId="2" applyNumberFormat="1" applyFont="1">
      <alignment vertical="center"/>
    </xf>
    <xf numFmtId="188" fontId="23" fillId="25" borderId="0" xfId="2" applyNumberFormat="1" applyFont="1" applyFill="1">
      <alignment vertical="center"/>
    </xf>
    <xf numFmtId="188" fontId="22" fillId="0" borderId="0" xfId="2" applyNumberFormat="1" applyFont="1">
      <alignment vertical="center"/>
    </xf>
    <xf numFmtId="188" fontId="46" fillId="0" borderId="0" xfId="2" applyNumberFormat="1" applyFont="1">
      <alignment vertical="center"/>
    </xf>
    <xf numFmtId="188" fontId="54" fillId="25" borderId="0" xfId="2" applyNumberFormat="1" applyFont="1" applyFill="1">
      <alignment vertical="center"/>
    </xf>
    <xf numFmtId="188" fontId="48" fillId="0" borderId="0" xfId="2" applyNumberFormat="1" applyFont="1">
      <alignment vertical="center"/>
    </xf>
    <xf numFmtId="0" fontId="2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41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188" fontId="25" fillId="0" borderId="0" xfId="2" applyNumberFormat="1" applyFont="1">
      <alignment vertical="center"/>
    </xf>
    <xf numFmtId="182" fontId="25" fillId="0" borderId="0" xfId="0" applyNumberFormat="1" applyFont="1">
      <alignment vertical="center"/>
    </xf>
    <xf numFmtId="0" fontId="26" fillId="0" borderId="0" xfId="4" applyFont="1">
      <alignment vertical="center"/>
    </xf>
    <xf numFmtId="0" fontId="50" fillId="0" borderId="0" xfId="0" applyFont="1" applyAlignment="1">
      <alignment horizontal="center" vertical="center"/>
    </xf>
    <xf numFmtId="0" fontId="50" fillId="0" borderId="0" xfId="0" applyFont="1">
      <alignment vertical="center"/>
    </xf>
    <xf numFmtId="179" fontId="50" fillId="0" borderId="0" xfId="0" applyNumberFormat="1" applyFont="1">
      <alignment vertical="center"/>
    </xf>
    <xf numFmtId="10" fontId="50" fillId="0" borderId="0" xfId="0" applyNumberFormat="1" applyFont="1">
      <alignment vertical="center"/>
    </xf>
    <xf numFmtId="182" fontId="50" fillId="0" borderId="0" xfId="0" applyNumberFormat="1" applyFont="1">
      <alignment vertical="center"/>
    </xf>
    <xf numFmtId="0" fontId="39" fillId="0" borderId="0" xfId="0" applyFont="1">
      <alignment vertical="center"/>
    </xf>
    <xf numFmtId="0" fontId="39" fillId="0" borderId="0" xfId="0" applyFont="1">
      <alignment vertical="center"/>
    </xf>
    <xf numFmtId="0" fontId="39" fillId="0" borderId="0" xfId="0" applyFont="1">
      <alignment vertical="center"/>
    </xf>
    <xf numFmtId="0" fontId="50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41" fillId="0" borderId="0" xfId="0" applyFont="1">
      <alignment vertical="center"/>
    </xf>
    <xf numFmtId="182" fontId="41" fillId="0" borderId="0" xfId="0" applyNumberFormat="1" applyFont="1">
      <alignment vertical="center"/>
    </xf>
    <xf numFmtId="0" fontId="48" fillId="0" borderId="0" xfId="0" applyFont="1">
      <alignment vertical="center"/>
    </xf>
    <xf numFmtId="182" fontId="48" fillId="0" borderId="0" xfId="0" applyNumberFormat="1" applyFont="1">
      <alignment vertical="center"/>
    </xf>
    <xf numFmtId="0" fontId="50" fillId="0" borderId="0" xfId="0" applyFont="1">
      <alignment vertical="center"/>
    </xf>
    <xf numFmtId="10" fontId="50" fillId="0" borderId="0" xfId="0" applyNumberFormat="1" applyFont="1">
      <alignment vertical="center"/>
    </xf>
    <xf numFmtId="182" fontId="50" fillId="0" borderId="0" xfId="0" applyNumberFormat="1" applyFont="1">
      <alignment vertical="center"/>
    </xf>
    <xf numFmtId="10" fontId="27" fillId="0" borderId="0" xfId="0" applyNumberFormat="1" applyFont="1">
      <alignment vertical="center"/>
    </xf>
    <xf numFmtId="182" fontId="27" fillId="0" borderId="0" xfId="0" applyNumberFormat="1" applyFont="1">
      <alignment vertical="center"/>
    </xf>
    <xf numFmtId="0" fontId="39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54" fillId="5" borderId="0" xfId="0" applyFont="1" applyFill="1" applyAlignment="1">
      <alignment horizontal="center" vertical="center"/>
    </xf>
    <xf numFmtId="0" fontId="28" fillId="5" borderId="0" xfId="0" applyFont="1" applyFill="1">
      <alignment vertical="center"/>
    </xf>
    <xf numFmtId="10" fontId="55" fillId="5" borderId="0" xfId="0" applyNumberFormat="1" applyFont="1" applyFill="1">
      <alignment vertical="center"/>
    </xf>
    <xf numFmtId="10" fontId="56" fillId="5" borderId="0" xfId="0" applyNumberFormat="1" applyFont="1" applyFill="1">
      <alignment vertical="center"/>
    </xf>
    <xf numFmtId="10" fontId="28" fillId="5" borderId="0" xfId="0" applyNumberFormat="1" applyFont="1" applyFill="1">
      <alignment vertical="center"/>
    </xf>
    <xf numFmtId="182" fontId="54" fillId="5" borderId="0" xfId="0" applyNumberFormat="1" applyFont="1" applyFill="1">
      <alignment vertical="center"/>
    </xf>
    <xf numFmtId="0" fontId="54" fillId="5" borderId="0" xfId="0" applyFont="1" applyFill="1">
      <alignment vertical="center"/>
    </xf>
    <xf numFmtId="182" fontId="28" fillId="5" borderId="0" xfId="0" applyNumberFormat="1" applyFont="1" applyFill="1">
      <alignment vertical="center"/>
    </xf>
    <xf numFmtId="0" fontId="28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10" fontId="55" fillId="0" borderId="0" xfId="0" applyNumberFormat="1" applyFont="1">
      <alignment vertical="center"/>
    </xf>
    <xf numFmtId="10" fontId="57" fillId="0" borderId="0" xfId="0" applyNumberFormat="1" applyFont="1">
      <alignment vertical="center"/>
    </xf>
    <xf numFmtId="10" fontId="28" fillId="0" borderId="0" xfId="0" applyNumberFormat="1" applyFont="1">
      <alignment vertical="center"/>
    </xf>
    <xf numFmtId="182" fontId="54" fillId="0" borderId="0" xfId="0" applyNumberFormat="1" applyFont="1">
      <alignment vertical="center"/>
    </xf>
    <xf numFmtId="182" fontId="28" fillId="0" borderId="0" xfId="0" applyNumberFormat="1" applyFont="1">
      <alignment vertical="center"/>
    </xf>
    <xf numFmtId="10" fontId="56" fillId="0" borderId="0" xfId="0" applyNumberFormat="1" applyFont="1">
      <alignment vertical="center"/>
    </xf>
    <xf numFmtId="0" fontId="54" fillId="0" borderId="0" xfId="0" applyFont="1" applyAlignment="1">
      <alignment horizontal="center" vertical="center"/>
    </xf>
    <xf numFmtId="0" fontId="54" fillId="0" borderId="0" xfId="0" applyFont="1">
      <alignment vertical="center"/>
    </xf>
    <xf numFmtId="179" fontId="27" fillId="0" borderId="0" xfId="0" applyNumberFormat="1" applyFont="1">
      <alignment vertical="center"/>
    </xf>
    <xf numFmtId="10" fontId="47" fillId="0" borderId="0" xfId="0" applyNumberFormat="1" applyFont="1">
      <alignment vertical="center"/>
    </xf>
    <xf numFmtId="182" fontId="39" fillId="0" borderId="0" xfId="0" applyNumberFormat="1" applyFont="1">
      <alignment vertical="center"/>
    </xf>
    <xf numFmtId="0" fontId="4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9" fillId="0" borderId="0" xfId="0" applyFont="1">
      <alignment vertical="center"/>
    </xf>
    <xf numFmtId="0" fontId="39" fillId="0" borderId="0" xfId="0" applyFont="1">
      <alignment vertical="center"/>
    </xf>
    <xf numFmtId="0" fontId="37" fillId="14" borderId="0" xfId="0" applyFont="1" applyFill="1" applyAlignment="1">
      <alignment horizontal="center" vertical="center"/>
    </xf>
    <xf numFmtId="0" fontId="37" fillId="16" borderId="0" xfId="0" applyFont="1" applyFill="1" applyAlignment="1">
      <alignment horizontal="center" vertical="center"/>
    </xf>
    <xf numFmtId="0" fontId="38" fillId="16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7" fillId="16" borderId="0" xfId="0" applyFont="1" applyFill="1">
      <alignment vertical="center"/>
    </xf>
    <xf numFmtId="0" fontId="38" fillId="16" borderId="0" xfId="0" applyFont="1" applyFill="1">
      <alignment vertical="center"/>
    </xf>
    <xf numFmtId="0" fontId="4" fillId="16" borderId="0" xfId="0" applyFont="1" applyFill="1" applyAlignment="1">
      <alignment horizontal="center" vertical="center"/>
    </xf>
    <xf numFmtId="183" fontId="37" fillId="3" borderId="0" xfId="0" applyNumberFormat="1" applyFont="1" applyFill="1" applyAlignment="1">
      <alignment horizontal="center" vertical="center"/>
    </xf>
    <xf numFmtId="185" fontId="38" fillId="6" borderId="0" xfId="0" applyNumberFormat="1" applyFont="1" applyFill="1">
      <alignment vertical="center"/>
    </xf>
    <xf numFmtId="185" fontId="38" fillId="26" borderId="0" xfId="0" applyNumberFormat="1" applyFont="1" applyFill="1">
      <alignment vertical="center"/>
    </xf>
    <xf numFmtId="185" fontId="38" fillId="27" borderId="0" xfId="0" applyNumberFormat="1" applyFont="1" applyFill="1">
      <alignment vertical="center"/>
    </xf>
    <xf numFmtId="185" fontId="38" fillId="3" borderId="0" xfId="0" applyNumberFormat="1" applyFont="1" applyFill="1">
      <alignment vertical="center"/>
    </xf>
    <xf numFmtId="49" fontId="4" fillId="10" borderId="0" xfId="0" applyNumberFormat="1" applyFont="1" applyFill="1" applyAlignment="1">
      <alignment horizontal="center" vertical="center"/>
    </xf>
    <xf numFmtId="10" fontId="31" fillId="4" borderId="0" xfId="0" applyNumberFormat="1" applyFont="1" applyFill="1" applyAlignment="1">
      <alignment horizontal="center" vertical="center"/>
    </xf>
    <xf numFmtId="0" fontId="38" fillId="28" borderId="0" xfId="0" applyFont="1" applyFill="1">
      <alignment vertical="center"/>
    </xf>
    <xf numFmtId="0" fontId="38" fillId="29" borderId="0" xfId="0" applyFont="1" applyFill="1">
      <alignment vertical="center"/>
    </xf>
    <xf numFmtId="0" fontId="38" fillId="29" borderId="0" xfId="0" applyFont="1" applyFill="1" applyAlignment="1">
      <alignment horizontal="center" vertical="center"/>
    </xf>
    <xf numFmtId="0" fontId="38" fillId="29" borderId="0" xfId="0" applyFont="1" applyFill="1" applyAlignment="1">
      <alignment horizontal="right" vertical="center"/>
    </xf>
    <xf numFmtId="181" fontId="38" fillId="28" borderId="0" xfId="0" applyNumberFormat="1" applyFont="1" applyFill="1">
      <alignment vertical="center"/>
    </xf>
    <xf numFmtId="0" fontId="58" fillId="30" borderId="21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13" borderId="22" xfId="0" applyFont="1" applyFill="1" applyBorder="1">
      <alignment vertical="center"/>
    </xf>
    <xf numFmtId="0" fontId="38" fillId="13" borderId="23" xfId="0" applyFont="1" applyFill="1" applyBorder="1" applyAlignment="1">
      <alignment horizontal="center" vertical="center"/>
    </xf>
    <xf numFmtId="0" fontId="38" fillId="13" borderId="24" xfId="0" applyFont="1" applyFill="1" applyBorder="1" applyAlignment="1">
      <alignment horizontal="center" vertical="center"/>
    </xf>
    <xf numFmtId="0" fontId="38" fillId="4" borderId="25" xfId="0" applyFont="1" applyFill="1" applyBorder="1" applyAlignment="1">
      <alignment horizontal="center" vertical="center"/>
    </xf>
    <xf numFmtId="0" fontId="38" fillId="4" borderId="22" xfId="0" applyFont="1" applyFill="1" applyBorder="1" applyAlignment="1">
      <alignment horizontal="center" vertical="center"/>
    </xf>
    <xf numFmtId="9" fontId="38" fillId="0" borderId="0" xfId="3" applyFont="1" applyBorder="1" applyAlignment="1">
      <alignment horizontal="center" vertical="center"/>
    </xf>
    <xf numFmtId="9" fontId="38" fillId="4" borderId="22" xfId="3" applyFont="1" applyFill="1" applyBorder="1" applyAlignment="1">
      <alignment horizontal="center" vertical="center"/>
    </xf>
    <xf numFmtId="9" fontId="38" fillId="0" borderId="26" xfId="3" applyFont="1" applyBorder="1" applyAlignment="1">
      <alignment horizontal="center" vertical="center"/>
    </xf>
    <xf numFmtId="9" fontId="38" fillId="4" borderId="27" xfId="3" applyFont="1" applyFill="1" applyBorder="1" applyAlignment="1">
      <alignment horizontal="center" vertical="center"/>
    </xf>
    <xf numFmtId="0" fontId="38" fillId="0" borderId="0" xfId="0" applyFont="1" applyBorder="1">
      <alignment vertical="center"/>
    </xf>
    <xf numFmtId="0" fontId="38" fillId="0" borderId="26" xfId="0" applyFont="1" applyBorder="1">
      <alignment vertical="center"/>
    </xf>
    <xf numFmtId="181" fontId="38" fillId="0" borderId="0" xfId="0" applyNumberFormat="1" applyFont="1" applyBorder="1" applyAlignment="1">
      <alignment horizontal="center" vertical="center"/>
    </xf>
    <xf numFmtId="9" fontId="38" fillId="0" borderId="0" xfId="0" applyNumberFormat="1" applyFont="1" applyBorder="1" applyAlignment="1">
      <alignment horizontal="center" vertical="center"/>
    </xf>
    <xf numFmtId="0" fontId="38" fillId="4" borderId="26" xfId="0" applyFont="1" applyFill="1" applyBorder="1" applyAlignment="1">
      <alignment horizontal="center" vertical="center"/>
    </xf>
    <xf numFmtId="181" fontId="38" fillId="0" borderId="0" xfId="0" applyNumberFormat="1" applyFont="1" applyBorder="1">
      <alignment vertical="center"/>
    </xf>
    <xf numFmtId="0" fontId="38" fillId="4" borderId="26" xfId="0" applyFont="1" applyFill="1" applyBorder="1">
      <alignment vertical="center"/>
    </xf>
    <xf numFmtId="181" fontId="38" fillId="4" borderId="25" xfId="0" applyNumberFormat="1" applyFont="1" applyFill="1" applyBorder="1" applyAlignment="1">
      <alignment horizontal="center" vertical="center"/>
    </xf>
    <xf numFmtId="0" fontId="38" fillId="14" borderId="28" xfId="0" applyFont="1" applyFill="1" applyBorder="1" applyAlignment="1">
      <alignment horizontal="center" vertical="center"/>
    </xf>
    <xf numFmtId="0" fontId="38" fillId="14" borderId="29" xfId="0" applyFont="1" applyFill="1" applyBorder="1" applyAlignment="1">
      <alignment horizontal="center" vertical="center"/>
    </xf>
    <xf numFmtId="0" fontId="38" fillId="13" borderId="30" xfId="0" applyFont="1" applyFill="1" applyBorder="1" applyAlignment="1">
      <alignment horizontal="center" vertical="center"/>
    </xf>
    <xf numFmtId="0" fontId="58" fillId="31" borderId="29" xfId="0" applyFont="1" applyFill="1" applyBorder="1" applyAlignment="1">
      <alignment horizontal="center" vertical="center"/>
    </xf>
    <xf numFmtId="181" fontId="58" fillId="31" borderId="29" xfId="0" applyNumberFormat="1" applyFont="1" applyFill="1" applyBorder="1" applyAlignment="1">
      <alignment horizontal="center" vertical="center"/>
    </xf>
    <xf numFmtId="0" fontId="58" fillId="31" borderId="29" xfId="0" applyFont="1" applyFill="1" applyBorder="1">
      <alignment vertical="center"/>
    </xf>
    <xf numFmtId="181" fontId="58" fillId="30" borderId="21" xfId="0" applyNumberFormat="1" applyFont="1" applyFill="1" applyBorder="1" applyAlignment="1">
      <alignment horizontal="center" vertical="center"/>
    </xf>
    <xf numFmtId="0" fontId="58" fillId="30" borderId="21" xfId="0" applyFont="1" applyFill="1" applyBorder="1">
      <alignment vertical="center"/>
    </xf>
    <xf numFmtId="10" fontId="38" fillId="5" borderId="21" xfId="0" applyNumberFormat="1" applyFont="1" applyFill="1" applyBorder="1">
      <alignment vertical="center"/>
    </xf>
    <xf numFmtId="178" fontId="38" fillId="5" borderId="21" xfId="0" applyNumberFormat="1" applyFont="1" applyFill="1" applyBorder="1">
      <alignment vertical="center"/>
    </xf>
    <xf numFmtId="9" fontId="38" fillId="5" borderId="21" xfId="3" applyFont="1" applyFill="1" applyBorder="1">
      <alignment vertical="center"/>
    </xf>
    <xf numFmtId="180" fontId="38" fillId="5" borderId="21" xfId="0" applyNumberFormat="1" applyFont="1" applyFill="1" applyBorder="1">
      <alignment vertical="center"/>
    </xf>
    <xf numFmtId="179" fontId="38" fillId="5" borderId="21" xfId="0" applyNumberFormat="1" applyFont="1" applyFill="1" applyBorder="1">
      <alignment vertical="center"/>
    </xf>
    <xf numFmtId="0" fontId="38" fillId="5" borderId="21" xfId="0" applyFont="1" applyFill="1" applyBorder="1" applyAlignment="1">
      <alignment horizontal="center" vertical="center"/>
    </xf>
    <xf numFmtId="10" fontId="38" fillId="5" borderId="21" xfId="3" applyNumberFormat="1" applyFont="1" applyFill="1" applyBorder="1">
      <alignment vertical="center"/>
    </xf>
    <xf numFmtId="0" fontId="38" fillId="5" borderId="21" xfId="0" applyFont="1" applyFill="1" applyBorder="1">
      <alignment vertical="center"/>
    </xf>
    <xf numFmtId="0" fontId="38" fillId="14" borderId="31" xfId="0" applyFont="1" applyFill="1" applyBorder="1" applyAlignment="1">
      <alignment horizontal="center" vertical="center"/>
    </xf>
    <xf numFmtId="0" fontId="38" fillId="28" borderId="32" xfId="0" applyFont="1" applyFill="1" applyBorder="1" applyAlignment="1">
      <alignment horizontal="center" vertical="center"/>
    </xf>
    <xf numFmtId="0" fontId="38" fillId="28" borderId="33" xfId="0" applyFont="1" applyFill="1" applyBorder="1" applyAlignment="1">
      <alignment horizontal="center" vertical="center"/>
    </xf>
    <xf numFmtId="0" fontId="38" fillId="32" borderId="34" xfId="0" applyFont="1" applyFill="1" applyBorder="1" applyAlignment="1">
      <alignment horizontal="center" vertical="center"/>
    </xf>
    <xf numFmtId="0" fontId="38" fillId="32" borderId="34" xfId="0" applyFont="1" applyFill="1" applyBorder="1" applyAlignment="1">
      <alignment horizontal="center" vertical="center"/>
    </xf>
    <xf numFmtId="0" fontId="37" fillId="11" borderId="16" xfId="0" applyFont="1" applyFill="1" applyBorder="1" applyAlignment="1">
      <alignment vertical="center"/>
    </xf>
    <xf numFmtId="179" fontId="38" fillId="0" borderId="0" xfId="0" applyNumberFormat="1" applyFont="1" applyBorder="1" applyAlignment="1">
      <alignment horizontal="center" vertical="center"/>
    </xf>
    <xf numFmtId="178" fontId="38" fillId="0" borderId="0" xfId="0" applyNumberFormat="1" applyFont="1" applyBorder="1" applyAlignment="1">
      <alignment horizontal="center" vertical="center"/>
    </xf>
    <xf numFmtId="10" fontId="38" fillId="0" borderId="0" xfId="0" applyNumberFormat="1" applyFont="1" applyBorder="1" applyAlignment="1">
      <alignment horizontal="center" vertical="center"/>
    </xf>
    <xf numFmtId="180" fontId="38" fillId="6" borderId="0" xfId="0" applyNumberFormat="1" applyFont="1" applyFill="1" applyBorder="1" applyAlignment="1">
      <alignment horizontal="center" vertical="center"/>
    </xf>
    <xf numFmtId="0" fontId="38" fillId="33" borderId="0" xfId="0" applyFont="1" applyFill="1" applyBorder="1" applyAlignment="1">
      <alignment horizontal="center" vertical="center"/>
    </xf>
    <xf numFmtId="179" fontId="37" fillId="11" borderId="35" xfId="0" applyNumberFormat="1" applyFont="1" applyFill="1" applyBorder="1" applyAlignment="1">
      <alignment horizontal="center" vertical="center"/>
    </xf>
    <xf numFmtId="0" fontId="37" fillId="11" borderId="35" xfId="0" applyFont="1" applyFill="1" applyBorder="1" applyAlignment="1">
      <alignment horizontal="center" vertical="center"/>
    </xf>
    <xf numFmtId="178" fontId="37" fillId="11" borderId="35" xfId="0" applyNumberFormat="1" applyFont="1" applyFill="1" applyBorder="1" applyAlignment="1">
      <alignment horizontal="center" vertical="center"/>
    </xf>
    <xf numFmtId="178" fontId="37" fillId="11" borderId="35" xfId="0" applyNumberFormat="1" applyFont="1" applyFill="1" applyBorder="1" applyAlignment="1">
      <alignment horizontal="center" vertical="center"/>
    </xf>
    <xf numFmtId="10" fontId="37" fillId="11" borderId="35" xfId="0" applyNumberFormat="1" applyFont="1" applyFill="1" applyBorder="1" applyAlignment="1">
      <alignment horizontal="center" vertical="center"/>
    </xf>
    <xf numFmtId="9" fontId="37" fillId="11" borderId="35" xfId="0" applyNumberFormat="1" applyFont="1" applyFill="1" applyBorder="1" applyAlignment="1">
      <alignment horizontal="center" vertical="center"/>
    </xf>
    <xf numFmtId="183" fontId="37" fillId="11" borderId="35" xfId="0" applyNumberFormat="1" applyFont="1" applyFill="1" applyBorder="1" applyAlignment="1">
      <alignment horizontal="center" vertical="center"/>
    </xf>
    <xf numFmtId="10" fontId="38" fillId="11" borderId="36" xfId="0" applyNumberFormat="1" applyFont="1" applyFill="1" applyBorder="1" applyAlignment="1">
      <alignment horizontal="center" vertical="center"/>
    </xf>
    <xf numFmtId="0" fontId="38" fillId="11" borderId="37" xfId="0" applyFont="1" applyFill="1" applyBorder="1" applyAlignment="1">
      <alignment horizontal="center" vertical="center"/>
    </xf>
    <xf numFmtId="0" fontId="38" fillId="4" borderId="37" xfId="0" applyFont="1" applyFill="1" applyBorder="1" applyAlignment="1">
      <alignment horizontal="center" vertical="center"/>
    </xf>
    <xf numFmtId="0" fontId="4" fillId="10" borderId="37" xfId="0" applyFont="1" applyFill="1" applyBorder="1" applyAlignment="1">
      <alignment horizontal="center" vertical="center"/>
    </xf>
    <xf numFmtId="0" fontId="38" fillId="12" borderId="37" xfId="0" applyFont="1" applyFill="1" applyBorder="1">
      <alignment vertical="center"/>
    </xf>
    <xf numFmtId="0" fontId="37" fillId="8" borderId="37" xfId="0" applyFont="1" applyFill="1" applyBorder="1" applyAlignment="1">
      <alignment vertical="center"/>
    </xf>
    <xf numFmtId="0" fontId="37" fillId="8" borderId="38" xfId="0" applyFont="1" applyFill="1" applyBorder="1" applyAlignment="1">
      <alignment vertical="center"/>
    </xf>
    <xf numFmtId="0" fontId="37" fillId="11" borderId="39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38" fillId="11" borderId="2" xfId="0" applyFont="1" applyFill="1" applyBorder="1">
      <alignment vertical="center"/>
    </xf>
    <xf numFmtId="181" fontId="38" fillId="11" borderId="2" xfId="0" applyNumberFormat="1" applyFont="1" applyFill="1" applyBorder="1" applyAlignment="1">
      <alignment horizontal="center" vertical="center"/>
    </xf>
    <xf numFmtId="0" fontId="38" fillId="13" borderId="0" xfId="0" applyFont="1" applyFill="1" applyBorder="1">
      <alignment vertical="center"/>
    </xf>
    <xf numFmtId="0" fontId="38" fillId="4" borderId="40" xfId="0" applyFont="1" applyFill="1" applyBorder="1" applyAlignment="1">
      <alignment horizontal="center" vertical="center"/>
    </xf>
    <xf numFmtId="0" fontId="38" fillId="4" borderId="41" xfId="0" applyFont="1" applyFill="1" applyBorder="1" applyAlignment="1">
      <alignment horizontal="center" vertical="center"/>
    </xf>
    <xf numFmtId="0" fontId="38" fillId="4" borderId="42" xfId="0" applyFont="1" applyFill="1" applyBorder="1" applyAlignment="1">
      <alignment horizontal="center" vertical="center"/>
    </xf>
    <xf numFmtId="0" fontId="38" fillId="4" borderId="43" xfId="0" applyFont="1" applyFill="1" applyBorder="1" applyAlignment="1">
      <alignment horizontal="center" vertical="center"/>
    </xf>
    <xf numFmtId="9" fontId="38" fillId="4" borderId="44" xfId="3" applyFont="1" applyFill="1" applyBorder="1" applyAlignment="1">
      <alignment horizontal="center" vertical="center"/>
    </xf>
    <xf numFmtId="9" fontId="38" fillId="4" borderId="45" xfId="3" applyFont="1" applyFill="1" applyBorder="1" applyAlignment="1">
      <alignment horizontal="center" vertical="center"/>
    </xf>
    <xf numFmtId="0" fontId="38" fillId="4" borderId="46" xfId="0" applyFont="1" applyFill="1" applyBorder="1" applyAlignment="1">
      <alignment horizontal="center" vertical="center"/>
    </xf>
    <xf numFmtId="0" fontId="38" fillId="4" borderId="47" xfId="0" applyFont="1" applyFill="1" applyBorder="1" applyAlignment="1">
      <alignment horizontal="center" vertical="center"/>
    </xf>
    <xf numFmtId="9" fontId="38" fillId="4" borderId="47" xfId="3" applyFont="1" applyFill="1" applyBorder="1" applyAlignment="1">
      <alignment horizontal="center" vertical="center"/>
    </xf>
    <xf numFmtId="181" fontId="38" fillId="4" borderId="42" xfId="0" applyNumberFormat="1" applyFont="1" applyFill="1" applyBorder="1" applyAlignment="1">
      <alignment horizontal="center" vertical="center"/>
    </xf>
    <xf numFmtId="181" fontId="38" fillId="4" borderId="40" xfId="0" applyNumberFormat="1" applyFont="1" applyFill="1" applyBorder="1" applyAlignment="1">
      <alignment horizontal="center" vertical="center"/>
    </xf>
    <xf numFmtId="0" fontId="38" fillId="4" borderId="48" xfId="0" applyFont="1" applyFill="1" applyBorder="1" applyAlignment="1">
      <alignment horizontal="center" vertical="center"/>
    </xf>
    <xf numFmtId="9" fontId="38" fillId="4" borderId="49" xfId="3" applyFont="1" applyFill="1" applyBorder="1" applyAlignment="1">
      <alignment horizontal="center" vertical="center"/>
    </xf>
    <xf numFmtId="9" fontId="38" fillId="4" borderId="45" xfId="0" applyNumberFormat="1" applyFont="1" applyFill="1" applyBorder="1" applyAlignment="1">
      <alignment horizontal="center" vertical="center"/>
    </xf>
    <xf numFmtId="9" fontId="38" fillId="4" borderId="47" xfId="0" applyNumberFormat="1" applyFont="1" applyFill="1" applyBorder="1" applyAlignment="1">
      <alignment horizontal="center" vertical="center"/>
    </xf>
    <xf numFmtId="0" fontId="38" fillId="4" borderId="50" xfId="0" applyFont="1" applyFill="1" applyBorder="1" applyAlignment="1">
      <alignment horizontal="center" vertical="center"/>
    </xf>
    <xf numFmtId="9" fontId="38" fillId="4" borderId="51" xfId="3" applyFont="1" applyFill="1" applyBorder="1" applyAlignment="1">
      <alignment horizontal="center" vertical="center"/>
    </xf>
    <xf numFmtId="0" fontId="38" fillId="4" borderId="25" xfId="0" applyFont="1" applyFill="1" applyBorder="1" applyAlignment="1">
      <alignment horizontal="center" vertical="center"/>
    </xf>
    <xf numFmtId="0" fontId="38" fillId="4" borderId="52" xfId="0" applyFont="1" applyFill="1" applyBorder="1" applyAlignment="1">
      <alignment horizontal="center" vertical="center"/>
    </xf>
    <xf numFmtId="0" fontId="38" fillId="28" borderId="32" xfId="0" applyFont="1" applyFill="1" applyBorder="1" applyAlignment="1">
      <alignment horizontal="center" vertical="center"/>
    </xf>
    <xf numFmtId="9" fontId="38" fillId="28" borderId="32" xfId="0" applyNumberFormat="1" applyFont="1" applyFill="1" applyBorder="1" applyAlignment="1">
      <alignment horizontal="center" vertical="center"/>
    </xf>
    <xf numFmtId="0" fontId="38" fillId="34" borderId="0" xfId="0" applyFont="1" applyFill="1">
      <alignment vertical="center"/>
    </xf>
    <xf numFmtId="181" fontId="38" fillId="35" borderId="0" xfId="0" applyNumberFormat="1" applyFont="1" applyFill="1">
      <alignment vertical="center"/>
    </xf>
    <xf numFmtId="0" fontId="38" fillId="35" borderId="0" xfId="0" applyFont="1" applyFill="1" applyBorder="1" applyAlignment="1">
      <alignment horizontal="center" vertical="center"/>
    </xf>
    <xf numFmtId="0" fontId="39" fillId="11" borderId="0" xfId="0" applyFont="1" applyFill="1">
      <alignment vertical="center"/>
    </xf>
    <xf numFmtId="10" fontId="39" fillId="0" borderId="53" xfId="3" applyNumberFormat="1" applyFont="1" applyBorder="1">
      <alignment vertical="center"/>
    </xf>
    <xf numFmtId="0" fontId="39" fillId="0" borderId="53" xfId="0" applyFont="1" applyBorder="1">
      <alignment vertical="center"/>
    </xf>
    <xf numFmtId="0" fontId="38" fillId="9" borderId="54" xfId="0" applyFont="1" applyFill="1" applyBorder="1" applyAlignment="1">
      <alignment horizontal="center" vertical="center"/>
    </xf>
    <xf numFmtId="0" fontId="38" fillId="9" borderId="55" xfId="0" applyFont="1" applyFill="1" applyBorder="1" applyAlignment="1">
      <alignment horizontal="center" vertical="center"/>
    </xf>
    <xf numFmtId="179" fontId="38" fillId="9" borderId="55" xfId="0" applyNumberFormat="1" applyFont="1" applyFill="1" applyBorder="1" applyAlignment="1">
      <alignment horizontal="center" vertical="center"/>
    </xf>
    <xf numFmtId="10" fontId="38" fillId="9" borderId="55" xfId="0" applyNumberFormat="1" applyFont="1" applyFill="1" applyBorder="1" applyAlignment="1">
      <alignment horizontal="center" vertical="center"/>
    </xf>
    <xf numFmtId="10" fontId="38" fillId="9" borderId="56" xfId="0" applyNumberFormat="1" applyFont="1" applyFill="1" applyBorder="1" applyAlignment="1">
      <alignment horizontal="center" vertical="center"/>
    </xf>
    <xf numFmtId="0" fontId="39" fillId="0" borderId="57" xfId="0" applyFont="1" applyBorder="1">
      <alignment vertical="center"/>
    </xf>
    <xf numFmtId="0" fontId="39" fillId="0" borderId="58" xfId="0" applyFont="1" applyBorder="1">
      <alignment vertical="center"/>
    </xf>
    <xf numFmtId="10" fontId="39" fillId="0" borderId="59" xfId="0" applyNumberFormat="1" applyFont="1" applyBorder="1">
      <alignment vertical="center"/>
    </xf>
    <xf numFmtId="10" fontId="38" fillId="9" borderId="0" xfId="0" applyNumberFormat="1" applyFont="1" applyFill="1" applyBorder="1" applyAlignment="1">
      <alignment horizontal="center" vertical="center"/>
    </xf>
    <xf numFmtId="10" fontId="38" fillId="9" borderId="60" xfId="0" applyNumberFormat="1" applyFont="1" applyFill="1" applyBorder="1" applyAlignment="1">
      <alignment horizontal="center" vertical="center"/>
    </xf>
    <xf numFmtId="10" fontId="38" fillId="9" borderId="61" xfId="0" applyNumberFormat="1" applyFont="1" applyFill="1" applyBorder="1" applyAlignment="1">
      <alignment horizontal="center" vertical="center"/>
    </xf>
    <xf numFmtId="0" fontId="39" fillId="6" borderId="62" xfId="0" applyFont="1" applyFill="1" applyBorder="1" applyAlignment="1">
      <alignment horizontal="center" vertical="center"/>
    </xf>
    <xf numFmtId="0" fontId="39" fillId="6" borderId="63" xfId="0" applyFont="1" applyFill="1" applyBorder="1" applyAlignment="1">
      <alignment horizontal="center" vertical="center"/>
    </xf>
    <xf numFmtId="181" fontId="39" fillId="0" borderId="0" xfId="3" applyNumberFormat="1" applyFont="1" applyBorder="1">
      <alignment vertical="center"/>
    </xf>
    <xf numFmtId="0" fontId="39" fillId="0" borderId="61" xfId="0" applyFont="1" applyBorder="1">
      <alignment vertical="center"/>
    </xf>
    <xf numFmtId="0" fontId="39" fillId="0" borderId="0" xfId="0" applyFont="1" applyBorder="1" applyAlignment="1">
      <alignment horizontal="center" vertical="center"/>
    </xf>
    <xf numFmtId="10" fontId="39" fillId="0" borderId="0" xfId="3" applyNumberFormat="1" applyFont="1" applyBorder="1">
      <alignment vertical="center"/>
    </xf>
    <xf numFmtId="0" fontId="53" fillId="31" borderId="0" xfId="0" applyFont="1" applyFill="1">
      <alignment vertical="center"/>
    </xf>
    <xf numFmtId="10" fontId="39" fillId="0" borderId="64" xfId="0" applyNumberFormat="1" applyFont="1" applyBorder="1">
      <alignment vertical="center"/>
    </xf>
    <xf numFmtId="10" fontId="39" fillId="0" borderId="65" xfId="0" applyNumberFormat="1" applyFont="1" applyBorder="1">
      <alignment vertical="center"/>
    </xf>
    <xf numFmtId="0" fontId="39" fillId="0" borderId="63" xfId="0" applyFont="1" applyBorder="1">
      <alignment vertical="center"/>
    </xf>
    <xf numFmtId="0" fontId="39" fillId="11" borderId="10" xfId="0" applyFont="1" applyFill="1" applyBorder="1" applyAlignment="1">
      <alignment horizontal="center" vertical="center"/>
    </xf>
    <xf numFmtId="0" fontId="39" fillId="11" borderId="11" xfId="0" applyFont="1" applyFill="1" applyBorder="1" applyAlignment="1">
      <alignment horizontal="center" vertical="center"/>
    </xf>
    <xf numFmtId="0" fontId="39" fillId="11" borderId="11" xfId="0" applyFont="1" applyFill="1" applyBorder="1">
      <alignment vertical="center"/>
    </xf>
    <xf numFmtId="0" fontId="39" fillId="11" borderId="12" xfId="0" applyFont="1" applyFill="1" applyBorder="1">
      <alignment vertical="center"/>
    </xf>
    <xf numFmtId="0" fontId="39" fillId="36" borderId="0" xfId="0" applyFont="1" applyFill="1" applyBorder="1" applyAlignment="1">
      <alignment horizontal="center" vertical="center"/>
    </xf>
    <xf numFmtId="0" fontId="39" fillId="0" borderId="0" xfId="0" applyFont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horizontal="center" vertical="center"/>
    </xf>
    <xf numFmtId="0" fontId="39" fillId="0" borderId="17" xfId="0" applyFont="1" applyBorder="1">
      <alignment vertical="center"/>
    </xf>
    <xf numFmtId="0" fontId="39" fillId="37" borderId="0" xfId="0" applyFont="1" applyFill="1" applyBorder="1" applyAlignment="1">
      <alignment horizontal="center" vertical="center"/>
    </xf>
    <xf numFmtId="0" fontId="39" fillId="38" borderId="0" xfId="0" applyFont="1" applyFill="1" applyBorder="1" applyAlignment="1">
      <alignment horizontal="center" vertical="center"/>
    </xf>
    <xf numFmtId="182" fontId="39" fillId="0" borderId="0" xfId="0" applyNumberFormat="1" applyFont="1" applyBorder="1">
      <alignment vertical="center"/>
    </xf>
    <xf numFmtId="0" fontId="39" fillId="38" borderId="0" xfId="0" applyFont="1" applyFill="1" applyBorder="1" applyAlignment="1">
      <alignment horizontal="center" vertical="center"/>
    </xf>
    <xf numFmtId="0" fontId="39" fillId="0" borderId="0" xfId="0" applyFont="1" applyBorder="1" applyProtection="1">
      <alignment vertical="center"/>
    </xf>
    <xf numFmtId="0" fontId="39" fillId="16" borderId="0" xfId="0" applyFont="1" applyFill="1" applyBorder="1" applyAlignment="1">
      <alignment horizontal="center" vertical="center"/>
    </xf>
    <xf numFmtId="0" fontId="39" fillId="14" borderId="0" xfId="0" applyFont="1" applyFill="1" applyBorder="1" applyAlignment="1">
      <alignment horizontal="center" vertical="center"/>
    </xf>
    <xf numFmtId="0" fontId="39" fillId="16" borderId="0" xfId="0" applyFont="1" applyFill="1" applyBorder="1">
      <alignment vertical="center"/>
    </xf>
    <xf numFmtId="0" fontId="39" fillId="4" borderId="18" xfId="0" applyFont="1" applyFill="1" applyBorder="1" applyAlignment="1">
      <alignment horizontal="center" vertical="center"/>
    </xf>
    <xf numFmtId="0" fontId="53" fillId="31" borderId="19" xfId="0" applyFont="1" applyFill="1" applyBorder="1" applyAlignment="1">
      <alignment horizontal="center" vertical="center"/>
    </xf>
    <xf numFmtId="0" fontId="53" fillId="31" borderId="9" xfId="0" applyFont="1" applyFill="1" applyBorder="1" applyAlignment="1">
      <alignment horizontal="center" vertical="center"/>
    </xf>
    <xf numFmtId="0" fontId="39" fillId="16" borderId="66" xfId="0" applyFont="1" applyFill="1" applyBorder="1" applyAlignment="1">
      <alignment horizontal="center" vertical="center"/>
    </xf>
    <xf numFmtId="0" fontId="39" fillId="16" borderId="67" xfId="0" applyFont="1" applyFill="1" applyBorder="1" applyAlignment="1">
      <alignment horizontal="center" vertical="center"/>
    </xf>
    <xf numFmtId="0" fontId="41" fillId="0" borderId="0" xfId="0" applyFont="1" applyFill="1">
      <alignment vertical="center"/>
    </xf>
    <xf numFmtId="10" fontId="41" fillId="0" borderId="0" xfId="0" applyNumberFormat="1" applyFont="1" applyFill="1">
      <alignment vertical="center"/>
    </xf>
    <xf numFmtId="182" fontId="41" fillId="0" borderId="0" xfId="0" applyNumberFormat="1" applyFont="1" applyFill="1">
      <alignment vertical="center"/>
    </xf>
    <xf numFmtId="0" fontId="39" fillId="0" borderId="0" xfId="0" applyFont="1" applyAlignment="1">
      <alignment horizontal="center" vertical="center"/>
    </xf>
    <xf numFmtId="0" fontId="37" fillId="14" borderId="0" xfId="0" applyFont="1" applyFill="1" applyAlignment="1">
      <alignment horizontal="center" vertical="center"/>
    </xf>
    <xf numFmtId="0" fontId="38" fillId="0" borderId="0" xfId="0" applyNumberFormat="1" applyFont="1" applyAlignment="1">
      <alignment horizontal="center" vertical="center"/>
    </xf>
    <xf numFmtId="9" fontId="38" fillId="0" borderId="0" xfId="3" applyFont="1" applyFill="1" applyBorder="1">
      <alignment vertical="center"/>
    </xf>
    <xf numFmtId="10" fontId="38" fillId="0" borderId="0" xfId="0" applyNumberFormat="1" applyFont="1" applyFill="1" applyBorder="1">
      <alignment vertical="center"/>
    </xf>
    <xf numFmtId="179" fontId="38" fillId="0" borderId="0" xfId="0" applyNumberFormat="1" applyFont="1" applyFill="1" applyBorder="1">
      <alignment vertical="center"/>
    </xf>
    <xf numFmtId="0" fontId="38" fillId="0" borderId="0" xfId="0" applyFont="1" applyFill="1" applyBorder="1" applyAlignment="1">
      <alignment horizontal="center" vertical="center"/>
    </xf>
    <xf numFmtId="180" fontId="38" fillId="0" borderId="0" xfId="0" applyNumberFormat="1" applyFont="1" applyFill="1" applyBorder="1">
      <alignment vertical="center"/>
    </xf>
    <xf numFmtId="10" fontId="38" fillId="0" borderId="0" xfId="3" applyNumberFormat="1" applyFont="1" applyFill="1" applyBorder="1">
      <alignment vertical="center"/>
    </xf>
    <xf numFmtId="0" fontId="38" fillId="0" borderId="0" xfId="0" applyFont="1" applyFill="1" applyBorder="1">
      <alignment vertical="center"/>
    </xf>
    <xf numFmtId="181" fontId="38" fillId="0" borderId="0" xfId="0" applyNumberFormat="1" applyFont="1" applyFill="1">
      <alignment vertical="center"/>
    </xf>
    <xf numFmtId="178" fontId="38" fillId="0" borderId="0" xfId="0" applyNumberFormat="1" applyFont="1" applyFill="1" applyAlignment="1">
      <alignment horizontal="right" vertical="center"/>
    </xf>
    <xf numFmtId="184" fontId="38" fillId="0" borderId="0" xfId="0" applyNumberFormat="1" applyFont="1" applyFill="1">
      <alignment vertical="center"/>
    </xf>
    <xf numFmtId="180" fontId="38" fillId="0" borderId="0" xfId="0" applyNumberFormat="1" applyFont="1" applyFill="1">
      <alignment vertical="center"/>
    </xf>
    <xf numFmtId="9" fontId="38" fillId="0" borderId="0" xfId="0" applyNumberFormat="1" applyFont="1" applyFill="1">
      <alignment vertical="center"/>
    </xf>
    <xf numFmtId="0" fontId="38" fillId="0" borderId="0" xfId="0" applyFont="1" applyFill="1">
      <alignment vertical="center"/>
    </xf>
    <xf numFmtId="178" fontId="38" fillId="0" borderId="0" xfId="0" applyNumberFormat="1" applyFont="1" applyFill="1">
      <alignment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0" fontId="37" fillId="7" borderId="39" xfId="0" applyFont="1" applyFill="1" applyBorder="1" applyAlignment="1">
      <alignment horizontal="center" vertical="center"/>
    </xf>
    <xf numFmtId="179" fontId="37" fillId="7" borderId="35" xfId="0" applyNumberFormat="1" applyFont="1" applyFill="1" applyBorder="1" applyAlignment="1">
      <alignment horizontal="center" vertical="center"/>
    </xf>
    <xf numFmtId="0" fontId="37" fillId="7" borderId="35" xfId="0" applyFont="1" applyFill="1" applyBorder="1" applyAlignment="1">
      <alignment horizontal="center" vertical="center"/>
    </xf>
    <xf numFmtId="178" fontId="37" fillId="7" borderId="35" xfId="0" applyNumberFormat="1" applyFont="1" applyFill="1" applyBorder="1" applyAlignment="1">
      <alignment horizontal="center" vertical="center"/>
    </xf>
    <xf numFmtId="10" fontId="37" fillId="7" borderId="35" xfId="0" applyNumberFormat="1" applyFont="1" applyFill="1" applyBorder="1" applyAlignment="1">
      <alignment horizontal="center" vertical="center"/>
    </xf>
    <xf numFmtId="9" fontId="37" fillId="7" borderId="35" xfId="0" applyNumberFormat="1" applyFont="1" applyFill="1" applyBorder="1" applyAlignment="1">
      <alignment horizontal="center" vertical="center"/>
    </xf>
    <xf numFmtId="9" fontId="38" fillId="7" borderId="0" xfId="3" applyFont="1" applyFill="1" applyBorder="1">
      <alignment vertical="center"/>
    </xf>
    <xf numFmtId="10" fontId="38" fillId="7" borderId="0" xfId="0" applyNumberFormat="1" applyFont="1" applyFill="1" applyBorder="1">
      <alignment vertical="center"/>
    </xf>
    <xf numFmtId="179" fontId="38" fillId="7" borderId="0" xfId="0" applyNumberFormat="1" applyFont="1" applyFill="1" applyBorder="1">
      <alignment vertical="center"/>
    </xf>
    <xf numFmtId="0" fontId="38" fillId="7" borderId="0" xfId="0" applyFont="1" applyFill="1" applyBorder="1" applyAlignment="1">
      <alignment horizontal="center" vertical="center"/>
    </xf>
    <xf numFmtId="180" fontId="38" fillId="7" borderId="0" xfId="0" applyNumberFormat="1" applyFont="1" applyFill="1" applyBorder="1">
      <alignment vertical="center"/>
    </xf>
    <xf numFmtId="10" fontId="38" fillId="7" borderId="0" xfId="3" applyNumberFormat="1" applyFont="1" applyFill="1" applyBorder="1">
      <alignment vertical="center"/>
    </xf>
    <xf numFmtId="0" fontId="38" fillId="7" borderId="0" xfId="0" applyFont="1" applyFill="1" applyBorder="1">
      <alignment vertical="center"/>
    </xf>
    <xf numFmtId="0" fontId="38" fillId="0" borderId="0" xfId="3" applyNumberFormat="1" applyFont="1">
      <alignment vertical="center"/>
    </xf>
    <xf numFmtId="0" fontId="39" fillId="0" borderId="0" xfId="0" applyFont="1">
      <alignment vertical="center"/>
    </xf>
    <xf numFmtId="49" fontId="39" fillId="0" borderId="0" xfId="0" applyNumberFormat="1" applyFont="1" applyBorder="1" applyAlignment="1">
      <alignment horizontal="center" vertical="center"/>
    </xf>
    <xf numFmtId="188" fontId="39" fillId="0" borderId="0" xfId="2" applyNumberFormat="1" applyFont="1" applyBorder="1">
      <alignment vertical="center"/>
    </xf>
    <xf numFmtId="0" fontId="5" fillId="0" borderId="0" xfId="0" applyFont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9" fillId="0" borderId="0" xfId="0" applyFont="1">
      <alignment vertical="center"/>
    </xf>
    <xf numFmtId="0" fontId="64" fillId="0" borderId="0" xfId="0" applyFont="1">
      <alignment vertical="center"/>
    </xf>
    <xf numFmtId="0" fontId="61" fillId="40" borderId="0" xfId="0" applyFont="1" applyFill="1" applyAlignment="1">
      <alignment horizontal="center" vertical="center"/>
    </xf>
    <xf numFmtId="0" fontId="62" fillId="10" borderId="0" xfId="0" applyFont="1" applyFill="1" applyBorder="1" applyAlignment="1">
      <alignment horizontal="center" vertical="center"/>
    </xf>
    <xf numFmtId="180" fontId="37" fillId="6" borderId="0" xfId="0" applyNumberFormat="1" applyFont="1" applyFill="1" applyAlignment="1">
      <alignment horizontal="center" vertical="center"/>
    </xf>
    <xf numFmtId="180" fontId="37" fillId="15" borderId="0" xfId="0" applyNumberFormat="1" applyFont="1" applyFill="1" applyAlignment="1">
      <alignment horizontal="center" vertical="center"/>
    </xf>
    <xf numFmtId="180" fontId="38" fillId="6" borderId="0" xfId="0" applyNumberFormat="1" applyFont="1" applyFill="1" applyAlignment="1">
      <alignment horizontal="center" vertical="center"/>
    </xf>
    <xf numFmtId="180" fontId="38" fillId="6" borderId="0" xfId="0" applyNumberFormat="1" applyFont="1" applyFill="1" applyBorder="1" applyAlignment="1">
      <alignment horizontal="center" vertical="center"/>
    </xf>
    <xf numFmtId="0" fontId="37" fillId="14" borderId="0" xfId="0" applyFont="1" applyFill="1" applyAlignment="1">
      <alignment horizontal="center" vertical="center"/>
    </xf>
    <xf numFmtId="0" fontId="37" fillId="16" borderId="0" xfId="0" applyFont="1" applyFill="1" applyAlignment="1">
      <alignment horizontal="center" vertical="center"/>
    </xf>
    <xf numFmtId="181" fontId="38" fillId="16" borderId="0" xfId="0" applyNumberFormat="1" applyFont="1" applyFill="1" applyAlignment="1">
      <alignment horizontal="center" vertical="center"/>
    </xf>
    <xf numFmtId="180" fontId="38" fillId="15" borderId="0" xfId="0" applyNumberFormat="1" applyFont="1" applyFill="1" applyAlignment="1">
      <alignment horizontal="center" vertical="center"/>
    </xf>
    <xf numFmtId="0" fontId="38" fillId="34" borderId="0" xfId="0" applyFont="1" applyFill="1" applyAlignment="1">
      <alignment horizontal="center" vertical="center"/>
    </xf>
    <xf numFmtId="0" fontId="38" fillId="35" borderId="0" xfId="0" applyFont="1" applyFill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1" fillId="33" borderId="0" xfId="0" applyFont="1" applyFill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10" fontId="11" fillId="14" borderId="0" xfId="0" applyNumberFormat="1" applyFont="1" applyFill="1" applyAlignment="1">
      <alignment horizontal="center" vertical="center"/>
    </xf>
    <xf numFmtId="10" fontId="4" fillId="14" borderId="0" xfId="0" applyNumberFormat="1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8" fillId="16" borderId="0" xfId="0" applyFont="1" applyFill="1" applyAlignment="1">
      <alignment horizontal="center" vertical="center"/>
    </xf>
    <xf numFmtId="0" fontId="38" fillId="28" borderId="0" xfId="0" applyFont="1" applyFill="1" applyAlignment="1">
      <alignment horizontal="center" vertical="center"/>
    </xf>
    <xf numFmtId="0" fontId="38" fillId="29" borderId="0" xfId="0" applyFont="1" applyFill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37" fillId="15" borderId="0" xfId="0" applyFont="1" applyFill="1" applyAlignment="1">
      <alignment horizontal="center" vertical="center"/>
    </xf>
    <xf numFmtId="0" fontId="58" fillId="39" borderId="0" xfId="0" applyFont="1" applyFill="1" applyAlignment="1">
      <alignment horizontal="center" vertical="center"/>
    </xf>
    <xf numFmtId="9" fontId="59" fillId="9" borderId="18" xfId="0" applyNumberFormat="1" applyFont="1" applyFill="1" applyBorder="1" applyAlignment="1">
      <alignment horizontal="center" vertical="center"/>
    </xf>
    <xf numFmtId="9" fontId="59" fillId="9" borderId="0" xfId="0" applyNumberFormat="1" applyFont="1" applyFill="1" applyAlignment="1">
      <alignment horizontal="center" vertical="center"/>
    </xf>
    <xf numFmtId="10" fontId="58" fillId="0" borderId="20" xfId="0" applyNumberFormat="1" applyFont="1" applyBorder="1" applyAlignment="1">
      <alignment vertical="center"/>
    </xf>
    <xf numFmtId="10" fontId="58" fillId="0" borderId="0" xfId="0" applyNumberFormat="1" applyFont="1" applyAlignment="1">
      <alignment vertical="center"/>
    </xf>
    <xf numFmtId="183" fontId="60" fillId="6" borderId="20" xfId="0" applyNumberFormat="1" applyFont="1" applyFill="1" applyBorder="1" applyAlignment="1">
      <alignment vertical="center"/>
    </xf>
    <xf numFmtId="183" fontId="38" fillId="6" borderId="0" xfId="0" applyNumberFormat="1" applyFont="1" applyFill="1" applyAlignment="1">
      <alignment vertical="center"/>
    </xf>
    <xf numFmtId="180" fontId="58" fillId="41" borderId="0" xfId="0" applyNumberFormat="1" applyFont="1" applyFill="1" applyAlignment="1">
      <alignment horizontal="center" vertical="center"/>
    </xf>
    <xf numFmtId="180" fontId="45" fillId="6" borderId="0" xfId="0" applyNumberFormat="1" applyFont="1" applyFill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42" borderId="0" xfId="0" applyFont="1" applyFill="1" applyBorder="1" applyAlignment="1">
      <alignment horizontal="center" vertical="center"/>
    </xf>
    <xf numFmtId="0" fontId="39" fillId="28" borderId="0" xfId="0" applyFont="1" applyFill="1" applyBorder="1" applyAlignment="1">
      <alignment horizontal="center" vertical="center"/>
    </xf>
    <xf numFmtId="0" fontId="39" fillId="6" borderId="64" xfId="0" applyFont="1" applyFill="1" applyBorder="1" applyAlignment="1">
      <alignment horizontal="center" vertical="center"/>
    </xf>
    <xf numFmtId="0" fontId="39" fillId="6" borderId="68" xfId="0" applyFont="1" applyFill="1" applyBorder="1" applyAlignment="1">
      <alignment horizontal="center" vertical="center"/>
    </xf>
    <xf numFmtId="0" fontId="39" fillId="9" borderId="69" xfId="0" applyFont="1" applyFill="1" applyBorder="1" applyAlignment="1">
      <alignment horizontal="center" vertical="center"/>
    </xf>
    <xf numFmtId="0" fontId="39" fillId="9" borderId="61" xfId="0" applyFont="1" applyFill="1" applyBorder="1" applyAlignment="1">
      <alignment horizontal="center" vertical="center"/>
    </xf>
    <xf numFmtId="0" fontId="53" fillId="31" borderId="19" xfId="0" applyFont="1" applyFill="1" applyBorder="1" applyAlignment="1">
      <alignment horizontal="center" vertical="center"/>
    </xf>
    <xf numFmtId="0" fontId="58" fillId="30" borderId="21" xfId="0" applyFont="1" applyFill="1" applyBorder="1" applyAlignment="1">
      <alignment horizontal="center" vertical="center"/>
    </xf>
    <xf numFmtId="0" fontId="38" fillId="13" borderId="70" xfId="0" applyFont="1" applyFill="1" applyBorder="1" applyAlignment="1">
      <alignment horizontal="center" vertical="center"/>
    </xf>
    <xf numFmtId="0" fontId="38" fillId="13" borderId="26" xfId="0" applyFont="1" applyFill="1" applyBorder="1" applyAlignment="1">
      <alignment horizontal="center" vertical="center"/>
    </xf>
    <xf numFmtId="0" fontId="38" fillId="13" borderId="27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53" fillId="23" borderId="0" xfId="0" applyFont="1" applyFill="1" applyAlignment="1">
      <alignment horizontal="center" vertical="center"/>
    </xf>
  </cellXfs>
  <cellStyles count="5">
    <cellStyle name="20% - 輔色3" xfId="1" builtinId="38"/>
    <cellStyle name="一般" xfId="0" builtinId="0"/>
    <cellStyle name="千分位" xfId="2" builtinId="3"/>
    <cellStyle name="百分比" xfId="3" builtinId="5"/>
    <cellStyle name="超連結" xfId="4" builtinId="8"/>
  </cellStyles>
  <dxfs count="129">
    <dxf>
      <font>
        <color rgb="FF9C0006"/>
      </font>
    </dxf>
    <dxf>
      <font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 patternType="none"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rgb="FFE1E1FF"/>
        </patternFill>
      </fill>
    </dxf>
    <dxf>
      <font>
        <color theme="9" tint="-0.24994659260841701"/>
      </font>
      <fill>
        <patternFill patternType="solid">
          <bgColor theme="9" tint="0.79998168889431442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E1E1FF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b val="0"/>
        <i/>
        <color rgb="FFFF000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BUFF!$O$63" lockText="1" noThreeD="1"/>
</file>

<file path=xl/ctrlProps/ctrlProp10.xml><?xml version="1.0" encoding="utf-8"?>
<formControlPr xmlns="http://schemas.microsoft.com/office/spreadsheetml/2009/9/main" objectType="CheckBox" checked="Checked" fmlaLink="BUFF!$B$82" lockText="1" noThreeD="1"/>
</file>

<file path=xl/ctrlProps/ctrlProp100.xml><?xml version="1.0" encoding="utf-8"?>
<formControlPr xmlns="http://schemas.microsoft.com/office/spreadsheetml/2009/9/main" objectType="CheckBox" fmlaLink="BUFF!$O$33" lockText="1" noThreeD="1"/>
</file>

<file path=xl/ctrlProps/ctrlProp101.xml><?xml version="1.0" encoding="utf-8"?>
<formControlPr xmlns="http://schemas.microsoft.com/office/spreadsheetml/2009/9/main" objectType="CheckBox" fmlaLink="BUFF!$O$94" lockText="1" noThreeD="1"/>
</file>

<file path=xl/ctrlProps/ctrlProp102.xml><?xml version="1.0" encoding="utf-8"?>
<formControlPr xmlns="http://schemas.microsoft.com/office/spreadsheetml/2009/9/main" objectType="CheckBox" fmlaLink="BUFF!$O$75" lockText="1" noThreeD="1"/>
</file>

<file path=xl/ctrlProps/ctrlProp11.xml><?xml version="1.0" encoding="utf-8"?>
<formControlPr xmlns="http://schemas.microsoft.com/office/spreadsheetml/2009/9/main" objectType="CheckBox" fmlaLink="BUFF!$B$83" lockText="1" noThreeD="1"/>
</file>

<file path=xl/ctrlProps/ctrlProp12.xml><?xml version="1.0" encoding="utf-8"?>
<formControlPr xmlns="http://schemas.microsoft.com/office/spreadsheetml/2009/9/main" objectType="CheckBox" checked="Checked" fmlaLink="BUFF!$B$84" lockText="1" noThreeD="1"/>
</file>

<file path=xl/ctrlProps/ctrlProp13.xml><?xml version="1.0" encoding="utf-8"?>
<formControlPr xmlns="http://schemas.microsoft.com/office/spreadsheetml/2009/9/main" objectType="CheckBox" fmlaLink="BUFF!$B$93" lockText="1" noThreeD="1"/>
</file>

<file path=xl/ctrlProps/ctrlProp14.xml><?xml version="1.0" encoding="utf-8"?>
<formControlPr xmlns="http://schemas.microsoft.com/office/spreadsheetml/2009/9/main" objectType="CheckBox" fmlaLink="BUFF!$B$94" lockText="1" noThreeD="1"/>
</file>

<file path=xl/ctrlProps/ctrlProp15.xml><?xml version="1.0" encoding="utf-8"?>
<formControlPr xmlns="http://schemas.microsoft.com/office/spreadsheetml/2009/9/main" objectType="CheckBox" fmlaLink="BUFF!$B$95" lockText="1" noThreeD="1"/>
</file>

<file path=xl/ctrlProps/ctrlProp16.xml><?xml version="1.0" encoding="utf-8"?>
<formControlPr xmlns="http://schemas.microsoft.com/office/spreadsheetml/2009/9/main" objectType="CheckBox" fmlaLink="BUFF!$B$96" lockText="1" noThreeD="1"/>
</file>

<file path=xl/ctrlProps/ctrlProp17.xml><?xml version="1.0" encoding="utf-8"?>
<formControlPr xmlns="http://schemas.microsoft.com/office/spreadsheetml/2009/9/main" objectType="CheckBox" fmlaLink="BUFF!$O$86" lockText="1" noThreeD="1"/>
</file>

<file path=xl/ctrlProps/ctrlProp18.xml><?xml version="1.0" encoding="utf-8"?>
<formControlPr xmlns="http://schemas.microsoft.com/office/spreadsheetml/2009/9/main" objectType="CheckBox" fmlaLink="BUFF!$B$97" lockText="1" noThreeD="1"/>
</file>

<file path=xl/ctrlProps/ctrlProp19.xml><?xml version="1.0" encoding="utf-8"?>
<formControlPr xmlns="http://schemas.microsoft.com/office/spreadsheetml/2009/9/main" objectType="CheckBox" checked="Checked" fmlaLink="BUFF!$B$86" lockText="1" noThreeD="1"/>
</file>

<file path=xl/ctrlProps/ctrlProp2.xml><?xml version="1.0" encoding="utf-8"?>
<formControlPr xmlns="http://schemas.microsoft.com/office/spreadsheetml/2009/9/main" objectType="CheckBox" checked="Checked" fmlaLink="BUFF!$B$79" lockText="1" noThreeD="1"/>
</file>

<file path=xl/ctrlProps/ctrlProp20.xml><?xml version="1.0" encoding="utf-8"?>
<formControlPr xmlns="http://schemas.microsoft.com/office/spreadsheetml/2009/9/main" objectType="CheckBox" fmlaLink="BUFF!$B$98" lockText="1" noThreeD="1"/>
</file>

<file path=xl/ctrlProps/ctrlProp21.xml><?xml version="1.0" encoding="utf-8"?>
<formControlPr xmlns="http://schemas.microsoft.com/office/spreadsheetml/2009/9/main" objectType="CheckBox" fmlaLink="BUFF!$B$99" lockText="1" noThreeD="1"/>
</file>

<file path=xl/ctrlProps/ctrlProp22.xml><?xml version="1.0" encoding="utf-8"?>
<formControlPr xmlns="http://schemas.microsoft.com/office/spreadsheetml/2009/9/main" objectType="CheckBox" fmlaLink="BUFF!$B$100" lockText="1" noThreeD="1"/>
</file>

<file path=xl/ctrlProps/ctrlProp23.xml><?xml version="1.0" encoding="utf-8"?>
<formControlPr xmlns="http://schemas.microsoft.com/office/spreadsheetml/2009/9/main" objectType="CheckBox" fmlaLink="BUFF!$B$101" lockText="1" noThreeD="1"/>
</file>

<file path=xl/ctrlProps/ctrlProp24.xml><?xml version="1.0" encoding="utf-8"?>
<formControlPr xmlns="http://schemas.microsoft.com/office/spreadsheetml/2009/9/main" objectType="CheckBox" fmlaLink="BUFF!$B$103" lockText="1" noThreeD="1"/>
</file>

<file path=xl/ctrlProps/ctrlProp25.xml><?xml version="1.0" encoding="utf-8"?>
<formControlPr xmlns="http://schemas.microsoft.com/office/spreadsheetml/2009/9/main" objectType="CheckBox" fmlaLink="BUFF!$B$102" lockText="1" noThreeD="1"/>
</file>

<file path=xl/ctrlProps/ctrlProp26.xml><?xml version="1.0" encoding="utf-8"?>
<formControlPr xmlns="http://schemas.microsoft.com/office/spreadsheetml/2009/9/main" objectType="CheckBox" fmlaLink="BUFF!$B$104" lockText="1" noThreeD="1"/>
</file>

<file path=xl/ctrlProps/ctrlProp27.xml><?xml version="1.0" encoding="utf-8"?>
<formControlPr xmlns="http://schemas.microsoft.com/office/spreadsheetml/2009/9/main" objectType="CheckBox" fmlaLink="BUFF!$B$105" lockText="1" noThreeD="1"/>
</file>

<file path=xl/ctrlProps/ctrlProp28.xml><?xml version="1.0" encoding="utf-8"?>
<formControlPr xmlns="http://schemas.microsoft.com/office/spreadsheetml/2009/9/main" objectType="CheckBox" fmlaLink="BUFF!$B$106" lockText="1" noThreeD="1"/>
</file>

<file path=xl/ctrlProps/ctrlProp29.xml><?xml version="1.0" encoding="utf-8"?>
<formControlPr xmlns="http://schemas.microsoft.com/office/spreadsheetml/2009/9/main" objectType="CheckBox" fmlaLink="BUFF!$B$108" lockText="1" noThreeD="1"/>
</file>

<file path=xl/ctrlProps/ctrlProp3.xml><?xml version="1.0" encoding="utf-8"?>
<formControlPr xmlns="http://schemas.microsoft.com/office/spreadsheetml/2009/9/main" objectType="CheckBox" fmlaLink="BUFF!$O$87" lockText="1" noThreeD="1"/>
</file>

<file path=xl/ctrlProps/ctrlProp30.xml><?xml version="1.0" encoding="utf-8"?>
<formControlPr xmlns="http://schemas.microsoft.com/office/spreadsheetml/2009/9/main" objectType="CheckBox" fmlaLink="BUFF!$B$107" lockText="1" noThreeD="1"/>
</file>

<file path=xl/ctrlProps/ctrlProp31.xml><?xml version="1.0" encoding="utf-8"?>
<formControlPr xmlns="http://schemas.microsoft.com/office/spreadsheetml/2009/9/main" objectType="CheckBox" checked="Checked" fmlaLink="BUFF!$H$17" lockText="1" noThreeD="1"/>
</file>

<file path=xl/ctrlProps/ctrlProp32.xml><?xml version="1.0" encoding="utf-8"?>
<formControlPr xmlns="http://schemas.microsoft.com/office/spreadsheetml/2009/9/main" objectType="CheckBox" checked="Checked" fmlaLink="BUFF!$I$17" lockText="1" noThreeD="1"/>
</file>

<file path=xl/ctrlProps/ctrlProp33.xml><?xml version="1.0" encoding="utf-8"?>
<formControlPr xmlns="http://schemas.microsoft.com/office/spreadsheetml/2009/9/main" objectType="CheckBox" fmlaLink="BUFF!$J$17" lockText="1" noThreeD="1"/>
</file>

<file path=xl/ctrlProps/ctrlProp34.xml><?xml version="1.0" encoding="utf-8"?>
<formControlPr xmlns="http://schemas.microsoft.com/office/spreadsheetml/2009/9/main" objectType="CheckBox" checked="Checked" fmlaLink="BUFF!$K$17" lockText="1" noThreeD="1"/>
</file>

<file path=xl/ctrlProps/ctrlProp35.xml><?xml version="1.0" encoding="utf-8"?>
<formControlPr xmlns="http://schemas.microsoft.com/office/spreadsheetml/2009/9/main" objectType="CheckBox" checked="Checked" fmlaLink="BUFF!$L$17" lockText="1" noThreeD="1"/>
</file>

<file path=xl/ctrlProps/ctrlProp36.xml><?xml version="1.0" encoding="utf-8"?>
<formControlPr xmlns="http://schemas.microsoft.com/office/spreadsheetml/2009/9/main" objectType="CheckBox" checked="Checked" fmlaLink="BUFF!$N$17" lockText="1" noThreeD="1"/>
</file>

<file path=xl/ctrlProps/ctrlProp37.xml><?xml version="1.0" encoding="utf-8"?>
<formControlPr xmlns="http://schemas.microsoft.com/office/spreadsheetml/2009/9/main" objectType="CheckBox" checked="Checked" fmlaLink="BUFF!$O$17" lockText="1" noThreeD="1"/>
</file>

<file path=xl/ctrlProps/ctrlProp38.xml><?xml version="1.0" encoding="utf-8"?>
<formControlPr xmlns="http://schemas.microsoft.com/office/spreadsheetml/2009/9/main" objectType="CheckBox" checked="Checked" fmlaLink="BUFF!$P$17" lockText="1" noThreeD="1"/>
</file>

<file path=xl/ctrlProps/ctrlProp39.xml><?xml version="1.0" encoding="utf-8"?>
<formControlPr xmlns="http://schemas.microsoft.com/office/spreadsheetml/2009/9/main" objectType="CheckBox" checked="Checked" fmlaLink="BUFF!$Q$17" lockText="1" noThreeD="1"/>
</file>

<file path=xl/ctrlProps/ctrlProp4.xml><?xml version="1.0" encoding="utf-8"?>
<formControlPr xmlns="http://schemas.microsoft.com/office/spreadsheetml/2009/9/main" objectType="CheckBox" fmlaLink="BUFF!$O$92" lockText="1" noThreeD="1"/>
</file>

<file path=xl/ctrlProps/ctrlProp40.xml><?xml version="1.0" encoding="utf-8"?>
<formControlPr xmlns="http://schemas.microsoft.com/office/spreadsheetml/2009/9/main" objectType="CheckBox" fmlaLink="BUFF!$R$17" lockText="1" noThreeD="1"/>
</file>

<file path=xl/ctrlProps/ctrlProp41.xml><?xml version="1.0" encoding="utf-8"?>
<formControlPr xmlns="http://schemas.microsoft.com/office/spreadsheetml/2009/9/main" objectType="CheckBox" fmlaLink="BUFF!$G$10" lockText="1" noThreeD="1"/>
</file>

<file path=xl/ctrlProps/ctrlProp42.xml><?xml version="1.0" encoding="utf-8"?>
<formControlPr xmlns="http://schemas.microsoft.com/office/spreadsheetml/2009/9/main" objectType="CheckBox" checked="Checked" fmlaLink="BUFF!$E$10" lockText="1" noThreeD="1"/>
</file>

<file path=xl/ctrlProps/ctrlProp43.xml><?xml version="1.0" encoding="utf-8"?>
<formControlPr xmlns="http://schemas.microsoft.com/office/spreadsheetml/2009/9/main" objectType="CheckBox" fmlaLink="BUFF!$F$10" lockText="1" noThreeD="1"/>
</file>

<file path=xl/ctrlProps/ctrlProp44.xml><?xml version="1.0" encoding="utf-8"?>
<formControlPr xmlns="http://schemas.microsoft.com/office/spreadsheetml/2009/9/main" objectType="CheckBox" checked="Checked" fmlaLink="BUFF!$B$10" lockText="1" noThreeD="1"/>
</file>

<file path=xl/ctrlProps/ctrlProp45.xml><?xml version="1.0" encoding="utf-8"?>
<formControlPr xmlns="http://schemas.microsoft.com/office/spreadsheetml/2009/9/main" objectType="CheckBox" checked="Checked" fmlaLink="BUFF!$C$10" lockText="1" noThreeD="1"/>
</file>

<file path=xl/ctrlProps/ctrlProp46.xml><?xml version="1.0" encoding="utf-8"?>
<formControlPr xmlns="http://schemas.microsoft.com/office/spreadsheetml/2009/9/main" objectType="CheckBox" checked="Checked" fmlaLink="BUFF!$D$10" lockText="1" noThreeD="1"/>
</file>

<file path=xl/ctrlProps/ctrlProp47.xml><?xml version="1.0" encoding="utf-8"?>
<formControlPr xmlns="http://schemas.microsoft.com/office/spreadsheetml/2009/9/main" objectType="CheckBox" fmlaLink="BUFF!$N$24" lockText="1" noThreeD="1"/>
</file>

<file path=xl/ctrlProps/ctrlProp48.xml><?xml version="1.0" encoding="utf-8"?>
<formControlPr xmlns="http://schemas.microsoft.com/office/spreadsheetml/2009/9/main" objectType="CheckBox" checked="Checked" fmlaLink="BUFF!$K$24" lockText="1" noThreeD="1"/>
</file>

<file path=xl/ctrlProps/ctrlProp49.xml><?xml version="1.0" encoding="utf-8"?>
<formControlPr xmlns="http://schemas.microsoft.com/office/spreadsheetml/2009/9/main" objectType="CheckBox" fmlaLink="BUFF!$L$24" lockText="1" noThreeD="1"/>
</file>

<file path=xl/ctrlProps/ctrlProp5.xml><?xml version="1.0" encoding="utf-8"?>
<formControlPr xmlns="http://schemas.microsoft.com/office/spreadsheetml/2009/9/main" objectType="CheckBox" fmlaLink="BUFF!$O$89" lockText="1" noThreeD="1"/>
</file>

<file path=xl/ctrlProps/ctrlProp50.xml><?xml version="1.0" encoding="utf-8"?>
<formControlPr xmlns="http://schemas.microsoft.com/office/spreadsheetml/2009/9/main" objectType="CheckBox" checked="Checked" fmlaLink="BUFF!$H$24" lockText="1" noThreeD="1"/>
</file>

<file path=xl/ctrlProps/ctrlProp51.xml><?xml version="1.0" encoding="utf-8"?>
<formControlPr xmlns="http://schemas.microsoft.com/office/spreadsheetml/2009/9/main" objectType="CheckBox" fmlaLink="BUFF!$M$24" lockText="1" noThreeD="1"/>
</file>

<file path=xl/ctrlProps/ctrlProp52.xml><?xml version="1.0" encoding="utf-8"?>
<formControlPr xmlns="http://schemas.microsoft.com/office/spreadsheetml/2009/9/main" objectType="CheckBox" checked="Checked" fmlaLink="BUFF!$I$24" lockText="1" noThreeD="1"/>
</file>

<file path=xl/ctrlProps/ctrlProp53.xml><?xml version="1.0" encoding="utf-8"?>
<formControlPr xmlns="http://schemas.microsoft.com/office/spreadsheetml/2009/9/main" objectType="CheckBox" checked="Checked" fmlaLink="BUFF!$J$24" lockText="1" noThreeD="1"/>
</file>

<file path=xl/ctrlProps/ctrlProp54.xml><?xml version="1.0" encoding="utf-8"?>
<formControlPr xmlns="http://schemas.microsoft.com/office/spreadsheetml/2009/9/main" objectType="CheckBox" fmlaLink="BUFF!$L$21" lockText="1" noThreeD="1"/>
</file>

<file path=xl/ctrlProps/ctrlProp55.xml><?xml version="1.0" encoding="utf-8"?>
<formControlPr xmlns="http://schemas.microsoft.com/office/spreadsheetml/2009/9/main" objectType="CheckBox" checked="Checked" fmlaLink="BUFF!$K$21" lockText="1" noThreeD="1"/>
</file>

<file path=xl/ctrlProps/ctrlProp56.xml><?xml version="1.0" encoding="utf-8"?>
<formControlPr xmlns="http://schemas.microsoft.com/office/spreadsheetml/2009/9/main" objectType="CheckBox" checked="Checked" fmlaLink="BUFF!$H$21" lockText="1" noThreeD="1"/>
</file>

<file path=xl/ctrlProps/ctrlProp57.xml><?xml version="1.0" encoding="utf-8"?>
<formControlPr xmlns="http://schemas.microsoft.com/office/spreadsheetml/2009/9/main" objectType="CheckBox" checked="Checked" fmlaLink="BUFF!$I$21" lockText="1" noThreeD="1"/>
</file>

<file path=xl/ctrlProps/ctrlProp58.xml><?xml version="1.0" encoding="utf-8"?>
<formControlPr xmlns="http://schemas.microsoft.com/office/spreadsheetml/2009/9/main" objectType="CheckBox" checked="Checked" fmlaLink="BUFF!$J$21" lockText="1" noThreeD="1"/>
</file>

<file path=xl/ctrlProps/ctrlProp59.xml><?xml version="1.0" encoding="utf-8"?>
<formControlPr xmlns="http://schemas.microsoft.com/office/spreadsheetml/2009/9/main" objectType="CheckBox" fmlaLink="BUFF!$R$9" lockText="1" noThreeD="1"/>
</file>

<file path=xl/ctrlProps/ctrlProp6.xml><?xml version="1.0" encoding="utf-8"?>
<formControlPr xmlns="http://schemas.microsoft.com/office/spreadsheetml/2009/9/main" objectType="CheckBox" fmlaLink="BUFF!$O$90" lockText="1" noThreeD="1"/>
</file>

<file path=xl/ctrlProps/ctrlProp60.xml><?xml version="1.0" encoding="utf-8"?>
<formControlPr xmlns="http://schemas.microsoft.com/office/spreadsheetml/2009/9/main" objectType="CheckBox" checked="Checked" fmlaLink="BUFF!$Q$9" lockText="1" noThreeD="1"/>
</file>

<file path=xl/ctrlProps/ctrlProp61.xml><?xml version="1.0" encoding="utf-8"?>
<formControlPr xmlns="http://schemas.microsoft.com/office/spreadsheetml/2009/9/main" objectType="CheckBox" checked="Checked" fmlaLink="BUFF!$K$9" lockText="1" noThreeD="1"/>
</file>

<file path=xl/ctrlProps/ctrlProp62.xml><?xml version="1.0" encoding="utf-8"?>
<formControlPr xmlns="http://schemas.microsoft.com/office/spreadsheetml/2009/9/main" objectType="CheckBox" checked="Checked" fmlaLink="BUFF!$L$9" lockText="1" noThreeD="1"/>
</file>

<file path=xl/ctrlProps/ctrlProp63.xml><?xml version="1.0" encoding="utf-8"?>
<formControlPr xmlns="http://schemas.microsoft.com/office/spreadsheetml/2009/9/main" objectType="CheckBox" fmlaLink="BUFF!$M$9" lockText="1" noThreeD="1"/>
</file>

<file path=xl/ctrlProps/ctrlProp64.xml><?xml version="1.0" encoding="utf-8"?>
<formControlPr xmlns="http://schemas.microsoft.com/office/spreadsheetml/2009/9/main" objectType="CheckBox" fmlaLink="BUFF!$P$9" lockText="1" noThreeD="1"/>
</file>

<file path=xl/ctrlProps/ctrlProp65.xml><?xml version="1.0" encoding="utf-8"?>
<formControlPr xmlns="http://schemas.microsoft.com/office/spreadsheetml/2009/9/main" objectType="CheckBox" checked="Checked" fmlaLink="BUFF!$N$9" lockText="1" noThreeD="1"/>
</file>

<file path=xl/ctrlProps/ctrlProp66.xml><?xml version="1.0" encoding="utf-8"?>
<formControlPr xmlns="http://schemas.microsoft.com/office/spreadsheetml/2009/9/main" objectType="CheckBox" fmlaLink="BUFF!$O$9" lockText="1" noThreeD="1"/>
</file>

<file path=xl/ctrlProps/ctrlProp67.xml><?xml version="1.0" encoding="utf-8"?>
<formControlPr xmlns="http://schemas.microsoft.com/office/spreadsheetml/2009/9/main" objectType="CheckBox" fmlaLink="BUFF!$H$6" lockText="1" noThreeD="1"/>
</file>

<file path=xl/ctrlProps/ctrlProp68.xml><?xml version="1.0" encoding="utf-8"?>
<formControlPr xmlns="http://schemas.microsoft.com/office/spreadsheetml/2009/9/main" objectType="CheckBox" checked="Checked" fmlaLink="BUFF!$F$6" lockText="1" noThreeD="1"/>
</file>

<file path=xl/ctrlProps/ctrlProp69.xml><?xml version="1.0" encoding="utf-8"?>
<formControlPr xmlns="http://schemas.microsoft.com/office/spreadsheetml/2009/9/main" objectType="CheckBox" fmlaLink="BUFF!$E$6" lockText="1" noThreeD="1"/>
</file>

<file path=xl/ctrlProps/ctrlProp7.xml><?xml version="1.0" encoding="utf-8"?>
<formControlPr xmlns="http://schemas.microsoft.com/office/spreadsheetml/2009/9/main" objectType="CheckBox" checked="Checked" fmlaLink="BUFF!$O$91" lockText="1" noThreeD="1"/>
</file>

<file path=xl/ctrlProps/ctrlProp70.xml><?xml version="1.0" encoding="utf-8"?>
<formControlPr xmlns="http://schemas.microsoft.com/office/spreadsheetml/2009/9/main" objectType="CheckBox" checked="Checked" fmlaLink="BUFF!$B$6" lockText="1" noThreeD="1"/>
</file>

<file path=xl/ctrlProps/ctrlProp71.xml><?xml version="1.0" encoding="utf-8"?>
<formControlPr xmlns="http://schemas.microsoft.com/office/spreadsheetml/2009/9/main" objectType="CheckBox" fmlaLink="BUFF!$G$6" lockText="1" noThreeD="1"/>
</file>

<file path=xl/ctrlProps/ctrlProp72.xml><?xml version="1.0" encoding="utf-8"?>
<formControlPr xmlns="http://schemas.microsoft.com/office/spreadsheetml/2009/9/main" objectType="CheckBox" checked="Checked" fmlaLink="BUFF!$C$6" lockText="1" noThreeD="1"/>
</file>

<file path=xl/ctrlProps/ctrlProp73.xml><?xml version="1.0" encoding="utf-8"?>
<formControlPr xmlns="http://schemas.microsoft.com/office/spreadsheetml/2009/9/main" objectType="CheckBox" checked="Checked" fmlaLink="BUFF!$D$6" lockText="1" noThreeD="1"/>
</file>

<file path=xl/ctrlProps/ctrlProp74.xml><?xml version="1.0" encoding="utf-8"?>
<formControlPr xmlns="http://schemas.microsoft.com/office/spreadsheetml/2009/9/main" objectType="CheckBox" fmlaLink="BUFF!$N$6" lockText="1" noThreeD="1"/>
</file>

<file path=xl/ctrlProps/ctrlProp75.xml><?xml version="1.0" encoding="utf-8"?>
<formControlPr xmlns="http://schemas.microsoft.com/office/spreadsheetml/2009/9/main" objectType="CheckBox" checked="Checked" fmlaLink="BUFF!$K$6" lockText="1" noThreeD="1"/>
</file>

<file path=xl/ctrlProps/ctrlProp76.xml><?xml version="1.0" encoding="utf-8"?>
<formControlPr xmlns="http://schemas.microsoft.com/office/spreadsheetml/2009/9/main" objectType="CheckBox" checked="Checked" fmlaLink="BUFF!$L$6" lockText="1" noThreeD="1"/>
</file>

<file path=xl/ctrlProps/ctrlProp77.xml><?xml version="1.0" encoding="utf-8"?>
<formControlPr xmlns="http://schemas.microsoft.com/office/spreadsheetml/2009/9/main" objectType="CheckBox" checked="Checked" fmlaLink="BUFF!$O$6" lockText="1" noThreeD="1"/>
</file>

<file path=xl/ctrlProps/ctrlProp78.xml><?xml version="1.0" encoding="utf-8"?>
<formControlPr xmlns="http://schemas.microsoft.com/office/spreadsheetml/2009/9/main" objectType="CheckBox" fmlaLink="BUFF!$M$6" lockText="1" noThreeD="1"/>
</file>

<file path=xl/ctrlProps/ctrlProp79.xml><?xml version="1.0" encoding="utf-8"?>
<formControlPr xmlns="http://schemas.microsoft.com/office/spreadsheetml/2009/9/main" objectType="CheckBox" checked="Checked" fmlaLink="BUFF!$P$6" lockText="1" noThreeD="1"/>
</file>

<file path=xl/ctrlProps/ctrlProp8.xml><?xml version="1.0" encoding="utf-8"?>
<formControlPr xmlns="http://schemas.microsoft.com/office/spreadsheetml/2009/9/main" objectType="CheckBox" fmlaLink="BUFF!$O$88" lockText="1" noThreeD="1"/>
</file>

<file path=xl/ctrlProps/ctrlProp80.xml><?xml version="1.0" encoding="utf-8"?>
<formControlPr xmlns="http://schemas.microsoft.com/office/spreadsheetml/2009/9/main" objectType="CheckBox" fmlaLink="BUFF!$Q$6" lockText="1" noThreeD="1"/>
</file>

<file path=xl/ctrlProps/ctrlProp81.xml><?xml version="1.0" encoding="utf-8"?>
<formControlPr xmlns="http://schemas.microsoft.com/office/spreadsheetml/2009/9/main" objectType="CheckBox" checked="Checked" fmlaLink="BUFF!$K$13" lockText="1" noThreeD="1"/>
</file>

<file path=xl/ctrlProps/ctrlProp82.xml><?xml version="1.0" encoding="utf-8"?>
<formControlPr xmlns="http://schemas.microsoft.com/office/spreadsheetml/2009/9/main" objectType="CheckBox" fmlaLink="BUFF!$L$13" lockText="1" noThreeD="1"/>
</file>

<file path=xl/ctrlProps/ctrlProp83.xml><?xml version="1.0" encoding="utf-8"?>
<formControlPr xmlns="http://schemas.microsoft.com/office/spreadsheetml/2009/9/main" objectType="CheckBox" checked="Checked" fmlaLink="BUFF!$M$13" lockText="1" noThreeD="1"/>
</file>

<file path=xl/ctrlProps/ctrlProp84.xml><?xml version="1.0" encoding="utf-8"?>
<formControlPr xmlns="http://schemas.microsoft.com/office/spreadsheetml/2009/9/main" objectType="CheckBox" checked="Checked" fmlaLink="BUFF!$N$13" lockText="1" noThreeD="1"/>
</file>

<file path=xl/ctrlProps/ctrlProp85.xml><?xml version="1.0" encoding="utf-8"?>
<formControlPr xmlns="http://schemas.microsoft.com/office/spreadsheetml/2009/9/main" objectType="CheckBox" fmlaLink="BUFF!$O$13" lockText="1" noThreeD="1"/>
</file>

<file path=xl/ctrlProps/ctrlProp86.xml><?xml version="1.0" encoding="utf-8"?>
<formControlPr xmlns="http://schemas.microsoft.com/office/spreadsheetml/2009/9/main" objectType="CheckBox" fmlaLink="BUFF!$P$13" lockText="1" noThreeD="1"/>
</file>

<file path=xl/ctrlProps/ctrlProp87.xml><?xml version="1.0" encoding="utf-8"?>
<formControlPr xmlns="http://schemas.microsoft.com/office/spreadsheetml/2009/9/main" objectType="CheckBox" checked="Checked" fmlaLink="BUFF!$B$2" lockText="1" noThreeD="1"/>
</file>

<file path=xl/ctrlProps/ctrlProp88.xml><?xml version="1.0" encoding="utf-8"?>
<formControlPr xmlns="http://schemas.microsoft.com/office/spreadsheetml/2009/9/main" objectType="CheckBox" checked="Checked" fmlaLink="BUFF!$C$2" lockText="1" noThreeD="1"/>
</file>

<file path=xl/ctrlProps/ctrlProp89.xml><?xml version="1.0" encoding="utf-8"?>
<formControlPr xmlns="http://schemas.microsoft.com/office/spreadsheetml/2009/9/main" objectType="CheckBox" fmlaLink="BUFF!$D$2" lockText="1" noThreeD="1"/>
</file>

<file path=xl/ctrlProps/ctrlProp9.xml><?xml version="1.0" encoding="utf-8"?>
<formControlPr xmlns="http://schemas.microsoft.com/office/spreadsheetml/2009/9/main" objectType="CheckBox" checked="Checked" fmlaLink="BUFF!$B$81" lockText="1" noThreeD="1"/>
</file>

<file path=xl/ctrlProps/ctrlProp90.xml><?xml version="1.0" encoding="utf-8"?>
<formControlPr xmlns="http://schemas.microsoft.com/office/spreadsheetml/2009/9/main" objectType="CheckBox" checked="Checked" fmlaLink="BUFF!$E$2" lockText="1" noThreeD="1"/>
</file>

<file path=xl/ctrlProps/ctrlProp91.xml><?xml version="1.0" encoding="utf-8"?>
<formControlPr xmlns="http://schemas.microsoft.com/office/spreadsheetml/2009/9/main" objectType="CheckBox" fmlaLink="BUFF!$F$2" lockText="1" noThreeD="1"/>
</file>

<file path=xl/ctrlProps/ctrlProp92.xml><?xml version="1.0" encoding="utf-8"?>
<formControlPr xmlns="http://schemas.microsoft.com/office/spreadsheetml/2009/9/main" objectType="CheckBox" checked="Checked" fmlaLink="BUFF!$G$2" lockText="1" noThreeD="1"/>
</file>

<file path=xl/ctrlProps/ctrlProp93.xml><?xml version="1.0" encoding="utf-8"?>
<formControlPr xmlns="http://schemas.microsoft.com/office/spreadsheetml/2009/9/main" objectType="CheckBox" checked="Checked" fmlaLink="BUFF!$K$2" lockText="1" noThreeD="1"/>
</file>

<file path=xl/ctrlProps/ctrlProp94.xml><?xml version="1.0" encoding="utf-8"?>
<formControlPr xmlns="http://schemas.microsoft.com/office/spreadsheetml/2009/9/main" objectType="CheckBox" fmlaLink="BUFF!$L$2" lockText="1" noThreeD="1"/>
</file>

<file path=xl/ctrlProps/ctrlProp95.xml><?xml version="1.0" encoding="utf-8"?>
<formControlPr xmlns="http://schemas.microsoft.com/office/spreadsheetml/2009/9/main" objectType="CheckBox" fmlaLink="BUFF!$M$2" lockText="1" noThreeD="1"/>
</file>

<file path=xl/ctrlProps/ctrlProp96.xml><?xml version="1.0" encoding="utf-8"?>
<formControlPr xmlns="http://schemas.microsoft.com/office/spreadsheetml/2009/9/main" objectType="CheckBox" checked="Checked" fmlaLink="BUFF!$N$2" lockText="1" noThreeD="1"/>
</file>

<file path=xl/ctrlProps/ctrlProp97.xml><?xml version="1.0" encoding="utf-8"?>
<formControlPr xmlns="http://schemas.microsoft.com/office/spreadsheetml/2009/9/main" objectType="CheckBox" checked="Checked" fmlaLink="BUFF!$O$2" lockText="1" noThreeD="1"/>
</file>

<file path=xl/ctrlProps/ctrlProp98.xml><?xml version="1.0" encoding="utf-8"?>
<formControlPr xmlns="http://schemas.microsoft.com/office/spreadsheetml/2009/9/main" objectType="CheckBox" checked="Checked" fmlaLink="BUFF!$P$2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12</xdr:row>
          <xdr:rowOff>180975</xdr:rowOff>
        </xdr:from>
        <xdr:to>
          <xdr:col>18</xdr:col>
          <xdr:colOff>762000</xdr:colOff>
          <xdr:row>13</xdr:row>
          <xdr:rowOff>200025</xdr:rowOff>
        </xdr:to>
        <xdr:grpSp>
          <xdr:nvGrpSpPr>
            <xdr:cNvPr id="17960" name="群組 1">
              <a:extLst>
                <a:ext uri="{FF2B5EF4-FFF2-40B4-BE49-F238E27FC236}">
                  <a16:creationId xmlns:a16="http://schemas.microsoft.com/office/drawing/2014/main" id="{00000000-0008-0000-0000-0000284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35478" y="2791946"/>
              <a:ext cx="4670051" cy="231961"/>
              <a:chOff x="14248532" y="2778169"/>
              <a:chExt cx="3699536" cy="251470"/>
            </a:xfrm>
          </xdr:grpSpPr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00000000-0008-0000-0000-00000A040000}"/>
                  </a:ext>
                </a:extLst>
              </xdr:cNvPr>
              <xdr:cNvSpPr/>
            </xdr:nvSpPr>
            <xdr:spPr bwMode="auto">
              <a:xfrm>
                <a:off x="14248532" y="2793998"/>
                <a:ext cx="581457" cy="23564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CD-1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  <a:ext uri="{FF2B5EF4-FFF2-40B4-BE49-F238E27FC236}">
                    <a16:creationId xmlns:a16="http://schemas.microsoft.com/office/drawing/2014/main" id="{00000000-0008-0000-0000-00000C040000}"/>
                  </a:ext>
                </a:extLst>
              </xdr:cNvPr>
              <xdr:cNvSpPr/>
            </xdr:nvSpPr>
            <xdr:spPr bwMode="auto">
              <a:xfrm>
                <a:off x="14834848" y="2800578"/>
                <a:ext cx="604866" cy="22687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3%</a:t>
                </a:r>
              </a:p>
            </xdr:txBody>
          </xdr:sp>
          <xdr:sp macro="" textlink="">
            <xdr:nvSpPr>
              <xdr:cNvPr id="1037" name="Check Box 13" hidden="1">
                <a:extLst>
                  <a:ext uri="{63B3BB69-23CF-44E3-9099-C40C66FF867C}">
                    <a14:compatExt spid="_x0000_s1037"/>
                  </a:ext>
                  <a:ext uri="{FF2B5EF4-FFF2-40B4-BE49-F238E27FC236}">
                    <a16:creationId xmlns:a16="http://schemas.microsoft.com/office/drawing/2014/main" id="{00000000-0008-0000-0000-00000D040000}"/>
                  </a:ext>
                </a:extLst>
              </xdr:cNvPr>
              <xdr:cNvSpPr/>
            </xdr:nvSpPr>
            <xdr:spPr bwMode="auto">
              <a:xfrm>
                <a:off x="15487973" y="2786716"/>
                <a:ext cx="569180" cy="23564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2%</a:t>
                </a:r>
              </a:p>
            </xdr:txBody>
          </xdr:sp>
          <xdr:sp macro="" textlink="">
            <xdr:nvSpPr>
              <xdr:cNvPr id="1038" name="Check Box 14" hidden="1">
                <a:extLst>
                  <a:ext uri="{63B3BB69-23CF-44E3-9099-C40C66FF867C}">
                    <a14:compatExt spid="_x0000_s1038"/>
                  </a:ext>
                  <a:ext uri="{FF2B5EF4-FFF2-40B4-BE49-F238E27FC236}">
                    <a16:creationId xmlns:a16="http://schemas.microsoft.com/office/drawing/2014/main" id="{00000000-0008-0000-0000-00000E040000}"/>
                  </a:ext>
                </a:extLst>
              </xdr:cNvPr>
              <xdr:cNvSpPr/>
            </xdr:nvSpPr>
            <xdr:spPr bwMode="auto">
              <a:xfrm>
                <a:off x="16102665" y="2785209"/>
                <a:ext cx="595085" cy="23564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5%</a:t>
                </a:r>
              </a:p>
            </xdr:txBody>
          </xdr:sp>
          <xdr:sp macro="" textlink="">
            <xdr:nvSpPr>
              <xdr:cNvPr id="1039" name="Check Box 15" hidden="1">
                <a:extLst>
                  <a:ext uri="{63B3BB69-23CF-44E3-9099-C40C66FF867C}">
                    <a14:compatExt spid="_x0000_s1039"/>
                  </a:ext>
                  <a:ext uri="{FF2B5EF4-FFF2-40B4-BE49-F238E27FC236}">
                    <a16:creationId xmlns:a16="http://schemas.microsoft.com/office/drawing/2014/main" id="{00000000-0008-0000-0000-00000F040000}"/>
                  </a:ext>
                </a:extLst>
              </xdr:cNvPr>
              <xdr:cNvSpPr/>
            </xdr:nvSpPr>
            <xdr:spPr bwMode="auto">
              <a:xfrm>
                <a:off x="16747652" y="2787510"/>
                <a:ext cx="598411" cy="23564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4%</a:t>
                </a:r>
              </a:p>
            </xdr:txBody>
          </xdr:sp>
          <xdr:sp macro="" textlink="">
            <xdr:nvSpPr>
              <xdr:cNvPr id="1040" name="Check Box 16" hidden="1">
                <a:extLst>
                  <a:ext uri="{63B3BB69-23CF-44E3-9099-C40C66FF867C}">
                    <a14:compatExt spid="_x0000_s1040"/>
                  </a:ext>
                  <a:ext uri="{FF2B5EF4-FFF2-40B4-BE49-F238E27FC236}">
                    <a16:creationId xmlns:a16="http://schemas.microsoft.com/office/drawing/2014/main" id="{00000000-0008-0000-0000-000010040000}"/>
                  </a:ext>
                </a:extLst>
              </xdr:cNvPr>
              <xdr:cNvSpPr/>
            </xdr:nvSpPr>
            <xdr:spPr bwMode="auto">
              <a:xfrm>
                <a:off x="17396945" y="2778169"/>
                <a:ext cx="551123" cy="23564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3%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14</xdr:row>
          <xdr:rowOff>161925</xdr:rowOff>
        </xdr:from>
        <xdr:to>
          <xdr:col>20</xdr:col>
          <xdr:colOff>66675</xdr:colOff>
          <xdr:row>16</xdr:row>
          <xdr:rowOff>66675</xdr:rowOff>
        </xdr:to>
        <xdr:grpSp>
          <xdr:nvGrpSpPr>
            <xdr:cNvPr id="17961" name="群組 2">
              <a:extLst>
                <a:ext uri="{FF2B5EF4-FFF2-40B4-BE49-F238E27FC236}">
                  <a16:creationId xmlns:a16="http://schemas.microsoft.com/office/drawing/2014/main" id="{00000000-0008-0000-0000-0000294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54528" y="3198719"/>
              <a:ext cx="5513294" cy="330574"/>
              <a:chOff x="14217418" y="3205093"/>
              <a:chExt cx="4064092" cy="258581"/>
            </a:xfrm>
          </xdr:grpSpPr>
          <xdr:sp macro="" textlink="">
            <xdr:nvSpPr>
              <xdr:cNvPr id="1041" name="Check Box 17" hidden="1">
                <a:extLst>
                  <a:ext uri="{63B3BB69-23CF-44E3-9099-C40C66FF867C}">
                    <a14:compatExt spid="_x0000_s1041"/>
                  </a:ext>
                  <a:ext uri="{FF2B5EF4-FFF2-40B4-BE49-F238E27FC236}">
                    <a16:creationId xmlns:a16="http://schemas.microsoft.com/office/drawing/2014/main" id="{00000000-0008-0000-0000-000011040000}"/>
                  </a:ext>
                </a:extLst>
              </xdr:cNvPr>
              <xdr:cNvSpPr/>
            </xdr:nvSpPr>
            <xdr:spPr bwMode="auto">
              <a:xfrm>
                <a:off x="14217418" y="3207677"/>
                <a:ext cx="563876" cy="25599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5%</a:t>
                </a:r>
              </a:p>
            </xdr:txBody>
          </xdr:sp>
          <xdr:sp macro="" textlink="">
            <xdr:nvSpPr>
              <xdr:cNvPr id="1042" name="Check Box 18" hidden="1">
                <a:extLst>
                  <a:ext uri="{63B3BB69-23CF-44E3-9099-C40C66FF867C}">
                    <a14:compatExt spid="_x0000_s1042"/>
                  </a:ext>
                  <a:ext uri="{FF2B5EF4-FFF2-40B4-BE49-F238E27FC236}">
                    <a16:creationId xmlns:a16="http://schemas.microsoft.com/office/drawing/2014/main" id="{00000000-0008-0000-0000-000012040000}"/>
                  </a:ext>
                </a:extLst>
              </xdr:cNvPr>
              <xdr:cNvSpPr/>
            </xdr:nvSpPr>
            <xdr:spPr bwMode="auto">
              <a:xfrm>
                <a:off x="14782344" y="3205908"/>
                <a:ext cx="850656" cy="25351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4%</a:t>
                </a:r>
              </a:p>
            </xdr:txBody>
          </xdr:sp>
          <xdr:sp macro="" textlink="">
            <xdr:nvSpPr>
              <xdr:cNvPr id="1043" name="Check Box 19" hidden="1">
                <a:extLst>
                  <a:ext uri="{63B3BB69-23CF-44E3-9099-C40C66FF867C}">
                    <a14:compatExt spid="_x0000_s1043"/>
                  </a:ext>
                  <a:ext uri="{FF2B5EF4-FFF2-40B4-BE49-F238E27FC236}">
                    <a16:creationId xmlns:a16="http://schemas.microsoft.com/office/drawing/2014/main" id="{00000000-0008-0000-0000-000013040000}"/>
                  </a:ext>
                </a:extLst>
              </xdr:cNvPr>
              <xdr:cNvSpPr/>
            </xdr:nvSpPr>
            <xdr:spPr bwMode="auto">
              <a:xfrm>
                <a:off x="15352270" y="3205093"/>
                <a:ext cx="576634" cy="25351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3%</a:t>
                </a:r>
              </a:p>
            </xdr:txBody>
          </xdr:sp>
          <xdr:sp macro="" textlink="">
            <xdr:nvSpPr>
              <xdr:cNvPr id="1044" name="Check Box 20" hidden="1">
                <a:extLst>
                  <a:ext uri="{63B3BB69-23CF-44E3-9099-C40C66FF867C}">
                    <a14:compatExt spid="_x0000_s1044"/>
                  </a:ext>
                  <a:ext uri="{FF2B5EF4-FFF2-40B4-BE49-F238E27FC236}">
                    <a16:creationId xmlns:a16="http://schemas.microsoft.com/office/drawing/2014/main" id="{00000000-0008-0000-0000-000014040000}"/>
                  </a:ext>
                </a:extLst>
              </xdr:cNvPr>
              <xdr:cNvSpPr/>
            </xdr:nvSpPr>
            <xdr:spPr bwMode="auto">
              <a:xfrm>
                <a:off x="15920159" y="3206878"/>
                <a:ext cx="554298" cy="25351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4%</a:t>
                </a:r>
              </a:p>
            </xdr:txBody>
          </xdr:sp>
          <xdr:sp macro="" textlink="">
            <xdr:nvSpPr>
              <xdr:cNvPr id="1045" name="Check Box 21" hidden="1">
                <a:extLst>
                  <a:ext uri="{63B3BB69-23CF-44E3-9099-C40C66FF867C}">
                    <a14:compatExt spid="_x0000_s1045"/>
                  </a:ext>
                  <a:ext uri="{FF2B5EF4-FFF2-40B4-BE49-F238E27FC236}">
                    <a16:creationId xmlns:a16="http://schemas.microsoft.com/office/drawing/2014/main" id="{00000000-0008-0000-0000-000015040000}"/>
                  </a:ext>
                </a:extLst>
              </xdr:cNvPr>
              <xdr:cNvSpPr/>
            </xdr:nvSpPr>
            <xdr:spPr bwMode="auto">
              <a:xfrm>
                <a:off x="16492981" y="3210328"/>
                <a:ext cx="562017" cy="25058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3%</a:t>
                </a:r>
              </a:p>
            </xdr:txBody>
          </xdr:sp>
          <xdr:sp macro="" textlink="">
            <xdr:nvSpPr>
              <xdr:cNvPr id="1046" name="Check Box 22" hidden="1">
                <a:extLst>
                  <a:ext uri="{63B3BB69-23CF-44E3-9099-C40C66FF867C}">
                    <a14:compatExt spid="_x0000_s1046"/>
                  </a:ext>
                  <a:ext uri="{FF2B5EF4-FFF2-40B4-BE49-F238E27FC236}">
                    <a16:creationId xmlns:a16="http://schemas.microsoft.com/office/drawing/2014/main" id="{00000000-0008-0000-0000-000016040000}"/>
                  </a:ext>
                </a:extLst>
              </xdr:cNvPr>
              <xdr:cNvSpPr/>
            </xdr:nvSpPr>
            <xdr:spPr bwMode="auto">
              <a:xfrm>
                <a:off x="17118142" y="3205146"/>
                <a:ext cx="1163368" cy="25351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施展後外攻+20%持續8秒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19</xdr:row>
          <xdr:rowOff>19050</xdr:rowOff>
        </xdr:from>
        <xdr:to>
          <xdr:col>20</xdr:col>
          <xdr:colOff>409575</xdr:colOff>
          <xdr:row>19</xdr:row>
          <xdr:rowOff>190500</xdr:rowOff>
        </xdr:to>
        <xdr:grpSp>
          <xdr:nvGrpSpPr>
            <xdr:cNvPr id="17962" name="群組 17">
              <a:extLst>
                <a:ext uri="{FF2B5EF4-FFF2-40B4-BE49-F238E27FC236}">
                  <a16:creationId xmlns:a16="http://schemas.microsoft.com/office/drawing/2014/main" id="{00000000-0008-0000-0000-00002A4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35478" y="4120403"/>
              <a:ext cx="5875244" cy="171450"/>
              <a:chOff x="14264021" y="3189584"/>
              <a:chExt cx="4701170" cy="324856"/>
            </a:xfrm>
          </xdr:grpSpPr>
          <xdr:sp macro="" textlink="">
            <xdr:nvSpPr>
              <xdr:cNvPr id="1066" name="Check Box 42" hidden="1">
                <a:extLst>
                  <a:ext uri="{63B3BB69-23CF-44E3-9099-C40C66FF867C}">
                    <a14:compatExt spid="_x0000_s1066"/>
                  </a:ext>
                  <a:ext uri="{FF2B5EF4-FFF2-40B4-BE49-F238E27FC236}">
                    <a16:creationId xmlns:a16="http://schemas.microsoft.com/office/drawing/2014/main" id="{00000000-0008-0000-0000-00002A040000}"/>
                  </a:ext>
                </a:extLst>
              </xdr:cNvPr>
              <xdr:cNvSpPr/>
            </xdr:nvSpPr>
            <xdr:spPr bwMode="auto">
              <a:xfrm>
                <a:off x="14264021" y="3233743"/>
                <a:ext cx="616890" cy="25599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4%</a:t>
                </a:r>
              </a:p>
            </xdr:txBody>
          </xdr:sp>
          <xdr:sp macro="" textlink="">
            <xdr:nvSpPr>
              <xdr:cNvPr id="1067" name="Check Box 43" hidden="1">
                <a:extLst>
                  <a:ext uri="{63B3BB69-23CF-44E3-9099-C40C66FF867C}">
                    <a14:compatExt spid="_x0000_s1067"/>
                  </a:ext>
                  <a:ext uri="{FF2B5EF4-FFF2-40B4-BE49-F238E27FC236}">
                    <a16:creationId xmlns:a16="http://schemas.microsoft.com/office/drawing/2014/main" id="{00000000-0008-0000-0000-00002B040000}"/>
                  </a:ext>
                </a:extLst>
              </xdr:cNvPr>
              <xdr:cNvSpPr/>
            </xdr:nvSpPr>
            <xdr:spPr bwMode="auto">
              <a:xfrm>
                <a:off x="14906625" y="3223845"/>
                <a:ext cx="572644" cy="25351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3%</a:t>
                </a:r>
              </a:p>
            </xdr:txBody>
          </xdr:sp>
          <xdr:sp macro="" textlink="">
            <xdr:nvSpPr>
              <xdr:cNvPr id="1068" name="Check Box 44" hidden="1">
                <a:extLst>
                  <a:ext uri="{63B3BB69-23CF-44E3-9099-C40C66FF867C}">
                    <a14:compatExt spid="_x0000_s1068"/>
                  </a:ext>
                  <a:ext uri="{FF2B5EF4-FFF2-40B4-BE49-F238E27FC236}">
                    <a16:creationId xmlns:a16="http://schemas.microsoft.com/office/drawing/2014/main" id="{00000000-0008-0000-0000-00002C040000}"/>
                  </a:ext>
                </a:extLst>
              </xdr:cNvPr>
              <xdr:cNvSpPr/>
            </xdr:nvSpPr>
            <xdr:spPr bwMode="auto">
              <a:xfrm>
                <a:off x="15478391" y="3189590"/>
                <a:ext cx="591466" cy="3248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5%</a:t>
                </a:r>
              </a:p>
            </xdr:txBody>
          </xdr:sp>
          <xdr:sp macro="" textlink="">
            <xdr:nvSpPr>
              <xdr:cNvPr id="1069" name="Check Box 45" hidden="1">
                <a:extLst>
                  <a:ext uri="{63B3BB69-23CF-44E3-9099-C40C66FF867C}">
                    <a14:compatExt spid="_x0000_s1069"/>
                  </a:ext>
                  <a:ext uri="{FF2B5EF4-FFF2-40B4-BE49-F238E27FC236}">
                    <a16:creationId xmlns:a16="http://schemas.microsoft.com/office/drawing/2014/main" id="{00000000-0008-0000-0000-00002D040000}"/>
                  </a:ext>
                </a:extLst>
              </xdr:cNvPr>
              <xdr:cNvSpPr/>
            </xdr:nvSpPr>
            <xdr:spPr bwMode="auto">
              <a:xfrm>
                <a:off x="16117278" y="3189584"/>
                <a:ext cx="543165" cy="32485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4%</a:t>
                </a:r>
              </a:p>
            </xdr:txBody>
          </xdr:sp>
          <xdr:sp macro="" textlink="">
            <xdr:nvSpPr>
              <xdr:cNvPr id="1070" name="Check Box 46" hidden="1">
                <a:extLst>
                  <a:ext uri="{63B3BB69-23CF-44E3-9099-C40C66FF867C}">
                    <a14:compatExt spid="_x0000_s1070"/>
                  </a:ext>
                  <a:ext uri="{FF2B5EF4-FFF2-40B4-BE49-F238E27FC236}">
                    <a16:creationId xmlns:a16="http://schemas.microsoft.com/office/drawing/2014/main" id="{00000000-0008-0000-0000-00002E040000}"/>
                  </a:ext>
                </a:extLst>
              </xdr:cNvPr>
              <xdr:cNvSpPr/>
            </xdr:nvSpPr>
            <xdr:spPr bwMode="auto">
              <a:xfrm>
                <a:off x="16772461" y="3225800"/>
                <a:ext cx="564048" cy="25058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2%</a:t>
                </a:r>
              </a:p>
            </xdr:txBody>
          </xdr:sp>
          <xdr:sp macro="" textlink="">
            <xdr:nvSpPr>
              <xdr:cNvPr id="1071" name="Check Box 47" hidden="1">
                <a:extLst>
                  <a:ext uri="{63B3BB69-23CF-44E3-9099-C40C66FF867C}">
                    <a14:compatExt spid="_x0000_s1071"/>
                  </a:ext>
                  <a:ext uri="{FF2B5EF4-FFF2-40B4-BE49-F238E27FC236}">
                    <a16:creationId xmlns:a16="http://schemas.microsoft.com/office/drawing/2014/main" id="{00000000-0008-0000-0000-00002F040000}"/>
                  </a:ext>
                </a:extLst>
              </xdr:cNvPr>
              <xdr:cNvSpPr/>
            </xdr:nvSpPr>
            <xdr:spPr bwMode="auto">
              <a:xfrm>
                <a:off x="17400160" y="3228487"/>
                <a:ext cx="1565031" cy="25351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招式會心後額外獲得3%內力值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3</xdr:row>
          <xdr:rowOff>9525</xdr:rowOff>
        </xdr:from>
        <xdr:to>
          <xdr:col>13</xdr:col>
          <xdr:colOff>647700</xdr:colOff>
          <xdr:row>3</xdr:row>
          <xdr:rowOff>209550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有攸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</xdr:row>
          <xdr:rowOff>190500</xdr:rowOff>
        </xdr:from>
        <xdr:to>
          <xdr:col>14</xdr:col>
          <xdr:colOff>57150</xdr:colOff>
          <xdr:row>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酒中仙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</xdr:row>
          <xdr:rowOff>15</xdr:rowOff>
        </xdr:from>
        <xdr:to>
          <xdr:col>19</xdr:col>
          <xdr:colOff>600081</xdr:colOff>
          <xdr:row>22</xdr:row>
          <xdr:rowOff>13</xdr:rowOff>
        </xdr:to>
        <xdr:grpSp>
          <xdr:nvGrpSpPr>
            <xdr:cNvPr id="17963" name="群組 3">
              <a:extLst>
                <a:ext uri="{FF2B5EF4-FFF2-40B4-BE49-F238E27FC236}">
                  <a16:creationId xmlns:a16="http://schemas.microsoft.com/office/drawing/2014/main" id="{00000000-0008-0000-0000-00002B4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35478" y="4527191"/>
              <a:ext cx="5281338" cy="212910"/>
              <a:chOff x="14298702" y="4392707"/>
              <a:chExt cx="4911190" cy="395001"/>
            </a:xfrm>
          </xdr:grpSpPr>
          <xdr:grpSp>
            <xdr:nvGrpSpPr>
              <xdr:cNvPr id="17975" name="群組 33">
                <a:extLst>
                  <a:ext uri="{FF2B5EF4-FFF2-40B4-BE49-F238E27FC236}">
                    <a16:creationId xmlns:a16="http://schemas.microsoft.com/office/drawing/2014/main" id="{00000000-0008-0000-0000-00003746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4298702" y="4392707"/>
                <a:ext cx="4280645" cy="394179"/>
                <a:chOff x="14263966" y="2603510"/>
                <a:chExt cx="3487445" cy="432580"/>
              </a:xfrm>
            </xdr:grpSpPr>
            <xdr:sp macro="" textlink="">
              <xdr:nvSpPr>
                <xdr:cNvPr id="1101" name="Check Box 77" hidden="1">
                  <a:extLst>
                    <a:ext uri="{63B3BB69-23CF-44E3-9099-C40C66FF867C}">
                      <a14:compatExt spid="_x0000_s1101"/>
                    </a:ext>
                    <a:ext uri="{FF2B5EF4-FFF2-40B4-BE49-F238E27FC236}">
                      <a16:creationId xmlns:a16="http://schemas.microsoft.com/office/drawing/2014/main" id="{00000000-0008-0000-0000-00004D040000}"/>
                    </a:ext>
                  </a:extLst>
                </xdr:cNvPr>
                <xdr:cNvSpPr/>
              </xdr:nvSpPr>
              <xdr:spPr bwMode="auto">
                <a:xfrm>
                  <a:off x="14263966" y="2689577"/>
                  <a:ext cx="501337" cy="29514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CD-1</a:t>
                  </a:r>
                </a:p>
              </xdr:txBody>
            </xdr:sp>
            <xdr:sp macro="" textlink="">
              <xdr:nvSpPr>
                <xdr:cNvPr id="1102" name="Check Box 78" hidden="1">
                  <a:extLst>
                    <a:ext uri="{63B3BB69-23CF-44E3-9099-C40C66FF867C}">
                      <a14:compatExt spid="_x0000_s1102"/>
                    </a:ext>
                    <a:ext uri="{FF2B5EF4-FFF2-40B4-BE49-F238E27FC236}">
                      <a16:creationId xmlns:a16="http://schemas.microsoft.com/office/drawing/2014/main" id="{00000000-0008-0000-0000-00004E040000}"/>
                    </a:ext>
                  </a:extLst>
                </xdr:cNvPr>
                <xdr:cNvSpPr/>
              </xdr:nvSpPr>
              <xdr:spPr bwMode="auto">
                <a:xfrm>
                  <a:off x="14876520" y="2657059"/>
                  <a:ext cx="500710" cy="33138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CD-1</a:t>
                  </a:r>
                </a:p>
              </xdr:txBody>
            </xdr:sp>
            <xdr:sp macro="" textlink="">
              <xdr:nvSpPr>
                <xdr:cNvPr id="1103" name="Check Box 79" hidden="1">
                  <a:extLst>
                    <a:ext uri="{63B3BB69-23CF-44E3-9099-C40C66FF867C}">
                      <a14:compatExt spid="_x0000_s1103"/>
                    </a:ext>
                    <a:ext uri="{FF2B5EF4-FFF2-40B4-BE49-F238E27FC236}">
                      <a16:creationId xmlns:a16="http://schemas.microsoft.com/office/drawing/2014/main" id="{00000000-0008-0000-0000-00004F040000}"/>
                    </a:ext>
                  </a:extLst>
                </xdr:cNvPr>
                <xdr:cNvSpPr/>
              </xdr:nvSpPr>
              <xdr:spPr bwMode="auto">
                <a:xfrm>
                  <a:off x="15431595" y="2652687"/>
                  <a:ext cx="557559" cy="35662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傷害 5%</a:t>
                  </a:r>
                </a:p>
              </xdr:txBody>
            </xdr:sp>
            <xdr:sp macro="" textlink="">
              <xdr:nvSpPr>
                <xdr:cNvPr id="1104" name="Check Box 80" hidden="1">
                  <a:extLst>
                    <a:ext uri="{63B3BB69-23CF-44E3-9099-C40C66FF867C}">
                      <a14:compatExt spid="_x0000_s1104"/>
                    </a:ext>
                    <a:ext uri="{FF2B5EF4-FFF2-40B4-BE49-F238E27FC236}">
                      <a16:creationId xmlns:a16="http://schemas.microsoft.com/office/drawing/2014/main" id="{00000000-0008-0000-0000-000050040000}"/>
                    </a:ext>
                  </a:extLst>
                </xdr:cNvPr>
                <xdr:cNvSpPr/>
              </xdr:nvSpPr>
              <xdr:spPr bwMode="auto">
                <a:xfrm>
                  <a:off x="17243702" y="2628095"/>
                  <a:ext cx="507709" cy="393521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距離-1</a:t>
                  </a:r>
                </a:p>
              </xdr:txBody>
            </xdr:sp>
            <xdr:sp macro="" textlink="">
              <xdr:nvSpPr>
                <xdr:cNvPr id="1105" name="Check Box 81" hidden="1">
                  <a:extLst>
                    <a:ext uri="{63B3BB69-23CF-44E3-9099-C40C66FF867C}">
                      <a14:compatExt spid="_x0000_s1105"/>
                    </a:ext>
                    <a:ext uri="{FF2B5EF4-FFF2-40B4-BE49-F238E27FC236}">
                      <a16:creationId xmlns:a16="http://schemas.microsoft.com/office/drawing/2014/main" id="{00000000-0008-0000-0000-000051040000}"/>
                    </a:ext>
                  </a:extLst>
                </xdr:cNvPr>
                <xdr:cNvSpPr/>
              </xdr:nvSpPr>
              <xdr:spPr bwMode="auto">
                <a:xfrm>
                  <a:off x="16044201" y="2631639"/>
                  <a:ext cx="497897" cy="404451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傷害 4%</a:t>
                  </a:r>
                </a:p>
              </xdr:txBody>
            </xdr:sp>
            <xdr:sp macro="" textlink="">
              <xdr:nvSpPr>
                <xdr:cNvPr id="1106" name="Check Box 82" hidden="1">
                  <a:extLst>
                    <a:ext uri="{63B3BB69-23CF-44E3-9099-C40C66FF867C}">
                      <a14:compatExt spid="_x0000_s1106"/>
                    </a:ext>
                    <a:ext uri="{FF2B5EF4-FFF2-40B4-BE49-F238E27FC236}">
                      <a16:creationId xmlns:a16="http://schemas.microsoft.com/office/drawing/2014/main" id="{00000000-0008-0000-0000-000052040000}"/>
                    </a:ext>
                  </a:extLst>
                </xdr:cNvPr>
                <xdr:cNvSpPr/>
              </xdr:nvSpPr>
              <xdr:spPr bwMode="auto">
                <a:xfrm>
                  <a:off x="16656329" y="2603510"/>
                  <a:ext cx="519812" cy="4304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傷害 3%</a:t>
                  </a:r>
                </a:p>
              </xdr:txBody>
            </xdr:sp>
          </xdr:grpSp>
          <xdr:sp macro="" textlink="">
            <xdr:nvSpPr>
              <xdr:cNvPr id="1107" name="Check Box 83" hidden="1">
                <a:extLst>
                  <a:ext uri="{63B3BB69-23CF-44E3-9099-C40C66FF867C}">
                    <a14:compatExt spid="_x0000_s1107"/>
                  </a:ext>
                  <a:ext uri="{FF2B5EF4-FFF2-40B4-BE49-F238E27FC236}">
                    <a16:creationId xmlns:a16="http://schemas.microsoft.com/office/drawing/2014/main" id="{00000000-0008-0000-0000-000053040000}"/>
                  </a:ext>
                </a:extLst>
              </xdr:cNvPr>
              <xdr:cNvSpPr/>
            </xdr:nvSpPr>
            <xdr:spPr bwMode="auto">
              <a:xfrm>
                <a:off x="18583483" y="4428561"/>
                <a:ext cx="626409" cy="35914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距離-1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</xdr:colOff>
          <xdr:row>22</xdr:row>
          <xdr:rowOff>171450</xdr:rowOff>
        </xdr:from>
        <xdr:to>
          <xdr:col>19</xdr:col>
          <xdr:colOff>590553</xdr:colOff>
          <xdr:row>24</xdr:row>
          <xdr:rowOff>66675</xdr:rowOff>
        </xdr:to>
        <xdr:grpSp>
          <xdr:nvGrpSpPr>
            <xdr:cNvPr id="17964" name="群組 42">
              <a:extLst>
                <a:ext uri="{FF2B5EF4-FFF2-40B4-BE49-F238E27FC236}">
                  <a16:creationId xmlns:a16="http://schemas.microsoft.com/office/drawing/2014/main" id="{00000000-0008-0000-0000-00002C4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387857" y="4911538"/>
              <a:ext cx="5319431" cy="321049"/>
              <a:chOff x="14298712" y="4392705"/>
              <a:chExt cx="4959836" cy="392207"/>
            </a:xfrm>
          </xdr:grpSpPr>
          <xdr:grpSp>
            <xdr:nvGrpSpPr>
              <xdr:cNvPr id="17974" name="群組 43">
                <a:extLst>
                  <a:ext uri="{FF2B5EF4-FFF2-40B4-BE49-F238E27FC236}">
                    <a16:creationId xmlns:a16="http://schemas.microsoft.com/office/drawing/2014/main" id="{00000000-0008-0000-0000-00003646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4298712" y="4392705"/>
                <a:ext cx="4348760" cy="392207"/>
                <a:chOff x="14263967" y="2603498"/>
                <a:chExt cx="3542937" cy="430414"/>
              </a:xfrm>
            </xdr:grpSpPr>
            <xdr:sp macro="" textlink="">
              <xdr:nvSpPr>
                <xdr:cNvPr id="1108" name="Check Box 84" hidden="1">
                  <a:extLst>
                    <a:ext uri="{63B3BB69-23CF-44E3-9099-C40C66FF867C}">
                      <a14:compatExt spid="_x0000_s1108"/>
                    </a:ext>
                    <a:ext uri="{FF2B5EF4-FFF2-40B4-BE49-F238E27FC236}">
                      <a16:creationId xmlns:a16="http://schemas.microsoft.com/office/drawing/2014/main" id="{00000000-0008-0000-0000-000054040000}"/>
                    </a:ext>
                  </a:extLst>
                </xdr:cNvPr>
                <xdr:cNvSpPr/>
              </xdr:nvSpPr>
              <xdr:spPr bwMode="auto">
                <a:xfrm>
                  <a:off x="14263967" y="2689578"/>
                  <a:ext cx="776070" cy="29514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額外 10% 內力</a:t>
                  </a:r>
                </a:p>
              </xdr:txBody>
            </xdr:sp>
            <xdr:sp macro="" textlink="">
              <xdr:nvSpPr>
                <xdr:cNvPr id="1109" name="Check Box 85" hidden="1">
                  <a:extLst>
                    <a:ext uri="{63B3BB69-23CF-44E3-9099-C40C66FF867C}">
                      <a14:compatExt spid="_x0000_s1109"/>
                    </a:ext>
                    <a:ext uri="{FF2B5EF4-FFF2-40B4-BE49-F238E27FC236}">
                      <a16:creationId xmlns:a16="http://schemas.microsoft.com/office/drawing/2014/main" id="{00000000-0008-0000-0000-000055040000}"/>
                    </a:ext>
                  </a:extLst>
                </xdr:cNvPr>
                <xdr:cNvSpPr/>
              </xdr:nvSpPr>
              <xdr:spPr bwMode="auto">
                <a:xfrm>
                  <a:off x="15057385" y="2667169"/>
                  <a:ext cx="492642" cy="331386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範圍+1</a:t>
                  </a:r>
                </a:p>
              </xdr:txBody>
            </xdr:sp>
            <xdr:sp macro="" textlink="">
              <xdr:nvSpPr>
                <xdr:cNvPr id="1110" name="Check Box 86" hidden="1">
                  <a:extLst>
                    <a:ext uri="{63B3BB69-23CF-44E3-9099-C40C66FF867C}">
                      <a14:compatExt spid="_x0000_s1110"/>
                    </a:ext>
                    <a:ext uri="{FF2B5EF4-FFF2-40B4-BE49-F238E27FC236}">
                      <a16:creationId xmlns:a16="http://schemas.microsoft.com/office/drawing/2014/main" id="{00000000-0008-0000-0000-000056040000}"/>
                    </a:ext>
                  </a:extLst>
                </xdr:cNvPr>
                <xdr:cNvSpPr/>
              </xdr:nvSpPr>
              <xdr:spPr bwMode="auto">
                <a:xfrm>
                  <a:off x="15556410" y="2652688"/>
                  <a:ext cx="533170" cy="35662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傷害 5%</a:t>
                  </a:r>
                </a:p>
              </xdr:txBody>
            </xdr:sp>
            <xdr:sp macro="" textlink="">
              <xdr:nvSpPr>
                <xdr:cNvPr id="1111" name="Check Box 87" hidden="1">
                  <a:extLst>
                    <a:ext uri="{63B3BB69-23CF-44E3-9099-C40C66FF867C}">
                      <a14:compatExt spid="_x0000_s1111"/>
                    </a:ext>
                    <a:ext uri="{FF2B5EF4-FFF2-40B4-BE49-F238E27FC236}">
                      <a16:creationId xmlns:a16="http://schemas.microsoft.com/office/drawing/2014/main" id="{00000000-0008-0000-0000-000057040000}"/>
                    </a:ext>
                  </a:extLst>
                </xdr:cNvPr>
                <xdr:cNvSpPr/>
              </xdr:nvSpPr>
              <xdr:spPr bwMode="auto">
                <a:xfrm>
                  <a:off x="17299195" y="2628094"/>
                  <a:ext cx="507709" cy="39351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個數+1</a:t>
                  </a:r>
                </a:p>
              </xdr:txBody>
            </xdr:sp>
            <xdr:sp macro="" textlink="">
              <xdr:nvSpPr>
                <xdr:cNvPr id="1112" name="Check Box 88" hidden="1">
                  <a:extLst>
                    <a:ext uri="{63B3BB69-23CF-44E3-9099-C40C66FF867C}">
                      <a14:compatExt spid="_x0000_s1112"/>
                    </a:ext>
                    <a:ext uri="{FF2B5EF4-FFF2-40B4-BE49-F238E27FC236}">
                      <a16:creationId xmlns:a16="http://schemas.microsoft.com/office/drawing/2014/main" id="{00000000-0008-0000-0000-000058040000}"/>
                    </a:ext>
                  </a:extLst>
                </xdr:cNvPr>
                <xdr:cNvSpPr/>
              </xdr:nvSpPr>
              <xdr:spPr bwMode="auto">
                <a:xfrm>
                  <a:off x="16120398" y="2621536"/>
                  <a:ext cx="553083" cy="404452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傷害 4%</a:t>
                  </a:r>
                </a:p>
              </xdr:txBody>
            </xdr:sp>
            <xdr:sp macro="" textlink="">
              <xdr:nvSpPr>
                <xdr:cNvPr id="1113" name="Check Box 89" hidden="1">
                  <a:extLst>
                    <a:ext uri="{63B3BB69-23CF-44E3-9099-C40C66FF867C}">
                      <a14:compatExt spid="_x0000_s1113"/>
                    </a:ext>
                    <a:ext uri="{FF2B5EF4-FFF2-40B4-BE49-F238E27FC236}">
                      <a16:creationId xmlns:a16="http://schemas.microsoft.com/office/drawing/2014/main" id="{00000000-0008-0000-0000-000059040000}"/>
                    </a:ext>
                  </a:extLst>
                </xdr:cNvPr>
                <xdr:cNvSpPr/>
              </xdr:nvSpPr>
              <xdr:spPr bwMode="auto">
                <a:xfrm>
                  <a:off x="16719750" y="2603498"/>
                  <a:ext cx="564663" cy="4304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傷害 3%</a:t>
                  </a:r>
                </a:p>
              </xdr:txBody>
            </xdr:sp>
          </xdr:grpSp>
          <xdr:sp macro="" textlink="">
            <xdr:nvSpPr>
              <xdr:cNvPr id="1114" name="Check Box 90" hidden="1">
                <a:extLst>
                  <a:ext uri="{63B3BB69-23CF-44E3-9099-C40C66FF867C}">
                    <a14:compatExt spid="_x0000_s1114"/>
                  </a:ext>
                  <a:ext uri="{FF2B5EF4-FFF2-40B4-BE49-F238E27FC236}">
                    <a16:creationId xmlns:a16="http://schemas.microsoft.com/office/drawing/2014/main" id="{00000000-0008-0000-0000-00005A040000}"/>
                  </a:ext>
                </a:extLst>
              </xdr:cNvPr>
              <xdr:cNvSpPr/>
            </xdr:nvSpPr>
            <xdr:spPr bwMode="auto">
              <a:xfrm>
                <a:off x="18632139" y="4410138"/>
                <a:ext cx="626409" cy="35914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個數+1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</xdr:colOff>
          <xdr:row>24</xdr:row>
          <xdr:rowOff>190459</xdr:rowOff>
        </xdr:from>
        <xdr:to>
          <xdr:col>21</xdr:col>
          <xdr:colOff>104771</xdr:colOff>
          <xdr:row>26</xdr:row>
          <xdr:rowOff>95209</xdr:rowOff>
        </xdr:to>
        <xdr:grpSp>
          <xdr:nvGrpSpPr>
            <xdr:cNvPr id="17965" name="群組 5">
              <a:extLst>
                <a:ext uri="{FF2B5EF4-FFF2-40B4-BE49-F238E27FC236}">
                  <a16:creationId xmlns:a16="http://schemas.microsoft.com/office/drawing/2014/main" id="{00000000-0008-0000-0000-00002D4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387854" y="5356371"/>
              <a:ext cx="6402476" cy="330573"/>
              <a:chOff x="9867901" y="5172026"/>
              <a:chExt cx="6286495" cy="405458"/>
            </a:xfrm>
          </xdr:grpSpPr>
          <xdr:grpSp>
            <xdr:nvGrpSpPr>
              <xdr:cNvPr id="17972" name="群組 4">
                <a:extLst>
                  <a:ext uri="{FF2B5EF4-FFF2-40B4-BE49-F238E27FC236}">
                    <a16:creationId xmlns:a16="http://schemas.microsoft.com/office/drawing/2014/main" id="{00000000-0008-0000-0000-00003446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867901" y="5172026"/>
                <a:ext cx="4991099" cy="405458"/>
                <a:chOff x="9867901" y="5172026"/>
                <a:chExt cx="4991099" cy="405458"/>
              </a:xfrm>
            </xdr:grpSpPr>
            <xdr:grpSp>
              <xdr:nvGrpSpPr>
                <xdr:cNvPr id="17973" name="群組 52">
                  <a:extLst>
                    <a:ext uri="{FF2B5EF4-FFF2-40B4-BE49-F238E27FC236}">
                      <a16:creationId xmlns:a16="http://schemas.microsoft.com/office/drawing/2014/main" id="{00000000-0008-0000-0000-00003546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9867901" y="5172026"/>
                  <a:ext cx="4322291" cy="405458"/>
                  <a:chOff x="14263968" y="2603459"/>
                  <a:chExt cx="3027153" cy="430415"/>
                </a:xfrm>
              </xdr:grpSpPr>
              <xdr:sp macro="" textlink="">
                <xdr:nvSpPr>
                  <xdr:cNvPr id="1145" name="Check Box 121" hidden="1">
                    <a:extLst>
                      <a:ext uri="{63B3BB69-23CF-44E3-9099-C40C66FF867C}">
                        <a14:compatExt spid="_x0000_s1145"/>
                      </a:ext>
                      <a:ext uri="{FF2B5EF4-FFF2-40B4-BE49-F238E27FC236}">
                        <a16:creationId xmlns:a16="http://schemas.microsoft.com/office/drawing/2014/main" id="{00000000-0008-0000-0000-000079040000}"/>
                      </a:ext>
                    </a:extLst>
                  </xdr:cNvPr>
                  <xdr:cNvSpPr/>
                </xdr:nvSpPr>
                <xdr:spPr bwMode="auto">
                  <a:xfrm>
                    <a:off x="14263968" y="2689578"/>
                    <a:ext cx="513660" cy="295140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2860" rIns="0" bIns="22860" anchor="ctr" upright="1"/>
                  <a:lstStyle/>
                  <a:p>
                    <a:pPr algn="l" rtl="0">
                      <a:defRPr sz="1000"/>
                    </a:pPr>
                    <a:r>
                      <a:rPr lang="zh-TW" altLang="en-US" sz="900" b="0" i="0" u="none" strike="noStrike" baseline="0">
                        <a:solidFill>
                          <a:srgbClr val="000000"/>
                        </a:solidFill>
                        <a:latin typeface="Microsoft JhengHei UI"/>
                        <a:ea typeface="Microsoft JhengHei UI"/>
                      </a:rPr>
                      <a:t>傷害 5%</a:t>
                    </a:r>
                  </a:p>
                </xdr:txBody>
              </xdr:sp>
              <xdr:sp macro="" textlink="">
                <xdr:nvSpPr>
                  <xdr:cNvPr id="1146" name="Check Box 122" hidden="1">
                    <a:extLst>
                      <a:ext uri="{63B3BB69-23CF-44E3-9099-C40C66FF867C}">
                        <a14:compatExt spid="_x0000_s1146"/>
                      </a:ext>
                      <a:ext uri="{FF2B5EF4-FFF2-40B4-BE49-F238E27FC236}">
                        <a16:creationId xmlns:a16="http://schemas.microsoft.com/office/drawing/2014/main" id="{00000000-0008-0000-0000-00007A040000}"/>
                      </a:ext>
                    </a:extLst>
                  </xdr:cNvPr>
                  <xdr:cNvSpPr/>
                </xdr:nvSpPr>
                <xdr:spPr bwMode="auto">
                  <a:xfrm>
                    <a:off x="14809110" y="2646947"/>
                    <a:ext cx="482180" cy="33138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2860" rIns="0" bIns="22860" anchor="ctr" upright="1"/>
                  <a:lstStyle/>
                  <a:p>
                    <a:pPr algn="l" rtl="0">
                      <a:defRPr sz="1000"/>
                    </a:pPr>
                    <a:r>
                      <a:rPr lang="zh-TW" altLang="en-US" sz="900" b="0" i="0" u="none" strike="noStrike" baseline="0">
                        <a:solidFill>
                          <a:srgbClr val="000000"/>
                        </a:solidFill>
                        <a:latin typeface="Microsoft JhengHei UI"/>
                        <a:ea typeface="Microsoft JhengHei UI"/>
                      </a:rPr>
                      <a:t>傷害 4%</a:t>
                    </a:r>
                  </a:p>
                </xdr:txBody>
              </xdr:sp>
              <xdr:sp macro="" textlink="">
                <xdr:nvSpPr>
                  <xdr:cNvPr id="1147" name="Check Box 123" hidden="1">
                    <a:extLst>
                      <a:ext uri="{63B3BB69-23CF-44E3-9099-C40C66FF867C}">
                        <a14:compatExt spid="_x0000_s1147"/>
                      </a:ext>
                      <a:ext uri="{FF2B5EF4-FFF2-40B4-BE49-F238E27FC236}">
                        <a16:creationId xmlns:a16="http://schemas.microsoft.com/office/drawing/2014/main" id="{00000000-0008-0000-0000-00007B040000}"/>
                      </a:ext>
                    </a:extLst>
                  </xdr:cNvPr>
                  <xdr:cNvSpPr/>
                </xdr:nvSpPr>
                <xdr:spPr bwMode="auto">
                  <a:xfrm>
                    <a:off x="15331533" y="2632466"/>
                    <a:ext cx="513443" cy="356627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2860" rIns="0" bIns="22860" anchor="ctr" upright="1"/>
                  <a:lstStyle/>
                  <a:p>
                    <a:pPr algn="l" rtl="0">
                      <a:defRPr sz="1000"/>
                    </a:pPr>
                    <a:r>
                      <a:rPr lang="zh-TW" altLang="en-US" sz="900" b="0" i="0" u="none" strike="noStrike" baseline="0">
                        <a:solidFill>
                          <a:srgbClr val="000000"/>
                        </a:solidFill>
                        <a:latin typeface="Microsoft JhengHei UI"/>
                        <a:ea typeface="Microsoft JhengHei UI"/>
                      </a:rPr>
                      <a:t>傷害 3%</a:t>
                    </a:r>
                  </a:p>
                </xdr:txBody>
              </xdr:sp>
              <xdr:sp macro="" textlink="">
                <xdr:nvSpPr>
                  <xdr:cNvPr id="1148" name="Check Box 124" hidden="1">
                    <a:extLst>
                      <a:ext uri="{63B3BB69-23CF-44E3-9099-C40C66FF867C}">
                        <a14:compatExt spid="_x0000_s1148"/>
                      </a:ext>
                      <a:ext uri="{FF2B5EF4-FFF2-40B4-BE49-F238E27FC236}">
                        <a16:creationId xmlns:a16="http://schemas.microsoft.com/office/drawing/2014/main" id="{00000000-0008-0000-0000-00007C040000}"/>
                      </a:ext>
                    </a:extLst>
                  </xdr:cNvPr>
                  <xdr:cNvSpPr/>
                </xdr:nvSpPr>
                <xdr:spPr bwMode="auto">
                  <a:xfrm>
                    <a:off x="16783412" y="2617984"/>
                    <a:ext cx="507709" cy="393519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2860" rIns="0" bIns="22860" anchor="ctr" upright="1"/>
                  <a:lstStyle/>
                  <a:p>
                    <a:pPr algn="l" rtl="0">
                      <a:defRPr sz="1000"/>
                    </a:pPr>
                    <a:r>
                      <a:rPr lang="zh-TW" altLang="en-US" sz="900" b="0" i="0" u="none" strike="noStrike" baseline="0">
                        <a:solidFill>
                          <a:srgbClr val="000000"/>
                        </a:solidFill>
                        <a:latin typeface="Microsoft JhengHei UI"/>
                        <a:ea typeface="Microsoft JhengHei UI"/>
                      </a:rPr>
                      <a:t>會心 3%</a:t>
                    </a:r>
                  </a:p>
                </xdr:txBody>
              </xdr:sp>
              <xdr:sp macro="" textlink="">
                <xdr:nvSpPr>
                  <xdr:cNvPr id="1149" name="Check Box 125" hidden="1">
                    <a:extLst>
                      <a:ext uri="{63B3BB69-23CF-44E3-9099-C40C66FF867C}">
                        <a14:compatExt spid="_x0000_s1149"/>
                      </a:ext>
                      <a:ext uri="{FF2B5EF4-FFF2-40B4-BE49-F238E27FC236}">
                        <a16:creationId xmlns:a16="http://schemas.microsoft.com/office/drawing/2014/main" id="{00000000-0008-0000-0000-00007D040000}"/>
                      </a:ext>
                    </a:extLst>
                  </xdr:cNvPr>
                  <xdr:cNvSpPr/>
                </xdr:nvSpPr>
                <xdr:spPr bwMode="auto">
                  <a:xfrm>
                    <a:off x="15797376" y="2613617"/>
                    <a:ext cx="494550" cy="39214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2860" rIns="0" bIns="22860" anchor="ctr" upright="1"/>
                  <a:lstStyle/>
                  <a:p>
                    <a:pPr algn="l" rtl="0">
                      <a:defRPr sz="1000"/>
                    </a:pPr>
                    <a:r>
                      <a:rPr lang="zh-TW" altLang="en-US" sz="900" b="0" i="0" u="none" strike="noStrike" baseline="0">
                        <a:solidFill>
                          <a:srgbClr val="000000"/>
                        </a:solidFill>
                        <a:latin typeface="Microsoft JhengHei UI"/>
                        <a:ea typeface="Microsoft JhengHei UI"/>
                      </a:rPr>
                      <a:t>會心 5%</a:t>
                    </a:r>
                  </a:p>
                </xdr:txBody>
              </xdr:sp>
              <xdr:sp macro="" textlink="">
                <xdr:nvSpPr>
                  <xdr:cNvPr id="1150" name="Check Box 126" hidden="1">
                    <a:extLst>
                      <a:ext uri="{63B3BB69-23CF-44E3-9099-C40C66FF867C}">
                        <a14:compatExt spid="_x0000_s1150"/>
                      </a:ext>
                      <a:ext uri="{FF2B5EF4-FFF2-40B4-BE49-F238E27FC236}">
                        <a16:creationId xmlns:a16="http://schemas.microsoft.com/office/drawing/2014/main" id="{00000000-0008-0000-0000-00007E040000}"/>
                      </a:ext>
                    </a:extLst>
                  </xdr:cNvPr>
                  <xdr:cNvSpPr/>
                </xdr:nvSpPr>
                <xdr:spPr bwMode="auto">
                  <a:xfrm>
                    <a:off x="16296101" y="2603459"/>
                    <a:ext cx="502815" cy="43041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22860" rIns="0" bIns="22860" anchor="ctr" upright="1"/>
                  <a:lstStyle/>
                  <a:p>
                    <a:pPr algn="l" rtl="0">
                      <a:defRPr sz="1000"/>
                    </a:pPr>
                    <a:r>
                      <a:rPr lang="zh-TW" altLang="en-US" sz="900" b="0" i="0" u="none" strike="noStrike" baseline="0">
                        <a:solidFill>
                          <a:srgbClr val="000000"/>
                        </a:solidFill>
                        <a:latin typeface="Microsoft JhengHei UI"/>
                        <a:ea typeface="Microsoft JhengHei UI"/>
                      </a:rPr>
                      <a:t>會心 4%</a:t>
                    </a:r>
                  </a:p>
                </xdr:txBody>
              </xdr:sp>
            </xdr:grpSp>
            <xdr:sp macro="" textlink="">
              <xdr:nvSpPr>
                <xdr:cNvPr id="1151" name="Check Box 127" hidden="1">
                  <a:extLst>
                    <a:ext uri="{63B3BB69-23CF-44E3-9099-C40C66FF867C}">
                      <a14:compatExt spid="_x0000_s1151"/>
                    </a:ext>
                    <a:ext uri="{FF2B5EF4-FFF2-40B4-BE49-F238E27FC236}">
                      <a16:creationId xmlns:a16="http://schemas.microsoft.com/office/drawing/2014/main" id="{00000000-0008-0000-0000-00007F040000}"/>
                    </a:ext>
                  </a:extLst>
                </xdr:cNvPr>
                <xdr:cNvSpPr/>
              </xdr:nvSpPr>
              <xdr:spPr bwMode="auto">
                <a:xfrm>
                  <a:off x="14130322" y="5180560"/>
                  <a:ext cx="728678" cy="371282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驅散不利效果</a:t>
                  </a:r>
                </a:p>
              </xdr:txBody>
            </xdr:sp>
          </xdr:grpSp>
          <xdr:sp macro="" textlink="">
            <xdr:nvSpPr>
              <xdr:cNvPr id="1152" name="Check Box 128" hidden="1">
                <a:extLst>
                  <a:ext uri="{63B3BB69-23CF-44E3-9099-C40C66FF867C}">
                    <a14:compatExt spid="_x0000_s1152"/>
                  </a:ext>
                  <a:ext uri="{FF2B5EF4-FFF2-40B4-BE49-F238E27FC236}">
                    <a16:creationId xmlns:a16="http://schemas.microsoft.com/office/drawing/2014/main" id="{00000000-0008-0000-0000-000080040000}"/>
                  </a:ext>
                </a:extLst>
              </xdr:cNvPr>
              <xdr:cNvSpPr/>
            </xdr:nvSpPr>
            <xdr:spPr bwMode="auto">
              <a:xfrm>
                <a:off x="15049496" y="5238752"/>
                <a:ext cx="1104900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回傷害的5%內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26</xdr:row>
          <xdr:rowOff>171450</xdr:rowOff>
        </xdr:from>
        <xdr:to>
          <xdr:col>17</xdr:col>
          <xdr:colOff>647700</xdr:colOff>
          <xdr:row>28</xdr:row>
          <xdr:rowOff>38100</xdr:rowOff>
        </xdr:to>
        <xdr:grpSp>
          <xdr:nvGrpSpPr>
            <xdr:cNvPr id="17966" name="群組 7">
              <a:extLst>
                <a:ext uri="{FF2B5EF4-FFF2-40B4-BE49-F238E27FC236}">
                  <a16:creationId xmlns:a16="http://schemas.microsoft.com/office/drawing/2014/main" id="{00000000-0008-0000-0000-00002E4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54528" y="5763185"/>
              <a:ext cx="3572996" cy="292474"/>
              <a:chOff x="11404989" y="5600724"/>
              <a:chExt cx="3654043" cy="405459"/>
            </a:xfrm>
          </xdr:grpSpPr>
          <xdr:sp macro="" textlink="">
            <xdr:nvSpPr>
              <xdr:cNvPr id="1153" name="Check Box 129" hidden="1">
                <a:extLst>
                  <a:ext uri="{63B3BB69-23CF-44E3-9099-C40C66FF867C}">
                    <a14:compatExt spid="_x0000_s1153"/>
                  </a:ext>
                  <a:ext uri="{FF2B5EF4-FFF2-40B4-BE49-F238E27FC236}">
                    <a16:creationId xmlns:a16="http://schemas.microsoft.com/office/drawing/2014/main" id="{00000000-0008-0000-0000-000081040000}"/>
                  </a:ext>
                </a:extLst>
              </xdr:cNvPr>
              <xdr:cNvSpPr/>
            </xdr:nvSpPr>
            <xdr:spPr bwMode="auto">
              <a:xfrm>
                <a:off x="14411331" y="5662732"/>
                <a:ext cx="647701" cy="2780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個數+1</a:t>
                </a:r>
              </a:p>
            </xdr:txBody>
          </xdr:sp>
          <xdr:sp macro="" textlink="">
            <xdr:nvSpPr>
              <xdr:cNvPr id="1154" name="Check Box 130" hidden="1">
                <a:extLst>
                  <a:ext uri="{63B3BB69-23CF-44E3-9099-C40C66FF867C}">
                    <a14:compatExt spid="_x0000_s1154"/>
                  </a:ext>
                  <a:ext uri="{FF2B5EF4-FFF2-40B4-BE49-F238E27FC236}">
                    <a16:creationId xmlns:a16="http://schemas.microsoft.com/office/drawing/2014/main" id="{00000000-0008-0000-0000-000082040000}"/>
                  </a:ext>
                </a:extLst>
              </xdr:cNvPr>
              <xdr:cNvSpPr/>
            </xdr:nvSpPr>
            <xdr:spPr bwMode="auto">
              <a:xfrm>
                <a:off x="13669186" y="5651148"/>
                <a:ext cx="646891" cy="31217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個數+1</a:t>
                </a:r>
              </a:p>
            </xdr:txBody>
          </xdr:sp>
          <xdr:sp macro="" textlink="">
            <xdr:nvSpPr>
              <xdr:cNvPr id="1155" name="Check Box 131" hidden="1">
                <a:extLst>
                  <a:ext uri="{63B3BB69-23CF-44E3-9099-C40C66FF867C}">
                    <a14:compatExt spid="_x0000_s1155"/>
                  </a:ext>
                  <a:ext uri="{FF2B5EF4-FFF2-40B4-BE49-F238E27FC236}">
                    <a16:creationId xmlns:a16="http://schemas.microsoft.com/office/drawing/2014/main" id="{00000000-0008-0000-0000-000083040000}"/>
                  </a:ext>
                </a:extLst>
              </xdr:cNvPr>
              <xdr:cNvSpPr/>
            </xdr:nvSpPr>
            <xdr:spPr bwMode="auto">
              <a:xfrm>
                <a:off x="11404989" y="5647032"/>
                <a:ext cx="720336" cy="3359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5%</a:t>
                </a:r>
              </a:p>
            </xdr:txBody>
          </xdr:sp>
          <xdr:sp macro="" textlink="">
            <xdr:nvSpPr>
              <xdr:cNvPr id="1157" name="Check Box 133" hidden="1">
                <a:extLst>
                  <a:ext uri="{63B3BB69-23CF-44E3-9099-C40C66FF867C}">
                    <a14:compatExt spid="_x0000_s1157"/>
                  </a:ext>
                  <a:ext uri="{FF2B5EF4-FFF2-40B4-BE49-F238E27FC236}">
                    <a16:creationId xmlns:a16="http://schemas.microsoft.com/office/drawing/2014/main" id="{00000000-0008-0000-0000-000085040000}"/>
                  </a:ext>
                </a:extLst>
              </xdr:cNvPr>
              <xdr:cNvSpPr/>
            </xdr:nvSpPr>
            <xdr:spPr bwMode="auto">
              <a:xfrm>
                <a:off x="12158343" y="5617687"/>
                <a:ext cx="643257" cy="38100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4%</a:t>
                </a:r>
              </a:p>
            </xdr:txBody>
          </xdr:sp>
          <xdr:sp macro="" textlink="">
            <xdr:nvSpPr>
              <xdr:cNvPr id="1158" name="Check Box 134" hidden="1">
                <a:extLst>
                  <a:ext uri="{63B3BB69-23CF-44E3-9099-C40C66FF867C}">
                    <a14:compatExt spid="_x0000_s1158"/>
                  </a:ext>
                  <a:ext uri="{FF2B5EF4-FFF2-40B4-BE49-F238E27FC236}">
                    <a16:creationId xmlns:a16="http://schemas.microsoft.com/office/drawing/2014/main" id="{00000000-0008-0000-0000-000086040000}"/>
                  </a:ext>
                </a:extLst>
              </xdr:cNvPr>
              <xdr:cNvSpPr/>
            </xdr:nvSpPr>
            <xdr:spPr bwMode="auto">
              <a:xfrm>
                <a:off x="12901556" y="5600724"/>
                <a:ext cx="671570" cy="405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3%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68925</xdr:colOff>
          <xdr:row>28</xdr:row>
          <xdr:rowOff>139524</xdr:rowOff>
        </xdr:from>
        <xdr:to>
          <xdr:col>19</xdr:col>
          <xdr:colOff>172573</xdr:colOff>
          <xdr:row>30</xdr:row>
          <xdr:rowOff>25224</xdr:rowOff>
        </xdr:to>
        <xdr:grpSp>
          <xdr:nvGrpSpPr>
            <xdr:cNvPr id="17967" name="群組 74">
              <a:extLst>
                <a:ext uri="{FF2B5EF4-FFF2-40B4-BE49-F238E27FC236}">
                  <a16:creationId xmlns:a16="http://schemas.microsoft.com/office/drawing/2014/main" id="{00000000-0008-0000-0000-00002F4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56778" y="6157083"/>
              <a:ext cx="4832530" cy="311523"/>
              <a:chOff x="14298718" y="4374281"/>
              <a:chExt cx="4442712" cy="392206"/>
            </a:xfrm>
          </xdr:grpSpPr>
          <xdr:grpSp>
            <xdr:nvGrpSpPr>
              <xdr:cNvPr id="17971" name="群組 75">
                <a:extLst>
                  <a:ext uri="{FF2B5EF4-FFF2-40B4-BE49-F238E27FC236}">
                    <a16:creationId xmlns:a16="http://schemas.microsoft.com/office/drawing/2014/main" id="{00000000-0008-0000-0000-00003346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4298718" y="4374281"/>
                <a:ext cx="3849779" cy="392206"/>
                <a:chOff x="14263973" y="2583279"/>
                <a:chExt cx="3136417" cy="430413"/>
              </a:xfrm>
            </xdr:grpSpPr>
            <xdr:sp macro="" textlink="">
              <xdr:nvSpPr>
                <xdr:cNvPr id="1160" name="Check Box 136" hidden="1">
                  <a:extLst>
                    <a:ext uri="{63B3BB69-23CF-44E3-9099-C40C66FF867C}">
                      <a14:compatExt spid="_x0000_s1160"/>
                    </a:ext>
                    <a:ext uri="{FF2B5EF4-FFF2-40B4-BE49-F238E27FC236}">
                      <a16:creationId xmlns:a16="http://schemas.microsoft.com/office/drawing/2014/main" id="{00000000-0008-0000-0000-000088040000}"/>
                    </a:ext>
                  </a:extLst>
                </xdr:cNvPr>
                <xdr:cNvSpPr/>
              </xdr:nvSpPr>
              <xdr:spPr bwMode="auto">
                <a:xfrm>
                  <a:off x="14263973" y="2689580"/>
                  <a:ext cx="517379" cy="295141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範圍+1</a:t>
                  </a:r>
                </a:p>
              </xdr:txBody>
            </xdr:sp>
            <xdr:sp macro="" textlink="">
              <xdr:nvSpPr>
                <xdr:cNvPr id="1161" name="Check Box 137" hidden="1">
                  <a:extLst>
                    <a:ext uri="{63B3BB69-23CF-44E3-9099-C40C66FF867C}">
                      <a14:compatExt spid="_x0000_s1161"/>
                    </a:ext>
                    <a:ext uri="{FF2B5EF4-FFF2-40B4-BE49-F238E27FC236}">
                      <a16:creationId xmlns:a16="http://schemas.microsoft.com/office/drawing/2014/main" id="{00000000-0008-0000-0000-000089040000}"/>
                    </a:ext>
                  </a:extLst>
                </xdr:cNvPr>
                <xdr:cNvSpPr/>
              </xdr:nvSpPr>
              <xdr:spPr bwMode="auto">
                <a:xfrm>
                  <a:off x="14791304" y="2657059"/>
                  <a:ext cx="492642" cy="33138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範圍+1</a:t>
                  </a:r>
                </a:p>
              </xdr:txBody>
            </xdr:sp>
            <xdr:sp macro="" textlink="">
              <xdr:nvSpPr>
                <xdr:cNvPr id="1162" name="Check Box 138" hidden="1">
                  <a:extLst>
                    <a:ext uri="{63B3BB69-23CF-44E3-9099-C40C66FF867C}">
                      <a14:compatExt spid="_x0000_s1162"/>
                    </a:ext>
                    <a:ext uri="{FF2B5EF4-FFF2-40B4-BE49-F238E27FC236}">
                      <a16:creationId xmlns:a16="http://schemas.microsoft.com/office/drawing/2014/main" id="{00000000-0008-0000-0000-00008A040000}"/>
                    </a:ext>
                  </a:extLst>
                </xdr:cNvPr>
                <xdr:cNvSpPr/>
              </xdr:nvSpPr>
              <xdr:spPr bwMode="auto">
                <a:xfrm>
                  <a:off x="15319894" y="2632465"/>
                  <a:ext cx="533170" cy="356626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傷害 5%</a:t>
                  </a:r>
                </a:p>
              </xdr:txBody>
            </xdr:sp>
            <xdr:sp macro="" textlink="">
              <xdr:nvSpPr>
                <xdr:cNvPr id="1163" name="Check Box 139" hidden="1">
                  <a:extLst>
                    <a:ext uri="{63B3BB69-23CF-44E3-9099-C40C66FF867C}">
                      <a14:compatExt spid="_x0000_s1163"/>
                    </a:ext>
                    <a:ext uri="{FF2B5EF4-FFF2-40B4-BE49-F238E27FC236}">
                      <a16:creationId xmlns:a16="http://schemas.microsoft.com/office/drawing/2014/main" id="{00000000-0008-0000-0000-00008B040000}"/>
                    </a:ext>
                  </a:extLst>
                </xdr:cNvPr>
                <xdr:cNvSpPr/>
              </xdr:nvSpPr>
              <xdr:spPr bwMode="auto">
                <a:xfrm>
                  <a:off x="16892681" y="2597759"/>
                  <a:ext cx="507709" cy="39352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個數+1</a:t>
                  </a:r>
                </a:p>
              </xdr:txBody>
            </xdr:sp>
            <xdr:sp macro="" textlink="">
              <xdr:nvSpPr>
                <xdr:cNvPr id="1164" name="Check Box 140" hidden="1">
                  <a:extLst>
                    <a:ext uri="{63B3BB69-23CF-44E3-9099-C40C66FF867C}">
                      <a14:compatExt spid="_x0000_s1164"/>
                    </a:ext>
                    <a:ext uri="{FF2B5EF4-FFF2-40B4-BE49-F238E27FC236}">
                      <a16:creationId xmlns:a16="http://schemas.microsoft.com/office/drawing/2014/main" id="{00000000-0008-0000-0000-00008C040000}"/>
                    </a:ext>
                  </a:extLst>
                </xdr:cNvPr>
                <xdr:cNvSpPr/>
              </xdr:nvSpPr>
              <xdr:spPr bwMode="auto">
                <a:xfrm>
                  <a:off x="15846926" y="2601314"/>
                  <a:ext cx="553083" cy="404452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傷害 4%</a:t>
                  </a:r>
                </a:p>
              </xdr:txBody>
            </xdr:sp>
            <xdr:sp macro="" textlink="">
              <xdr:nvSpPr>
                <xdr:cNvPr id="1165" name="Check Box 141" hidden="1">
                  <a:extLst>
                    <a:ext uri="{63B3BB69-23CF-44E3-9099-C40C66FF867C}">
                      <a14:compatExt spid="_x0000_s1165"/>
                    </a:ext>
                    <a:ext uri="{FF2B5EF4-FFF2-40B4-BE49-F238E27FC236}">
                      <a16:creationId xmlns:a16="http://schemas.microsoft.com/office/drawing/2014/main" id="{00000000-0008-0000-0000-00008D040000}"/>
                    </a:ext>
                  </a:extLst>
                </xdr:cNvPr>
                <xdr:cNvSpPr/>
              </xdr:nvSpPr>
              <xdr:spPr bwMode="auto">
                <a:xfrm>
                  <a:off x="16364976" y="2583279"/>
                  <a:ext cx="564663" cy="4304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zh-TW" altLang="en-US" sz="900" b="0" i="0" u="none" strike="noStrike" baseline="0">
                      <a:solidFill>
                        <a:srgbClr val="000000"/>
                      </a:solidFill>
                      <a:latin typeface="Microsoft JhengHei UI"/>
                      <a:ea typeface="Microsoft JhengHei UI"/>
                    </a:rPr>
                    <a:t>傷害 3%</a:t>
                  </a:r>
                </a:p>
              </xdr:txBody>
            </xdr:sp>
          </xdr:grpSp>
          <xdr:sp macro="" textlink="">
            <xdr:nvSpPr>
              <xdr:cNvPr id="1166" name="Check Box 142" hidden="1">
                <a:extLst>
                  <a:ext uri="{63B3BB69-23CF-44E3-9099-C40C66FF867C}">
                    <a14:compatExt spid="_x0000_s1166"/>
                  </a:ext>
                  <a:ext uri="{FF2B5EF4-FFF2-40B4-BE49-F238E27FC236}">
                    <a16:creationId xmlns:a16="http://schemas.microsoft.com/office/drawing/2014/main" id="{00000000-0008-0000-0000-00008E040000}"/>
                  </a:ext>
                </a:extLst>
              </xdr:cNvPr>
              <xdr:cNvSpPr/>
            </xdr:nvSpPr>
            <xdr:spPr bwMode="auto">
              <a:xfrm>
                <a:off x="18115021" y="4382498"/>
                <a:ext cx="626409" cy="3591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個數+1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28575</xdr:colOff>
          <xdr:row>30</xdr:row>
          <xdr:rowOff>114300</xdr:rowOff>
        </xdr:from>
        <xdr:to>
          <xdr:col>18</xdr:col>
          <xdr:colOff>533400</xdr:colOff>
          <xdr:row>32</xdr:row>
          <xdr:rowOff>57150</xdr:rowOff>
        </xdr:to>
        <xdr:grpSp>
          <xdr:nvGrpSpPr>
            <xdr:cNvPr id="17968" name="群組 83">
              <a:extLst>
                <a:ext uri="{FF2B5EF4-FFF2-40B4-BE49-F238E27FC236}">
                  <a16:creationId xmlns:a16="http://schemas.microsoft.com/office/drawing/2014/main" id="{00000000-0008-0000-0000-0000304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16428" y="6557682"/>
              <a:ext cx="4460501" cy="379880"/>
              <a:chOff x="14248531" y="2778437"/>
              <a:chExt cx="3529741" cy="251194"/>
            </a:xfrm>
          </xdr:grpSpPr>
          <xdr:sp macro="" textlink="">
            <xdr:nvSpPr>
              <xdr:cNvPr id="1180" name="Check Box 156" hidden="1">
                <a:extLst>
                  <a:ext uri="{63B3BB69-23CF-44E3-9099-C40C66FF867C}">
                    <a14:compatExt spid="_x0000_s1180"/>
                  </a:ext>
                  <a:ext uri="{FF2B5EF4-FFF2-40B4-BE49-F238E27FC236}">
                    <a16:creationId xmlns:a16="http://schemas.microsoft.com/office/drawing/2014/main" id="{00000000-0008-0000-0000-00009C040000}"/>
                  </a:ext>
                </a:extLst>
              </xdr:cNvPr>
              <xdr:cNvSpPr/>
            </xdr:nvSpPr>
            <xdr:spPr bwMode="auto">
              <a:xfrm>
                <a:off x="14248531" y="2793992"/>
                <a:ext cx="581457" cy="23563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會心回內3%</a:t>
                </a:r>
              </a:p>
            </xdr:txBody>
          </xdr:sp>
          <xdr:sp macro="" textlink="">
            <xdr:nvSpPr>
              <xdr:cNvPr id="1181" name="Check Box 157" hidden="1">
                <a:extLst>
                  <a:ext uri="{63B3BB69-23CF-44E3-9099-C40C66FF867C}">
                    <a14:compatExt spid="_x0000_s1181"/>
                  </a:ext>
                  <a:ext uri="{FF2B5EF4-FFF2-40B4-BE49-F238E27FC236}">
                    <a16:creationId xmlns:a16="http://schemas.microsoft.com/office/drawing/2014/main" id="{00000000-0008-0000-0000-00009D040000}"/>
                  </a:ext>
                </a:extLst>
              </xdr:cNvPr>
              <xdr:cNvSpPr/>
            </xdr:nvSpPr>
            <xdr:spPr bwMode="auto">
              <a:xfrm>
                <a:off x="14958336" y="2793804"/>
                <a:ext cx="604866" cy="22687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4%</a:t>
                </a:r>
              </a:p>
            </xdr:txBody>
          </xdr:sp>
          <xdr:sp macro="" textlink="">
            <xdr:nvSpPr>
              <xdr:cNvPr id="1182" name="Check Box 158" hidden="1">
                <a:extLst>
                  <a:ext uri="{63B3BB69-23CF-44E3-9099-C40C66FF867C}">
                    <a14:compatExt spid="_x0000_s1182"/>
                  </a:ext>
                  <a:ext uri="{FF2B5EF4-FFF2-40B4-BE49-F238E27FC236}">
                    <a16:creationId xmlns:a16="http://schemas.microsoft.com/office/drawing/2014/main" id="{00000000-0008-0000-0000-00009E040000}"/>
                  </a:ext>
                </a:extLst>
              </xdr:cNvPr>
              <xdr:cNvSpPr/>
            </xdr:nvSpPr>
            <xdr:spPr bwMode="auto">
              <a:xfrm>
                <a:off x="15526563" y="2779941"/>
                <a:ext cx="569180" cy="23564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3%</a:t>
                </a:r>
              </a:p>
            </xdr:txBody>
          </xdr:sp>
          <xdr:sp macro="" textlink="">
            <xdr:nvSpPr>
              <xdr:cNvPr id="1183" name="Check Box 159" hidden="1">
                <a:extLst>
                  <a:ext uri="{63B3BB69-23CF-44E3-9099-C40C66FF867C}">
                    <a14:compatExt spid="_x0000_s1183"/>
                  </a:ext>
                  <a:ext uri="{FF2B5EF4-FFF2-40B4-BE49-F238E27FC236}">
                    <a16:creationId xmlns:a16="http://schemas.microsoft.com/office/drawing/2014/main" id="{00000000-0008-0000-0000-00009F040000}"/>
                  </a:ext>
                </a:extLst>
              </xdr:cNvPr>
              <xdr:cNvSpPr/>
            </xdr:nvSpPr>
            <xdr:spPr bwMode="auto">
              <a:xfrm>
                <a:off x="16087229" y="2778437"/>
                <a:ext cx="595085" cy="23563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5%</a:t>
                </a:r>
              </a:p>
            </xdr:txBody>
          </xdr:sp>
          <xdr:sp macro="" textlink="">
            <xdr:nvSpPr>
              <xdr:cNvPr id="1184" name="Check Box 160" hidden="1">
                <a:extLst>
                  <a:ext uri="{63B3BB69-23CF-44E3-9099-C40C66FF867C}">
                    <a14:compatExt spid="_x0000_s1184"/>
                  </a:ext>
                  <a:ext uri="{FF2B5EF4-FFF2-40B4-BE49-F238E27FC236}">
                    <a16:creationId xmlns:a16="http://schemas.microsoft.com/office/drawing/2014/main" id="{00000000-0008-0000-0000-0000A0040000}"/>
                  </a:ext>
                </a:extLst>
              </xdr:cNvPr>
              <xdr:cNvSpPr/>
            </xdr:nvSpPr>
            <xdr:spPr bwMode="auto">
              <a:xfrm>
                <a:off x="16662754" y="2780734"/>
                <a:ext cx="598411" cy="23564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4%</a:t>
                </a:r>
              </a:p>
            </xdr:txBody>
          </xdr:sp>
          <xdr:sp macro="" textlink="">
            <xdr:nvSpPr>
              <xdr:cNvPr id="1185" name="Check Box 161" hidden="1">
                <a:extLst>
                  <a:ext uri="{63B3BB69-23CF-44E3-9099-C40C66FF867C}">
                    <a14:compatExt spid="_x0000_s1185"/>
                  </a:ext>
                  <a:ext uri="{FF2B5EF4-FFF2-40B4-BE49-F238E27FC236}">
                    <a16:creationId xmlns:a16="http://schemas.microsoft.com/office/drawing/2014/main" id="{00000000-0008-0000-0000-0000A1040000}"/>
                  </a:ext>
                </a:extLst>
              </xdr:cNvPr>
              <xdr:cNvSpPr/>
            </xdr:nvSpPr>
            <xdr:spPr bwMode="auto">
              <a:xfrm>
                <a:off x="17227149" y="2784944"/>
                <a:ext cx="551123" cy="23564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3%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32</xdr:row>
          <xdr:rowOff>200025</xdr:rowOff>
        </xdr:from>
        <xdr:to>
          <xdr:col>17</xdr:col>
          <xdr:colOff>447675</xdr:colOff>
          <xdr:row>33</xdr:row>
          <xdr:rowOff>190500</xdr:rowOff>
        </xdr:to>
        <xdr:grpSp>
          <xdr:nvGrpSpPr>
            <xdr:cNvPr id="17969" name="群組 8">
              <a:extLst>
                <a:ext uri="{FF2B5EF4-FFF2-40B4-BE49-F238E27FC236}">
                  <a16:creationId xmlns:a16="http://schemas.microsoft.com/office/drawing/2014/main" id="{00000000-0008-0000-0000-0000314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35478" y="7080437"/>
              <a:ext cx="3392021" cy="214592"/>
              <a:chOff x="9896164" y="6905626"/>
              <a:chExt cx="3480158" cy="340588"/>
            </a:xfrm>
          </xdr:grpSpPr>
          <xdr:sp macro="" textlink="">
            <xdr:nvSpPr>
              <xdr:cNvPr id="1187" name="Check Box 163" hidden="1">
                <a:extLst>
                  <a:ext uri="{63B3BB69-23CF-44E3-9099-C40C66FF867C}">
                    <a14:compatExt spid="_x0000_s1187"/>
                  </a:ext>
                  <a:ext uri="{FF2B5EF4-FFF2-40B4-BE49-F238E27FC236}">
                    <a16:creationId xmlns:a16="http://schemas.microsoft.com/office/drawing/2014/main" id="{00000000-0008-0000-0000-0000A3040000}"/>
                  </a:ext>
                </a:extLst>
              </xdr:cNvPr>
              <xdr:cNvSpPr/>
            </xdr:nvSpPr>
            <xdr:spPr bwMode="auto">
              <a:xfrm>
                <a:off x="9896164" y="6927252"/>
                <a:ext cx="746482" cy="31896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4%</a:t>
                </a:r>
              </a:p>
            </xdr:txBody>
          </xdr:sp>
          <xdr:sp macro="" textlink="">
            <xdr:nvSpPr>
              <xdr:cNvPr id="1188" name="Check Box 164" hidden="1">
                <a:extLst>
                  <a:ext uri="{63B3BB69-23CF-44E3-9099-C40C66FF867C}">
                    <a14:compatExt spid="_x0000_s1188"/>
                  </a:ext>
                  <a:ext uri="{FF2B5EF4-FFF2-40B4-BE49-F238E27FC236}">
                    <a16:creationId xmlns:a16="http://schemas.microsoft.com/office/drawing/2014/main" id="{00000000-0008-0000-0000-0000A4040000}"/>
                  </a:ext>
                </a:extLst>
              </xdr:cNvPr>
              <xdr:cNvSpPr/>
            </xdr:nvSpPr>
            <xdr:spPr bwMode="auto">
              <a:xfrm>
                <a:off x="10597425" y="6907745"/>
                <a:ext cx="702439" cy="33128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 3%</a:t>
                </a:r>
              </a:p>
            </xdr:txBody>
          </xdr:sp>
          <xdr:sp macro="" textlink="">
            <xdr:nvSpPr>
              <xdr:cNvPr id="1189" name="Check Box 165" hidden="1">
                <a:extLst>
                  <a:ext uri="{63B3BB69-23CF-44E3-9099-C40C66FF867C}">
                    <a14:compatExt spid="_x0000_s1189"/>
                  </a:ext>
                  <a:ext uri="{FF2B5EF4-FFF2-40B4-BE49-F238E27FC236}">
                    <a16:creationId xmlns:a16="http://schemas.microsoft.com/office/drawing/2014/main" id="{00000000-0008-0000-0000-0000A5040000}"/>
                  </a:ext>
                </a:extLst>
              </xdr:cNvPr>
              <xdr:cNvSpPr/>
            </xdr:nvSpPr>
            <xdr:spPr bwMode="auto">
              <a:xfrm>
                <a:off x="11289358" y="6905626"/>
                <a:ext cx="734408" cy="33129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5%</a:t>
                </a:r>
              </a:p>
            </xdr:txBody>
          </xdr:sp>
          <xdr:sp macro="" textlink="">
            <xdr:nvSpPr>
              <xdr:cNvPr id="1190" name="Check Box 166" hidden="1">
                <a:extLst>
                  <a:ext uri="{63B3BB69-23CF-44E3-9099-C40C66FF867C}">
                    <a14:compatExt spid="_x0000_s1190"/>
                  </a:ext>
                  <a:ext uri="{FF2B5EF4-FFF2-40B4-BE49-F238E27FC236}">
                    <a16:creationId xmlns:a16="http://schemas.microsoft.com/office/drawing/2014/main" id="{00000000-0008-0000-0000-0000A6040000}"/>
                  </a:ext>
                </a:extLst>
              </xdr:cNvPr>
              <xdr:cNvSpPr/>
            </xdr:nvSpPr>
            <xdr:spPr bwMode="auto">
              <a:xfrm>
                <a:off x="11999627" y="6908861"/>
                <a:ext cx="738513" cy="33128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4%</a:t>
                </a:r>
              </a:p>
            </xdr:txBody>
          </xdr:sp>
          <xdr:sp macro="" textlink="">
            <xdr:nvSpPr>
              <xdr:cNvPr id="1191" name="Check Box 167" hidden="1">
                <a:extLst>
                  <a:ext uri="{63B3BB69-23CF-44E3-9099-C40C66FF867C}">
                    <a14:compatExt spid="_x0000_s1191"/>
                  </a:ext>
                  <a:ext uri="{FF2B5EF4-FFF2-40B4-BE49-F238E27FC236}">
                    <a16:creationId xmlns:a16="http://schemas.microsoft.com/office/drawing/2014/main" id="{00000000-0008-0000-0000-0000A7040000}"/>
                  </a:ext>
                </a:extLst>
              </xdr:cNvPr>
              <xdr:cNvSpPr/>
            </xdr:nvSpPr>
            <xdr:spPr bwMode="auto">
              <a:xfrm>
                <a:off x="12696167" y="6914780"/>
                <a:ext cx="680155" cy="33128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 3%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34</xdr:row>
          <xdr:rowOff>171450</xdr:rowOff>
        </xdr:from>
        <xdr:to>
          <xdr:col>20</xdr:col>
          <xdr:colOff>438150</xdr:colOff>
          <xdr:row>36</xdr:row>
          <xdr:rowOff>9525</xdr:rowOff>
        </xdr:to>
        <xdr:grpSp>
          <xdr:nvGrpSpPr>
            <xdr:cNvPr id="17970" name="群組 9">
              <a:extLst>
                <a:ext uri="{FF2B5EF4-FFF2-40B4-BE49-F238E27FC236}">
                  <a16:creationId xmlns:a16="http://schemas.microsoft.com/office/drawing/2014/main" id="{00000000-0008-0000-0000-0000324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35478" y="7500097"/>
              <a:ext cx="5903819" cy="286310"/>
              <a:chOff x="9896477" y="7372385"/>
              <a:chExt cx="5791199" cy="276166"/>
            </a:xfrm>
          </xdr:grpSpPr>
          <xdr:sp macro="" textlink="">
            <xdr:nvSpPr>
              <xdr:cNvPr id="1193" name="Check Box 169" hidden="1">
                <a:extLst>
                  <a:ext uri="{63B3BB69-23CF-44E3-9099-C40C66FF867C}">
                    <a14:compatExt spid="_x0000_s1193"/>
                  </a:ext>
                  <a:ext uri="{FF2B5EF4-FFF2-40B4-BE49-F238E27FC236}">
                    <a16:creationId xmlns:a16="http://schemas.microsoft.com/office/drawing/2014/main" id="{00000000-0008-0000-0000-0000A9040000}"/>
                  </a:ext>
                </a:extLst>
              </xdr:cNvPr>
              <xdr:cNvSpPr/>
            </xdr:nvSpPr>
            <xdr:spPr bwMode="auto">
              <a:xfrm>
                <a:off x="9896477" y="7410427"/>
                <a:ext cx="1057275" cy="2381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調息時間減少5秒</a:t>
                </a:r>
              </a:p>
            </xdr:txBody>
          </xdr:sp>
          <xdr:sp macro="" textlink="">
            <xdr:nvSpPr>
              <xdr:cNvPr id="1194" name="Check Box 170" hidden="1">
                <a:extLst>
                  <a:ext uri="{63B3BB69-23CF-44E3-9099-C40C66FF867C}">
                    <a14:compatExt spid="_x0000_s1194"/>
                  </a:ext>
                  <a:ext uri="{FF2B5EF4-FFF2-40B4-BE49-F238E27FC236}">
                    <a16:creationId xmlns:a16="http://schemas.microsoft.com/office/drawing/2014/main" id="{00000000-0008-0000-0000-0000AA040000}"/>
                  </a:ext>
                </a:extLst>
              </xdr:cNvPr>
              <xdr:cNvSpPr/>
            </xdr:nvSpPr>
            <xdr:spPr bwMode="auto">
              <a:xfrm>
                <a:off x="11010900" y="7400925"/>
                <a:ext cx="105727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調息時間減少5秒</a:t>
                </a:r>
              </a:p>
            </xdr:txBody>
          </xdr:sp>
          <xdr:sp macro="" textlink="">
            <xdr:nvSpPr>
              <xdr:cNvPr id="1195" name="Check Box 171" hidden="1">
                <a:extLst>
                  <a:ext uri="{63B3BB69-23CF-44E3-9099-C40C66FF867C}">
                    <a14:compatExt spid="_x0000_s1195"/>
                  </a:ext>
                  <a:ext uri="{FF2B5EF4-FFF2-40B4-BE49-F238E27FC236}">
                    <a16:creationId xmlns:a16="http://schemas.microsoft.com/office/drawing/2014/main" id="{00000000-0008-0000-0000-0000AB040000}"/>
                  </a:ext>
                </a:extLst>
              </xdr:cNvPr>
              <xdr:cNvSpPr/>
            </xdr:nvSpPr>
            <xdr:spPr bwMode="auto">
              <a:xfrm>
                <a:off x="12115800" y="7391400"/>
                <a:ext cx="105727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調息時間減少5秒</a:t>
                </a:r>
              </a:p>
            </xdr:txBody>
          </xdr:sp>
          <xdr:sp macro="" textlink="">
            <xdr:nvSpPr>
              <xdr:cNvPr id="1196" name="Check Box 172" hidden="1">
                <a:extLst>
                  <a:ext uri="{63B3BB69-23CF-44E3-9099-C40C66FF867C}">
                    <a14:compatExt spid="_x0000_s1196"/>
                  </a:ext>
                  <a:ext uri="{FF2B5EF4-FFF2-40B4-BE49-F238E27FC236}">
                    <a16:creationId xmlns:a16="http://schemas.microsoft.com/office/drawing/2014/main" id="{00000000-0008-0000-0000-0000AC040000}"/>
                  </a:ext>
                </a:extLst>
              </xdr:cNvPr>
              <xdr:cNvSpPr/>
            </xdr:nvSpPr>
            <xdr:spPr bwMode="auto">
              <a:xfrm>
                <a:off x="13220700" y="7381875"/>
                <a:ext cx="12287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運功時間減少12.5%</a:t>
                </a:r>
              </a:p>
            </xdr:txBody>
          </xdr:sp>
          <xdr:sp macro="" textlink="">
            <xdr:nvSpPr>
              <xdr:cNvPr id="1197" name="Check Box 173" hidden="1">
                <a:extLst>
                  <a:ext uri="{63B3BB69-23CF-44E3-9099-C40C66FF867C}">
                    <a14:compatExt spid="_x0000_s1197"/>
                  </a:ext>
                  <a:ext uri="{FF2B5EF4-FFF2-40B4-BE49-F238E27FC236}">
                    <a16:creationId xmlns:a16="http://schemas.microsoft.com/office/drawing/2014/main" id="{00000000-0008-0000-0000-0000AD040000}"/>
                  </a:ext>
                </a:extLst>
              </xdr:cNvPr>
              <xdr:cNvSpPr/>
            </xdr:nvSpPr>
            <xdr:spPr bwMode="auto">
              <a:xfrm>
                <a:off x="14458951" y="7372385"/>
                <a:ext cx="1228725" cy="23812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運功時間減少12.5%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3</xdr:row>
          <xdr:rowOff>200025</xdr:rowOff>
        </xdr:from>
        <xdr:to>
          <xdr:col>14</xdr:col>
          <xdr:colOff>209550</xdr:colOff>
          <xdr:row>5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劍鳴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4</xdr:row>
          <xdr:rowOff>200025</xdr:rowOff>
        </xdr:from>
        <xdr:to>
          <xdr:col>14</xdr:col>
          <xdr:colOff>209550</xdr:colOff>
          <xdr:row>6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亢龍有悔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6</xdr:row>
          <xdr:rowOff>0</xdr:rowOff>
        </xdr:from>
        <xdr:to>
          <xdr:col>14</xdr:col>
          <xdr:colOff>228600</xdr:colOff>
          <xdr:row>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含弘 1級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7</xdr:row>
          <xdr:rowOff>0</xdr:rowOff>
        </xdr:from>
        <xdr:to>
          <xdr:col>14</xdr:col>
          <xdr:colOff>219075</xdr:colOff>
          <xdr:row>8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含弘 2級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8</xdr:row>
          <xdr:rowOff>0</xdr:rowOff>
        </xdr:from>
        <xdr:to>
          <xdr:col>14</xdr:col>
          <xdr:colOff>219075</xdr:colOff>
          <xdr:row>9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含弘 3級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8</xdr:row>
          <xdr:rowOff>219075</xdr:rowOff>
        </xdr:from>
        <xdr:to>
          <xdr:col>14</xdr:col>
          <xdr:colOff>219075</xdr:colOff>
          <xdr:row>10</xdr:row>
          <xdr:rowOff>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復禮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2</xdr:row>
          <xdr:rowOff>171450</xdr:rowOff>
        </xdr:from>
        <xdr:to>
          <xdr:col>17</xdr:col>
          <xdr:colOff>209550</xdr:colOff>
          <xdr:row>4</xdr:row>
          <xdr:rowOff>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袖氣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</xdr:row>
          <xdr:rowOff>190500</xdr:rowOff>
        </xdr:from>
        <xdr:to>
          <xdr:col>17</xdr:col>
          <xdr:colOff>200025</xdr:colOff>
          <xdr:row>4</xdr:row>
          <xdr:rowOff>209550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撼如雷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5</xdr:row>
          <xdr:rowOff>180975</xdr:rowOff>
        </xdr:from>
        <xdr:to>
          <xdr:col>17</xdr:col>
          <xdr:colOff>209550</xdr:colOff>
          <xdr:row>7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碎星辰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4</xdr:row>
          <xdr:rowOff>180975</xdr:rowOff>
        </xdr:from>
        <xdr:to>
          <xdr:col>17</xdr:col>
          <xdr:colOff>209550</xdr:colOff>
          <xdr:row>6</xdr:row>
          <xdr:rowOff>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香梅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5</xdr:row>
          <xdr:rowOff>200025</xdr:rowOff>
        </xdr:from>
        <xdr:to>
          <xdr:col>20</xdr:col>
          <xdr:colOff>238125</xdr:colOff>
          <xdr:row>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疏狂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6</xdr:row>
          <xdr:rowOff>190500</xdr:rowOff>
        </xdr:from>
        <xdr:to>
          <xdr:col>17</xdr:col>
          <xdr:colOff>200025</xdr:colOff>
          <xdr:row>8</xdr:row>
          <xdr:rowOff>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丐陣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7</xdr:row>
          <xdr:rowOff>200025</xdr:rowOff>
        </xdr:from>
        <xdr:to>
          <xdr:col>17</xdr:col>
          <xdr:colOff>209550</xdr:colOff>
          <xdr:row>8</xdr:row>
          <xdr:rowOff>219075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丐陣降龍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8</xdr:row>
          <xdr:rowOff>200025</xdr:rowOff>
        </xdr:from>
        <xdr:to>
          <xdr:col>17</xdr:col>
          <xdr:colOff>219075</xdr:colOff>
          <xdr:row>9</xdr:row>
          <xdr:rowOff>209550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丐陣伏虎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0</xdr:row>
          <xdr:rowOff>200025</xdr:rowOff>
        </xdr:from>
        <xdr:to>
          <xdr:col>14</xdr:col>
          <xdr:colOff>209550</xdr:colOff>
          <xdr:row>2</xdr:row>
          <xdr:rowOff>9525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龍戰於野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0</xdr:row>
          <xdr:rowOff>190500</xdr:rowOff>
        </xdr:from>
        <xdr:to>
          <xdr:col>17</xdr:col>
          <xdr:colOff>200025</xdr:colOff>
          <xdr:row>2</xdr:row>
          <xdr:rowOff>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龍頭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1</xdr:row>
          <xdr:rowOff>190500</xdr:rowOff>
        </xdr:from>
        <xdr:to>
          <xdr:col>17</xdr:col>
          <xdr:colOff>190500</xdr:colOff>
          <xdr:row>3</xdr:row>
          <xdr:rowOff>9525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亢龍有悔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123825</xdr:colOff>
          <xdr:row>1</xdr:row>
          <xdr:rowOff>219075</xdr:rowOff>
        </xdr:from>
        <xdr:to>
          <xdr:col>20</xdr:col>
          <xdr:colOff>314325</xdr:colOff>
          <xdr:row>3</xdr:row>
          <xdr:rowOff>38100</xdr:rowOff>
        </xdr:to>
        <xdr:sp macro="" textlink="">
          <xdr:nvSpPr>
            <xdr:cNvPr id="17668" name="Check Box 2308" hidden="1">
              <a:extLst>
                <a:ext uri="{63B3BB69-23CF-44E3-9099-C40C66FF867C}">
                  <a14:compatExt spid="_x0000_s17668"/>
                </a:ext>
                <a:ext uri="{FF2B5EF4-FFF2-40B4-BE49-F238E27FC236}">
                  <a16:creationId xmlns:a16="http://schemas.microsoft.com/office/drawing/2014/main" id="{00000000-0008-0000-0000-00000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激雷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123825</xdr:colOff>
          <xdr:row>3</xdr:row>
          <xdr:rowOff>19050</xdr:rowOff>
        </xdr:from>
        <xdr:to>
          <xdr:col>20</xdr:col>
          <xdr:colOff>314325</xdr:colOff>
          <xdr:row>4</xdr:row>
          <xdr:rowOff>28575</xdr:rowOff>
        </xdr:to>
        <xdr:sp macro="" textlink="">
          <xdr:nvSpPr>
            <xdr:cNvPr id="17669" name="Check Box 2309" hidden="1">
              <a:extLst>
                <a:ext uri="{63B3BB69-23CF-44E3-9099-C40C66FF867C}">
                  <a14:compatExt spid="_x0000_s17669"/>
                </a:ext>
                <a:ext uri="{FF2B5EF4-FFF2-40B4-BE49-F238E27FC236}">
                  <a16:creationId xmlns:a16="http://schemas.microsoft.com/office/drawing/2014/main" id="{00000000-0008-0000-0000-00000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一鼓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3</xdr:row>
          <xdr:rowOff>219075</xdr:rowOff>
        </xdr:from>
        <xdr:to>
          <xdr:col>20</xdr:col>
          <xdr:colOff>304800</xdr:colOff>
          <xdr:row>5</xdr:row>
          <xdr:rowOff>28575</xdr:rowOff>
        </xdr:to>
        <xdr:sp macro="" textlink="">
          <xdr:nvSpPr>
            <xdr:cNvPr id="17670" name="Check Box 2310" hidden="1">
              <a:extLst>
                <a:ext uri="{63B3BB69-23CF-44E3-9099-C40C66FF867C}">
                  <a14:compatExt spid="_x0000_s17670"/>
                </a:ext>
                <a:ext uri="{FF2B5EF4-FFF2-40B4-BE49-F238E27FC236}">
                  <a16:creationId xmlns:a16="http://schemas.microsoft.com/office/drawing/2014/main" id="{00000000-0008-0000-0000-00000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二鼓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123825</xdr:colOff>
          <xdr:row>5</xdr:row>
          <xdr:rowOff>0</xdr:rowOff>
        </xdr:from>
        <xdr:to>
          <xdr:col>20</xdr:col>
          <xdr:colOff>314325</xdr:colOff>
          <xdr:row>6</xdr:row>
          <xdr:rowOff>19050</xdr:rowOff>
        </xdr:to>
        <xdr:sp macro="" textlink="">
          <xdr:nvSpPr>
            <xdr:cNvPr id="17671" name="Check Box 2311" hidden="1">
              <a:extLst>
                <a:ext uri="{63B3BB69-23CF-44E3-9099-C40C66FF867C}">
                  <a14:compatExt spid="_x0000_s17671"/>
                </a:ext>
                <a:ext uri="{FF2B5EF4-FFF2-40B4-BE49-F238E27FC236}">
                  <a16:creationId xmlns:a16="http://schemas.microsoft.com/office/drawing/2014/main" id="{00000000-0008-0000-0000-00000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寒嘯千軍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7</xdr:row>
          <xdr:rowOff>9525</xdr:rowOff>
        </xdr:from>
        <xdr:to>
          <xdr:col>20</xdr:col>
          <xdr:colOff>304800</xdr:colOff>
          <xdr:row>8</xdr:row>
          <xdr:rowOff>28575</xdr:rowOff>
        </xdr:to>
        <xdr:sp macro="" textlink="">
          <xdr:nvSpPr>
            <xdr:cNvPr id="17689" name="Check Box 2329" hidden="1">
              <a:extLst>
                <a:ext uri="{63B3BB69-23CF-44E3-9099-C40C66FF867C}">
                  <a14:compatExt spid="_x0000_s17689"/>
                </a:ext>
                <a:ext uri="{FF2B5EF4-FFF2-40B4-BE49-F238E27FC236}">
                  <a16:creationId xmlns:a16="http://schemas.microsoft.com/office/drawing/2014/main" id="{00000000-0008-0000-0000-00001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策陣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7</xdr:row>
          <xdr:rowOff>200025</xdr:rowOff>
        </xdr:from>
        <xdr:to>
          <xdr:col>20</xdr:col>
          <xdr:colOff>304800</xdr:colOff>
          <xdr:row>8</xdr:row>
          <xdr:rowOff>209550</xdr:rowOff>
        </xdr:to>
        <xdr:sp macro="" textlink="">
          <xdr:nvSpPr>
            <xdr:cNvPr id="17690" name="Check Box 2330" hidden="1">
              <a:extLst>
                <a:ext uri="{63B3BB69-23CF-44E3-9099-C40C66FF867C}">
                  <a14:compatExt spid="_x0000_s17690"/>
                </a:ext>
                <a:ext uri="{FF2B5EF4-FFF2-40B4-BE49-F238E27FC236}">
                  <a16:creationId xmlns:a16="http://schemas.microsoft.com/office/drawing/2014/main" id="{00000000-0008-0000-0000-00001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劍純陣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8</xdr:row>
          <xdr:rowOff>209550</xdr:rowOff>
        </xdr:from>
        <xdr:to>
          <xdr:col>20</xdr:col>
          <xdr:colOff>304800</xdr:colOff>
          <xdr:row>9</xdr:row>
          <xdr:rowOff>219075</xdr:rowOff>
        </xdr:to>
        <xdr:sp macro="" textlink="">
          <xdr:nvSpPr>
            <xdr:cNvPr id="17691" name="Check Box 2331" hidden="1">
              <a:extLst>
                <a:ext uri="{63B3BB69-23CF-44E3-9099-C40C66FF867C}">
                  <a14:compatExt spid="_x0000_s17691"/>
                </a:ext>
                <a:ext uri="{FF2B5EF4-FFF2-40B4-BE49-F238E27FC236}">
                  <a16:creationId xmlns:a16="http://schemas.microsoft.com/office/drawing/2014/main" id="{00000000-0008-0000-0000-00001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黃雞陣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7</xdr:row>
          <xdr:rowOff>0</xdr:rowOff>
        </xdr:from>
        <xdr:to>
          <xdr:col>23</xdr:col>
          <xdr:colOff>304800</xdr:colOff>
          <xdr:row>8</xdr:row>
          <xdr:rowOff>9525</xdr:rowOff>
        </xdr:to>
        <xdr:sp macro="" textlink="">
          <xdr:nvSpPr>
            <xdr:cNvPr id="17708" name="Check Box 2348" hidden="1">
              <a:extLst>
                <a:ext uri="{63B3BB69-23CF-44E3-9099-C40C66FF867C}">
                  <a14:compatExt spid="_x0000_s17708"/>
                </a:ext>
                <a:ext uri="{FF2B5EF4-FFF2-40B4-BE49-F238E27FC236}">
                  <a16:creationId xmlns:a16="http://schemas.microsoft.com/office/drawing/2014/main" id="{00000000-0008-0000-0000-00002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策陣效果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8</xdr:row>
          <xdr:rowOff>38100</xdr:rowOff>
        </xdr:from>
        <xdr:to>
          <xdr:col>23</xdr:col>
          <xdr:colOff>304800</xdr:colOff>
          <xdr:row>9</xdr:row>
          <xdr:rowOff>47625</xdr:rowOff>
        </xdr:to>
        <xdr:sp macro="" textlink="">
          <xdr:nvSpPr>
            <xdr:cNvPr id="17709" name="Check Box 2349" hidden="1">
              <a:extLst>
                <a:ext uri="{63B3BB69-23CF-44E3-9099-C40C66FF867C}">
                  <a14:compatExt spid="_x0000_s17709"/>
                </a:ext>
                <a:ext uri="{FF2B5EF4-FFF2-40B4-BE49-F238E27FC236}">
                  <a16:creationId xmlns:a16="http://schemas.microsoft.com/office/drawing/2014/main" id="{00000000-0008-0000-0000-00002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劍純效果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0</xdr:row>
          <xdr:rowOff>200025</xdr:rowOff>
        </xdr:from>
        <xdr:to>
          <xdr:col>20</xdr:col>
          <xdr:colOff>304800</xdr:colOff>
          <xdr:row>2</xdr:row>
          <xdr:rowOff>0</xdr:rowOff>
        </xdr:to>
        <xdr:sp macro="" textlink="">
          <xdr:nvSpPr>
            <xdr:cNvPr id="17711" name="Check Box 2351" hidden="1">
              <a:extLst>
                <a:ext uri="{63B3BB69-23CF-44E3-9099-C40C66FF867C}">
                  <a14:compatExt spid="_x0000_s17711"/>
                </a:ext>
                <a:ext uri="{FF2B5EF4-FFF2-40B4-BE49-F238E27FC236}">
                  <a16:creationId xmlns:a16="http://schemas.microsoft.com/office/drawing/2014/main" id="{00000000-0008-0000-0000-00002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梅花三弄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0</xdr:row>
          <xdr:rowOff>200025</xdr:rowOff>
        </xdr:from>
        <xdr:to>
          <xdr:col>23</xdr:col>
          <xdr:colOff>333375</xdr:colOff>
          <xdr:row>1</xdr:row>
          <xdr:rowOff>219075</xdr:rowOff>
        </xdr:to>
        <xdr:sp macro="" textlink="">
          <xdr:nvSpPr>
            <xdr:cNvPr id="17731" name="Check Box 2371" hidden="1">
              <a:extLst>
                <a:ext uri="{63B3BB69-23CF-44E3-9099-C40C66FF867C}">
                  <a14:compatExt spid="_x0000_s17731"/>
                </a:ext>
                <a:ext uri="{FF2B5EF4-FFF2-40B4-BE49-F238E27FC236}">
                  <a16:creationId xmlns:a16="http://schemas.microsoft.com/office/drawing/2014/main" id="{00000000-0008-0000-0000-00004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降龍斬殺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1</xdr:row>
          <xdr:rowOff>219075</xdr:rowOff>
        </xdr:from>
        <xdr:to>
          <xdr:col>23</xdr:col>
          <xdr:colOff>352425</xdr:colOff>
          <xdr:row>3</xdr:row>
          <xdr:rowOff>19050</xdr:rowOff>
        </xdr:to>
        <xdr:sp macro="" textlink="">
          <xdr:nvSpPr>
            <xdr:cNvPr id="17732" name="Check Box 2372" hidden="1">
              <a:extLst>
                <a:ext uri="{63B3BB69-23CF-44E3-9099-C40C66FF867C}">
                  <a14:compatExt spid="_x0000_s17732"/>
                </a:ext>
                <a:ext uri="{FF2B5EF4-FFF2-40B4-BE49-F238E27FC236}">
                  <a16:creationId xmlns:a16="http://schemas.microsoft.com/office/drawing/2014/main" id="{00000000-0008-0000-0000-00004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明辨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200025</xdr:rowOff>
        </xdr:from>
        <xdr:to>
          <xdr:col>1</xdr:col>
          <xdr:colOff>180975</xdr:colOff>
          <xdr:row>39</xdr:row>
          <xdr:rowOff>9525</xdr:rowOff>
        </xdr:to>
        <xdr:sp macro="" textlink="">
          <xdr:nvSpPr>
            <xdr:cNvPr id="17736" name="Check Box 2376" hidden="1">
              <a:extLst>
                <a:ext uri="{63B3BB69-23CF-44E3-9099-C40C66FF867C}">
                  <a14:compatExt spid="_x0000_s17736"/>
                </a:ext>
                <a:ext uri="{FF2B5EF4-FFF2-40B4-BE49-F238E27FC236}">
                  <a16:creationId xmlns:a16="http://schemas.microsoft.com/office/drawing/2014/main" id="{00000000-0008-0000-0000-00004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亢龍削弱前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790575</xdr:colOff>
          <xdr:row>37</xdr:row>
          <xdr:rowOff>180975</xdr:rowOff>
        </xdr:from>
        <xdr:to>
          <xdr:col>2</xdr:col>
          <xdr:colOff>285750</xdr:colOff>
          <xdr:row>38</xdr:row>
          <xdr:rowOff>200025</xdr:rowOff>
        </xdr:to>
        <xdr:sp macro="" textlink="">
          <xdr:nvSpPr>
            <xdr:cNvPr id="17737" name="Check Box 2377" hidden="1">
              <a:extLst>
                <a:ext uri="{63B3BB69-23CF-44E3-9099-C40C66FF867C}">
                  <a14:compatExt spid="_x0000_s17737"/>
                </a:ext>
                <a:ext uri="{FF2B5EF4-FFF2-40B4-BE49-F238E27FC236}">
                  <a16:creationId xmlns:a16="http://schemas.microsoft.com/office/drawing/2014/main" id="{00000000-0008-0000-0000-00004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丐陣削弱前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37</xdr:row>
          <xdr:rowOff>171450</xdr:rowOff>
        </xdr:from>
        <xdr:to>
          <xdr:col>3</xdr:col>
          <xdr:colOff>228600</xdr:colOff>
          <xdr:row>38</xdr:row>
          <xdr:rowOff>200025</xdr:rowOff>
        </xdr:to>
        <xdr:sp macro="" textlink="">
          <xdr:nvSpPr>
            <xdr:cNvPr id="17738" name="Check Box 2378" hidden="1">
              <a:extLst>
                <a:ext uri="{63B3BB69-23CF-44E3-9099-C40C66FF867C}">
                  <a14:compatExt spid="_x0000_s17738"/>
                </a:ext>
                <a:ext uri="{FF2B5EF4-FFF2-40B4-BE49-F238E27FC236}">
                  <a16:creationId xmlns:a16="http://schemas.microsoft.com/office/drawing/2014/main" id="{00000000-0008-0000-0000-00004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息元改版後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omments" Target="../comments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j3pz.com/dps/xiaoch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>
    <tabColor rgb="FFE57B7B"/>
  </sheetPr>
  <dimension ref="A1:AA60"/>
  <sheetViews>
    <sheetView tabSelected="1" zoomScale="85" zoomScaleNormal="85" workbookViewId="0">
      <selection activeCell="F16" sqref="F16"/>
    </sheetView>
  </sheetViews>
  <sheetFormatPr defaultRowHeight="16.5" x14ac:dyDescent="0.25"/>
  <cols>
    <col min="1" max="1" width="10.375" style="8" bestFit="1" customWidth="1"/>
    <col min="2" max="2" width="9.125" style="9" bestFit="1" customWidth="1"/>
    <col min="3" max="3" width="10.375" style="10" customWidth="1"/>
    <col min="4" max="4" width="11" style="10" customWidth="1"/>
    <col min="5" max="5" width="11.125" style="10" customWidth="1"/>
    <col min="6" max="6" width="10.625" style="10" customWidth="1"/>
    <col min="7" max="7" width="10" style="10" customWidth="1"/>
    <col min="8" max="9" width="10.125" style="16" customWidth="1"/>
    <col min="10" max="10" width="10.75" style="10" customWidth="1"/>
    <col min="11" max="11" width="12.125" style="12" customWidth="1"/>
    <col min="12" max="12" width="9.75" style="12" customWidth="1"/>
    <col min="13" max="13" width="10.75" style="13" customWidth="1"/>
    <col min="14" max="14" width="10.125" style="13" customWidth="1"/>
    <col min="15" max="15" width="9.75" style="13" customWidth="1"/>
    <col min="16" max="16" width="9.875" style="10" customWidth="1"/>
    <col min="17" max="17" width="9.5" style="15" customWidth="1"/>
    <col min="18" max="18" width="12.625" style="15" customWidth="1"/>
    <col min="19" max="19" width="10.125" style="15" customWidth="1"/>
    <col min="20" max="21" width="10.25" style="15" customWidth="1"/>
    <col min="22" max="22" width="8.375" style="15" customWidth="1"/>
    <col min="23" max="23" width="9" style="15"/>
    <col min="24" max="24" width="11" style="15" customWidth="1"/>
    <col min="25" max="25" width="8.25" style="15" customWidth="1"/>
    <col min="26" max="16384" width="9" style="15"/>
  </cols>
  <sheetData>
    <row r="1" spans="1:27" s="55" customFormat="1" x14ac:dyDescent="0.25">
      <c r="A1" s="78" t="s">
        <v>392</v>
      </c>
      <c r="B1" s="79" t="s">
        <v>366</v>
      </c>
      <c r="C1" s="80" t="s">
        <v>370</v>
      </c>
      <c r="D1" s="80" t="s">
        <v>398</v>
      </c>
      <c r="E1" s="80" t="s">
        <v>377</v>
      </c>
      <c r="F1" s="80" t="s">
        <v>24</v>
      </c>
      <c r="G1" s="80" t="s">
        <v>25</v>
      </c>
      <c r="H1" s="81" t="s">
        <v>26</v>
      </c>
      <c r="I1" s="557" t="s">
        <v>955</v>
      </c>
      <c r="J1" s="558"/>
      <c r="K1" s="558"/>
      <c r="L1" s="558"/>
      <c r="M1" s="558"/>
      <c r="N1" s="559" t="s">
        <v>927</v>
      </c>
      <c r="O1" s="559"/>
      <c r="P1" s="559"/>
      <c r="Q1" s="552" t="s">
        <v>928</v>
      </c>
      <c r="R1" s="552"/>
      <c r="S1" s="552"/>
      <c r="T1" s="552"/>
      <c r="U1" s="552"/>
      <c r="V1" s="552"/>
      <c r="W1" s="552"/>
      <c r="X1" s="552"/>
      <c r="Y1" s="552"/>
    </row>
    <row r="2" spans="1:27" s="8" customFormat="1" ht="17.25" thickBot="1" x14ac:dyDescent="0.3">
      <c r="A2" s="98"/>
      <c r="B2" s="99">
        <f>配裝模擬!$B$4</f>
        <v>1798</v>
      </c>
      <c r="C2" s="100">
        <f>配裝模擬!$C$4</f>
        <v>6965.7</v>
      </c>
      <c r="D2" s="99">
        <f>配裝模擬!D4</f>
        <v>8186.4</v>
      </c>
      <c r="E2" s="101">
        <f>配裝模擬!$F$4</f>
        <v>2225</v>
      </c>
      <c r="F2" s="102">
        <f>配裝模擬!$F$6</f>
        <v>1.8533461817775543</v>
      </c>
      <c r="G2" s="103">
        <f>配裝模擬!$H$6</f>
        <v>0.34804806345087541</v>
      </c>
      <c r="H2" s="103">
        <f>配裝模擬!$G$6</f>
        <v>1.0687703581334347</v>
      </c>
      <c r="I2" s="555" t="s">
        <v>955</v>
      </c>
      <c r="J2" s="556"/>
      <c r="K2" s="556"/>
      <c r="L2" s="556"/>
      <c r="M2" s="556"/>
      <c r="N2" s="120"/>
      <c r="O2" s="560" t="s">
        <v>499</v>
      </c>
      <c r="P2" s="560"/>
      <c r="Q2" s="121"/>
      <c r="R2" s="124" t="s">
        <v>422</v>
      </c>
      <c r="S2" s="332">
        <v>4</v>
      </c>
      <c r="T2" s="190"/>
      <c r="U2" s="545" t="s">
        <v>926</v>
      </c>
      <c r="V2" s="545"/>
      <c r="W2" s="332"/>
      <c r="X2" s="546" t="s">
        <v>951</v>
      </c>
      <c r="Y2" s="546"/>
    </row>
    <row r="3" spans="1:27" s="50" customFormat="1" ht="15.75" customHeight="1" x14ac:dyDescent="0.25">
      <c r="A3" s="104" t="s">
        <v>366</v>
      </c>
      <c r="B3" s="105" t="s">
        <v>370</v>
      </c>
      <c r="C3" s="106" t="s">
        <v>371</v>
      </c>
      <c r="D3" s="107" t="s">
        <v>404</v>
      </c>
      <c r="E3" s="107" t="s">
        <v>399</v>
      </c>
      <c r="F3" s="107" t="s">
        <v>400</v>
      </c>
      <c r="G3" s="107" t="s">
        <v>401</v>
      </c>
      <c r="H3" s="107" t="s">
        <v>402</v>
      </c>
      <c r="I3" s="108" t="s">
        <v>403</v>
      </c>
      <c r="J3" s="553" t="s">
        <v>955</v>
      </c>
      <c r="K3" s="554"/>
      <c r="L3" s="554"/>
      <c r="M3" s="554"/>
      <c r="N3" s="93"/>
      <c r="O3" s="551" t="s">
        <v>411</v>
      </c>
      <c r="P3" s="551"/>
      <c r="Q3" s="85"/>
      <c r="R3" s="543" t="s">
        <v>507</v>
      </c>
      <c r="S3" s="544"/>
      <c r="T3" s="331"/>
      <c r="U3" s="535" t="s">
        <v>925</v>
      </c>
      <c r="V3" s="535"/>
      <c r="W3" s="330"/>
      <c r="X3" s="488" t="s">
        <v>967</v>
      </c>
      <c r="Y3" s="488">
        <v>5</v>
      </c>
    </row>
    <row r="4" spans="1:27" s="51" customFormat="1" ht="17.25" thickBot="1" x14ac:dyDescent="0.3">
      <c r="A4" s="109">
        <f>$B$2+IF(BUFF!B70=1,$B$2*10%,0)+BUFF!D27</f>
        <v>1850.03</v>
      </c>
      <c r="B4" s="110">
        <f>$C$2</f>
        <v>6965.7</v>
      </c>
      <c r="C4" s="110">
        <f>646+B4*(1+BUFF!C27)+($A$4*1.5)</f>
        <v>11779.885</v>
      </c>
      <c r="D4" s="130">
        <f>($D$2*(1+BUFF!H27))+B2*0.47+BUFF!J27</f>
        <v>11539.38</v>
      </c>
      <c r="E4" s="111">
        <f>$D$4/結論!C20/100</f>
        <v>0.75203039565180552</v>
      </c>
      <c r="F4" s="111">
        <f>E2/結論!B20/100+BUFF!F27</f>
        <v>0.34499931573356624</v>
      </c>
      <c r="G4" s="111">
        <f>F2+BUFF!G27</f>
        <v>2.1333461817775543</v>
      </c>
      <c r="H4" s="112">
        <f>G2</f>
        <v>0.34804806345087541</v>
      </c>
      <c r="I4" s="113">
        <f>H2+BUFF!E27</f>
        <v>1.0687703581334347</v>
      </c>
      <c r="J4" s="553" t="s">
        <v>955</v>
      </c>
      <c r="K4" s="554"/>
      <c r="L4" s="554"/>
      <c r="M4" s="554"/>
      <c r="N4" s="94"/>
      <c r="O4" s="530" t="s">
        <v>395</v>
      </c>
      <c r="P4" s="530"/>
      <c r="Q4" s="122"/>
      <c r="R4" s="535" t="s">
        <v>415</v>
      </c>
      <c r="S4" s="535"/>
      <c r="T4" s="86"/>
      <c r="U4" s="549" t="s">
        <v>963</v>
      </c>
      <c r="V4" s="550"/>
      <c r="W4" s="337"/>
      <c r="X4" s="337"/>
      <c r="Y4" s="337"/>
    </row>
    <row r="5" spans="1:27" s="7" customFormat="1" x14ac:dyDescent="0.25">
      <c r="A5" s="1" t="s">
        <v>33</v>
      </c>
      <c r="B5" s="2"/>
      <c r="C5" s="3"/>
      <c r="D5" s="4" t="s">
        <v>968</v>
      </c>
      <c r="E5" s="4" t="s">
        <v>969</v>
      </c>
      <c r="F5" s="4" t="s">
        <v>31</v>
      </c>
      <c r="G5" s="52" t="s">
        <v>32</v>
      </c>
      <c r="H5" s="4" t="s">
        <v>29</v>
      </c>
      <c r="I5" s="5" t="s">
        <v>70</v>
      </c>
      <c r="J5" s="256" t="s">
        <v>69</v>
      </c>
      <c r="K5" s="338" t="s">
        <v>932</v>
      </c>
      <c r="M5" s="6"/>
      <c r="N5" s="96"/>
      <c r="O5" s="531" t="s">
        <v>957</v>
      </c>
      <c r="P5" s="531"/>
      <c r="Q5" s="87"/>
      <c r="R5" s="534" t="s">
        <v>414</v>
      </c>
      <c r="S5" s="534"/>
      <c r="T5" s="335"/>
      <c r="U5" s="535" t="s">
        <v>964</v>
      </c>
      <c r="V5" s="535"/>
      <c r="W5" s="87"/>
      <c r="X5" s="87"/>
      <c r="Y5" s="87"/>
    </row>
    <row r="6" spans="1:27" x14ac:dyDescent="0.25">
      <c r="A6" s="8" t="s">
        <v>508</v>
      </c>
      <c r="D6" s="489">
        <f>IF(A6="挑戰",4959,IF(A6="英雄",2818,1924))</f>
        <v>4959</v>
      </c>
      <c r="E6" s="44">
        <f>IF(A6="挑戰",35%,IF(A6="英雄",25%,20%))</f>
        <v>0.35</v>
      </c>
      <c r="F6" s="150">
        <f>IF(A6="挑戰",35%,IF(A6="英雄",30%,20%))</f>
        <v>0.35</v>
      </c>
      <c r="G6" s="53">
        <f>IF(OR(A6="挑戰",A6="英雄"),110%,105%)</f>
        <v>1.1000000000000001</v>
      </c>
      <c r="H6" s="10">
        <f>IF(F6-H4&gt;0,F6-H4,0%)</f>
        <v>1.9519365491245666E-3</v>
      </c>
      <c r="I6" s="12">
        <f>IF(I4&gt;=G6,1,100%-(G6-I4))</f>
        <v>0.96877035813343459</v>
      </c>
      <c r="J6" s="13">
        <f>I6-F4-H6</f>
        <v>0.62181910585074385</v>
      </c>
      <c r="K6" s="11">
        <f>C4*(1+E4)*(F4*G4+J6+H6*0.25)*(1-(E6*(1-BUFF!M27)))</f>
        <v>18221.95466829502</v>
      </c>
      <c r="N6" s="95"/>
      <c r="O6" s="532" t="s">
        <v>956</v>
      </c>
      <c r="P6" s="532"/>
      <c r="Q6" s="123"/>
      <c r="R6" s="536" t="s">
        <v>412</v>
      </c>
      <c r="S6" s="536"/>
      <c r="T6" s="89"/>
      <c r="U6" s="545" t="s">
        <v>930</v>
      </c>
      <c r="V6" s="545"/>
      <c r="W6" s="336"/>
      <c r="X6" s="336"/>
      <c r="Y6" s="336"/>
    </row>
    <row r="7" spans="1:27" x14ac:dyDescent="0.25">
      <c r="A7" s="8" t="s">
        <v>27</v>
      </c>
      <c r="D7" s="489">
        <v>2818</v>
      </c>
      <c r="E7" s="44">
        <v>0.25</v>
      </c>
      <c r="F7" s="10">
        <v>0.3</v>
      </c>
      <c r="G7" s="53">
        <v>1.1000000000000001</v>
      </c>
      <c r="H7" s="10">
        <f>IF(F7-H4&gt;0,F7-H4,0%)</f>
        <v>0</v>
      </c>
      <c r="I7" s="12">
        <f>IF(I4&gt;=G7,1,100%-(G7-I4))</f>
        <v>0.96877035813343459</v>
      </c>
      <c r="J7" s="13">
        <f>I7-F4-H7</f>
        <v>0.62377104239986836</v>
      </c>
      <c r="K7" s="11">
        <f>C4*(1+E4)*(F4*G4+J7+H7*0.25)*(1-(E6*(1-BUFF!M27)))</f>
        <v>18241.593832586954</v>
      </c>
      <c r="L7" s="13"/>
      <c r="N7" s="97"/>
      <c r="O7" s="537" t="s">
        <v>958</v>
      </c>
      <c r="P7" s="537"/>
      <c r="Q7" s="88"/>
      <c r="R7" s="534" t="s">
        <v>413</v>
      </c>
      <c r="S7" s="534"/>
      <c r="T7" s="336"/>
      <c r="U7" s="546" t="s">
        <v>931</v>
      </c>
      <c r="V7" s="546"/>
      <c r="W7" s="89"/>
      <c r="X7" s="89"/>
      <c r="Y7" s="89"/>
    </row>
    <row r="8" spans="1:27" ht="17.25" thickBot="1" x14ac:dyDescent="0.3">
      <c r="A8" s="8" t="s">
        <v>28</v>
      </c>
      <c r="D8" s="489">
        <v>1924</v>
      </c>
      <c r="E8" s="44">
        <v>0.2</v>
      </c>
      <c r="F8" s="10">
        <v>0.2</v>
      </c>
      <c r="G8" s="53">
        <v>1.05</v>
      </c>
      <c r="H8" s="10">
        <f>IF(F8-H4&gt;0,F8-H4,0%)</f>
        <v>0</v>
      </c>
      <c r="I8" s="12">
        <f>IF(I4&gt;=G8,1,100%-(G8-I4))</f>
        <v>1</v>
      </c>
      <c r="J8" s="13">
        <f>I8-F4-H8</f>
        <v>0.65500068426643376</v>
      </c>
      <c r="K8" s="11">
        <f>C4*(1+E4)*(F4*G4+J8+H8*0.25)*(1-(E6*(1-BUFF!M27)))</f>
        <v>18660.544655328111</v>
      </c>
      <c r="N8" s="95"/>
      <c r="O8" s="532" t="s">
        <v>959</v>
      </c>
      <c r="P8" s="532"/>
      <c r="Q8" s="437"/>
      <c r="R8" s="539" t="s">
        <v>761</v>
      </c>
      <c r="S8" s="539"/>
      <c r="T8" s="345"/>
      <c r="U8" s="547" t="s">
        <v>1050</v>
      </c>
      <c r="V8" s="547"/>
      <c r="W8" s="345"/>
      <c r="X8" s="547" t="s">
        <v>1049</v>
      </c>
      <c r="Y8" s="547"/>
    </row>
    <row r="9" spans="1:27" s="77" customFormat="1" ht="18" thickTop="1" thickBot="1" x14ac:dyDescent="0.3">
      <c r="A9" s="71" t="s">
        <v>243</v>
      </c>
      <c r="B9" s="72" t="s">
        <v>244</v>
      </c>
      <c r="C9" s="73" t="s">
        <v>245</v>
      </c>
      <c r="D9" s="73" t="s">
        <v>246</v>
      </c>
      <c r="E9" s="74" t="s">
        <v>247</v>
      </c>
      <c r="F9" s="74" t="s">
        <v>248</v>
      </c>
      <c r="G9" s="74" t="s">
        <v>249</v>
      </c>
      <c r="H9" s="75" t="s">
        <v>250</v>
      </c>
      <c r="I9" s="75" t="s">
        <v>251</v>
      </c>
      <c r="J9" s="74" t="s">
        <v>252</v>
      </c>
      <c r="K9" s="73" t="s">
        <v>253</v>
      </c>
      <c r="L9" s="73" t="s">
        <v>254</v>
      </c>
      <c r="M9" s="76" t="s">
        <v>255</v>
      </c>
      <c r="N9" s="97"/>
      <c r="O9" s="537" t="s">
        <v>960</v>
      </c>
      <c r="P9" s="537"/>
      <c r="Q9" s="436"/>
      <c r="R9" s="538" t="s">
        <v>962</v>
      </c>
      <c r="S9" s="538"/>
      <c r="T9" s="346"/>
      <c r="U9" s="548" t="s">
        <v>1047</v>
      </c>
      <c r="V9" s="548"/>
      <c r="W9" s="346"/>
      <c r="X9" s="348" t="s">
        <v>944</v>
      </c>
      <c r="Y9" s="347">
        <v>5</v>
      </c>
    </row>
    <row r="10" spans="1:27" s="8" customFormat="1" ht="18" thickTop="1" thickBot="1" x14ac:dyDescent="0.3">
      <c r="A10" s="351"/>
      <c r="B10" s="391" t="s">
        <v>269</v>
      </c>
      <c r="C10" s="392" t="s">
        <v>270</v>
      </c>
      <c r="D10" s="393" t="s">
        <v>1048</v>
      </c>
      <c r="E10" s="393" t="s">
        <v>346</v>
      </c>
      <c r="F10" s="393" t="s">
        <v>275</v>
      </c>
      <c r="G10" s="393" t="s">
        <v>280</v>
      </c>
      <c r="H10" s="393" t="s">
        <v>283</v>
      </c>
      <c r="I10" s="393" t="s">
        <v>284</v>
      </c>
      <c r="J10" s="393" t="s">
        <v>241</v>
      </c>
      <c r="K10" s="393" t="s">
        <v>287</v>
      </c>
      <c r="L10" s="393" t="s">
        <v>290</v>
      </c>
      <c r="M10" s="393" t="s">
        <v>342</v>
      </c>
      <c r="N10" s="394"/>
      <c r="O10" s="533" t="s">
        <v>961</v>
      </c>
      <c r="P10" s="533"/>
      <c r="Q10" s="438"/>
      <c r="R10" s="438" t="s">
        <v>416</v>
      </c>
      <c r="S10" s="438">
        <v>5</v>
      </c>
      <c r="T10" s="395"/>
      <c r="U10" s="541" t="s">
        <v>929</v>
      </c>
      <c r="V10" s="542"/>
      <c r="W10" s="395"/>
      <c r="X10" s="395"/>
      <c r="Y10" s="395"/>
    </row>
    <row r="11" spans="1:27" s="83" customFormat="1" ht="17.25" thickBot="1" x14ac:dyDescent="0.3">
      <c r="A11" s="410" t="s">
        <v>36</v>
      </c>
      <c r="B11" s="396" t="s">
        <v>77</v>
      </c>
      <c r="C11" s="397" t="s">
        <v>78</v>
      </c>
      <c r="D11" s="398" t="s">
        <v>35</v>
      </c>
      <c r="E11" s="397" t="s">
        <v>80</v>
      </c>
      <c r="F11" s="397" t="s">
        <v>79</v>
      </c>
      <c r="G11" s="399" t="s">
        <v>73</v>
      </c>
      <c r="H11" s="400" t="s">
        <v>74</v>
      </c>
      <c r="I11" s="401" t="s">
        <v>75</v>
      </c>
      <c r="J11" s="401" t="s">
        <v>76</v>
      </c>
      <c r="K11" s="397" t="s">
        <v>347</v>
      </c>
      <c r="L11" s="397" t="s">
        <v>348</v>
      </c>
      <c r="M11" s="402" t="s">
        <v>68</v>
      </c>
      <c r="N11" s="403" t="s">
        <v>388</v>
      </c>
      <c r="O11" s="404"/>
      <c r="P11" s="405"/>
      <c r="Q11" s="406"/>
      <c r="R11" s="407"/>
      <c r="S11" s="407"/>
      <c r="T11" s="407"/>
      <c r="U11" s="408"/>
      <c r="V11" s="408"/>
      <c r="W11" s="408"/>
      <c r="X11" s="408"/>
      <c r="Y11" s="408"/>
      <c r="Z11" s="409"/>
      <c r="AA11" s="390"/>
    </row>
    <row r="12" spans="1:27" x14ac:dyDescent="0.25">
      <c r="A12" s="82" t="s">
        <v>34</v>
      </c>
      <c r="B12" s="14">
        <v>35</v>
      </c>
      <c r="C12" s="14">
        <v>38</v>
      </c>
      <c r="D12" s="17">
        <v>1</v>
      </c>
      <c r="E12" s="18"/>
      <c r="F12" s="18">
        <v>1.5</v>
      </c>
      <c r="G12" s="520">
        <f>BUFF!G29</f>
        <v>0</v>
      </c>
      <c r="H12" s="13"/>
      <c r="I12" s="53">
        <f>BUFF!I29-IF(BUFF!B65=1,BUFF!I29*25%,0%)</f>
        <v>0</v>
      </c>
      <c r="J12" s="19">
        <f>BUFF!J29</f>
        <v>0.1</v>
      </c>
      <c r="K12" s="19">
        <f>BUFF!K27</f>
        <v>0.2</v>
      </c>
      <c r="L12" s="19"/>
      <c r="M12" s="62">
        <f>((B12+C12)/2+C4*D12)*(1+K12)*(1+E4)*((F4+L12)*G4+(J6-L12)+H6*0.25)*(1-(E6*(1-BUFF!M27)))</f>
        <v>21934.098522671957</v>
      </c>
      <c r="N12" s="529" t="s">
        <v>418</v>
      </c>
      <c r="O12" s="529"/>
      <c r="P12" s="529"/>
      <c r="Q12" s="529"/>
      <c r="R12" s="529"/>
    </row>
    <row r="13" spans="1:27" x14ac:dyDescent="0.25">
      <c r="A13" s="20" t="s">
        <v>37</v>
      </c>
      <c r="B13" s="14">
        <v>168</v>
      </c>
      <c r="C13" s="14">
        <v>183</v>
      </c>
      <c r="D13" s="17">
        <v>2.54</v>
      </c>
      <c r="E13" s="18">
        <f>BUFF!E30-IF(BUFF!K2=TRUE,1,0)</f>
        <v>9</v>
      </c>
      <c r="F13" s="18"/>
      <c r="G13" s="520">
        <f>BUFF!G30</f>
        <v>1.8</v>
      </c>
      <c r="H13" s="13"/>
      <c r="I13" s="53">
        <f>BUFF!I30-IF(BUFF!B65=1,BUFF!I30*25%,0%)</f>
        <v>0.2</v>
      </c>
      <c r="J13" s="19">
        <f>BUFF!J30</f>
        <v>0</v>
      </c>
      <c r="K13" s="19">
        <f>BUFF!Q3+BUFF!K27</f>
        <v>0.32</v>
      </c>
      <c r="L13" s="19">
        <f>BUFF!Q4</f>
        <v>0</v>
      </c>
      <c r="M13" s="339">
        <f>((B13+C13)/2+C4*D13)*(1+K13)*(1+E4)*((F4+L13)*G4+(J6-L13)+H6*0.25)*(1-(E6*(1-BUFF!M27)))</f>
        <v>61452.917593903287</v>
      </c>
      <c r="N13" s="64" t="s">
        <v>37</v>
      </c>
      <c r="O13" s="65"/>
      <c r="P13" s="116" t="str">
        <f>IF(BUFF!Q2&gt;4,"秘笈數量超過4！","")</f>
        <v/>
      </c>
      <c r="Q13" s="68"/>
      <c r="R13" s="114"/>
      <c r="S13" s="92"/>
      <c r="T13" s="91"/>
      <c r="U13" s="91"/>
      <c r="V13" s="91"/>
    </row>
    <row r="14" spans="1:27" x14ac:dyDescent="0.25">
      <c r="A14" s="20" t="s">
        <v>38</v>
      </c>
      <c r="B14" s="15">
        <v>599</v>
      </c>
      <c r="C14" s="14">
        <v>661</v>
      </c>
      <c r="D14" s="17">
        <v>0.97</v>
      </c>
      <c r="E14" s="18"/>
      <c r="F14" s="18"/>
      <c r="G14" s="520">
        <f>BUFF!G31</f>
        <v>1</v>
      </c>
      <c r="H14" s="13"/>
      <c r="I14" s="53">
        <f>BUFF!I31-IF(BUFF!B65=1,BUFF!I31*25%,0%)</f>
        <v>0.1</v>
      </c>
      <c r="J14" s="19">
        <f>BUFF!J31</f>
        <v>0</v>
      </c>
      <c r="K14" s="19">
        <f>IF(BUFF!B58=1,15%,0%)+BUFF!K27</f>
        <v>0.2</v>
      </c>
      <c r="L14" s="19"/>
      <c r="M14" s="62">
        <f>((B14+C14)/2+C4*D14)*(1+K14)*(1+E4)*((F4+L14)*G4+(J6-L14)+H6*0.25)*(1-(E6*(1-BUFF!M27)))</f>
        <v>22379.789207930895</v>
      </c>
      <c r="N14" s="48"/>
      <c r="O14" s="48"/>
      <c r="P14" s="48"/>
      <c r="Q14" s="90"/>
      <c r="R14" s="48"/>
      <c r="S14" s="91"/>
      <c r="T14" s="91"/>
      <c r="U14" s="91"/>
      <c r="V14" s="91"/>
    </row>
    <row r="15" spans="1:27" x14ac:dyDescent="0.25">
      <c r="A15" s="20" t="s">
        <v>39</v>
      </c>
      <c r="B15" s="14">
        <v>131</v>
      </c>
      <c r="C15" s="14">
        <v>144</v>
      </c>
      <c r="D15" s="17">
        <v>0.88</v>
      </c>
      <c r="E15" s="18"/>
      <c r="F15" s="18"/>
      <c r="G15" s="520">
        <f>BUFF!G32</f>
        <v>0.9</v>
      </c>
      <c r="H15" s="13"/>
      <c r="I15" s="53">
        <f>BUFF!I32-IF(BUFF!B65=1,BUFF!I32*25%,0%)</f>
        <v>0.1</v>
      </c>
      <c r="J15" s="19">
        <f>BUFF!J32</f>
        <v>0</v>
      </c>
      <c r="K15" s="19">
        <f>IF(BUFF!B58=1,15%,0%)+BUFF!K27</f>
        <v>0.2</v>
      </c>
      <c r="L15" s="19"/>
      <c r="M15" s="62">
        <f>((B15+C15)/2+C4*D15)*(1+K15)*(1+E4)*((F4+L15)*G4+(J6-L15)+H6*0.25)*(1-(E6*(1-BUFF!M27)))</f>
        <v>19497.617735163796</v>
      </c>
      <c r="N15" s="64" t="s">
        <v>40</v>
      </c>
      <c r="O15" s="65"/>
      <c r="P15" s="116" t="str">
        <f>IF(BUFF!H2&gt;4,"秘笈數量超過4！","")</f>
        <v/>
      </c>
      <c r="Q15" s="70"/>
      <c r="R15" s="69"/>
      <c r="S15" s="91"/>
      <c r="T15" s="91"/>
      <c r="U15" s="91"/>
      <c r="V15" s="91"/>
    </row>
    <row r="16" spans="1:27" x14ac:dyDescent="0.25">
      <c r="A16" s="20" t="s">
        <v>40</v>
      </c>
      <c r="B16" s="14">
        <v>245</v>
      </c>
      <c r="C16" s="14">
        <v>263</v>
      </c>
      <c r="D16" s="17">
        <f>BUFF!D33+IF(BUFF!O33=TRUE,0.3,0)</f>
        <v>2.58</v>
      </c>
      <c r="E16" s="18"/>
      <c r="F16" s="18"/>
      <c r="G16" s="520">
        <f>BUFF!G33-IF(BUFF!B75=1,BUFF!G33*30%,0%)</f>
        <v>3</v>
      </c>
      <c r="H16" s="13"/>
      <c r="I16" s="53">
        <f>BUFF!I33-IF(BUFF!B65=1,BUFF!I33*25%,0%)</f>
        <v>0.3</v>
      </c>
      <c r="J16" s="19">
        <f>IF(BUFF!B61=1,BUFF!J33*50%,0%)</f>
        <v>0.15</v>
      </c>
      <c r="K16" s="53">
        <f>BUFF!H3+IF(BUFF!B56=1,10%,0%)+IF(BUFF!B68=1,10%,0%)+IF(AND(BUFF!B63=1,BUFF!O63=TRUE),50%,0%)+BUFF!O97+BUFF!K27</f>
        <v>0.8899999999999999</v>
      </c>
      <c r="L16" s="19">
        <f>BUFF!H4</f>
        <v>0.04</v>
      </c>
      <c r="M16" s="340">
        <f>((B16+C16)/2+C4*D16)*(1+K16)*(1+(E4+BUFF!S27))*((F4+L16)*G4+(J6-L16)+H6*0.25)*(1-(E6*(1-BUFF!M27)))</f>
        <v>92586.785064129363</v>
      </c>
      <c r="N16" s="48"/>
      <c r="O16" s="48"/>
      <c r="P16" s="48"/>
      <c r="Q16" s="90"/>
      <c r="R16" s="48"/>
      <c r="S16" s="91"/>
      <c r="T16" s="91"/>
      <c r="U16" s="91"/>
      <c r="V16" s="91"/>
    </row>
    <row r="17" spans="1:22" x14ac:dyDescent="0.25">
      <c r="A17" s="20" t="s">
        <v>180</v>
      </c>
      <c r="B17" s="14">
        <v>32</v>
      </c>
      <c r="C17" s="14">
        <v>32</v>
      </c>
      <c r="D17" s="17">
        <v>0.18</v>
      </c>
      <c r="E17" s="18"/>
      <c r="F17" s="18"/>
      <c r="G17" s="520">
        <f>BUFF!G34</f>
        <v>2.8</v>
      </c>
      <c r="H17" s="13"/>
      <c r="I17" s="53">
        <f>BUFF!I34-IF(BUFF!B65=1,BUFF!I34*25%,0%)</f>
        <v>0</v>
      </c>
      <c r="J17" s="19">
        <f>BUFF!J34</f>
        <v>0</v>
      </c>
      <c r="K17" s="19">
        <f>IF(BUFF!B72=1,15%,0%)+BUFF!K27</f>
        <v>0.35</v>
      </c>
      <c r="L17" s="19"/>
      <c r="M17" s="63">
        <f>((B17+C17)/2+C4*D17)*(1+K17)*(1+E4)*((F4+L17)*G4+(J6-L17)+H6*0.25)*IF(BUFF!B67=1,O18,1)*(1-(E6*(1-BUFF!M27)))</f>
        <v>35958.07826329604</v>
      </c>
      <c r="N17" s="64" t="s">
        <v>40</v>
      </c>
      <c r="O17" s="66" t="s">
        <v>391</v>
      </c>
      <c r="P17" s="118"/>
      <c r="Q17" s="67"/>
      <c r="R17" s="69"/>
      <c r="S17" s="91"/>
      <c r="T17" s="91"/>
      <c r="U17" s="91"/>
      <c r="V17" s="91"/>
    </row>
    <row r="18" spans="1:22" x14ac:dyDescent="0.25">
      <c r="A18" s="20" t="s">
        <v>41</v>
      </c>
      <c r="B18" s="14">
        <v>70</v>
      </c>
      <c r="C18" s="14">
        <v>80</v>
      </c>
      <c r="D18" s="12">
        <v>0.35</v>
      </c>
      <c r="E18" s="18"/>
      <c r="F18" s="18"/>
      <c r="G18" s="520">
        <f>BUFF!G35</f>
        <v>0.2</v>
      </c>
      <c r="H18" s="13"/>
      <c r="I18" s="53">
        <f>BUFF!I35-IF(BUFF!B65=1,BUFF!I35*25%,0%)</f>
        <v>0</v>
      </c>
      <c r="J18" s="53">
        <f>BUFF!J35+BUFF!J35*IF(BUFF!B57=1,20%,0%)</f>
        <v>0.18</v>
      </c>
      <c r="K18" s="84">
        <f>BUFF!R14+IF(BUFF!B55=1,10%,0%)+IF(BUFF!B57=1,20%,0%)+BUFF!K27</f>
        <v>0.44000000000000006</v>
      </c>
      <c r="L18" s="19">
        <f>BUFF!R15</f>
        <v>0.09</v>
      </c>
      <c r="M18" s="62">
        <f>((B18+C18)/2+C4*D18)*(1+K18)*(1+E4)*((F4+L18)*G4+(J6-L18)+H6*0.25)*(1-(E6*(1-BUFF!M27)))</f>
        <v>10053.127190384817</v>
      </c>
      <c r="N18" s="344" t="s">
        <v>933</v>
      </c>
      <c r="O18" s="343" t="s">
        <v>242</v>
      </c>
      <c r="P18" s="119" t="str">
        <f>IF(AND(O18&gt;1,I10&lt;&gt;"雨龍"),"非雨龍奇穴不可疊層！","")</f>
        <v/>
      </c>
      <c r="Q18" s="48"/>
      <c r="R18" s="48"/>
      <c r="S18" s="91"/>
      <c r="T18" s="91"/>
      <c r="U18" s="91"/>
      <c r="V18" s="91"/>
    </row>
    <row r="19" spans="1:22" x14ac:dyDescent="0.25">
      <c r="A19" s="20" t="s">
        <v>42</v>
      </c>
      <c r="B19" s="14">
        <v>66</v>
      </c>
      <c r="C19" s="14">
        <v>81</v>
      </c>
      <c r="D19" s="12">
        <v>0.9</v>
      </c>
      <c r="E19" s="18">
        <f>BUFF!E36-IF(BUFF!K6=TRUE,1,0)-IF(BUFF!L6=TRUE,1,0)</f>
        <v>8</v>
      </c>
      <c r="F19" s="18"/>
      <c r="G19" s="520">
        <f>BUFF!G36</f>
        <v>1.5</v>
      </c>
      <c r="H19" s="13"/>
      <c r="I19" s="53">
        <f>BUFF!I36-IF(BUFF!B65=1,BUFF!I36*25%,0%)</f>
        <v>0.3</v>
      </c>
      <c r="J19" s="19">
        <f>BUFF!J36</f>
        <v>0</v>
      </c>
      <c r="K19" s="19">
        <f>BUFF!R7+BUFF!K27</f>
        <v>0.29000000000000004</v>
      </c>
      <c r="L19" s="19"/>
      <c r="M19" s="62">
        <f>((B19+C19)/2+C4*D19)*(1+K19)*(1+E4)*((F4+L19)*G4+(J6-L19)+H6*0.25)*(1-(E6*(1-BUFF!M27)))</f>
        <v>21302.355880800806</v>
      </c>
      <c r="N19" s="64" t="s">
        <v>41</v>
      </c>
      <c r="O19" s="66"/>
      <c r="P19" s="117" t="str">
        <f>IF(BUFF!R13&gt;4,"秘笈數量超過4！","")</f>
        <v/>
      </c>
      <c r="Q19" s="61"/>
      <c r="R19" s="69"/>
      <c r="S19" s="91"/>
      <c r="T19" s="91"/>
      <c r="U19" s="91"/>
      <c r="V19" s="91"/>
    </row>
    <row r="20" spans="1:22" x14ac:dyDescent="0.25">
      <c r="A20" s="20" t="s">
        <v>43</v>
      </c>
      <c r="B20" s="14">
        <v>140</v>
      </c>
      <c r="C20" s="14">
        <v>154</v>
      </c>
      <c r="D20" s="12">
        <v>0.9</v>
      </c>
      <c r="E20" s="18">
        <v>20</v>
      </c>
      <c r="F20" s="18"/>
      <c r="G20" s="520">
        <f>BUFF!G37</f>
        <v>1</v>
      </c>
      <c r="H20" s="13"/>
      <c r="I20" s="53">
        <f>BUFF!I37-IF(BUFF!B65=1,BUFF!I37*25%,0%)</f>
        <v>0</v>
      </c>
      <c r="J20" s="19">
        <f>BUFF!J37</f>
        <v>0.2</v>
      </c>
      <c r="K20" s="19">
        <f>BUFF!K27</f>
        <v>0.2</v>
      </c>
      <c r="L20" s="19"/>
      <c r="M20" s="62">
        <f>((B20+C20)/2+C4*D20)*(1+K20)*(1+E4)*((F4+L20)*G4+(J6-L20)+H6*0.25)*(1-(E6*(1-BUFF!M27)))</f>
        <v>19952.57896903357</v>
      </c>
      <c r="N20" s="90"/>
      <c r="O20" s="90"/>
      <c r="P20" s="90"/>
      <c r="Q20" s="90"/>
      <c r="R20" s="48"/>
      <c r="S20" s="91"/>
      <c r="T20" s="91"/>
      <c r="U20" s="91"/>
      <c r="V20" s="91"/>
    </row>
    <row r="21" spans="1:22" x14ac:dyDescent="0.25">
      <c r="A21" s="20" t="s">
        <v>44</v>
      </c>
      <c r="B21" s="14">
        <v>118</v>
      </c>
      <c r="C21" s="14">
        <v>130</v>
      </c>
      <c r="D21" s="12">
        <v>0.87</v>
      </c>
      <c r="E21" s="18">
        <v>20</v>
      </c>
      <c r="F21" s="18">
        <v>1</v>
      </c>
      <c r="G21" s="520">
        <f>BUFF!G38-IF(BUFF!B75=1,BUFF!G38*30%,0%)</f>
        <v>0.5</v>
      </c>
      <c r="H21" s="13"/>
      <c r="I21" s="53">
        <f>BUFF!I38-IF(BUFF!B65=1,BUFF!I38*25%,0%)</f>
        <v>0</v>
      </c>
      <c r="J21" s="19">
        <f>BUFF!J38</f>
        <v>0.1</v>
      </c>
      <c r="K21" s="19">
        <f>BUFF!I7+BUFF!K27</f>
        <v>0.32</v>
      </c>
      <c r="L21" s="19">
        <f>BUFF!I8</f>
        <v>0</v>
      </c>
      <c r="M21" s="62">
        <f>((B21+C21)/2+C4*D21)*(1+K21)*(1+E4)*((F4+L21)*G4+(J6-L21)+H6*0.25)*(1-(E6*(1-BUFF!M27)))</f>
        <v>21179.284477670702</v>
      </c>
      <c r="N21" s="66" t="s">
        <v>410</v>
      </c>
      <c r="O21" s="66"/>
      <c r="P21" s="115" t="str">
        <f>IF(BUFF!R6&gt;4,"秘笈數量超過4！","")</f>
        <v/>
      </c>
      <c r="Q21" s="67"/>
      <c r="R21" s="69"/>
      <c r="S21" s="91"/>
      <c r="T21" s="91"/>
      <c r="U21" s="91"/>
      <c r="V21" s="91"/>
    </row>
    <row r="22" spans="1:22" x14ac:dyDescent="0.25">
      <c r="A22" s="20" t="s">
        <v>45</v>
      </c>
      <c r="B22" s="14">
        <v>65</v>
      </c>
      <c r="C22" s="14">
        <v>71</v>
      </c>
      <c r="D22" s="12">
        <v>0.43</v>
      </c>
      <c r="E22" s="18"/>
      <c r="F22" s="18"/>
      <c r="G22" s="520">
        <f>BUFF!G39</f>
        <v>1</v>
      </c>
      <c r="H22" s="13"/>
      <c r="I22" s="53">
        <f>BUFF!I39-IF(BUFF!B65=1,BUFF!I39*25%,0%)</f>
        <v>0</v>
      </c>
      <c r="J22" s="19">
        <f>BUFF!J39</f>
        <v>0.5</v>
      </c>
      <c r="K22" s="19">
        <f>BUFF!K27</f>
        <v>0.2</v>
      </c>
      <c r="L22" s="19"/>
      <c r="M22" s="62">
        <f>((B22+C22)/2+C4*D22)*(1+K22)*(1+E4)*((F4+L22)*G4+(J6-L22)+H6*0.25)*(1-(E6*(1-BUFF!M27)))</f>
        <v>9528.753228259935</v>
      </c>
      <c r="N22" s="90"/>
      <c r="O22" s="90"/>
      <c r="P22" s="90"/>
      <c r="Q22" s="90"/>
      <c r="R22" s="48"/>
      <c r="S22" s="91"/>
      <c r="T22" s="91"/>
      <c r="U22" s="91"/>
      <c r="V22" s="91"/>
    </row>
    <row r="23" spans="1:22" x14ac:dyDescent="0.25">
      <c r="A23" s="20" t="s">
        <v>46</v>
      </c>
      <c r="B23" s="14">
        <v>228</v>
      </c>
      <c r="C23" s="14">
        <v>248</v>
      </c>
      <c r="D23" s="12">
        <v>1.66</v>
      </c>
      <c r="E23" s="18">
        <v>45</v>
      </c>
      <c r="F23" s="18"/>
      <c r="G23" s="520">
        <f>BUFF!G40-IF(BUFF!B75=1,BUFF!G40*30%,0%)</f>
        <v>2.2000000000000002</v>
      </c>
      <c r="H23" s="13"/>
      <c r="I23" s="53">
        <f>BUFF!I40-IF(BUFF!B65=1,BUFF!I40*25%,0%)</f>
        <v>0</v>
      </c>
      <c r="J23" s="19">
        <f>BUFF!J40</f>
        <v>0.5</v>
      </c>
      <c r="K23" s="19">
        <f>BUFF!S10+BUFF!K27</f>
        <v>0.29000000000000004</v>
      </c>
      <c r="L23" s="19">
        <f>BUFF!S11</f>
        <v>0.05</v>
      </c>
      <c r="M23" s="62">
        <f>((B23+C23)/2+C4*D23)*(1+K23)*(1+E4)*((F4+L23)*G4+(J6-L23)+H6*0.25)*(1-(E6*(1-BUFF!M27)))</f>
        <v>41143.122201417711</v>
      </c>
      <c r="N23" s="66" t="s">
        <v>409</v>
      </c>
      <c r="O23" s="66"/>
      <c r="P23" s="115" t="str">
        <f>IF(BUFF!I6&gt;4,"秘笈數量超過4！","")</f>
        <v/>
      </c>
      <c r="Q23" s="67"/>
      <c r="R23" s="69"/>
      <c r="S23" s="91"/>
      <c r="T23" s="91"/>
      <c r="U23" s="91"/>
      <c r="V23" s="91"/>
    </row>
    <row r="24" spans="1:22" x14ac:dyDescent="0.25">
      <c r="A24" s="20" t="s">
        <v>47</v>
      </c>
      <c r="B24" s="14">
        <v>154</v>
      </c>
      <c r="C24" s="14">
        <v>170</v>
      </c>
      <c r="D24" s="12">
        <v>0.5</v>
      </c>
      <c r="E24" s="18">
        <v>15</v>
      </c>
      <c r="F24" s="18"/>
      <c r="G24" s="520">
        <f>BUFF!G41</f>
        <v>1.5</v>
      </c>
      <c r="H24" s="13"/>
      <c r="I24" s="53">
        <f>BUFF!I41-IF(BUFF!B65=1,BUFF!I41*25%,0%)</f>
        <v>0.2</v>
      </c>
      <c r="J24" s="19">
        <f>BUFF!J41</f>
        <v>0</v>
      </c>
      <c r="K24" s="19">
        <f>BUFF!K27</f>
        <v>0.2</v>
      </c>
      <c r="L24" s="19"/>
      <c r="M24" s="62">
        <f>((B24+C24)/2+C4*D24)*(1+K24)*(1+E4)*((F4+L24)*G4+(J6-L24)+H6*0.25)*(1-(E6*(1-BUFF!M27)))</f>
        <v>11233.884394300423</v>
      </c>
      <c r="N24" s="90"/>
      <c r="O24" s="90"/>
      <c r="P24" s="90"/>
      <c r="Q24" s="90"/>
      <c r="R24" s="90"/>
      <c r="S24" s="91"/>
      <c r="T24" s="91"/>
      <c r="U24" s="91"/>
      <c r="V24" s="91"/>
    </row>
    <row r="25" spans="1:22" x14ac:dyDescent="0.25">
      <c r="A25" s="20" t="s">
        <v>82</v>
      </c>
      <c r="B25" s="14">
        <f>152</f>
        <v>152</v>
      </c>
      <c r="C25" s="14">
        <f>228</f>
        <v>228</v>
      </c>
      <c r="D25" s="12">
        <f>0.96</f>
        <v>0.96</v>
      </c>
      <c r="E25" s="18"/>
      <c r="F25" s="18"/>
      <c r="G25" s="520">
        <f>BUFF!G42</f>
        <v>0.4</v>
      </c>
      <c r="H25" s="13"/>
      <c r="I25" s="53">
        <f>BUFF!I42-IF(BUFF!B65=1,BUFF!I42*25%,0%)</f>
        <v>0.1</v>
      </c>
      <c r="J25" s="19">
        <f>BUFF!J42</f>
        <v>0</v>
      </c>
      <c r="K25" s="19">
        <f>BUFF!M22+BUFF!K27</f>
        <v>0.32</v>
      </c>
      <c r="L25" s="19"/>
      <c r="M25" s="62">
        <f>((B25+C25)/2+C4*D25)*(1+K25)*(1+E4)*((F4+L25)*G4+(J6-L25)+H6*0.25)*(1-(E6*(1-BUFF!M27)))</f>
        <v>23478.816035938718</v>
      </c>
      <c r="N25" s="66" t="s">
        <v>408</v>
      </c>
      <c r="O25" s="66"/>
      <c r="P25" s="115" t="str">
        <f>IF(BUFF!S9&gt;4,"秘笈數量超過4！","")</f>
        <v/>
      </c>
      <c r="Q25" s="67"/>
      <c r="R25" s="69"/>
      <c r="S25" s="91"/>
      <c r="T25" s="91"/>
      <c r="U25" s="91"/>
      <c r="V25" s="91"/>
    </row>
    <row r="26" spans="1:22" x14ac:dyDescent="0.25">
      <c r="A26" s="20" t="s">
        <v>81</v>
      </c>
      <c r="B26" s="14">
        <v>144</v>
      </c>
      <c r="C26" s="14">
        <v>154</v>
      </c>
      <c r="D26" s="12">
        <v>0.27</v>
      </c>
      <c r="E26" s="18"/>
      <c r="F26" s="18">
        <v>0.2</v>
      </c>
      <c r="G26" s="520">
        <f>BUFF!G43-IF(BUFF!B75=1,BUFF!G43*30%,0%)</f>
        <v>0.5</v>
      </c>
      <c r="H26" s="13"/>
      <c r="I26" s="53">
        <f>BUFF!I43-IF(BUFF!B65=1,BUFF!I43*25%,0%)</f>
        <v>0</v>
      </c>
      <c r="J26" s="19">
        <f>BUFF!J43</f>
        <v>0</v>
      </c>
      <c r="K26" s="19">
        <f>BUFF!O25+BUFF!K27</f>
        <v>0.32</v>
      </c>
      <c r="L26" s="19"/>
      <c r="M26" s="62">
        <f>((B26+C26)/2+C4*D26)*(1+K26)*(1+E4)*((F4+L26)*G4+(J6-L26)+H6*0.25)*(1-(E6*(1-BUFF!M27)))</f>
        <v>6798.543101469897</v>
      </c>
      <c r="N26" s="90"/>
      <c r="O26" s="90"/>
      <c r="P26" s="90"/>
      <c r="Q26" s="90"/>
      <c r="R26" s="90"/>
      <c r="S26" s="91"/>
      <c r="T26" s="91"/>
      <c r="U26" s="91"/>
      <c r="V26" s="91"/>
    </row>
    <row r="27" spans="1:22" x14ac:dyDescent="0.25">
      <c r="A27" s="20" t="s">
        <v>48</v>
      </c>
      <c r="B27" s="14">
        <f>120</f>
        <v>120</v>
      </c>
      <c r="C27" s="14">
        <f>140</f>
        <v>140</v>
      </c>
      <c r="D27" s="12">
        <f>0.67</f>
        <v>0.67</v>
      </c>
      <c r="E27" s="18"/>
      <c r="F27" s="18"/>
      <c r="G27" s="520">
        <f>BUFF!G44</f>
        <v>0.7</v>
      </c>
      <c r="H27" s="13"/>
      <c r="I27" s="53">
        <f>BUFF!I44-IF(BUFF!B65=1,BUFF!I44*25%,0%)</f>
        <v>0</v>
      </c>
      <c r="J27" s="19">
        <f>BUFF!J44+BUFF!J44*IF(BUFF!B57=1,20%,0%)</f>
        <v>0.24000000000000002</v>
      </c>
      <c r="K27" s="53">
        <f>BUFF!H11+IF(BUFF!B55=1,10%,0%)+IF(BUFF!B57=1,20%,0%)+BUFF!K27</f>
        <v>0.52</v>
      </c>
      <c r="L27" s="19">
        <f>BUFF!H12</f>
        <v>0.04</v>
      </c>
      <c r="M27" s="62">
        <f>((B27+C27)/2+C4*D27)*(1+K27)*(1+E4)*((F4+L27)*G4+(J6-L27)+H6*0.25)*(1-(E6*(1-BUFF!M27)))</f>
        <v>19492.452963960484</v>
      </c>
      <c r="N27" s="66" t="s">
        <v>407</v>
      </c>
      <c r="O27" s="66"/>
      <c r="P27" s="115" t="str">
        <f>IF(BUFF!M21&gt;4,"秘笈數量超過4！","")</f>
        <v/>
      </c>
      <c r="Q27" s="67"/>
      <c r="R27" s="69"/>
      <c r="S27" s="91"/>
      <c r="T27" s="91"/>
      <c r="U27" s="91"/>
      <c r="V27" s="91"/>
    </row>
    <row r="28" spans="1:22" x14ac:dyDescent="0.25">
      <c r="A28" s="20" t="s">
        <v>83</v>
      </c>
      <c r="B28" s="14">
        <v>61</v>
      </c>
      <c r="C28" s="14">
        <v>91</v>
      </c>
      <c r="D28" s="12">
        <v>0.312</v>
      </c>
      <c r="E28" s="18">
        <v>25</v>
      </c>
      <c r="F28" s="18"/>
      <c r="G28" s="520">
        <f>BUFF!G45-IF(BUFF!B75=1,BUFF!G45*30%,0%)</f>
        <v>0</v>
      </c>
      <c r="H28" s="13"/>
      <c r="I28" s="53">
        <f>BUFF!I45-IF(BUFF!B65=1,BUFF!I45*25%,0%)</f>
        <v>0.1</v>
      </c>
      <c r="J28" s="19">
        <f>BUFF!J45</f>
        <v>0</v>
      </c>
      <c r="K28" s="19">
        <f>BUFF!K27</f>
        <v>0.2</v>
      </c>
      <c r="L28" s="19"/>
      <c r="M28" s="62">
        <f>((B28+C28)/2+C4*D28)*(1+K28)*(1+E4)*((F4+L28)*G4+(J6-L28)+H6*0.25)*(1-(E6*(1-BUFF!M27)))</f>
        <v>6963.374402455207</v>
      </c>
      <c r="N28" s="90"/>
      <c r="O28" s="91"/>
      <c r="P28" s="90"/>
      <c r="Q28" s="90"/>
      <c r="R28" s="90"/>
      <c r="S28" s="91"/>
      <c r="T28" s="91"/>
      <c r="U28" s="91"/>
      <c r="V28" s="91"/>
    </row>
    <row r="29" spans="1:22" x14ac:dyDescent="0.25">
      <c r="A29" s="20" t="s">
        <v>84</v>
      </c>
      <c r="B29" s="14">
        <v>124</v>
      </c>
      <c r="C29" s="14">
        <v>137</v>
      </c>
      <c r="D29" s="12">
        <v>0.5</v>
      </c>
      <c r="E29" s="18"/>
      <c r="F29" s="18"/>
      <c r="G29" s="520">
        <f>BUFF!G46-IF(BUFF!B75=1,BUFF!G46*30%,0%)</f>
        <v>0</v>
      </c>
      <c r="H29" s="13"/>
      <c r="I29" s="53">
        <f>BUFF!I46-IF(BUFF!B65=1,BUFF!I46*25%,0%)</f>
        <v>0.1</v>
      </c>
      <c r="J29" s="19">
        <f>BUFF!J46</f>
        <v>0</v>
      </c>
      <c r="K29" s="19">
        <f>BUFF!K27</f>
        <v>0.2</v>
      </c>
      <c r="L29" s="19"/>
      <c r="M29" s="62">
        <f>((B29+C29)/2+C4*D29)*(1+K29)*(1+E4)*((F4+L29)*G4+(J6-L29)+H6*0.25)*(1-(E6*(1-BUFF!M27)))</f>
        <v>11175.41269559865</v>
      </c>
      <c r="N29" s="66" t="s">
        <v>406</v>
      </c>
      <c r="O29" s="66"/>
      <c r="P29" s="115" t="str">
        <f>IF(BUFF!O24&gt;4,"秘笈數量超過4！","")</f>
        <v/>
      </c>
      <c r="Q29" s="67"/>
      <c r="R29" s="69"/>
      <c r="T29" s="91"/>
      <c r="U29" s="91"/>
      <c r="V29" s="91"/>
    </row>
    <row r="30" spans="1:22" x14ac:dyDescent="0.25">
      <c r="A30" s="20" t="s">
        <v>85</v>
      </c>
      <c r="B30" s="14">
        <v>103</v>
      </c>
      <c r="C30" s="14">
        <v>113</v>
      </c>
      <c r="D30" s="12">
        <v>0.69</v>
      </c>
      <c r="E30" s="18"/>
      <c r="F30" s="18"/>
      <c r="G30" s="520">
        <f>BUFF!G47-IF(BUFF!B75=1,BUFF!G47*30%,0%)</f>
        <v>0</v>
      </c>
      <c r="H30" s="13"/>
      <c r="I30" s="53">
        <f>BUFF!I47-IF(BUFF!B65=1,BUFF!I47*25%,0%)</f>
        <v>0.1</v>
      </c>
      <c r="J30" s="19">
        <f>BUFF!J47</f>
        <v>0</v>
      </c>
      <c r="K30" s="19">
        <f>BUFF!K27</f>
        <v>0.2</v>
      </c>
      <c r="L30" s="19"/>
      <c r="M30" s="62">
        <f>((B12+C30)/2+C4*D30)*(1+K30)*(1+E4)*((F4+L30)*G4+(J6-L30)+H6*0.25)*(1-(E6*(1-BUFF!M27)))</f>
        <v>15225.140551187367</v>
      </c>
      <c r="N30" s="90"/>
      <c r="O30" s="90"/>
      <c r="P30" s="90"/>
      <c r="Q30" s="90"/>
      <c r="R30" s="90"/>
      <c r="S30" s="91"/>
      <c r="T30" s="91"/>
      <c r="U30" s="91"/>
      <c r="V30" s="91"/>
    </row>
    <row r="31" spans="1:22" x14ac:dyDescent="0.25">
      <c r="A31" s="20" t="s">
        <v>86</v>
      </c>
      <c r="B31" s="15">
        <v>1465</v>
      </c>
      <c r="C31" s="15">
        <v>1525</v>
      </c>
      <c r="D31" s="12">
        <v>2</v>
      </c>
      <c r="E31" s="18"/>
      <c r="F31" s="18"/>
      <c r="G31" s="520">
        <f>BUFF!G48</f>
        <v>1.8</v>
      </c>
      <c r="H31" s="13"/>
      <c r="I31" s="53">
        <f>BUFF!I48-IF(BUFF!B65=1,BUFF!I48*25%,0%)</f>
        <v>0.1</v>
      </c>
      <c r="J31" s="19">
        <f>BUFF!J48</f>
        <v>0</v>
      </c>
      <c r="K31" s="19">
        <f>IF(BUFF!B58=1,15%,0%)+BUFF!K27</f>
        <v>0.2</v>
      </c>
      <c r="L31" s="19"/>
      <c r="M31" s="341">
        <f>((B31+C31)/2+C4*D31)*(1+K31)*(1+E4)*((F4+L31)*G4+(J6-L31)+H6*0.25)*(1-(E6*(1-BUFF!M27)))</f>
        <v>46507.776586738291</v>
      </c>
      <c r="N31" s="64" t="s">
        <v>233</v>
      </c>
      <c r="O31" s="65"/>
      <c r="P31" s="116" t="str">
        <f>IF(BUFF!H10&gt;4,"秘笈數量超過4！","")</f>
        <v/>
      </c>
      <c r="Q31" s="70"/>
      <c r="R31" s="69"/>
      <c r="S31" s="91"/>
      <c r="T31" s="91"/>
      <c r="U31" s="91"/>
      <c r="V31" s="91"/>
    </row>
    <row r="32" spans="1:22" ht="17.25" thickBot="1" x14ac:dyDescent="0.3">
      <c r="A32" s="56" t="s">
        <v>390</v>
      </c>
      <c r="B32" s="15">
        <v>219</v>
      </c>
      <c r="C32" s="15">
        <v>242</v>
      </c>
      <c r="D32" s="12">
        <v>1.87</v>
      </c>
      <c r="E32" s="18"/>
      <c r="F32" s="18"/>
      <c r="G32" s="520">
        <f>BUFF!G49</f>
        <v>1.7</v>
      </c>
      <c r="H32" s="13"/>
      <c r="I32" s="53">
        <f>BUFF!I49-IF(BUFF!B65=1,BUFF!I49*25%,0%)</f>
        <v>0.1</v>
      </c>
      <c r="J32" s="19">
        <f>BUFF!J49</f>
        <v>0</v>
      </c>
      <c r="K32" s="19">
        <f>BUFF!S18+IF(BUFF!B58=1,15%,0%)+BUFF!K27</f>
        <v>0.27</v>
      </c>
      <c r="L32" s="19">
        <f>BUFF!S19</f>
        <v>0.09</v>
      </c>
      <c r="M32" s="341">
        <f>((B32+C32)/2+C4*D32)*(1+K32)*(1+E4)*((F4+L32)*G4+(J6-L32)+H6*0.25)*(1-(E6*(1-BUFF!M27)))</f>
        <v>47011.871515628889</v>
      </c>
      <c r="N32" s="90"/>
      <c r="O32" s="90"/>
      <c r="P32" s="90"/>
      <c r="Q32" s="90"/>
      <c r="R32" s="90"/>
      <c r="S32" s="91"/>
      <c r="T32" s="91"/>
      <c r="U32" s="91"/>
      <c r="V32" s="91"/>
    </row>
    <row r="33" spans="1:22" ht="17.25" thickBot="1" x14ac:dyDescent="0.3">
      <c r="A33" s="56" t="s">
        <v>238</v>
      </c>
      <c r="B33" s="15">
        <v>450</v>
      </c>
      <c r="C33" s="15">
        <v>500</v>
      </c>
      <c r="D33" s="12">
        <v>1.413</v>
      </c>
      <c r="E33" s="18"/>
      <c r="F33" s="18"/>
      <c r="G33" s="520">
        <f>BUFF!G50</f>
        <v>2</v>
      </c>
      <c r="H33" s="13"/>
      <c r="I33" s="53">
        <f>BUFF!I50-IF(BUFF!B65=1,BUFF!I50*25%,0%)</f>
        <v>0</v>
      </c>
      <c r="J33" s="19">
        <f>BUFF!J50</f>
        <v>0</v>
      </c>
      <c r="K33" s="19">
        <f>BUFF!K27</f>
        <v>0.2</v>
      </c>
      <c r="L33" s="19"/>
      <c r="M33" s="342">
        <f>((B33+C33)/2+C4*D33)*(1+K33)*(1+E4)*((F4+L33)*G4+(J6-L33)+H6*0.25)*(1-(E6*(1-BUFF!M27)))</f>
        <v>31778.86242709573</v>
      </c>
      <c r="N33" s="66" t="s">
        <v>405</v>
      </c>
      <c r="O33" s="66"/>
      <c r="P33" s="115" t="str">
        <f>IF(BUFF!S17&gt;4,"秘笈數量超過4！","")</f>
        <v/>
      </c>
      <c r="Q33" s="67"/>
      <c r="R33" s="69"/>
      <c r="S33" s="91"/>
      <c r="T33" s="91"/>
      <c r="U33" s="91"/>
      <c r="V33" s="91"/>
    </row>
    <row r="34" spans="1:22" ht="17.25" thickBot="1" x14ac:dyDescent="0.3">
      <c r="A34" s="56" t="s">
        <v>239</v>
      </c>
      <c r="B34" s="15">
        <v>35</v>
      </c>
      <c r="C34" s="15">
        <v>38</v>
      </c>
      <c r="D34" s="12">
        <v>1.03</v>
      </c>
      <c r="E34" s="18"/>
      <c r="F34" s="18">
        <v>1.5</v>
      </c>
      <c r="G34" s="520">
        <f>BUFF!G51-IF(BUFF!B75=1,BUFF!G51*30%,0%)</f>
        <v>0</v>
      </c>
      <c r="H34" s="13"/>
      <c r="I34" s="53">
        <f>BUFF!I51-IF(BUFF!B65=1,BUFF!I51*25%,0%)</f>
        <v>0</v>
      </c>
      <c r="J34" s="19">
        <f>BUFF!J51</f>
        <v>0</v>
      </c>
      <c r="K34" s="19">
        <f>BUFF!K27</f>
        <v>0.2</v>
      </c>
      <c r="L34" s="19"/>
      <c r="M34" s="62">
        <f>((B34+C34)/2+C4*D34)*(1+K34)*(1+E4)*((F4+L34)*G4+(J6-L34)+H6*0.25)*(1-(E6*(1-BUFF!M27)))</f>
        <v>22590.088890730574</v>
      </c>
      <c r="N34" s="90"/>
      <c r="O34" s="90"/>
      <c r="P34" s="90"/>
      <c r="Q34" s="90"/>
      <c r="R34" s="90"/>
      <c r="S34" s="91"/>
      <c r="T34" s="91"/>
      <c r="U34" s="91"/>
      <c r="V34" s="91"/>
    </row>
    <row r="35" spans="1:22" ht="17.25" thickBot="1" x14ac:dyDescent="0.3">
      <c r="A35" s="56" t="s">
        <v>240</v>
      </c>
      <c r="B35" s="15">
        <v>35</v>
      </c>
      <c r="C35" s="15">
        <v>38</v>
      </c>
      <c r="D35" s="12">
        <v>1.125</v>
      </c>
      <c r="E35" s="18"/>
      <c r="F35" s="18">
        <v>1.5</v>
      </c>
      <c r="G35" s="520">
        <f>BUFF!G52-IF(BUFF!B75=1,BUFF!G52*30%,0%)</f>
        <v>0</v>
      </c>
      <c r="H35" s="13"/>
      <c r="I35" s="53">
        <f>BUFF!I52-IF(BUFF!B65=1,BUFF!I52*25%,0%)</f>
        <v>0</v>
      </c>
      <c r="J35" s="19">
        <f>BUFF!J52</f>
        <v>0</v>
      </c>
      <c r="K35" s="19">
        <f>BUFF!K27</f>
        <v>0.2</v>
      </c>
      <c r="L35" s="19"/>
      <c r="M35" s="62">
        <f>((B35+C35)/2+C4*D35)*(1+K35)*(1+E4)*((F4+L35)*G4+(J6-L35)+H6*0.25)*(1-(E6*(1-BUFF!M27)))</f>
        <v>24667.391722916207</v>
      </c>
      <c r="N35" s="64" t="s">
        <v>357</v>
      </c>
      <c r="O35" s="64"/>
      <c r="P35" s="117" t="str">
        <f>IF(BUFF!J18&gt;4,"秘笈數量超過4！","")</f>
        <v/>
      </c>
      <c r="Q35" s="61"/>
      <c r="R35" s="69"/>
      <c r="S35" s="91"/>
      <c r="T35" s="91"/>
      <c r="U35" s="91"/>
      <c r="V35" s="91"/>
    </row>
    <row r="36" spans="1:22" ht="17.25" thickBot="1" x14ac:dyDescent="0.3">
      <c r="A36" s="56" t="s">
        <v>357</v>
      </c>
      <c r="B36" s="15"/>
      <c r="C36" s="15"/>
      <c r="D36" s="12"/>
      <c r="E36" s="18">
        <f>BUFF!E53-IF(BUFF!H17=TRUE,5,0)-IF(BUFF!I17=TRUE,5,0)-IF(BUFF!J17=TRUE,5,0)</f>
        <v>30</v>
      </c>
      <c r="F36" s="171">
        <f>BUFF!F53-IF(BUFF!B66=1,0.625)-IF(BUFF!K17=TRUE,BUFF!F53*12.5%,0)-IF(BUFF!L17=TRUE,BUFF!F53*12.5%,0)</f>
        <v>1.25</v>
      </c>
      <c r="G36" s="520">
        <f>BUFF!G53-IF(BUFF!B75=1,BUFF!G53*30%,0%)</f>
        <v>0</v>
      </c>
      <c r="H36" s="13"/>
      <c r="I36" s="53">
        <f>BUFF!I53-IF(BUFF!B65=1,BUFF!I53*25%,0%)</f>
        <v>0</v>
      </c>
      <c r="J36" s="19">
        <f>BUFF!J53</f>
        <v>0</v>
      </c>
      <c r="K36" s="19">
        <f>BUFF!K27</f>
        <v>0.2</v>
      </c>
      <c r="L36" s="19"/>
      <c r="M36" s="62">
        <v>0</v>
      </c>
      <c r="N36" s="90"/>
      <c r="O36" s="90"/>
      <c r="P36" s="90"/>
      <c r="Q36" s="90"/>
      <c r="R36" s="90"/>
      <c r="S36" s="91"/>
      <c r="T36" s="91"/>
      <c r="U36" s="91"/>
      <c r="V36" s="91"/>
    </row>
    <row r="37" spans="1:22" s="46" customFormat="1" x14ac:dyDescent="0.25">
      <c r="A37" s="540" t="s">
        <v>356</v>
      </c>
      <c r="B37" s="540"/>
      <c r="C37" s="540"/>
      <c r="D37" s="540"/>
      <c r="E37" s="540"/>
      <c r="F37" s="540"/>
      <c r="G37" s="540"/>
      <c r="H37" s="540"/>
      <c r="I37" s="540"/>
      <c r="J37" s="540"/>
      <c r="K37" s="540"/>
      <c r="L37" s="540"/>
      <c r="M37" s="540"/>
      <c r="N37" s="540"/>
      <c r="O37" s="540"/>
      <c r="P37" s="540"/>
      <c r="Q37" s="540"/>
    </row>
    <row r="38" spans="1:22" s="46" customFormat="1" x14ac:dyDescent="0.25">
      <c r="A38" s="528" t="s">
        <v>295</v>
      </c>
      <c r="B38" s="528"/>
      <c r="C38" s="528"/>
      <c r="D38" s="528"/>
      <c r="E38" s="528"/>
      <c r="F38" s="528"/>
      <c r="G38" s="528"/>
      <c r="H38" s="528"/>
      <c r="I38" s="528"/>
      <c r="J38" s="528"/>
      <c r="K38" s="528"/>
      <c r="L38" s="528"/>
      <c r="M38" s="528"/>
      <c r="N38" s="528"/>
      <c r="O38" s="528"/>
      <c r="P38" s="528"/>
      <c r="Q38" s="528"/>
    </row>
    <row r="40" spans="1:22" x14ac:dyDescent="0.25">
      <c r="C40" s="12"/>
      <c r="D40" s="12"/>
    </row>
    <row r="42" spans="1:22" x14ac:dyDescent="0.25">
      <c r="C42" s="12"/>
    </row>
    <row r="43" spans="1:22" x14ac:dyDescent="0.25">
      <c r="C43" s="12"/>
    </row>
    <row r="44" spans="1:22" x14ac:dyDescent="0.25">
      <c r="C44" s="12"/>
    </row>
    <row r="45" spans="1:22" x14ac:dyDescent="0.25">
      <c r="C45" s="12"/>
    </row>
    <row r="46" spans="1:22" x14ac:dyDescent="0.25">
      <c r="C46" s="12"/>
    </row>
    <row r="47" spans="1:22" x14ac:dyDescent="0.25">
      <c r="C47" s="12"/>
    </row>
    <row r="48" spans="1:22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</sheetData>
  <mergeCells count="36">
    <mergeCell ref="U2:V2"/>
    <mergeCell ref="Q1:Y1"/>
    <mergeCell ref="X8:Y8"/>
    <mergeCell ref="X2:Y2"/>
    <mergeCell ref="J4:M4"/>
    <mergeCell ref="J3:M3"/>
    <mergeCell ref="I2:M2"/>
    <mergeCell ref="I1:M1"/>
    <mergeCell ref="U5:V5"/>
    <mergeCell ref="N1:P1"/>
    <mergeCell ref="O2:P2"/>
    <mergeCell ref="U10:V10"/>
    <mergeCell ref="R3:S3"/>
    <mergeCell ref="O7:P7"/>
    <mergeCell ref="U6:V6"/>
    <mergeCell ref="U7:V7"/>
    <mergeCell ref="U8:V8"/>
    <mergeCell ref="U9:V9"/>
    <mergeCell ref="U3:V3"/>
    <mergeCell ref="U4:V4"/>
    <mergeCell ref="O3:P3"/>
    <mergeCell ref="A38:Q38"/>
    <mergeCell ref="N12:R12"/>
    <mergeCell ref="O4:P4"/>
    <mergeCell ref="O5:P5"/>
    <mergeCell ref="O6:P6"/>
    <mergeCell ref="O10:P10"/>
    <mergeCell ref="O8:P8"/>
    <mergeCell ref="R5:S5"/>
    <mergeCell ref="R4:S4"/>
    <mergeCell ref="R6:S6"/>
    <mergeCell ref="O9:P9"/>
    <mergeCell ref="R7:S7"/>
    <mergeCell ref="R9:S9"/>
    <mergeCell ref="R8:S8"/>
    <mergeCell ref="A37:Q37"/>
  </mergeCells>
  <phoneticPr fontId="2" type="noConversion"/>
  <conditionalFormatting sqref="N20:Q20">
    <cfRule type="duplicateValues" dxfId="128" priority="153" stopIfTrue="1"/>
  </conditionalFormatting>
  <conditionalFormatting sqref="N35:Q35">
    <cfRule type="duplicateValues" dxfId="127" priority="146" stopIfTrue="1"/>
  </conditionalFormatting>
  <conditionalFormatting sqref="N22">
    <cfRule type="duplicateValues" dxfId="126" priority="144" stopIfTrue="1"/>
  </conditionalFormatting>
  <conditionalFormatting sqref="O22">
    <cfRule type="duplicateValues" dxfId="125" priority="140" stopIfTrue="1"/>
  </conditionalFormatting>
  <conditionalFormatting sqref="P22">
    <cfRule type="duplicateValues" dxfId="124" priority="139" stopIfTrue="1"/>
  </conditionalFormatting>
  <conditionalFormatting sqref="Q22">
    <cfRule type="duplicateValues" dxfId="123" priority="138" stopIfTrue="1"/>
  </conditionalFormatting>
  <conditionalFormatting sqref="N22:Q22">
    <cfRule type="duplicateValues" dxfId="122" priority="137" stopIfTrue="1"/>
  </conditionalFormatting>
  <conditionalFormatting sqref="O18 Q16 N17:N19 P19:Q19">
    <cfRule type="duplicateValues" dxfId="121" priority="157" stopIfTrue="1"/>
  </conditionalFormatting>
  <conditionalFormatting sqref="N24">
    <cfRule type="duplicateValues" dxfId="120" priority="127" stopIfTrue="1"/>
  </conditionalFormatting>
  <conditionalFormatting sqref="N24">
    <cfRule type="duplicateValues" dxfId="119" priority="126" stopIfTrue="1"/>
  </conditionalFormatting>
  <conditionalFormatting sqref="O24">
    <cfRule type="duplicateValues" dxfId="118" priority="125" stopIfTrue="1"/>
  </conditionalFormatting>
  <conditionalFormatting sqref="O24">
    <cfRule type="duplicateValues" dxfId="117" priority="124" stopIfTrue="1"/>
  </conditionalFormatting>
  <conditionalFormatting sqref="P24">
    <cfRule type="duplicateValues" dxfId="116" priority="123" stopIfTrue="1"/>
  </conditionalFormatting>
  <conditionalFormatting sqref="P24">
    <cfRule type="duplicateValues" dxfId="115" priority="122" stopIfTrue="1"/>
  </conditionalFormatting>
  <conditionalFormatting sqref="Q24">
    <cfRule type="duplicateValues" dxfId="114" priority="121" stopIfTrue="1"/>
  </conditionalFormatting>
  <conditionalFormatting sqref="Q24">
    <cfRule type="duplicateValues" dxfId="113" priority="120" stopIfTrue="1"/>
  </conditionalFormatting>
  <conditionalFormatting sqref="R24">
    <cfRule type="duplicateValues" dxfId="112" priority="119" stopIfTrue="1"/>
  </conditionalFormatting>
  <conditionalFormatting sqref="R24">
    <cfRule type="duplicateValues" dxfId="111" priority="118" stopIfTrue="1"/>
  </conditionalFormatting>
  <conditionalFormatting sqref="Q14">
    <cfRule type="duplicateValues" dxfId="110" priority="87" stopIfTrue="1"/>
  </conditionalFormatting>
  <conditionalFormatting sqref="N26">
    <cfRule type="duplicateValues" dxfId="109" priority="86" stopIfTrue="1"/>
  </conditionalFormatting>
  <conditionalFormatting sqref="N26">
    <cfRule type="duplicateValues" dxfId="108" priority="85" stopIfTrue="1"/>
  </conditionalFormatting>
  <conditionalFormatting sqref="O26">
    <cfRule type="duplicateValues" dxfId="107" priority="84" stopIfTrue="1"/>
  </conditionalFormatting>
  <conditionalFormatting sqref="O26">
    <cfRule type="duplicateValues" dxfId="106" priority="83" stopIfTrue="1"/>
  </conditionalFormatting>
  <conditionalFormatting sqref="P26">
    <cfRule type="duplicateValues" dxfId="105" priority="82" stopIfTrue="1"/>
  </conditionalFormatting>
  <conditionalFormatting sqref="P26">
    <cfRule type="duplicateValues" dxfId="104" priority="81" stopIfTrue="1"/>
  </conditionalFormatting>
  <conditionalFormatting sqref="Q26">
    <cfRule type="duplicateValues" dxfId="103" priority="80" stopIfTrue="1"/>
  </conditionalFormatting>
  <conditionalFormatting sqref="Q26">
    <cfRule type="duplicateValues" dxfId="102" priority="79" stopIfTrue="1"/>
  </conditionalFormatting>
  <conditionalFormatting sqref="R26">
    <cfRule type="duplicateValues" dxfId="101" priority="78" stopIfTrue="1"/>
  </conditionalFormatting>
  <conditionalFormatting sqref="R26">
    <cfRule type="duplicateValues" dxfId="100" priority="77" stopIfTrue="1"/>
  </conditionalFormatting>
  <conditionalFormatting sqref="N28">
    <cfRule type="duplicateValues" dxfId="99" priority="76" stopIfTrue="1"/>
  </conditionalFormatting>
  <conditionalFormatting sqref="N28">
    <cfRule type="duplicateValues" dxfId="98" priority="75" stopIfTrue="1"/>
  </conditionalFormatting>
  <conditionalFormatting sqref="P28">
    <cfRule type="duplicateValues" dxfId="97" priority="72" stopIfTrue="1"/>
  </conditionalFormatting>
  <conditionalFormatting sqref="P28">
    <cfRule type="duplicateValues" dxfId="96" priority="71" stopIfTrue="1"/>
  </conditionalFormatting>
  <conditionalFormatting sqref="Q28">
    <cfRule type="duplicateValues" dxfId="95" priority="70" stopIfTrue="1"/>
  </conditionalFormatting>
  <conditionalFormatting sqref="Q28">
    <cfRule type="duplicateValues" dxfId="94" priority="69" stopIfTrue="1"/>
  </conditionalFormatting>
  <conditionalFormatting sqref="R28">
    <cfRule type="duplicateValues" dxfId="93" priority="68" stopIfTrue="1"/>
  </conditionalFormatting>
  <conditionalFormatting sqref="R28">
    <cfRule type="duplicateValues" dxfId="92" priority="67" stopIfTrue="1"/>
  </conditionalFormatting>
  <conditionalFormatting sqref="N30">
    <cfRule type="duplicateValues" dxfId="91" priority="66" stopIfTrue="1"/>
  </conditionalFormatting>
  <conditionalFormatting sqref="N30">
    <cfRule type="duplicateValues" dxfId="90" priority="65" stopIfTrue="1"/>
  </conditionalFormatting>
  <conditionalFormatting sqref="O30">
    <cfRule type="duplicateValues" dxfId="89" priority="64" stopIfTrue="1"/>
  </conditionalFormatting>
  <conditionalFormatting sqref="O30">
    <cfRule type="duplicateValues" dxfId="88" priority="63" stopIfTrue="1"/>
  </conditionalFormatting>
  <conditionalFormatting sqref="P30">
    <cfRule type="duplicateValues" dxfId="87" priority="62" stopIfTrue="1"/>
  </conditionalFormatting>
  <conditionalFormatting sqref="P30">
    <cfRule type="duplicateValues" dxfId="86" priority="61" stopIfTrue="1"/>
  </conditionalFormatting>
  <conditionalFormatting sqref="Q30">
    <cfRule type="duplicateValues" dxfId="85" priority="60" stopIfTrue="1"/>
  </conditionalFormatting>
  <conditionalFormatting sqref="Q30">
    <cfRule type="duplicateValues" dxfId="84" priority="59" stopIfTrue="1"/>
  </conditionalFormatting>
  <conditionalFormatting sqref="R30">
    <cfRule type="duplicateValues" dxfId="83" priority="58" stopIfTrue="1"/>
  </conditionalFormatting>
  <conditionalFormatting sqref="R30">
    <cfRule type="duplicateValues" dxfId="82" priority="57" stopIfTrue="1"/>
  </conditionalFormatting>
  <conditionalFormatting sqref="N32">
    <cfRule type="duplicateValues" dxfId="81" priority="56" stopIfTrue="1"/>
  </conditionalFormatting>
  <conditionalFormatting sqref="N32">
    <cfRule type="duplicateValues" dxfId="80" priority="55" stopIfTrue="1"/>
  </conditionalFormatting>
  <conditionalFormatting sqref="O32">
    <cfRule type="duplicateValues" dxfId="79" priority="54" stopIfTrue="1"/>
  </conditionalFormatting>
  <conditionalFormatting sqref="O32">
    <cfRule type="duplicateValues" dxfId="78" priority="53" stopIfTrue="1"/>
  </conditionalFormatting>
  <conditionalFormatting sqref="P32">
    <cfRule type="duplicateValues" dxfId="77" priority="52" stopIfTrue="1"/>
  </conditionalFormatting>
  <conditionalFormatting sqref="P32">
    <cfRule type="duplicateValues" dxfId="76" priority="51" stopIfTrue="1"/>
  </conditionalFormatting>
  <conditionalFormatting sqref="Q32">
    <cfRule type="duplicateValues" dxfId="75" priority="50" stopIfTrue="1"/>
  </conditionalFormatting>
  <conditionalFormatting sqref="Q32">
    <cfRule type="duplicateValues" dxfId="74" priority="49" stopIfTrue="1"/>
  </conditionalFormatting>
  <conditionalFormatting sqref="R32">
    <cfRule type="duplicateValues" dxfId="73" priority="48" stopIfTrue="1"/>
  </conditionalFormatting>
  <conditionalFormatting sqref="R32">
    <cfRule type="duplicateValues" dxfId="72" priority="47" stopIfTrue="1"/>
  </conditionalFormatting>
  <conditionalFormatting sqref="N34">
    <cfRule type="duplicateValues" dxfId="71" priority="46" stopIfTrue="1"/>
  </conditionalFormatting>
  <conditionalFormatting sqref="N34">
    <cfRule type="duplicateValues" dxfId="70" priority="45" stopIfTrue="1"/>
  </conditionalFormatting>
  <conditionalFormatting sqref="O34">
    <cfRule type="duplicateValues" dxfId="69" priority="44" stopIfTrue="1"/>
  </conditionalFormatting>
  <conditionalFormatting sqref="O34">
    <cfRule type="duplicateValues" dxfId="68" priority="43" stopIfTrue="1"/>
  </conditionalFormatting>
  <conditionalFormatting sqref="P34">
    <cfRule type="duplicateValues" dxfId="67" priority="42" stopIfTrue="1"/>
  </conditionalFormatting>
  <conditionalFormatting sqref="P34">
    <cfRule type="duplicateValues" dxfId="66" priority="41" stopIfTrue="1"/>
  </conditionalFormatting>
  <conditionalFormatting sqref="Q34">
    <cfRule type="duplicateValues" dxfId="65" priority="40" stopIfTrue="1"/>
  </conditionalFormatting>
  <conditionalFormatting sqref="Q34">
    <cfRule type="duplicateValues" dxfId="64" priority="39" stopIfTrue="1"/>
  </conditionalFormatting>
  <conditionalFormatting sqref="R34">
    <cfRule type="duplicateValues" dxfId="63" priority="38" stopIfTrue="1"/>
  </conditionalFormatting>
  <conditionalFormatting sqref="R34">
    <cfRule type="duplicateValues" dxfId="62" priority="37" stopIfTrue="1"/>
  </conditionalFormatting>
  <conditionalFormatting sqref="N36">
    <cfRule type="duplicateValues" dxfId="61" priority="36" stopIfTrue="1"/>
  </conditionalFormatting>
  <conditionalFormatting sqref="N36">
    <cfRule type="duplicateValues" dxfId="60" priority="35" stopIfTrue="1"/>
  </conditionalFormatting>
  <conditionalFormatting sqref="O36">
    <cfRule type="duplicateValues" dxfId="59" priority="34" stopIfTrue="1"/>
  </conditionalFormatting>
  <conditionalFormatting sqref="O36">
    <cfRule type="duplicateValues" dxfId="58" priority="33" stopIfTrue="1"/>
  </conditionalFormatting>
  <conditionalFormatting sqref="P36">
    <cfRule type="duplicateValues" dxfId="57" priority="32" stopIfTrue="1"/>
  </conditionalFormatting>
  <conditionalFormatting sqref="P36">
    <cfRule type="duplicateValues" dxfId="56" priority="31" stopIfTrue="1"/>
  </conditionalFormatting>
  <conditionalFormatting sqref="Q36">
    <cfRule type="duplicateValues" dxfId="55" priority="30" stopIfTrue="1"/>
  </conditionalFormatting>
  <conditionalFormatting sqref="Q36">
    <cfRule type="duplicateValues" dxfId="54" priority="29" stopIfTrue="1"/>
  </conditionalFormatting>
  <conditionalFormatting sqref="R36">
    <cfRule type="duplicateValues" dxfId="53" priority="28" stopIfTrue="1"/>
  </conditionalFormatting>
  <conditionalFormatting sqref="R36">
    <cfRule type="duplicateValues" dxfId="52" priority="27" stopIfTrue="1"/>
  </conditionalFormatting>
  <conditionalFormatting sqref="I11:J36">
    <cfRule type="cellIs" dxfId="51" priority="26" operator="equal">
      <formula>0</formula>
    </cfRule>
  </conditionalFormatting>
  <conditionalFormatting sqref="G13">
    <cfRule type="cellIs" dxfId="50" priority="25" operator="equal">
      <formula>0</formula>
    </cfRule>
  </conditionalFormatting>
  <conditionalFormatting sqref="G14">
    <cfRule type="cellIs" dxfId="49" priority="24" operator="equal">
      <formula>0</formula>
    </cfRule>
  </conditionalFormatting>
  <conditionalFormatting sqref="G15">
    <cfRule type="cellIs" dxfId="48" priority="23" operator="equal">
      <formula>0</formula>
    </cfRule>
  </conditionalFormatting>
  <conditionalFormatting sqref="G16">
    <cfRule type="cellIs" dxfId="47" priority="22" operator="equal">
      <formula>0</formula>
    </cfRule>
  </conditionalFormatting>
  <conditionalFormatting sqref="G17">
    <cfRule type="cellIs" dxfId="46" priority="21" operator="equal">
      <formula>0</formula>
    </cfRule>
  </conditionalFormatting>
  <conditionalFormatting sqref="G18">
    <cfRule type="cellIs" dxfId="45" priority="20" operator="equal">
      <formula>0</formula>
    </cfRule>
  </conditionalFormatting>
  <conditionalFormatting sqref="G19">
    <cfRule type="cellIs" dxfId="44" priority="19" operator="equal">
      <formula>0</formula>
    </cfRule>
  </conditionalFormatting>
  <conditionalFormatting sqref="G20">
    <cfRule type="cellIs" dxfId="43" priority="18" operator="equal">
      <formula>0</formula>
    </cfRule>
  </conditionalFormatting>
  <conditionalFormatting sqref="G21">
    <cfRule type="cellIs" dxfId="42" priority="17" operator="equal">
      <formula>0</formula>
    </cfRule>
  </conditionalFormatting>
  <conditionalFormatting sqref="G22">
    <cfRule type="cellIs" dxfId="41" priority="16" operator="equal">
      <formula>0</formula>
    </cfRule>
  </conditionalFormatting>
  <conditionalFormatting sqref="G23">
    <cfRule type="cellIs" dxfId="40" priority="15" operator="equal">
      <formula>0</formula>
    </cfRule>
  </conditionalFormatting>
  <conditionalFormatting sqref="G24">
    <cfRule type="cellIs" dxfId="39" priority="14" operator="equal">
      <formula>0</formula>
    </cfRule>
  </conditionalFormatting>
  <conditionalFormatting sqref="G25">
    <cfRule type="cellIs" dxfId="38" priority="13" operator="equal">
      <formula>0</formula>
    </cfRule>
  </conditionalFormatting>
  <conditionalFormatting sqref="G26">
    <cfRule type="cellIs" dxfId="37" priority="12" operator="equal">
      <formula>0</formula>
    </cfRule>
  </conditionalFormatting>
  <conditionalFormatting sqref="G27">
    <cfRule type="cellIs" dxfId="36" priority="11" operator="equal">
      <formula>0</formula>
    </cfRule>
  </conditionalFormatting>
  <conditionalFormatting sqref="G28">
    <cfRule type="cellIs" dxfId="35" priority="10" operator="equal">
      <formula>0</formula>
    </cfRule>
  </conditionalFormatting>
  <conditionalFormatting sqref="G29">
    <cfRule type="cellIs" dxfId="34" priority="9" operator="equal">
      <formula>0</formula>
    </cfRule>
  </conditionalFormatting>
  <conditionalFormatting sqref="G30">
    <cfRule type="cellIs" dxfId="33" priority="8" operator="equal">
      <formula>0</formula>
    </cfRule>
  </conditionalFormatting>
  <conditionalFormatting sqref="G31">
    <cfRule type="cellIs" dxfId="32" priority="7" operator="equal">
      <formula>0</formula>
    </cfRule>
  </conditionalFormatting>
  <conditionalFormatting sqref="G32">
    <cfRule type="cellIs" dxfId="31" priority="6" operator="equal">
      <formula>0</formula>
    </cfRule>
  </conditionalFormatting>
  <conditionalFormatting sqref="G33">
    <cfRule type="cellIs" dxfId="30" priority="5" operator="equal">
      <formula>0</formula>
    </cfRule>
  </conditionalFormatting>
  <conditionalFormatting sqref="G34">
    <cfRule type="cellIs" dxfId="29" priority="4" operator="equal">
      <formula>0</formula>
    </cfRule>
  </conditionalFormatting>
  <conditionalFormatting sqref="G35">
    <cfRule type="cellIs" dxfId="28" priority="3" operator="equal">
      <formula>0</formula>
    </cfRule>
  </conditionalFormatting>
  <conditionalFormatting sqref="G36">
    <cfRule type="cellIs" dxfId="27" priority="2" operator="equal">
      <formula>0</formula>
    </cfRule>
  </conditionalFormatting>
  <conditionalFormatting sqref="G12">
    <cfRule type="cellIs" dxfId="26" priority="1" operator="equal">
      <formula>0</formula>
    </cfRule>
  </conditionalFormatting>
  <dataValidations count="16">
    <dataValidation type="list" allowBlank="1" showInputMessage="1" showErrorMessage="1" sqref="O18" xr:uid="{00000000-0002-0000-0000-000000000000}">
      <formula1>"1,2,3,4,5,6,7,8"</formula1>
    </dataValidation>
    <dataValidation type="list" allowBlank="1" showInputMessage="1" showErrorMessage="1" sqref="B10" xr:uid="{00000000-0002-0000-0000-000001000000}">
      <formula1>奇穴1</formula1>
    </dataValidation>
    <dataValidation type="list" allowBlank="1" showInputMessage="1" showErrorMessage="1" sqref="C10" xr:uid="{00000000-0002-0000-0000-000002000000}">
      <formula1>奇穴2</formula1>
    </dataValidation>
    <dataValidation type="list" allowBlank="1" showInputMessage="1" showErrorMessage="1" sqref="D10" xr:uid="{00000000-0002-0000-0000-000003000000}">
      <formula1>奇穴3</formula1>
    </dataValidation>
    <dataValidation type="list" allowBlank="1" showInputMessage="1" showErrorMessage="1" sqref="M10" xr:uid="{00000000-0002-0000-0000-000004000000}">
      <formula1>奇穴12</formula1>
    </dataValidation>
    <dataValidation type="list" allowBlank="1" showInputMessage="1" showErrorMessage="1" sqref="L10" xr:uid="{00000000-0002-0000-0000-000005000000}">
      <formula1>奇穴11</formula1>
    </dataValidation>
    <dataValidation type="list" allowBlank="1" showInputMessage="1" showErrorMessage="1" sqref="K10" xr:uid="{00000000-0002-0000-0000-000006000000}">
      <formula1>奇穴10</formula1>
    </dataValidation>
    <dataValidation type="list" allowBlank="1" showInputMessage="1" showErrorMessage="1" sqref="J10" xr:uid="{00000000-0002-0000-0000-000007000000}">
      <formula1>奇穴9</formula1>
    </dataValidation>
    <dataValidation type="list" allowBlank="1" showInputMessage="1" showErrorMessage="1" sqref="I10" xr:uid="{00000000-0002-0000-0000-000008000000}">
      <formula1>奇穴8</formula1>
    </dataValidation>
    <dataValidation type="list" allowBlank="1" showInputMessage="1" showErrorMessage="1" sqref="H10" xr:uid="{00000000-0002-0000-0000-000009000000}">
      <formula1>奇穴7</formula1>
    </dataValidation>
    <dataValidation type="list" allowBlank="1" showInputMessage="1" showErrorMessage="1" sqref="G10" xr:uid="{00000000-0002-0000-0000-00000A000000}">
      <formula1>奇穴6</formula1>
    </dataValidation>
    <dataValidation type="list" allowBlank="1" showInputMessage="1" showErrorMessage="1" sqref="F10" xr:uid="{00000000-0002-0000-0000-00000B000000}">
      <formula1>奇穴5</formula1>
    </dataValidation>
    <dataValidation type="list" allowBlank="1" showInputMessage="1" showErrorMessage="1" sqref="E10" xr:uid="{00000000-0002-0000-0000-00000C000000}">
      <formula1>奇穴4</formula1>
    </dataValidation>
    <dataValidation type="list" allowBlank="1" showInputMessage="1" showErrorMessage="1" sqref="S10 Y9" xr:uid="{00000000-0002-0000-0000-00000D000000}">
      <formula1>"1,2,3,4,5"</formula1>
    </dataValidation>
    <dataValidation type="list" allowBlank="1" showInputMessage="1" showErrorMessage="1" sqref="S2 Y3" xr:uid="{00000000-0002-0000-0000-00000E000000}">
      <formula1>"1,2,3,4"</formula1>
    </dataValidation>
    <dataValidation type="list" allowBlank="1" showInputMessage="1" showErrorMessage="1" sqref="A6" xr:uid="{00000000-0002-0000-0000-00000F000000}">
      <formula1>"挑戰,英雄,10人"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9" r:id="rId4" name="Check Box 65">
              <controlPr defaultSize="0" autoFill="0" autoLine="0" autoPict="0">
                <anchor moveWithCells="1">
                  <from>
                    <xdr:col>13</xdr:col>
                    <xdr:colOff>76200</xdr:colOff>
                    <xdr:row>3</xdr:row>
                    <xdr:rowOff>9525</xdr:rowOff>
                  </from>
                  <to>
                    <xdr:col>13</xdr:col>
                    <xdr:colOff>647700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" name="Check Box 66">
              <controlPr defaultSize="0" autoFill="0" autoLine="0" autoPict="0">
                <anchor moveWithCells="1">
                  <from>
                    <xdr:col>13</xdr:col>
                    <xdr:colOff>76200</xdr:colOff>
                    <xdr:row>1</xdr:row>
                    <xdr:rowOff>190500</xdr:rowOff>
                  </from>
                  <to>
                    <xdr:col>14</xdr:col>
                    <xdr:colOff>57150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6" name="Check Box 174">
              <controlPr defaultSize="0" autoFill="0" autoLine="0" autoPict="0">
                <anchor moveWithCells="1">
                  <from>
                    <xdr:col>13</xdr:col>
                    <xdr:colOff>76200</xdr:colOff>
                    <xdr:row>3</xdr:row>
                    <xdr:rowOff>200025</xdr:rowOff>
                  </from>
                  <to>
                    <xdr:col>14</xdr:col>
                    <xdr:colOff>209550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7" name="Check Box 175">
              <controlPr defaultSize="0" autoFill="0" autoLine="0" autoPict="0">
                <anchor moveWithCells="1">
                  <from>
                    <xdr:col>13</xdr:col>
                    <xdr:colOff>76200</xdr:colOff>
                    <xdr:row>4</xdr:row>
                    <xdr:rowOff>200025</xdr:rowOff>
                  </from>
                  <to>
                    <xdr:col>14</xdr:col>
                    <xdr:colOff>209550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8" name="Check Box 176">
              <controlPr defaultSize="0" autoFill="0" autoLine="0" autoPict="0">
                <anchor moveWithCells="1">
                  <from>
                    <xdr:col>13</xdr:col>
                    <xdr:colOff>85725</xdr:colOff>
                    <xdr:row>6</xdr:row>
                    <xdr:rowOff>0</xdr:rowOff>
                  </from>
                  <to>
                    <xdr:col>14</xdr:col>
                    <xdr:colOff>228600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9" name="Check Box 177">
              <controlPr defaultSize="0" autoFill="0" autoLine="0" autoPict="0">
                <anchor moveWithCells="1">
                  <from>
                    <xdr:col>13</xdr:col>
                    <xdr:colOff>85725</xdr:colOff>
                    <xdr:row>7</xdr:row>
                    <xdr:rowOff>0</xdr:rowOff>
                  </from>
                  <to>
                    <xdr:col>14</xdr:col>
                    <xdr:colOff>219075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" name="Check Box 178">
              <controlPr defaultSize="0" autoFill="0" autoLine="0" autoPict="0">
                <anchor moveWithCells="1">
                  <from>
                    <xdr:col>13</xdr:col>
                    <xdr:colOff>85725</xdr:colOff>
                    <xdr:row>8</xdr:row>
                    <xdr:rowOff>0</xdr:rowOff>
                  </from>
                  <to>
                    <xdr:col>14</xdr:col>
                    <xdr:colOff>219075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" name="Check Box 179">
              <controlPr defaultSize="0" autoFill="0" autoLine="0" autoPict="0">
                <anchor moveWithCells="1">
                  <from>
                    <xdr:col>13</xdr:col>
                    <xdr:colOff>85725</xdr:colOff>
                    <xdr:row>8</xdr:row>
                    <xdr:rowOff>219075</xdr:rowOff>
                  </from>
                  <to>
                    <xdr:col>14</xdr:col>
                    <xdr:colOff>219075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2" name="Check Box 180">
              <controlPr defaultSize="0" autoFill="0" autoLine="0" autoPict="0">
                <anchor moveWithCells="1">
                  <from>
                    <xdr:col>16</xdr:col>
                    <xdr:colOff>28575</xdr:colOff>
                    <xdr:row>2</xdr:row>
                    <xdr:rowOff>171450</xdr:rowOff>
                  </from>
                  <to>
                    <xdr:col>17</xdr:col>
                    <xdr:colOff>209550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" name="Check Box 181">
              <controlPr defaultSize="0" autoFill="0" autoLine="0" autoPict="0">
                <anchor moveWithCells="1">
                  <from>
                    <xdr:col>16</xdr:col>
                    <xdr:colOff>19050</xdr:colOff>
                    <xdr:row>3</xdr:row>
                    <xdr:rowOff>190500</xdr:rowOff>
                  </from>
                  <to>
                    <xdr:col>17</xdr:col>
                    <xdr:colOff>200025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" name="Check Box 182">
              <controlPr defaultSize="0" autoFill="0" autoLine="0" autoPict="0">
                <anchor moveWithCells="1">
                  <from>
                    <xdr:col>16</xdr:col>
                    <xdr:colOff>28575</xdr:colOff>
                    <xdr:row>5</xdr:row>
                    <xdr:rowOff>180975</xdr:rowOff>
                  </from>
                  <to>
                    <xdr:col>17</xdr:col>
                    <xdr:colOff>209550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5" name="Check Box 183">
              <controlPr defaultSize="0" autoFill="0" autoLine="0" autoPict="0">
                <anchor moveWithCells="1">
                  <from>
                    <xdr:col>16</xdr:col>
                    <xdr:colOff>28575</xdr:colOff>
                    <xdr:row>4</xdr:row>
                    <xdr:rowOff>180975</xdr:rowOff>
                  </from>
                  <to>
                    <xdr:col>17</xdr:col>
                    <xdr:colOff>209550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" name="Check Box 184">
              <controlPr defaultSize="0" autoFill="0" autoLine="0" autoPict="0">
                <anchor moveWithCells="1">
                  <from>
                    <xdr:col>19</xdr:col>
                    <xdr:colOff>114300</xdr:colOff>
                    <xdr:row>5</xdr:row>
                    <xdr:rowOff>200025</xdr:rowOff>
                  </from>
                  <to>
                    <xdr:col>20</xdr:col>
                    <xdr:colOff>238125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7" name="Check Box 185">
              <controlPr defaultSize="0" autoFill="0" autoLine="0" autoPict="0">
                <anchor moveWithCells="1">
                  <from>
                    <xdr:col>16</xdr:col>
                    <xdr:colOff>19050</xdr:colOff>
                    <xdr:row>6</xdr:row>
                    <xdr:rowOff>190500</xdr:rowOff>
                  </from>
                  <to>
                    <xdr:col>17</xdr:col>
                    <xdr:colOff>200025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" name="Check Box 186">
              <controlPr defaultSize="0" autoFill="0" autoLine="0" autoPict="0">
                <anchor moveWithCells="1">
                  <from>
                    <xdr:col>16</xdr:col>
                    <xdr:colOff>28575</xdr:colOff>
                    <xdr:row>7</xdr:row>
                    <xdr:rowOff>200025</xdr:rowOff>
                  </from>
                  <to>
                    <xdr:col>17</xdr:col>
                    <xdr:colOff>209550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9" name="Check Box 187">
              <controlPr defaultSize="0" autoFill="0" autoLine="0" autoPict="0">
                <anchor moveWithCells="1">
                  <from>
                    <xdr:col>16</xdr:col>
                    <xdr:colOff>38100</xdr:colOff>
                    <xdr:row>8</xdr:row>
                    <xdr:rowOff>200025</xdr:rowOff>
                  </from>
                  <to>
                    <xdr:col>17</xdr:col>
                    <xdr:colOff>219075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0" name="Check Box 256">
              <controlPr defaultSize="0" autoFill="0" autoLine="0" autoPict="0">
                <anchor moveWithCells="1">
                  <from>
                    <xdr:col>13</xdr:col>
                    <xdr:colOff>76200</xdr:colOff>
                    <xdr:row>0</xdr:row>
                    <xdr:rowOff>200025</xdr:rowOff>
                  </from>
                  <to>
                    <xdr:col>14</xdr:col>
                    <xdr:colOff>209550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1" name="Check Box 260">
              <controlPr defaultSize="0" autoFill="0" autoLine="0" autoPict="0">
                <anchor moveWithCells="1">
                  <from>
                    <xdr:col>16</xdr:col>
                    <xdr:colOff>19050</xdr:colOff>
                    <xdr:row>0</xdr:row>
                    <xdr:rowOff>190500</xdr:rowOff>
                  </from>
                  <to>
                    <xdr:col>17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22" name="Check Box 857">
              <controlPr defaultSize="0" autoFill="0" autoLine="0" autoPict="0">
                <anchor moveWithCells="1">
                  <from>
                    <xdr:col>16</xdr:col>
                    <xdr:colOff>19050</xdr:colOff>
                    <xdr:row>1</xdr:row>
                    <xdr:rowOff>190500</xdr:rowOff>
                  </from>
                  <to>
                    <xdr:col>17</xdr:col>
                    <xdr:colOff>190500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8" r:id="rId23" name="Check Box 2308">
              <controlPr defaultSize="0" autoFill="0" autoLine="0" autoPict="0">
                <anchor moveWithCells="1">
                  <from>
                    <xdr:col>19</xdr:col>
                    <xdr:colOff>123825</xdr:colOff>
                    <xdr:row>1</xdr:row>
                    <xdr:rowOff>219075</xdr:rowOff>
                  </from>
                  <to>
                    <xdr:col>20</xdr:col>
                    <xdr:colOff>314325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9" r:id="rId24" name="Check Box 2309">
              <controlPr defaultSize="0" autoFill="0" autoLine="0" autoPict="0">
                <anchor moveWithCells="1">
                  <from>
                    <xdr:col>19</xdr:col>
                    <xdr:colOff>123825</xdr:colOff>
                    <xdr:row>3</xdr:row>
                    <xdr:rowOff>19050</xdr:rowOff>
                  </from>
                  <to>
                    <xdr:col>20</xdr:col>
                    <xdr:colOff>314325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0" r:id="rId25" name="Check Box 2310">
              <controlPr defaultSize="0" autoFill="0" autoLine="0" autoPict="0">
                <anchor moveWithCells="1">
                  <from>
                    <xdr:col>19</xdr:col>
                    <xdr:colOff>114300</xdr:colOff>
                    <xdr:row>3</xdr:row>
                    <xdr:rowOff>219075</xdr:rowOff>
                  </from>
                  <to>
                    <xdr:col>20</xdr:col>
                    <xdr:colOff>304800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1" r:id="rId26" name="Check Box 2311">
              <controlPr defaultSize="0" autoFill="0" autoLine="0" autoPict="0">
                <anchor moveWithCells="1">
                  <from>
                    <xdr:col>19</xdr:col>
                    <xdr:colOff>123825</xdr:colOff>
                    <xdr:row>5</xdr:row>
                    <xdr:rowOff>0</xdr:rowOff>
                  </from>
                  <to>
                    <xdr:col>20</xdr:col>
                    <xdr:colOff>314325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9" r:id="rId27" name="Check Box 2329">
              <controlPr defaultSize="0" autoFill="0" autoLine="0" autoPict="0">
                <anchor moveWithCells="1">
                  <from>
                    <xdr:col>19</xdr:col>
                    <xdr:colOff>114300</xdr:colOff>
                    <xdr:row>7</xdr:row>
                    <xdr:rowOff>9525</xdr:rowOff>
                  </from>
                  <to>
                    <xdr:col>20</xdr:col>
                    <xdr:colOff>304800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0" r:id="rId28" name="Check Box 2330">
              <controlPr defaultSize="0" autoFill="0" autoLine="0" autoPict="0">
                <anchor moveWithCells="1">
                  <from>
                    <xdr:col>19</xdr:col>
                    <xdr:colOff>114300</xdr:colOff>
                    <xdr:row>7</xdr:row>
                    <xdr:rowOff>200025</xdr:rowOff>
                  </from>
                  <to>
                    <xdr:col>20</xdr:col>
                    <xdr:colOff>304800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1" r:id="rId29" name="Check Box 2331">
              <controlPr defaultSize="0" autoFill="0" autoLine="0" autoPict="0">
                <anchor moveWithCells="1">
                  <from>
                    <xdr:col>19</xdr:col>
                    <xdr:colOff>114300</xdr:colOff>
                    <xdr:row>8</xdr:row>
                    <xdr:rowOff>209550</xdr:rowOff>
                  </from>
                  <to>
                    <xdr:col>20</xdr:col>
                    <xdr:colOff>304800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8" r:id="rId30" name="Check Box 2348">
              <controlPr defaultSize="0" autoFill="0" autoLine="0" autoPict="0">
                <anchor moveWithCells="1">
                  <from>
                    <xdr:col>22</xdr:col>
                    <xdr:colOff>9525</xdr:colOff>
                    <xdr:row>7</xdr:row>
                    <xdr:rowOff>0</xdr:rowOff>
                  </from>
                  <to>
                    <xdr:col>23</xdr:col>
                    <xdr:colOff>304800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9" r:id="rId31" name="Check Box 2349">
              <controlPr defaultSize="0" autoFill="0" autoLine="0" autoPict="0">
                <anchor moveWithCells="1">
                  <from>
                    <xdr:col>22</xdr:col>
                    <xdr:colOff>9525</xdr:colOff>
                    <xdr:row>8</xdr:row>
                    <xdr:rowOff>38100</xdr:rowOff>
                  </from>
                  <to>
                    <xdr:col>23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1" r:id="rId32" name="Check Box 2351">
              <controlPr defaultSize="0" autoFill="0" autoLine="0" autoPict="0">
                <anchor moveWithCells="1">
                  <from>
                    <xdr:col>19</xdr:col>
                    <xdr:colOff>114300</xdr:colOff>
                    <xdr:row>0</xdr:row>
                    <xdr:rowOff>200025</xdr:rowOff>
                  </from>
                  <to>
                    <xdr:col>20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1" r:id="rId33" name="Check Box 2371">
              <controlPr defaultSize="0" autoFill="0" autoLine="0" autoPict="0">
                <anchor moveWithCells="1">
                  <from>
                    <xdr:col>22</xdr:col>
                    <xdr:colOff>47625</xdr:colOff>
                    <xdr:row>0</xdr:row>
                    <xdr:rowOff>200025</xdr:rowOff>
                  </from>
                  <to>
                    <xdr:col>23</xdr:col>
                    <xdr:colOff>333375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34" name="Check Box 169">
              <controlPr defaultSize="0" autoFill="0" autoLine="0" autoPict="0">
                <anchor moveWithCells="1" sizeWithCells="1">
                  <from>
                    <xdr:col>13</xdr:col>
                    <xdr:colOff>47625</xdr:colOff>
                    <xdr:row>34</xdr:row>
                    <xdr:rowOff>209550</xdr:rowOff>
                  </from>
                  <to>
                    <xdr:col>14</xdr:col>
                    <xdr:colOff>352425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5" name="Check Box 170">
              <controlPr defaultSize="0" autoFill="0" autoLine="0" autoPict="0">
                <anchor moveWithCells="1" sizeWithCells="1">
                  <from>
                    <xdr:col>14</xdr:col>
                    <xdr:colOff>409575</xdr:colOff>
                    <xdr:row>34</xdr:row>
                    <xdr:rowOff>200025</xdr:rowOff>
                  </from>
                  <to>
                    <xdr:col>15</xdr:col>
                    <xdr:colOff>752475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36" name="Check Box 171">
              <controlPr defaultSize="0" autoFill="0" autoLine="0" autoPict="0">
                <anchor moveWithCells="1" sizeWithCells="1">
                  <from>
                    <xdr:col>16</xdr:col>
                    <xdr:colOff>47625</xdr:colOff>
                    <xdr:row>34</xdr:row>
                    <xdr:rowOff>190500</xdr:rowOff>
                  </from>
                  <to>
                    <xdr:col>17</xdr:col>
                    <xdr:colOff>400050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7" name="Check Box 172">
              <controlPr defaultSize="0" autoFill="0" autoLine="0" autoPict="0">
                <anchor moveWithCells="1" sizeWithCells="1">
                  <from>
                    <xdr:col>17</xdr:col>
                    <xdr:colOff>447675</xdr:colOff>
                    <xdr:row>34</xdr:row>
                    <xdr:rowOff>180975</xdr:rowOff>
                  </from>
                  <to>
                    <xdr:col>18</xdr:col>
                    <xdr:colOff>733425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38" name="Check Box 173">
              <controlPr defaultSize="0" autoFill="0" autoLine="0" autoPict="0">
                <anchor moveWithCells="1" sizeWithCells="1">
                  <from>
                    <xdr:col>18</xdr:col>
                    <xdr:colOff>742950</xdr:colOff>
                    <xdr:row>34</xdr:row>
                    <xdr:rowOff>171450</xdr:rowOff>
                  </from>
                  <to>
                    <xdr:col>20</xdr:col>
                    <xdr:colOff>438150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39" name="Check Box 163">
              <controlPr defaultSize="0" autoFill="0" autoLine="0" autoPict="0">
                <anchor moveWithCells="1" sizeWithCells="1">
                  <from>
                    <xdr:col>13</xdr:col>
                    <xdr:colOff>47625</xdr:colOff>
                    <xdr:row>32</xdr:row>
                    <xdr:rowOff>209550</xdr:rowOff>
                  </from>
                  <to>
                    <xdr:col>14</xdr:col>
                    <xdr:colOff>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40" name="Check Box 164">
              <controlPr defaultSize="0" autoFill="0" autoLine="0" autoPict="0">
                <anchor moveWithCells="1" sizeWithCells="1">
                  <from>
                    <xdr:col>13</xdr:col>
                    <xdr:colOff>733425</xdr:colOff>
                    <xdr:row>32</xdr:row>
                    <xdr:rowOff>200025</xdr:rowOff>
                  </from>
                  <to>
                    <xdr:col>14</xdr:col>
                    <xdr:colOff>638175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41" name="Check Box 165">
              <controlPr defaultSize="0" autoFill="0" autoLine="0" autoPict="0">
                <anchor moveWithCells="1" sizeWithCells="1">
                  <from>
                    <xdr:col>14</xdr:col>
                    <xdr:colOff>628650</xdr:colOff>
                    <xdr:row>32</xdr:row>
                    <xdr:rowOff>200025</xdr:rowOff>
                  </from>
                  <to>
                    <xdr:col>15</xdr:col>
                    <xdr:colOff>609600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42" name="Check Box 166">
              <controlPr defaultSize="0" autoFill="0" autoLine="0" autoPict="0">
                <anchor moveWithCells="1" sizeWithCells="1">
                  <from>
                    <xdr:col>15</xdr:col>
                    <xdr:colOff>581025</xdr:colOff>
                    <xdr:row>32</xdr:row>
                    <xdr:rowOff>200025</xdr:rowOff>
                  </from>
                  <to>
                    <xdr:col>16</xdr:col>
                    <xdr:colOff>552450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43" name="Check Box 167">
              <controlPr defaultSize="0" autoFill="0" autoLine="0" autoPict="0">
                <anchor moveWithCells="1" sizeWithCells="1">
                  <from>
                    <xdr:col>16</xdr:col>
                    <xdr:colOff>514350</xdr:colOff>
                    <xdr:row>32</xdr:row>
                    <xdr:rowOff>209550</xdr:rowOff>
                  </from>
                  <to>
                    <xdr:col>17</xdr:col>
                    <xdr:colOff>447675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44" name="Check Box 156">
              <controlPr defaultSize="0" autoFill="0" autoLine="0" autoPict="0">
                <anchor moveWithCells="1" sizeWithCells="1">
                  <from>
                    <xdr:col>13</xdr:col>
                    <xdr:colOff>28575</xdr:colOff>
                    <xdr:row>30</xdr:row>
                    <xdr:rowOff>133350</xdr:rowOff>
                  </from>
                  <to>
                    <xdr:col>13</xdr:col>
                    <xdr:colOff>762000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45" name="Check Box 157">
              <controlPr defaultSize="0" autoFill="0" autoLine="0" autoPict="0">
                <anchor moveWithCells="1" sizeWithCells="1">
                  <from>
                    <xdr:col>14</xdr:col>
                    <xdr:colOff>152400</xdr:colOff>
                    <xdr:row>30</xdr:row>
                    <xdr:rowOff>133350</xdr:rowOff>
                  </from>
                  <to>
                    <xdr:col>15</xdr:col>
                    <xdr:colOff>180975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46" name="Check Box 158">
              <controlPr defaultSize="0" autoFill="0" autoLine="0" autoPict="0">
                <anchor moveWithCells="1" sizeWithCells="1">
                  <from>
                    <xdr:col>15</xdr:col>
                    <xdr:colOff>133350</xdr:colOff>
                    <xdr:row>30</xdr:row>
                    <xdr:rowOff>114300</xdr:rowOff>
                  </from>
                  <to>
                    <xdr:col>16</xdr:col>
                    <xdr:colOff>95250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47" name="Check Box 159">
              <controlPr defaultSize="0" autoFill="0" autoLine="0" autoPict="0">
                <anchor moveWithCells="1" sizeWithCells="1">
                  <from>
                    <xdr:col>16</xdr:col>
                    <xdr:colOff>85725</xdr:colOff>
                    <xdr:row>30</xdr:row>
                    <xdr:rowOff>114300</xdr:rowOff>
                  </from>
                  <to>
                    <xdr:col>17</xdr:col>
                    <xdr:colOff>114300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48" name="Check Box 160">
              <controlPr defaultSize="0" autoFill="0" autoLine="0" autoPict="0">
                <anchor moveWithCells="1" sizeWithCells="1">
                  <from>
                    <xdr:col>17</xdr:col>
                    <xdr:colOff>85725</xdr:colOff>
                    <xdr:row>30</xdr:row>
                    <xdr:rowOff>114300</xdr:rowOff>
                  </from>
                  <to>
                    <xdr:col>17</xdr:col>
                    <xdr:colOff>847725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9" name="Check Box 161">
              <controlPr defaultSize="0" autoFill="0" autoLine="0" autoPict="0">
                <anchor moveWithCells="1" sizeWithCells="1">
                  <from>
                    <xdr:col>17</xdr:col>
                    <xdr:colOff>800100</xdr:colOff>
                    <xdr:row>30</xdr:row>
                    <xdr:rowOff>123825</xdr:rowOff>
                  </from>
                  <to>
                    <xdr:col>18</xdr:col>
                    <xdr:colOff>533400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50" name="Check Box 142">
              <controlPr defaultSize="0" autoFill="0" autoLine="0" autoPict="0">
                <anchor moveWithCells="1" sizeWithCells="1">
                  <from>
                    <xdr:col>18</xdr:col>
                    <xdr:colOff>266700</xdr:colOff>
                    <xdr:row>28</xdr:row>
                    <xdr:rowOff>142875</xdr:rowOff>
                  </from>
                  <to>
                    <xdr:col>19</xdr:col>
                    <xdr:colOff>171450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51" name="Check Box 136">
              <controlPr defaultSize="0" autoFill="0" autoLine="0" autoPict="0">
                <anchor moveWithCells="1" sizeWithCells="1">
                  <from>
                    <xdr:col>13</xdr:col>
                    <xdr:colOff>66675</xdr:colOff>
                    <xdr:row>29</xdr:row>
                    <xdr:rowOff>0</xdr:rowOff>
                  </from>
                  <to>
                    <xdr:col>13</xdr:col>
                    <xdr:colOff>762000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52" name="Check Box 137">
              <controlPr defaultSize="0" autoFill="0" autoLine="0" autoPict="0">
                <anchor moveWithCells="1" sizeWithCells="1">
                  <from>
                    <xdr:col>13</xdr:col>
                    <xdr:colOff>771525</xdr:colOff>
                    <xdr:row>28</xdr:row>
                    <xdr:rowOff>190500</xdr:rowOff>
                  </from>
                  <to>
                    <xdr:col>14</xdr:col>
                    <xdr:colOff>657225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53" name="Check Box 138">
              <controlPr defaultSize="0" autoFill="0" autoLine="0" autoPict="0">
                <anchor moveWithCells="1" sizeWithCells="1">
                  <from>
                    <xdr:col>14</xdr:col>
                    <xdr:colOff>704850</xdr:colOff>
                    <xdr:row>28</xdr:row>
                    <xdr:rowOff>171450</xdr:rowOff>
                  </from>
                  <to>
                    <xdr:col>15</xdr:col>
                    <xdr:colOff>676275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54" name="Check Box 139">
              <controlPr defaultSize="0" autoFill="0" autoLine="0" autoPict="0">
                <anchor moveWithCells="1" sizeWithCells="1">
                  <from>
                    <xdr:col>17</xdr:col>
                    <xdr:colOff>590550</xdr:colOff>
                    <xdr:row>28</xdr:row>
                    <xdr:rowOff>152400</xdr:rowOff>
                  </from>
                  <to>
                    <xdr:col>18</xdr:col>
                    <xdr:colOff>304800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55" name="Check Box 140">
              <controlPr defaultSize="0" autoFill="0" autoLine="0" autoPict="0">
                <anchor moveWithCells="1" sizeWithCells="1">
                  <from>
                    <xdr:col>15</xdr:col>
                    <xdr:colOff>666750</xdr:colOff>
                    <xdr:row>28</xdr:row>
                    <xdr:rowOff>152400</xdr:rowOff>
                  </from>
                  <to>
                    <xdr:col>16</xdr:col>
                    <xdr:colOff>657225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56" name="Check Box 141">
              <controlPr defaultSize="0" autoFill="0" autoLine="0" autoPict="0">
                <anchor moveWithCells="1" sizeWithCells="1">
                  <from>
                    <xdr:col>16</xdr:col>
                    <xdr:colOff>609600</xdr:colOff>
                    <xdr:row>28</xdr:row>
                    <xdr:rowOff>142875</xdr:rowOff>
                  </from>
                  <to>
                    <xdr:col>17</xdr:col>
                    <xdr:colOff>638175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7" name="Check Box 129">
              <controlPr defaultSize="0" autoFill="0" autoLine="0" autoPict="0">
                <anchor moveWithCells="1" sizeWithCells="1">
                  <from>
                    <xdr:col>17</xdr:col>
                    <xdr:colOff>19050</xdr:colOff>
                    <xdr:row>27</xdr:row>
                    <xdr:rowOff>0</xdr:rowOff>
                  </from>
                  <to>
                    <xdr:col>17</xdr:col>
                    <xdr:colOff>647700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58" name="Check Box 130">
              <controlPr defaultSize="0" autoFill="0" autoLine="0" autoPict="0">
                <anchor moveWithCells="1" sizeWithCells="1">
                  <from>
                    <xdr:col>16</xdr:col>
                    <xdr:colOff>19050</xdr:colOff>
                    <xdr:row>26</xdr:row>
                    <xdr:rowOff>209550</xdr:rowOff>
                  </from>
                  <to>
                    <xdr:col>16</xdr:col>
                    <xdr:colOff>647700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59" name="Check Box 131">
              <controlPr defaultSize="0" autoFill="0" autoLine="0" autoPict="0">
                <anchor moveWithCells="1" sizeWithCells="1">
                  <from>
                    <xdr:col>13</xdr:col>
                    <xdr:colOff>66675</xdr:colOff>
                    <xdr:row>26</xdr:row>
                    <xdr:rowOff>209550</xdr:rowOff>
                  </from>
                  <to>
                    <xdr:col>13</xdr:col>
                    <xdr:colOff>771525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0" name="Check Box 133">
              <controlPr defaultSize="0" autoFill="0" autoLine="0" autoPict="0">
                <anchor moveWithCells="1" sizeWithCells="1">
                  <from>
                    <xdr:col>14</xdr:col>
                    <xdr:colOff>28575</xdr:colOff>
                    <xdr:row>26</xdr:row>
                    <xdr:rowOff>180975</xdr:rowOff>
                  </from>
                  <to>
                    <xdr:col>14</xdr:col>
                    <xdr:colOff>657225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1" name="Check Box 134">
              <controlPr defaultSize="0" autoFill="0" autoLine="0" autoPict="0">
                <anchor moveWithCells="1" sizeWithCells="1">
                  <from>
                    <xdr:col>15</xdr:col>
                    <xdr:colOff>19050</xdr:colOff>
                    <xdr:row>26</xdr:row>
                    <xdr:rowOff>171450</xdr:rowOff>
                  </from>
                  <to>
                    <xdr:col>15</xdr:col>
                    <xdr:colOff>676275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62" name="Check Box 128">
              <controlPr defaultSize="0" autoFill="0" autoLine="0" autoPict="0">
                <anchor moveWithCells="1" sizeWithCells="1">
                  <from>
                    <xdr:col>19</xdr:col>
                    <xdr:colOff>552450</xdr:colOff>
                    <xdr:row>25</xdr:row>
                    <xdr:rowOff>28575</xdr:rowOff>
                  </from>
                  <to>
                    <xdr:col>21</xdr:col>
                    <xdr:colOff>104775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63" name="Check Box 127">
              <controlPr defaultSize="0" autoFill="0" autoLine="0" autoPict="0">
                <anchor moveWithCells="1" sizeWithCells="1">
                  <from>
                    <xdr:col>18</xdr:col>
                    <xdr:colOff>381000</xdr:colOff>
                    <xdr:row>24</xdr:row>
                    <xdr:rowOff>200025</xdr:rowOff>
                  </from>
                  <to>
                    <xdr:col>19</xdr:col>
                    <xdr:colOff>352425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4" name="Check Box 121">
              <controlPr defaultSize="0" autoFill="0" autoLine="0" autoPict="0">
                <anchor moveWithCells="1" sizeWithCells="1">
                  <from>
                    <xdr:col>13</xdr:col>
                    <xdr:colOff>0</xdr:colOff>
                    <xdr:row>25</xdr:row>
                    <xdr:rowOff>47625</xdr:rowOff>
                  </from>
                  <to>
                    <xdr:col>13</xdr:col>
                    <xdr:colOff>742950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5" name="Check Box 122">
              <controlPr defaultSize="0" autoFill="0" autoLine="0" autoPict="0">
                <anchor moveWithCells="1" sizeWithCells="1">
                  <from>
                    <xdr:col>14</xdr:col>
                    <xdr:colOff>19050</xdr:colOff>
                    <xdr:row>25</xdr:row>
                    <xdr:rowOff>9525</xdr:rowOff>
                  </from>
                  <to>
                    <xdr:col>14</xdr:col>
                    <xdr:colOff>723900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6" name="Check Box 123">
              <controlPr defaultSize="0" autoFill="0" autoLine="0" autoPict="0">
                <anchor moveWithCells="1" sizeWithCells="1">
                  <from>
                    <xdr:col>15</xdr:col>
                    <xdr:colOff>38100</xdr:colOff>
                    <xdr:row>24</xdr:row>
                    <xdr:rowOff>209550</xdr:rowOff>
                  </from>
                  <to>
                    <xdr:col>16</xdr:col>
                    <xdr:colOff>38100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67" name="Check Box 124">
              <controlPr defaultSize="0" autoFill="0" autoLine="0" autoPict="0">
                <anchor moveWithCells="1" sizeWithCells="1">
                  <from>
                    <xdr:col>17</xdr:col>
                    <xdr:colOff>676275</xdr:colOff>
                    <xdr:row>24</xdr:row>
                    <xdr:rowOff>200025</xdr:rowOff>
                  </from>
                  <to>
                    <xdr:col>18</xdr:col>
                    <xdr:colOff>447675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8" name="Check Box 125">
              <controlPr defaultSize="0" autoFill="0" autoLine="0" autoPict="0">
                <anchor moveWithCells="1" sizeWithCells="1">
                  <from>
                    <xdr:col>15</xdr:col>
                    <xdr:colOff>714375</xdr:colOff>
                    <xdr:row>24</xdr:row>
                    <xdr:rowOff>200025</xdr:rowOff>
                  </from>
                  <to>
                    <xdr:col>16</xdr:col>
                    <xdr:colOff>685800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69" name="Check Box 126">
              <controlPr defaultSize="0" autoFill="0" autoLine="0" autoPict="0">
                <anchor moveWithCells="1" sizeWithCells="1">
                  <from>
                    <xdr:col>16</xdr:col>
                    <xdr:colOff>695325</xdr:colOff>
                    <xdr:row>24</xdr:row>
                    <xdr:rowOff>190500</xdr:rowOff>
                  </from>
                  <to>
                    <xdr:col>17</xdr:col>
                    <xdr:colOff>695325</xdr:colOff>
                    <xdr:row>26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defaultSize="0" autoFill="0" autoLine="0" autoPict="0">
                <anchor moveWithCells="1" sizeWithCells="1">
                  <from>
                    <xdr:col>18</xdr:col>
                    <xdr:colOff>695325</xdr:colOff>
                    <xdr:row>22</xdr:row>
                    <xdr:rowOff>180975</xdr:rowOff>
                  </from>
                  <to>
                    <xdr:col>19</xdr:col>
                    <xdr:colOff>590550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1" name="Check Box 84">
              <controlPr defaultSize="0" autoFill="0" autoLine="0" autoPict="0">
                <anchor moveWithCells="1" sizeWithCells="1">
                  <from>
                    <xdr:col>13</xdr:col>
                    <xdr:colOff>0</xdr:colOff>
                    <xdr:row>23</xdr:row>
                    <xdr:rowOff>19050</xdr:rowOff>
                  </from>
                  <to>
                    <xdr:col>14</xdr:col>
                    <xdr:colOff>247650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2" name="Check Box 85">
              <controlPr defaultSize="0" autoFill="0" autoLine="0" autoPict="0">
                <anchor moveWithCells="1" sizeWithCells="1">
                  <from>
                    <xdr:col>14</xdr:col>
                    <xdr:colOff>266700</xdr:colOff>
                    <xdr:row>23</xdr:row>
                    <xdr:rowOff>9525</xdr:rowOff>
                  </from>
                  <to>
                    <xdr:col>15</xdr:col>
                    <xdr:colOff>180975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3" name="Check Box 86">
              <controlPr defaultSize="0" autoFill="0" autoLine="0" autoPict="0">
                <anchor moveWithCells="1" sizeWithCells="1">
                  <from>
                    <xdr:col>15</xdr:col>
                    <xdr:colOff>190500</xdr:colOff>
                    <xdr:row>22</xdr:row>
                    <xdr:rowOff>209550</xdr:rowOff>
                  </from>
                  <to>
                    <xdr:col>16</xdr:col>
                    <xdr:colOff>142875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4" name="Check Box 87">
              <controlPr defaultSize="0" autoFill="0" autoLine="0" autoPict="0">
                <anchor moveWithCells="1" sizeWithCells="1">
                  <from>
                    <xdr:col>18</xdr:col>
                    <xdr:colOff>38100</xdr:colOff>
                    <xdr:row>22</xdr:row>
                    <xdr:rowOff>190500</xdr:rowOff>
                  </from>
                  <to>
                    <xdr:col>18</xdr:col>
                    <xdr:colOff>704850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5" name="Check Box 88">
              <controlPr defaultSize="0" autoFill="0" autoLine="0" autoPict="0">
                <anchor moveWithCells="1" sizeWithCells="1">
                  <from>
                    <xdr:col>16</xdr:col>
                    <xdr:colOff>180975</xdr:colOff>
                    <xdr:row>22</xdr:row>
                    <xdr:rowOff>180975</xdr:rowOff>
                  </from>
                  <to>
                    <xdr:col>17</xdr:col>
                    <xdr:colOff>180975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6" name="Check Box 89">
              <controlPr defaultSize="0" autoFill="0" autoLine="0" autoPict="0">
                <anchor moveWithCells="1" sizeWithCells="1">
                  <from>
                    <xdr:col>17</xdr:col>
                    <xdr:colOff>238125</xdr:colOff>
                    <xdr:row>22</xdr:row>
                    <xdr:rowOff>171450</xdr:rowOff>
                  </from>
                  <to>
                    <xdr:col>18</xdr:col>
                    <xdr:colOff>19050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7" name="Check Box 83">
              <controlPr defaultSize="0" autoFill="0" autoLine="0" autoPict="0">
                <anchor moveWithCells="1" sizeWithCells="1">
                  <from>
                    <xdr:col>18</xdr:col>
                    <xdr:colOff>695325</xdr:colOff>
                    <xdr:row>21</xdr:row>
                    <xdr:rowOff>19050</xdr:rowOff>
                  </from>
                  <to>
                    <xdr:col>19</xdr:col>
                    <xdr:colOff>600075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8" name="Check Box 77">
              <controlPr defaultSize="0" autoFill="0" autoLine="0" autoPict="0">
                <anchor moveWithCells="1" sizeWithCells="1">
                  <from>
                    <xdr:col>13</xdr:col>
                    <xdr:colOff>47625</xdr:colOff>
                    <xdr:row>21</xdr:row>
                    <xdr:rowOff>38100</xdr:rowOff>
                  </from>
                  <to>
                    <xdr:col>13</xdr:col>
                    <xdr:colOff>704850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9" name="Check Box 78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21</xdr:row>
                    <xdr:rowOff>28575</xdr:rowOff>
                  </from>
                  <to>
                    <xdr:col>15</xdr:col>
                    <xdr:colOff>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0" name="Check Box 79">
              <controlPr defaultSize="0" autoFill="0" autoLine="0" autoPict="0">
                <anchor moveWithCells="1" sizeWithCells="1">
                  <from>
                    <xdr:col>15</xdr:col>
                    <xdr:colOff>76200</xdr:colOff>
                    <xdr:row>21</xdr:row>
                    <xdr:rowOff>28575</xdr:rowOff>
                  </from>
                  <to>
                    <xdr:col>16</xdr:col>
                    <xdr:colOff>57150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1" name="Check Box 80">
              <controlPr defaultSize="0" autoFill="0" autoLine="0" autoPict="0">
                <anchor moveWithCells="1" sizeWithCells="1">
                  <from>
                    <xdr:col>18</xdr:col>
                    <xdr:colOff>28575</xdr:colOff>
                    <xdr:row>21</xdr:row>
                    <xdr:rowOff>9525</xdr:rowOff>
                  </from>
                  <to>
                    <xdr:col>18</xdr:col>
                    <xdr:colOff>695325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2" name="Check Box 81">
              <controlPr defaultSize="0" autoFill="0" autoLine="0" autoPict="0">
                <anchor moveWithCells="1" sizeWithCells="1">
                  <from>
                    <xdr:col>16</xdr:col>
                    <xdr:colOff>133350</xdr:colOff>
                    <xdr:row>21</xdr:row>
                    <xdr:rowOff>9525</xdr:rowOff>
                  </from>
                  <to>
                    <xdr:col>17</xdr:col>
                    <xdr:colOff>66675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3" name="Check Box 82">
              <controlPr defaultSize="0" autoFill="0" autoLine="0" autoPict="0">
                <anchor moveWithCells="1" sizeWithCells="1">
                  <from>
                    <xdr:col>17</xdr:col>
                    <xdr:colOff>209550</xdr:colOff>
                    <xdr:row>21</xdr:row>
                    <xdr:rowOff>0</xdr:rowOff>
                  </from>
                  <to>
                    <xdr:col>17</xdr:col>
                    <xdr:colOff>895350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4" name="Check Box 42">
              <controlPr defaultSize="0" autoFill="0" autoLine="0" autoPict="0">
                <anchor moveWithCells="1" sizeWithCells="1">
                  <from>
                    <xdr:col>13</xdr:col>
                    <xdr:colOff>47625</xdr:colOff>
                    <xdr:row>19</xdr:row>
                    <xdr:rowOff>38100</xdr:rowOff>
                  </from>
                  <to>
                    <xdr:col>14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85" name="Check Box 43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19</xdr:row>
                    <xdr:rowOff>38100</xdr:rowOff>
                  </from>
                  <to>
                    <xdr:col>15</xdr:col>
                    <xdr:colOff>57150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86" name="Check Box 44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19</xdr:row>
                    <xdr:rowOff>19050</xdr:rowOff>
                  </from>
                  <to>
                    <xdr:col>16</xdr:col>
                    <xdr:colOff>38100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87" name="Check Box 45">
              <controlPr defaultSize="0" autoFill="0" autoLine="0" autoPict="0">
                <anchor moveWithCells="1" sizeWithCells="1">
                  <from>
                    <xdr:col>16</xdr:col>
                    <xdr:colOff>104775</xdr:colOff>
                    <xdr:row>19</xdr:row>
                    <xdr:rowOff>19050</xdr:rowOff>
                  </from>
                  <to>
                    <xdr:col>17</xdr:col>
                    <xdr:colOff>47625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88" name="Check Box 46">
              <controlPr defaultSize="0" autoFill="0" autoLine="0" autoPict="0">
                <anchor moveWithCells="1" sizeWithCells="1">
                  <from>
                    <xdr:col>17</xdr:col>
                    <xdr:colOff>190500</xdr:colOff>
                    <xdr:row>19</xdr:row>
                    <xdr:rowOff>38100</xdr:rowOff>
                  </from>
                  <to>
                    <xdr:col>17</xdr:col>
                    <xdr:colOff>895350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89" name="Check Box 47">
              <controlPr defaultSize="0" autoFill="0" autoLine="0" autoPict="0">
                <anchor moveWithCells="1" sizeWithCells="1">
                  <from>
                    <xdr:col>18</xdr:col>
                    <xdr:colOff>9525</xdr:colOff>
                    <xdr:row>19</xdr:row>
                    <xdr:rowOff>38100</xdr:rowOff>
                  </from>
                  <to>
                    <xdr:col>20</xdr:col>
                    <xdr:colOff>409575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0" name="Check Box 17">
              <controlPr defaultSize="0" autoFill="0" autoLine="0" autoPict="0">
                <anchor moveWithCells="1" sizeWithCells="1">
                  <from>
                    <xdr:col>13</xdr:col>
                    <xdr:colOff>66675</xdr:colOff>
                    <xdr:row>14</xdr:row>
                    <xdr:rowOff>161925</xdr:rowOff>
                  </from>
                  <to>
                    <xdr:col>14</xdr:col>
                    <xdr:colOff>57150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1" name="Check Box 18">
              <controlPr defaultSize="0" autoFill="0" autoLine="0" autoPict="0">
                <anchor moveWithCells="1" sizeWithCells="1">
                  <from>
                    <xdr:col>14</xdr:col>
                    <xdr:colOff>57150</xdr:colOff>
                    <xdr:row>14</xdr:row>
                    <xdr:rowOff>161925</xdr:rowOff>
                  </from>
                  <to>
                    <xdr:col>15</xdr:col>
                    <xdr:colOff>476250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2" name="Check Box 19">
              <controlPr defaultSize="0" autoFill="0" autoLine="0" autoPict="0">
                <anchor moveWithCells="1" sizeWithCells="1">
                  <from>
                    <xdr:col>15</xdr:col>
                    <xdr:colOff>95250</xdr:colOff>
                    <xdr:row>14</xdr:row>
                    <xdr:rowOff>161925</xdr:rowOff>
                  </from>
                  <to>
                    <xdr:col>16</xdr:col>
                    <xdr:colOff>123825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3" name="Check Box 20">
              <controlPr defaultSize="0" autoFill="0" autoLine="0" autoPict="0">
                <anchor moveWithCells="1" sizeWithCells="1">
                  <from>
                    <xdr:col>16</xdr:col>
                    <xdr:colOff>114300</xdr:colOff>
                    <xdr:row>14</xdr:row>
                    <xdr:rowOff>161925</xdr:rowOff>
                  </from>
                  <to>
                    <xdr:col>17</xdr:col>
                    <xdr:colOff>133350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4" name="Check Box 21">
              <controlPr defaultSize="0" autoFill="0" autoLine="0" autoPict="0">
                <anchor moveWithCells="1" sizeWithCells="1">
                  <from>
                    <xdr:col>17</xdr:col>
                    <xdr:colOff>161925</xdr:colOff>
                    <xdr:row>14</xdr:row>
                    <xdr:rowOff>171450</xdr:rowOff>
                  </from>
                  <to>
                    <xdr:col>17</xdr:col>
                    <xdr:colOff>923925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5" name="Check Box 22">
              <controlPr defaultSize="0" autoFill="0" autoLine="0" autoPict="0">
                <anchor moveWithCells="1" sizeWithCells="1">
                  <from>
                    <xdr:col>18</xdr:col>
                    <xdr:colOff>47625</xdr:colOff>
                    <xdr:row>14</xdr:row>
                    <xdr:rowOff>161925</xdr:rowOff>
                  </from>
                  <to>
                    <xdr:col>20</xdr:col>
                    <xdr:colOff>66675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6" name="Check Box 10">
              <controlPr defaultSize="0" autoFill="0" autoLine="0" autoPict="0">
                <anchor moveWithCells="1" sizeWithCells="1">
                  <from>
                    <xdr:col>13</xdr:col>
                    <xdr:colOff>47625</xdr:colOff>
                    <xdr:row>12</xdr:row>
                    <xdr:rowOff>200025</xdr:rowOff>
                  </from>
                  <to>
                    <xdr:col>14</xdr:col>
                    <xdr:colOff>9525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7" name="Check Box 12">
              <controlPr defaultSize="0" autoFill="0" autoLine="0" autoPict="0">
                <anchor moveWithCells="1" sizeWithCells="1">
                  <from>
                    <xdr:col>14</xdr:col>
                    <xdr:colOff>19050</xdr:colOff>
                    <xdr:row>12</xdr:row>
                    <xdr:rowOff>200025</xdr:rowOff>
                  </from>
                  <to>
                    <xdr:col>15</xdr:col>
                    <xdr:colOff>38100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8" name="Check Box 13">
              <controlPr defaultSize="0" autoFill="0" autoLine="0" autoPict="0">
                <anchor moveWithCells="1" sizeWithCells="1">
                  <from>
                    <xdr:col>15</xdr:col>
                    <xdr:colOff>95250</xdr:colOff>
                    <xdr:row>12</xdr:row>
                    <xdr:rowOff>190500</xdr:rowOff>
                  </from>
                  <to>
                    <xdr:col>16</xdr:col>
                    <xdr:colOff>66675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9" name="Check Box 14">
              <controlPr defaultSize="0" autoFill="0" autoLine="0" autoPict="0">
                <anchor moveWithCells="1" sizeWithCells="1">
                  <from>
                    <xdr:col>16</xdr:col>
                    <xdr:colOff>123825</xdr:colOff>
                    <xdr:row>12</xdr:row>
                    <xdr:rowOff>190500</xdr:rowOff>
                  </from>
                  <to>
                    <xdr:col>17</xdr:col>
                    <xdr:colOff>142875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0" name="Check Box 15">
              <controlPr defaultSize="0" autoFill="0" autoLine="0" autoPict="0">
                <anchor moveWithCells="1" sizeWithCells="1">
                  <from>
                    <xdr:col>17</xdr:col>
                    <xdr:colOff>209550</xdr:colOff>
                    <xdr:row>12</xdr:row>
                    <xdr:rowOff>190500</xdr:rowOff>
                  </from>
                  <to>
                    <xdr:col>18</xdr:col>
                    <xdr:colOff>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1" name="Check Box 16">
              <controlPr defaultSize="0" autoFill="0" autoLine="0" autoPict="0">
                <anchor moveWithCells="1" sizeWithCells="1">
                  <from>
                    <xdr:col>18</xdr:col>
                    <xdr:colOff>66675</xdr:colOff>
                    <xdr:row>12</xdr:row>
                    <xdr:rowOff>180975</xdr:rowOff>
                  </from>
                  <to>
                    <xdr:col>18</xdr:col>
                    <xdr:colOff>762000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2" r:id="rId102" name="Check Box 2372">
              <controlPr defaultSize="0" autoFill="0" autoLine="0" autoPict="0">
                <anchor moveWithCells="1">
                  <from>
                    <xdr:col>22</xdr:col>
                    <xdr:colOff>57150</xdr:colOff>
                    <xdr:row>1</xdr:row>
                    <xdr:rowOff>219075</xdr:rowOff>
                  </from>
                  <to>
                    <xdr:col>23</xdr:col>
                    <xdr:colOff>352425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6" r:id="rId103" name="Check Box 2376">
              <controlPr defaultSize="0" autoFill="0" autoLine="0" autoPict="0">
                <anchor moveWithCells="1">
                  <from>
                    <xdr:col>0</xdr:col>
                    <xdr:colOff>0</xdr:colOff>
                    <xdr:row>37</xdr:row>
                    <xdr:rowOff>200025</xdr:rowOff>
                  </from>
                  <to>
                    <xdr:col>1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7" r:id="rId104" name="Check Box 2377">
              <controlPr defaultSize="0" autoFill="0" autoLine="0" autoPict="0">
                <anchor moveWithCells="1">
                  <from>
                    <xdr:col>0</xdr:col>
                    <xdr:colOff>790575</xdr:colOff>
                    <xdr:row>37</xdr:row>
                    <xdr:rowOff>180975</xdr:rowOff>
                  </from>
                  <to>
                    <xdr:col>2</xdr:col>
                    <xdr:colOff>285750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8" r:id="rId105" name="Check Box 2378">
              <controlPr defaultSize="0" autoFill="0" autoLine="0" autoPict="0">
                <anchor moveWithCells="1">
                  <from>
                    <xdr:col>2</xdr:col>
                    <xdr:colOff>57150</xdr:colOff>
                    <xdr:row>37</xdr:row>
                    <xdr:rowOff>171450</xdr:rowOff>
                  </from>
                  <to>
                    <xdr:col>3</xdr:col>
                    <xdr:colOff>228600</xdr:colOff>
                    <xdr:row>38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3">
    <tabColor rgb="FF3886CC"/>
  </sheetPr>
  <dimension ref="A1:S52"/>
  <sheetViews>
    <sheetView topLeftCell="B16" zoomScale="85" zoomScaleNormal="85" workbookViewId="0">
      <selection activeCell="I38" sqref="I38"/>
    </sheetView>
  </sheetViews>
  <sheetFormatPr defaultRowHeight="18.75" x14ac:dyDescent="0.25"/>
  <cols>
    <col min="1" max="1" width="9.625" style="22" customWidth="1"/>
    <col min="2" max="2" width="10.625" style="22" customWidth="1"/>
    <col min="3" max="3" width="24" style="22" customWidth="1"/>
    <col min="4" max="4" width="10.875" style="22" customWidth="1"/>
    <col min="5" max="5" width="8.5" style="22" customWidth="1"/>
    <col min="6" max="6" width="12.375" style="22" customWidth="1"/>
    <col min="7" max="7" width="10" style="22" customWidth="1"/>
    <col min="8" max="8" width="10.375" style="22" customWidth="1"/>
    <col min="9" max="10" width="9" style="22"/>
    <col min="11" max="11" width="10.625" style="22" customWidth="1"/>
    <col min="12" max="12" width="9.875" style="22" customWidth="1"/>
    <col min="13" max="13" width="12.5" style="22" customWidth="1"/>
    <col min="14" max="14" width="13.75" style="22" customWidth="1"/>
    <col min="15" max="15" width="13.625" style="22" customWidth="1"/>
    <col min="16" max="17" width="10" style="22" bestFit="1" customWidth="1"/>
    <col min="18" max="16384" width="9" style="22"/>
  </cols>
  <sheetData>
    <row r="1" spans="1:19" s="21" customFormat="1" x14ac:dyDescent="0.25">
      <c r="A1" s="60" t="s">
        <v>154</v>
      </c>
      <c r="B1" s="60" t="s">
        <v>135</v>
      </c>
      <c r="C1" s="60" t="s">
        <v>136</v>
      </c>
      <c r="D1" s="60" t="s">
        <v>140</v>
      </c>
      <c r="E1" s="60" t="s">
        <v>138</v>
      </c>
      <c r="F1" s="60" t="s">
        <v>139</v>
      </c>
      <c r="G1" s="60" t="s">
        <v>137</v>
      </c>
      <c r="H1" s="60" t="s">
        <v>141</v>
      </c>
      <c r="I1" s="60" t="s">
        <v>156</v>
      </c>
      <c r="J1" s="60" t="s">
        <v>159</v>
      </c>
      <c r="K1" s="60" t="s">
        <v>158</v>
      </c>
      <c r="L1" s="60" t="s">
        <v>157</v>
      </c>
      <c r="M1" s="60" t="s">
        <v>155</v>
      </c>
      <c r="N1" s="60" t="s">
        <v>150</v>
      </c>
    </row>
    <row r="2" spans="1:19" ht="19.5" thickBot="1" x14ac:dyDescent="0.3">
      <c r="B2" s="22">
        <v>37</v>
      </c>
      <c r="C2" s="22">
        <f>$B$2*0.15+646+$B$2*1.5</f>
        <v>707.05</v>
      </c>
      <c r="D2" s="22">
        <f>$B$2*0.3+$B$2*0.47</f>
        <v>28.490000000000002</v>
      </c>
      <c r="E2" s="22">
        <v>21</v>
      </c>
      <c r="F2" s="22">
        <v>9398.0249999999996</v>
      </c>
      <c r="G2" s="22">
        <v>442</v>
      </c>
      <c r="H2" s="22">
        <v>0</v>
      </c>
      <c r="I2" s="22">
        <f>$D$2/153.443</f>
        <v>0.18567155230280952</v>
      </c>
      <c r="J2" s="54">
        <f>$E$2/1534.42</f>
        <v>1.368595299852713E-2</v>
      </c>
      <c r="K2" s="440">
        <f>F2/5370.3</f>
        <v>1.7499999999999998</v>
      </c>
      <c r="L2" s="440">
        <v>0.93169999999999997</v>
      </c>
      <c r="M2" s="441">
        <f>H2/87.1698</f>
        <v>0</v>
      </c>
      <c r="N2" s="441">
        <v>0</v>
      </c>
      <c r="O2" s="441"/>
    </row>
    <row r="3" spans="1:19" s="23" customFormat="1" ht="19.5" thickBot="1" x14ac:dyDescent="0.3">
      <c r="A3" s="564" t="s">
        <v>134</v>
      </c>
      <c r="B3" s="453" t="s">
        <v>135</v>
      </c>
      <c r="C3" s="453" t="s">
        <v>378</v>
      </c>
      <c r="D3" s="453" t="s">
        <v>379</v>
      </c>
      <c r="E3" s="453" t="s">
        <v>393</v>
      </c>
      <c r="F3" s="453" t="s">
        <v>138</v>
      </c>
      <c r="G3" s="453" t="s">
        <v>139</v>
      </c>
      <c r="H3" s="453" t="s">
        <v>137</v>
      </c>
      <c r="I3" s="454" t="s">
        <v>141</v>
      </c>
      <c r="J3" s="566" t="s">
        <v>764</v>
      </c>
      <c r="K3" s="442" t="s">
        <v>366</v>
      </c>
      <c r="L3" s="443" t="s">
        <v>370</v>
      </c>
      <c r="M3" s="444" t="s">
        <v>371</v>
      </c>
      <c r="N3" s="445" t="s">
        <v>404</v>
      </c>
      <c r="O3" s="446" t="s">
        <v>399</v>
      </c>
      <c r="P3" s="195"/>
      <c r="Q3" s="195"/>
      <c r="R3" s="195"/>
      <c r="S3" s="195"/>
    </row>
    <row r="4" spans="1:19" ht="19.5" thickBot="1" x14ac:dyDescent="0.3">
      <c r="A4" s="565"/>
      <c r="B4" s="257">
        <f>B2+SUM(D10:D43)*IF(BUFF!B70=1,110%,100%)</f>
        <v>1798</v>
      </c>
      <c r="C4" s="257">
        <f>SUM(E10:E54)+$B$4*0.15</f>
        <v>6965.7</v>
      </c>
      <c r="D4" s="257">
        <f>SUM(F9:F54)+$B$4*0.3</f>
        <v>8186.4</v>
      </c>
      <c r="E4" s="257">
        <f>$D$4+B4*0.47</f>
        <v>9031.4599999999991</v>
      </c>
      <c r="F4" s="257">
        <f>E2+SUM(G10:G54)+BUFF!Q27</f>
        <v>2225</v>
      </c>
      <c r="G4" s="455">
        <f>9398.025+SUM(H10:H54)</f>
        <v>9953.0249999999996</v>
      </c>
      <c r="H4" s="257">
        <f>G2+SUM(I10:I54)+BUFF!P27</f>
        <v>2354.529</v>
      </c>
      <c r="I4" s="456">
        <f>SUM(J10:J54)</f>
        <v>3034.5642400000002</v>
      </c>
      <c r="J4" s="567"/>
      <c r="K4" s="447">
        <f>傷害計算!A4</f>
        <v>1850.03</v>
      </c>
      <c r="L4" s="448">
        <f>傷害計算!B4</f>
        <v>6965.7</v>
      </c>
      <c r="M4" s="448">
        <f>傷害計算!C4</f>
        <v>11779.885</v>
      </c>
      <c r="N4" s="448">
        <f>傷害計算!D4</f>
        <v>11539.38</v>
      </c>
      <c r="O4" s="449">
        <f>傷害計算!E4</f>
        <v>0.75203039565180552</v>
      </c>
      <c r="P4" s="195"/>
    </row>
    <row r="5" spans="1:19" s="25" customFormat="1" ht="19.5" thickBot="1" x14ac:dyDescent="0.3">
      <c r="A5" s="565"/>
      <c r="B5" s="257"/>
      <c r="C5" s="453" t="s">
        <v>136</v>
      </c>
      <c r="D5" s="453" t="s">
        <v>156</v>
      </c>
      <c r="E5" s="453" t="s">
        <v>159</v>
      </c>
      <c r="F5" s="453" t="s">
        <v>158</v>
      </c>
      <c r="G5" s="453" t="s">
        <v>157</v>
      </c>
      <c r="H5" s="453" t="s">
        <v>155</v>
      </c>
      <c r="I5" s="454" t="s">
        <v>529</v>
      </c>
      <c r="J5" s="567"/>
      <c r="K5" s="450" t="s">
        <v>400</v>
      </c>
      <c r="L5" s="451" t="s">
        <v>401</v>
      </c>
      <c r="M5" s="451" t="s">
        <v>402</v>
      </c>
      <c r="N5" s="451" t="s">
        <v>403</v>
      </c>
      <c r="O5" s="452" t="s">
        <v>763</v>
      </c>
      <c r="P5" s="195"/>
    </row>
    <row r="6" spans="1:19" s="25" customFormat="1" ht="19.5" thickBot="1" x14ac:dyDescent="0.3">
      <c r="A6" s="565"/>
      <c r="B6" s="257"/>
      <c r="C6" s="257">
        <f>(646+($B$4*1.5))+$C$4</f>
        <v>10308.700000000001</v>
      </c>
      <c r="D6" s="257">
        <f>$E$4/153.443</f>
        <v>58.858729300130982</v>
      </c>
      <c r="E6" s="458">
        <f>$F$4/結論!B20/100</f>
        <v>0.1449993157335662</v>
      </c>
      <c r="F6" s="458">
        <f>$G$4/5370.3</f>
        <v>1.8533461817775543</v>
      </c>
      <c r="G6" s="458">
        <f>(H4-G2)/結論!D20/100+L2</f>
        <v>1.0687703581334347</v>
      </c>
      <c r="H6" s="458">
        <f>$I$4/結論!E20/100</f>
        <v>0.34804806345087541</v>
      </c>
      <c r="I6" s="456">
        <f>SUM(L10:L54)</f>
        <v>44337</v>
      </c>
      <c r="J6" s="567"/>
      <c r="K6" s="460">
        <f>傷害計算!F4</f>
        <v>0.34499931573356624</v>
      </c>
      <c r="L6" s="461">
        <f>傷害計算!G4</f>
        <v>2.1333461817775543</v>
      </c>
      <c r="M6" s="461">
        <f>傷害計算!H4</f>
        <v>0.34804806345087541</v>
      </c>
      <c r="N6" s="461">
        <f>傷害計算!I4</f>
        <v>1.0687703581334347</v>
      </c>
      <c r="O6" s="462">
        <f>傷害計算!J6</f>
        <v>0.62181910585074385</v>
      </c>
      <c r="P6" s="195"/>
    </row>
    <row r="7" spans="1:19" s="439" customFormat="1" x14ac:dyDescent="0.25">
      <c r="A7" s="463" t="s">
        <v>256</v>
      </c>
      <c r="B7" s="464" t="s">
        <v>257</v>
      </c>
      <c r="C7" s="464" t="s">
        <v>258</v>
      </c>
      <c r="D7" s="464" t="s">
        <v>259</v>
      </c>
      <c r="E7" s="464" t="s">
        <v>260</v>
      </c>
      <c r="F7" s="464" t="s">
        <v>261</v>
      </c>
      <c r="G7" s="464" t="s">
        <v>262</v>
      </c>
      <c r="H7" s="464" t="s">
        <v>263</v>
      </c>
      <c r="I7" s="464" t="s">
        <v>264</v>
      </c>
      <c r="J7" s="464" t="s">
        <v>265</v>
      </c>
      <c r="K7" s="464" t="s">
        <v>266</v>
      </c>
      <c r="L7" s="464" t="s">
        <v>267</v>
      </c>
      <c r="M7" s="464" t="s">
        <v>268</v>
      </c>
      <c r="N7" s="465"/>
      <c r="O7" s="466"/>
    </row>
    <row r="8" spans="1:19" s="25" customFormat="1" x14ac:dyDescent="0.25">
      <c r="A8" s="479" t="s">
        <v>349</v>
      </c>
      <c r="B8" s="457" t="str">
        <f>傷害計算!B10</f>
        <v>玄黃</v>
      </c>
      <c r="C8" s="457" t="str">
        <f>傷害計算!C10</f>
        <v>禦龍</v>
      </c>
      <c r="D8" s="457" t="str">
        <f>傷害計算!D10</f>
        <v>自強</v>
      </c>
      <c r="E8" s="457" t="str">
        <f>傷害計算!E10</f>
        <v>無疆</v>
      </c>
      <c r="F8" s="457" t="str">
        <f>傷害計算!F10</f>
        <v>克己</v>
      </c>
      <c r="G8" s="457" t="str">
        <f>傷害計算!G10</f>
        <v>有攸</v>
      </c>
      <c r="H8" s="457" t="str">
        <f>傷害計算!H10</f>
        <v>滿盈</v>
      </c>
      <c r="I8" s="457" t="str">
        <f>傷害計算!I10</f>
        <v>雨龍</v>
      </c>
      <c r="J8" s="457" t="str">
        <f>傷害計算!J10</f>
        <v>催盞</v>
      </c>
      <c r="K8" s="457" t="str">
        <f>傷害計算!K10</f>
        <v>含弘</v>
      </c>
      <c r="L8" s="457" t="str">
        <f>傷害計算!L10</f>
        <v>飲江</v>
      </c>
      <c r="M8" s="457" t="str">
        <f>傷害計算!M10</f>
        <v>降龍</v>
      </c>
      <c r="N8" s="257"/>
      <c r="O8" s="470"/>
    </row>
    <row r="9" spans="1:19" s="459" customFormat="1" x14ac:dyDescent="0.25">
      <c r="A9" s="481" t="s">
        <v>88</v>
      </c>
      <c r="B9" s="481" t="s">
        <v>160</v>
      </c>
      <c r="C9" s="481" t="s">
        <v>119</v>
      </c>
      <c r="D9" s="480" t="s">
        <v>135</v>
      </c>
      <c r="E9" s="480" t="s">
        <v>211</v>
      </c>
      <c r="F9" s="480" t="s">
        <v>140</v>
      </c>
      <c r="G9" s="480" t="s">
        <v>138</v>
      </c>
      <c r="H9" s="480" t="s">
        <v>139</v>
      </c>
      <c r="I9" s="480" t="s">
        <v>137</v>
      </c>
      <c r="J9" s="480" t="s">
        <v>141</v>
      </c>
      <c r="K9" s="480" t="s">
        <v>150</v>
      </c>
      <c r="L9" s="480" t="s">
        <v>529</v>
      </c>
      <c r="M9" s="568" t="s">
        <v>770</v>
      </c>
      <c r="N9" s="568"/>
      <c r="O9" s="568"/>
    </row>
    <row r="10" spans="1:19" x14ac:dyDescent="0.25">
      <c r="A10" s="482" t="s">
        <v>89</v>
      </c>
      <c r="B10" s="467" t="str">
        <f>VLOOKUP(配裝模擬!$C10,資料庫!$B$24:$M$431,2,FALSE)</f>
        <v>破命套裝</v>
      </c>
      <c r="C10" s="468" t="s">
        <v>804</v>
      </c>
      <c r="D10" s="257">
        <f>VLOOKUP(配裝模擬!$C10,資料庫!$B$24:$M$431,3,FALSE)</f>
        <v>236</v>
      </c>
      <c r="E10" s="257">
        <f>VLOOKUP(配裝模擬!$C10,資料庫!$B$24:$M$431,4,FALSE)</f>
        <v>410</v>
      </c>
      <c r="F10" s="257">
        <f>VLOOKUP(配裝模擬!$C10,資料庫!$B$24:$M$431,5,FALSE)</f>
        <v>960</v>
      </c>
      <c r="G10" s="257">
        <f>VLOOKUP(配裝模擬!$C10,資料庫!$B$24:$M$431,6,FALSE)</f>
        <v>0</v>
      </c>
      <c r="H10" s="257">
        <f>VLOOKUP(配裝模擬!$C10,資料庫!$B$24:$M$431,7,FALSE)</f>
        <v>0</v>
      </c>
      <c r="I10" s="257">
        <f>VLOOKUP(配裝模擬!$C10,資料庫!$B$24:$M$431,8,FALSE)</f>
        <v>457</v>
      </c>
      <c r="J10" s="257">
        <f>VLOOKUP(配裝模擬!$C10,資料庫!$B$24:$M$431,9,FALSE)</f>
        <v>0</v>
      </c>
      <c r="K10" s="257">
        <f>VLOOKUP(配裝模擬!$C10,資料庫!$B$24:$M$431,10,FALSE)</f>
        <v>2560</v>
      </c>
      <c r="L10" s="257">
        <f>VLOOKUP(配裝模擬!$C10,資料庫!$B$24:$M$431,11,FALSE)</f>
        <v>4522</v>
      </c>
      <c r="M10" s="561" t="str">
        <f>VLOOKUP(配裝模擬!$C10,資料庫!$B$24:$M$431,12,FALSE)</f>
        <v>俠義值*58800 / 凌絕牌（挑巨5）</v>
      </c>
      <c r="N10" s="561"/>
      <c r="O10" s="561"/>
    </row>
    <row r="11" spans="1:19" x14ac:dyDescent="0.25">
      <c r="A11" s="482" t="s">
        <v>92</v>
      </c>
      <c r="B11" s="467" t="str">
        <f>VLOOKUP(配裝模擬!$C11,資料庫!$B$24:$M$431,2,FALSE)</f>
        <v>會無套裝</v>
      </c>
      <c r="C11" s="468" t="s">
        <v>553</v>
      </c>
      <c r="D11" s="257">
        <f>VLOOKUP(配裝模擬!$C11,資料庫!$B$24:$M$431,3,FALSE)</f>
        <v>250</v>
      </c>
      <c r="E11" s="257">
        <f>VLOOKUP(配裝模擬!$C11,資料庫!$B$24:$M$431,4,FALSE)</f>
        <v>455</v>
      </c>
      <c r="F11" s="257">
        <f>VLOOKUP(配裝模擬!$C11,資料庫!$B$24:$M$431,5,FALSE)</f>
        <v>0</v>
      </c>
      <c r="G11" s="257">
        <f>VLOOKUP(配裝模擬!$C11,資料庫!$B$24:$M$431,6,FALSE)</f>
        <v>1067</v>
      </c>
      <c r="H11" s="257">
        <f>VLOOKUP(配裝模擬!$C11,資料庫!$B$24:$M$431,7,FALSE)</f>
        <v>0</v>
      </c>
      <c r="I11" s="257">
        <f>VLOOKUP(配裝模擬!$C11,資料庫!$B$24:$M$431,8,FALSE)</f>
        <v>0</v>
      </c>
      <c r="J11" s="257">
        <f>VLOOKUP(配裝模擬!$C11,資料庫!$B$24:$M$431,9,FALSE)</f>
        <v>508</v>
      </c>
      <c r="K11" s="257">
        <f>VLOOKUP(配裝模擬!$C11,資料庫!$B$24:$M$431,10,FALSE)</f>
        <v>2560</v>
      </c>
      <c r="L11" s="257">
        <f>VLOOKUP(配裝模擬!$C11,資料庫!$B$24:$M$431,11,FALSE)</f>
        <v>5018</v>
      </c>
      <c r="M11" s="561" t="str">
        <f>VLOOKUP(配裝模擬!$C11,資料庫!$B$24:$M$431,12,FALSE)</f>
        <v>俠義值*65300  /  凌絕牌（挑巨6）</v>
      </c>
      <c r="N11" s="561"/>
      <c r="O11" s="561"/>
    </row>
    <row r="12" spans="1:19" x14ac:dyDescent="0.25">
      <c r="A12" s="482" t="s">
        <v>94</v>
      </c>
      <c r="B12" s="467" t="str">
        <f>VLOOKUP(配裝模擬!$C12,資料庫!$B$24:$M$431,2,FALSE)</f>
        <v>外攻半精簡</v>
      </c>
      <c r="C12" s="468" t="s">
        <v>916</v>
      </c>
      <c r="D12" s="257">
        <f>VLOOKUP(配裝模擬!$C12,資料庫!$B$24:$M$431,3,FALSE)</f>
        <v>0</v>
      </c>
      <c r="E12" s="257">
        <f>VLOOKUP(配裝模擬!$C12,資料庫!$B$24:$M$431,4,FALSE)</f>
        <v>1140</v>
      </c>
      <c r="F12" s="257">
        <f>VLOOKUP(配裝模擬!$C12,資料庫!$B$24:$M$431,5,FALSE)</f>
        <v>34</v>
      </c>
      <c r="G12" s="257">
        <f>VLOOKUP(配裝模擬!$C12,資料庫!$B$24:$M$431,6,FALSE)</f>
        <v>0</v>
      </c>
      <c r="H12" s="257">
        <f>VLOOKUP(配裝模擬!$C12,資料庫!$B$24:$M$431,7,FALSE)</f>
        <v>0</v>
      </c>
      <c r="I12" s="257">
        <f>VLOOKUP(配裝模擬!$C12,資料庫!$B$24:$M$431,8,FALSE)</f>
        <v>0</v>
      </c>
      <c r="J12" s="257">
        <f>VLOOKUP(配裝模擬!$C12,資料庫!$B$24:$M$431,9,FALSE)</f>
        <v>0</v>
      </c>
      <c r="K12" s="257">
        <f>VLOOKUP(配裝模擬!$C12,資料庫!$B$24:$M$431,10,FALSE)</f>
        <v>2600</v>
      </c>
      <c r="L12" s="257">
        <f>VLOOKUP(配裝模擬!$C12,資料庫!$B$24:$M$431,11,FALSE)</f>
        <v>3464</v>
      </c>
      <c r="M12" s="561" t="str">
        <f>VLOOKUP(配裝模擬!$C12,資料庫!$B$24:$M$431,12,FALSE)</f>
        <v>挑戰塵歸海·饕餮洞：黃穆
挑戰塵歸海·巨冥灣：邢不僵</v>
      </c>
      <c r="N12" s="561"/>
      <c r="O12" s="561"/>
    </row>
    <row r="13" spans="1:19" x14ac:dyDescent="0.25">
      <c r="A13" s="482" t="s">
        <v>96</v>
      </c>
      <c r="B13" s="467" t="str">
        <f>VLOOKUP(配裝模擬!$C13,資料庫!$B$24:$M$431,2,FALSE)</f>
        <v>會命套裝</v>
      </c>
      <c r="C13" s="468" t="s">
        <v>742</v>
      </c>
      <c r="D13" s="257">
        <f>VLOOKUP(配裝模擬!$C13,資料庫!$B$24:$M$431,3,FALSE)</f>
        <v>185</v>
      </c>
      <c r="E13" s="257">
        <f>VLOOKUP(配裝模擬!$C13,資料庫!$B$24:$M$431,4,FALSE)</f>
        <v>318</v>
      </c>
      <c r="F13" s="257">
        <f>VLOOKUP(配裝模擬!$C13,資料庫!$B$24:$M$431,5,FALSE)</f>
        <v>0</v>
      </c>
      <c r="G13" s="257">
        <f>VLOOKUP(配裝模擬!$C13,資料庫!$B$24:$M$431,6,FALSE)</f>
        <v>747</v>
      </c>
      <c r="H13" s="257">
        <f>VLOOKUP(配裝模擬!$C13,資料庫!$B$24:$M$431,7,FALSE)</f>
        <v>0</v>
      </c>
      <c r="I13" s="257">
        <f>VLOOKUP(配裝模擬!$C13,資料庫!$B$24:$M$431,8,FALSE)</f>
        <v>356</v>
      </c>
      <c r="J13" s="257">
        <f>VLOOKUP(配裝模擬!$C13,資料庫!$B$24:$M$431,9,FALSE)</f>
        <v>0</v>
      </c>
      <c r="K13" s="257">
        <f>VLOOKUP(配裝模擬!$C13,資料庫!$B$24:$M$431,10,FALSE)</f>
        <v>2560</v>
      </c>
      <c r="L13" s="257">
        <f>VLOOKUP(配裝模擬!$C13,資料庫!$B$24:$M$431,11,FALSE)</f>
        <v>3531</v>
      </c>
      <c r="M13" s="561" t="str">
        <f>VLOOKUP(配裝模擬!$C13,資料庫!$B$24:$M$431,12,FALSE)</f>
        <v>俠義值*45700 / 凌絕牌（挑巨1）</v>
      </c>
      <c r="N13" s="561"/>
      <c r="O13" s="561"/>
    </row>
    <row r="14" spans="1:19" x14ac:dyDescent="0.25">
      <c r="A14" s="482" t="s">
        <v>98</v>
      </c>
      <c r="B14" s="467" t="str">
        <f>VLOOKUP(配裝模擬!$C14,資料庫!$B$24:$M$431,2,FALSE)</f>
        <v>破命</v>
      </c>
      <c r="C14" s="468" t="s">
        <v>1024</v>
      </c>
      <c r="D14" s="257">
        <f>VLOOKUP(配裝模擬!$C14,資料庫!$B$24:$M$431,3,FALSE)</f>
        <v>0</v>
      </c>
      <c r="E14" s="257">
        <f>VLOOKUP(配裝模擬!$C14,資料庫!$B$24:$M$431,4,FALSE)</f>
        <v>1027</v>
      </c>
      <c r="F14" s="257">
        <f>VLOOKUP(配裝模擬!$C14,資料庫!$B$24:$M$431,5,FALSE)</f>
        <v>847</v>
      </c>
      <c r="G14" s="257">
        <f>VLOOKUP(配裝模擬!$C14,資料庫!$B$24:$M$431,6,FALSE)</f>
        <v>34</v>
      </c>
      <c r="H14" s="257">
        <f>VLOOKUP(配裝模擬!$C14,資料庫!$B$24:$M$431,7,FALSE)</f>
        <v>0</v>
      </c>
      <c r="I14" s="257">
        <f>VLOOKUP(配裝模擬!$C14,資料庫!$B$24:$M$431,8,FALSE)</f>
        <v>498</v>
      </c>
      <c r="J14" s="257">
        <f>VLOOKUP(配裝模擬!$C14,資料庫!$B$24:$M$431,9,FALSE)</f>
        <v>0</v>
      </c>
      <c r="K14" s="257">
        <f>VLOOKUP(配裝模擬!$C14,資料庫!$B$24:$M$431,10,FALSE)</f>
        <v>2600</v>
      </c>
      <c r="L14" s="257">
        <f>VLOOKUP(配裝模擬!$C14,資料庫!$B$24:$M$431,11,FALSE)</f>
        <v>5095</v>
      </c>
      <c r="M14" s="561" t="str">
        <f>VLOOKUP(配裝模擬!$C14,資料庫!$B$24:$M$431,12,FALSE)</f>
        <v>挑戰塵歸海·饕餮洞：黃穆
挑戰塵歸海·巨冥灣：無面鬼</v>
      </c>
      <c r="N14" s="561"/>
      <c r="O14" s="561"/>
    </row>
    <row r="15" spans="1:19" x14ac:dyDescent="0.25">
      <c r="A15" s="482" t="s">
        <v>100</v>
      </c>
      <c r="B15" s="467" t="str">
        <f>VLOOKUP(配裝模擬!$C15,資料庫!$B$24:$M$431,2,FALSE)</f>
        <v>破無套裝</v>
      </c>
      <c r="C15" s="468" t="s">
        <v>814</v>
      </c>
      <c r="D15" s="257">
        <f>VLOOKUP(配裝模擬!$C15,資料庫!$B$24:$M$431,3,FALSE)</f>
        <v>175</v>
      </c>
      <c r="E15" s="257">
        <f>VLOOKUP(配裝模擬!$C15,資料庫!$B$24:$M$431,4,FALSE)</f>
        <v>318</v>
      </c>
      <c r="F15" s="257">
        <f>VLOOKUP(配裝模擬!$C15,資料庫!$B$24:$M$431,5,FALSE)</f>
        <v>781</v>
      </c>
      <c r="G15" s="257">
        <f>VLOOKUP(配裝模擬!$C15,資料庫!$B$24:$M$431,6,FALSE)</f>
        <v>0</v>
      </c>
      <c r="H15" s="257">
        <f>VLOOKUP(配裝模擬!$C15,資料庫!$B$24:$M$431,7,FALSE)</f>
        <v>0</v>
      </c>
      <c r="I15" s="257">
        <f>VLOOKUP(配裝模擬!$C15,資料庫!$B$24:$M$431,8,FALSE)</f>
        <v>0</v>
      </c>
      <c r="J15" s="257">
        <f>VLOOKUP(配裝模擬!$C15,資料庫!$B$24:$M$431,9,FALSE)</f>
        <v>356</v>
      </c>
      <c r="K15" s="257">
        <f>VLOOKUP(配裝模擬!$C15,資料庫!$B$24:$M$431,10,FALSE)</f>
        <v>2560</v>
      </c>
      <c r="L15" s="257">
        <f>VLOOKUP(配裝模擬!$C15,資料庫!$B$24:$M$431,11,FALSE)</f>
        <v>3531</v>
      </c>
      <c r="M15" s="561" t="str">
        <f>VLOOKUP(配裝模擬!$C15,資料庫!$B$24:$M$431,12,FALSE)</f>
        <v>俠義值*45800 / 凌絕牌（挑巨4）</v>
      </c>
      <c r="N15" s="561"/>
      <c r="O15" s="561"/>
    </row>
    <row r="16" spans="1:19" x14ac:dyDescent="0.25">
      <c r="A16" s="482" t="s">
        <v>102</v>
      </c>
      <c r="B16" s="467" t="str">
        <f>VLOOKUP(配裝模擬!$C16,資料庫!$B$24:$M$431,2,FALSE)</f>
        <v>破無</v>
      </c>
      <c r="C16" s="469" t="s">
        <v>965</v>
      </c>
      <c r="D16" s="257">
        <f>VLOOKUP(配裝模擬!$C16,資料庫!$B$24:$M$431,3,FALSE)</f>
        <v>129</v>
      </c>
      <c r="E16" s="257">
        <f>VLOOKUP(配裝模擬!$C16,資料庫!$B$24:$M$431,4,FALSE)</f>
        <v>234</v>
      </c>
      <c r="F16" s="257">
        <f>VLOOKUP(配裝模擬!$C16,資料庫!$B$24:$M$431,5,FALSE)</f>
        <v>550</v>
      </c>
      <c r="G16" s="257">
        <f>VLOOKUP(配裝模擬!$C16,資料庫!$B$24:$M$431,6,FALSE)</f>
        <v>0</v>
      </c>
      <c r="H16" s="257">
        <f>VLOOKUP(配裝模擬!$C16,資料庫!$B$24:$M$431,7,FALSE)</f>
        <v>0</v>
      </c>
      <c r="I16" s="257">
        <f>VLOOKUP(配裝模擬!$C16,資料庫!$B$24:$M$431,8,FALSE)</f>
        <v>0</v>
      </c>
      <c r="J16" s="257">
        <f>VLOOKUP(配裝模擬!$C16,資料庫!$B$24:$M$431,9,FALSE)</f>
        <v>262</v>
      </c>
      <c r="K16" s="257">
        <f>VLOOKUP(配裝模擬!$C16,資料庫!$B$24:$M$431,10,FALSE)</f>
        <v>2640</v>
      </c>
      <c r="L16" s="257">
        <f>VLOOKUP(配裝模擬!$C16,資料庫!$B$24:$M$431,11,FALSE)</f>
        <v>2586</v>
      </c>
      <c r="M16" s="561" t="str">
        <f>VLOOKUP(配裝模擬!$C16,資料庫!$B$24:$M$431,12,FALSE)</f>
        <v>靖海盟（尊敬）</v>
      </c>
      <c r="N16" s="561"/>
      <c r="O16" s="561"/>
    </row>
    <row r="17" spans="1:18" x14ac:dyDescent="0.25">
      <c r="A17" s="482" t="s">
        <v>104</v>
      </c>
      <c r="B17" s="467" t="str">
        <f>VLOOKUP(配裝模擬!$C17,資料庫!$B$24:$M$431,2,FALSE)</f>
        <v>破無特效</v>
      </c>
      <c r="C17" s="468" t="s">
        <v>1025</v>
      </c>
      <c r="D17" s="257">
        <f>VLOOKUP(配裝模擬!$C17,資料庫!$B$24:$M$431,3,FALSE)</f>
        <v>122</v>
      </c>
      <c r="E17" s="257">
        <f>VLOOKUP(配裝模擬!$C17,資料庫!$B$24:$M$431,4,FALSE)</f>
        <v>223</v>
      </c>
      <c r="F17" s="257">
        <f>VLOOKUP(配裝模擬!$C17,資料庫!$B$24:$M$431,5,FALSE)</f>
        <v>523</v>
      </c>
      <c r="G17" s="257">
        <f>VLOOKUP(配裝模擬!$C17,資料庫!$B$24:$M$431,6,FALSE)</f>
        <v>0</v>
      </c>
      <c r="H17" s="257">
        <f>VLOOKUP(配裝模擬!$C17,資料庫!$B$24:$M$431,7,FALSE)</f>
        <v>0</v>
      </c>
      <c r="I17" s="257">
        <f>VLOOKUP(配裝模擬!$C17,資料庫!$B$24:$M$431,8,FALSE)</f>
        <v>0</v>
      </c>
      <c r="J17" s="257">
        <f>VLOOKUP(配裝模擬!$C17,資料庫!$B$24:$M$431,9,FALSE)</f>
        <v>249</v>
      </c>
      <c r="K17" s="257">
        <f>VLOOKUP(配裝模擬!$C17,資料庫!$B$24:$M$431,10,FALSE)</f>
        <v>2600</v>
      </c>
      <c r="L17" s="257">
        <f>VLOOKUP(配裝模擬!$C17,資料庫!$B$24:$M$431,11,FALSE)</f>
        <v>2461</v>
      </c>
      <c r="M17" s="561" t="str">
        <f>VLOOKUP(配裝模擬!$C17,資料庫!$B$24:$M$431,12,FALSE)</f>
        <v>挑戰塵歸海·饕餮洞：黃穆
挑戰塵歸海·巨冥灣：晏厄</v>
      </c>
      <c r="N17" s="561"/>
      <c r="O17" s="561"/>
    </row>
    <row r="18" spans="1:18" x14ac:dyDescent="0.25">
      <c r="A18" s="482" t="s">
        <v>106</v>
      </c>
      <c r="B18" s="467" t="str">
        <f>VLOOKUP(配裝模擬!$C18,資料庫!$B$24:$M$431,2,FALSE)</f>
        <v>破防半精簡</v>
      </c>
      <c r="C18" s="468" t="s">
        <v>876</v>
      </c>
      <c r="D18" s="257">
        <f>VLOOKUP(配裝模擬!$C18,資料庫!$B$24:$M$431,3,FALSE)</f>
        <v>0</v>
      </c>
      <c r="E18" s="257">
        <f>VLOOKUP(配裝模擬!$C18,資料庫!$B$24:$M$431,4,FALSE)</f>
        <v>491</v>
      </c>
      <c r="F18" s="257">
        <f>VLOOKUP(配裝模擬!$C18,資料庫!$B$24:$M$431,5,FALSE)</f>
        <v>722</v>
      </c>
      <c r="G18" s="257">
        <f>VLOOKUP(配裝模擬!$C18,資料庫!$B$24:$M$431,6,FALSE)</f>
        <v>0</v>
      </c>
      <c r="H18" s="257">
        <f>VLOOKUP(配裝模擬!$C18,資料庫!$B$24:$M$431,7,FALSE)</f>
        <v>0</v>
      </c>
      <c r="I18" s="257">
        <f>VLOOKUP(配裝模擬!$C18,資料庫!$B$24:$M$431,8,FALSE)</f>
        <v>0</v>
      </c>
      <c r="J18" s="257">
        <f>VLOOKUP(配裝模擬!$C18,資料庫!$B$24:$M$431,9,FALSE)</f>
        <v>0</v>
      </c>
      <c r="K18" s="257">
        <f>VLOOKUP(配裝模擬!$C18,資料庫!$B$24:$M$431,10,FALSE)</f>
        <v>2600</v>
      </c>
      <c r="L18" s="257">
        <f>VLOOKUP(配裝模擬!$C18,資料庫!$B$24:$M$431,11,FALSE)</f>
        <v>2516</v>
      </c>
      <c r="M18" s="561" t="str">
        <f>VLOOKUP(配裝模擬!$C18,資料庫!$B$24:$M$431,12,FALSE)</f>
        <v>挑戰塵歸海·饕餮洞：黃穆
挑戰塵歸海·巨冥灣：鬼首</v>
      </c>
      <c r="N18" s="561"/>
      <c r="O18" s="561"/>
    </row>
    <row r="19" spans="1:18" x14ac:dyDescent="0.25">
      <c r="A19" s="482" t="s">
        <v>106</v>
      </c>
      <c r="B19" s="467" t="str">
        <f>VLOOKUP(配裝模擬!$C19,資料庫!$B$24:$M$431,2,FALSE)</f>
        <v>破無</v>
      </c>
      <c r="C19" s="468" t="s">
        <v>872</v>
      </c>
      <c r="D19" s="257">
        <f>VLOOKUP(配裝模擬!$C19,資料庫!$B$24:$M$431,3,FALSE)</f>
        <v>127</v>
      </c>
      <c r="E19" s="257">
        <f>VLOOKUP(配裝模擬!$C19,資料庫!$B$24:$M$431,4,FALSE)</f>
        <v>231</v>
      </c>
      <c r="F19" s="257">
        <f>VLOOKUP(配裝模擬!$C19,資料庫!$B$24:$M$431,5,FALSE)</f>
        <v>542</v>
      </c>
      <c r="G19" s="257">
        <f>VLOOKUP(配裝模擬!$C19,資料庫!$B$24:$M$431,6,FALSE)</f>
        <v>0</v>
      </c>
      <c r="H19" s="257">
        <f>VLOOKUP(配裝模擬!$C19,資料庫!$B$24:$M$431,7,FALSE)</f>
        <v>0</v>
      </c>
      <c r="I19" s="257">
        <f>VLOOKUP(配裝模擬!$C19,資料庫!$B$24:$M$431,8,FALSE)</f>
        <v>0</v>
      </c>
      <c r="J19" s="257">
        <f>VLOOKUP(配裝模擬!$C19,資料庫!$B$24:$M$431,9,FALSE)</f>
        <v>258</v>
      </c>
      <c r="K19" s="257">
        <f>VLOOKUP(配裝模擬!$C19,資料庫!$B$24:$M$431,10,FALSE)</f>
        <v>2600</v>
      </c>
      <c r="L19" s="257">
        <f>VLOOKUP(配裝模擬!$C19,資料庫!$B$24:$M$431,11,FALSE)</f>
        <v>2429</v>
      </c>
      <c r="M19" s="561" t="str">
        <f>VLOOKUP(配裝模擬!$C19,資料庫!$B$24:$M$431,12,FALSE)</f>
        <v>挑戰塵歸海·巨冥灣：虎翼突襲</v>
      </c>
      <c r="N19" s="561"/>
      <c r="O19" s="561"/>
    </row>
    <row r="20" spans="1:18" x14ac:dyDescent="0.25">
      <c r="A20" s="482" t="s">
        <v>108</v>
      </c>
      <c r="B20" s="467" t="str">
        <f>VLOOKUP(配裝模擬!$C20,資料庫!$B$24:$M$431,2,FALSE)</f>
        <v>破命</v>
      </c>
      <c r="C20" s="468" t="s">
        <v>873</v>
      </c>
      <c r="D20" s="257">
        <f>VLOOKUP(配裝模擬!$C20,資料庫!$B$24:$M$431,3,FALSE)</f>
        <v>163</v>
      </c>
      <c r="E20" s="257">
        <f>VLOOKUP(配裝模擬!$C20,資料庫!$B$24:$M$431,4,FALSE)</f>
        <v>277</v>
      </c>
      <c r="F20" s="257">
        <f>VLOOKUP(配裝模擬!$C20,資料庫!$B$24:$M$431,5,FALSE)</f>
        <v>650</v>
      </c>
      <c r="G20" s="257">
        <f>VLOOKUP(配裝模擬!$C20,資料庫!$B$24:$M$431,6,FALSE)</f>
        <v>0</v>
      </c>
      <c r="H20" s="257">
        <f>VLOOKUP(配裝模擬!$C20,資料庫!$B$24:$M$431,7,FALSE)</f>
        <v>0</v>
      </c>
      <c r="I20" s="257">
        <f>VLOOKUP(配裝模擬!$C20,資料庫!$B$24:$M$431,8,FALSE)</f>
        <v>310</v>
      </c>
      <c r="J20" s="257">
        <f>VLOOKUP(配裝模擬!$C20,資料庫!$B$24:$M$431,9,FALSE)</f>
        <v>0</v>
      </c>
      <c r="K20" s="257">
        <f>VLOOKUP(配裝模擬!$C20,資料庫!$B$24:$M$431,10,FALSE)</f>
        <v>2600</v>
      </c>
      <c r="L20" s="257">
        <f>VLOOKUP(配裝模擬!$C20,資料庫!$B$24:$M$431,11,FALSE)</f>
        <v>3051</v>
      </c>
      <c r="M20" s="561" t="str">
        <f>VLOOKUP(配裝模擬!$C20,資料庫!$B$24:$M$431,12,FALSE)</f>
        <v>挑戰塵歸海·饕餮洞：關卡寶箱
挑戰塵歸海·巨冥灣：關卡寶箱</v>
      </c>
      <c r="N20" s="561"/>
      <c r="O20" s="561"/>
    </row>
    <row r="21" spans="1:18" x14ac:dyDescent="0.25">
      <c r="A21" s="483" t="s">
        <v>110</v>
      </c>
      <c r="B21" s="467" t="str">
        <f>VLOOKUP(配裝模擬!$C21,資料庫!$B$24:$M$431,2,FALSE)</f>
        <v>破無特效</v>
      </c>
      <c r="C21" s="469" t="s">
        <v>581</v>
      </c>
      <c r="D21" s="257">
        <f>VLOOKUP(配裝模擬!$C21,資料庫!$B$24:$M$431,3,FALSE)</f>
        <v>305</v>
      </c>
      <c r="E21" s="257">
        <f>VLOOKUP(配裝模擬!$C21,資料庫!$B$24:$M$431,4,FALSE)</f>
        <v>1033</v>
      </c>
      <c r="F21" s="257">
        <f>VLOOKUP(配裝模擬!$C21,資料庫!$B$24:$M$431,5,FALSE)</f>
        <v>1290</v>
      </c>
      <c r="G21" s="257">
        <f>VLOOKUP(配裝模擬!$C21,資料庫!$B$24:$M$431,6,FALSE)</f>
        <v>0</v>
      </c>
      <c r="H21" s="257">
        <f>VLOOKUP(配裝模擬!$C21,資料庫!$B$24:$M$431,7,FALSE)</f>
        <v>0</v>
      </c>
      <c r="I21" s="257">
        <f>VLOOKUP(配裝模擬!$C21,資料庫!$B$24:$M$431,8,FALSE)</f>
        <v>0</v>
      </c>
      <c r="J21" s="257">
        <f>VLOOKUP(配裝模擬!$C21,資料庫!$B$24:$M$431,9,FALSE)</f>
        <v>598</v>
      </c>
      <c r="K21" s="257">
        <f>VLOOKUP(配裝模擬!$C21,資料庫!$B$24:$M$431,10,FALSE)</f>
        <v>2600</v>
      </c>
      <c r="L21" s="257">
        <f>VLOOKUP(配裝模擬!$C21,資料庫!$B$24:$M$431,11,FALSE)</f>
        <v>6133</v>
      </c>
      <c r="M21" s="561" t="str">
        <f>VLOOKUP(配裝模擬!$C21,資料庫!$B$24:$M$431,12,FALSE)</f>
        <v>挑戰塵歸海·饕餮洞：黃穆</v>
      </c>
      <c r="N21" s="561"/>
      <c r="O21" s="561"/>
    </row>
    <row r="22" spans="1:18" x14ac:dyDescent="0.25">
      <c r="A22" s="477" t="s">
        <v>310</v>
      </c>
      <c r="B22" s="257"/>
      <c r="C22" s="468" t="s">
        <v>316</v>
      </c>
      <c r="D22" s="257">
        <f>IF(C22="力道",資料庫!D288,0)</f>
        <v>0</v>
      </c>
      <c r="E22" s="257">
        <f>IF(C22="外功攻擊",資料庫!E288,0)</f>
        <v>62</v>
      </c>
      <c r="F22" s="257">
        <f>IF(C22="破防等級",資料庫!F288,0)</f>
        <v>0</v>
      </c>
      <c r="G22" s="257">
        <f>IF(C22="會心等級",資料庫!G288,0)</f>
        <v>0</v>
      </c>
      <c r="H22" s="257">
        <f>IF(C22="會心效果等級",資料庫!H288,0)</f>
        <v>0</v>
      </c>
      <c r="I22" s="257">
        <f>IF(C22="命中等級",資料庫!I288,0)</f>
        <v>0</v>
      </c>
      <c r="J22" s="257">
        <f>IF(C22="無雙等級",資料庫!J288,0)</f>
        <v>0</v>
      </c>
      <c r="K22" s="257">
        <v>0</v>
      </c>
      <c r="L22" s="257"/>
      <c r="M22" s="257"/>
      <c r="N22" s="257"/>
      <c r="O22" s="257"/>
    </row>
    <row r="23" spans="1:18" x14ac:dyDescent="0.25">
      <c r="A23" s="477" t="s">
        <v>312</v>
      </c>
      <c r="B23" s="257"/>
      <c r="C23" s="468" t="s">
        <v>483</v>
      </c>
      <c r="D23" s="257"/>
      <c r="E23" s="257">
        <f>IF(C23="外功攻擊",資料庫!E289,0)</f>
        <v>0</v>
      </c>
      <c r="F23" s="257">
        <f>IF(C23="破防等級",資料庫!F289,0)</f>
        <v>278</v>
      </c>
      <c r="G23" s="257"/>
      <c r="H23" s="257">
        <f>IF(C23="會心效果等級",資料庫!H289,0)</f>
        <v>0</v>
      </c>
      <c r="I23" s="257"/>
      <c r="J23" s="257"/>
      <c r="K23" s="257">
        <v>0</v>
      </c>
      <c r="L23" s="257"/>
      <c r="M23" s="563" t="s">
        <v>419</v>
      </c>
      <c r="N23" s="563"/>
      <c r="O23" s="476" t="s">
        <v>1046</v>
      </c>
    </row>
    <row r="24" spans="1:18" s="25" customFormat="1" x14ac:dyDescent="0.25">
      <c r="A24" s="477" t="s">
        <v>314</v>
      </c>
      <c r="B24" s="257"/>
      <c r="C24" s="468" t="s">
        <v>321</v>
      </c>
      <c r="D24" s="257"/>
      <c r="E24" s="257">
        <f>IF(C24="外功攻擊",資料庫!E290,0)</f>
        <v>0</v>
      </c>
      <c r="F24" s="257">
        <f>IF(C24="破防等級",資料庫!F290,0)</f>
        <v>0</v>
      </c>
      <c r="G24" s="257"/>
      <c r="H24" s="257">
        <f>IF(C24="會心效果等級",資料庫!H290,0)</f>
        <v>555</v>
      </c>
      <c r="I24" s="257"/>
      <c r="J24" s="257"/>
      <c r="K24" s="257">
        <v>0</v>
      </c>
      <c r="L24" s="257"/>
      <c r="M24" s="471" t="s">
        <v>380</v>
      </c>
      <c r="N24" s="468">
        <f>IF(C10="天韶·酬江軟帽",1,0)+IF(C11="天韶·酬江短襖",1,0)+IF(C12="天韶·酬江革帶",1,0)+IF(C13="天韶·酬江束腕",1,0)+IF(C15="天韶·酬江屐",1,0)</f>
        <v>0</v>
      </c>
    </row>
    <row r="25" spans="1:18" x14ac:dyDescent="0.25">
      <c r="A25" s="476" t="s">
        <v>112</v>
      </c>
      <c r="B25" s="257"/>
      <c r="C25" s="468" t="s">
        <v>234</v>
      </c>
      <c r="D25" s="257"/>
      <c r="E25" s="257">
        <f>VLOOKUP(配裝模擬!$C25,資料庫!$B$24:$M$431,4,FALSE)</f>
        <v>75</v>
      </c>
      <c r="F25" s="257">
        <f>VLOOKUP(配裝模擬!$C25,資料庫!$B$24:$M$431,5,FALSE)</f>
        <v>0</v>
      </c>
      <c r="G25" s="257">
        <f>VLOOKUP(配裝模擬!$C25,資料庫!$B$24:$M$431,6,FALSE)</f>
        <v>0</v>
      </c>
      <c r="H25" s="257"/>
      <c r="I25" s="257">
        <f>VLOOKUP(配裝模擬!$C25,資料庫!$B$24:$M$431,8,FALSE)</f>
        <v>0</v>
      </c>
      <c r="J25" s="257"/>
      <c r="K25" s="257">
        <f>VLOOKUP(配裝模擬!$C25,資料庫!$B$24:$M$431,10,FALSE)</f>
        <v>0</v>
      </c>
      <c r="L25" s="257"/>
      <c r="M25" s="471" t="s">
        <v>381</v>
      </c>
      <c r="N25" s="468">
        <f>IF(C10="鶴夢·嘯傲軟帽",1,0)+IF(C11="鶴夢·嘯傲短襖",1,0)+IF(C12="鶴夢·嘯傲革帶",1,0)+IF(C13="鶴夢·嘯傲束腕",1,0)+IF(C15="鶴夢·嘯傲屐",1,0)</f>
        <v>0</v>
      </c>
      <c r="O25" s="525" t="s">
        <v>1044</v>
      </c>
    </row>
    <row r="26" spans="1:18" x14ac:dyDescent="0.25">
      <c r="A26" s="476" t="s">
        <v>114</v>
      </c>
      <c r="B26" s="257"/>
      <c r="C26" s="468" t="s">
        <v>820</v>
      </c>
      <c r="D26" s="257"/>
      <c r="E26" s="257"/>
      <c r="F26" s="257">
        <f>VLOOKUP(配裝模擬!$C26,資料庫!$B$24:$M$431,5,FALSE)</f>
        <v>0</v>
      </c>
      <c r="G26" s="257">
        <f>VLOOKUP(配裝模擬!$C26,資料庫!$B$24:$M$431,6,FALSE)</f>
        <v>0</v>
      </c>
      <c r="H26" s="257"/>
      <c r="I26" s="257">
        <f>VLOOKUP(配裝模擬!$C26,資料庫!$B$24:$M$431,8,FALSE)</f>
        <v>0</v>
      </c>
      <c r="J26" s="257">
        <f>VLOOKUP(配裝模擬!$C26,資料庫!$B$24:$M$431,9,FALSE)</f>
        <v>166</v>
      </c>
      <c r="K26" s="257">
        <f>VLOOKUP(配裝模擬!$C26,資料庫!$B$24:$M$431,10,FALSE)</f>
        <v>0</v>
      </c>
      <c r="L26" s="257"/>
      <c r="M26" s="471" t="s">
        <v>538</v>
      </c>
      <c r="N26" s="457">
        <f>IF(C10="凌絕·酒狂抹額",1,0)+IF(C11="凌絕·酒狂衣",1,0)+IF(C12="凌絕·酒狂革帶",1,0)+IF(C13="凌絕·酒狂束腕",1,0)+IF(C15="凌絕·酒狂屐",1,0)</f>
        <v>4</v>
      </c>
    </row>
    <row r="27" spans="1:18" s="25" customFormat="1" x14ac:dyDescent="0.25">
      <c r="A27" s="476" t="s">
        <v>328</v>
      </c>
      <c r="B27" s="257"/>
      <c r="C27" s="468" t="s">
        <v>877</v>
      </c>
      <c r="D27" s="257"/>
      <c r="E27" s="257">
        <f>VLOOKUP(配裝模擬!$C27,資料庫!$B$24:$M$431,4,FALSE)</f>
        <v>0</v>
      </c>
      <c r="F27" s="257">
        <f>VLOOKUP(配裝模擬!$C27,資料庫!$B$24:$M$431,5,FALSE)</f>
        <v>0</v>
      </c>
      <c r="G27" s="257">
        <f>VLOOKUP(配裝模擬!$C27,資料庫!$B$24:$M$431,6,FALSE)</f>
        <v>0</v>
      </c>
      <c r="H27" s="257"/>
      <c r="I27" s="257">
        <f>VLOOKUP(配裝模擬!$C27,資料庫!$B$24:$M$431,8,FALSE)</f>
        <v>0</v>
      </c>
      <c r="J27" s="257">
        <f>VLOOKUP(配裝模擬!$C27,資料庫!$B$24:$M$431,9,FALSE)</f>
        <v>55</v>
      </c>
      <c r="K27" s="257">
        <f>VLOOKUP(配裝模擬!$C27,資料庫!$B$24:$M$431,10,FALSE)</f>
        <v>0</v>
      </c>
      <c r="L27" s="257"/>
      <c r="M27" s="471" t="s">
        <v>382</v>
      </c>
      <c r="N27" s="468" t="b">
        <f>IF(OR(N24&gt;=2,N25&gt;=4,N26&gt;=2),TRUE,FALSE)</f>
        <v>1</v>
      </c>
      <c r="O27" s="525" t="s">
        <v>1045</v>
      </c>
      <c r="Q27" s="155"/>
      <c r="R27" s="155"/>
    </row>
    <row r="28" spans="1:18" s="25" customFormat="1" x14ac:dyDescent="0.25">
      <c r="A28" s="476" t="s">
        <v>329</v>
      </c>
      <c r="B28" s="257"/>
      <c r="C28" s="468" t="s">
        <v>921</v>
      </c>
      <c r="D28" s="257"/>
      <c r="E28" s="257">
        <f>VLOOKUP(配裝模擬!$C28,資料庫!$B$24:$M$431,4,FALSE)</f>
        <v>0</v>
      </c>
      <c r="F28" s="257">
        <f>VLOOKUP(配裝模擬!$C28,資料庫!$B$24:$M$431,5,FALSE)</f>
        <v>0</v>
      </c>
      <c r="G28" s="257">
        <f>VLOOKUP(配裝模擬!$C28,資料庫!$B$24:$M$431,6,FALSE)</f>
        <v>0</v>
      </c>
      <c r="H28" s="257"/>
      <c r="I28" s="257">
        <f>VLOOKUP(配裝模擬!$C28,資料庫!$B$24:$M$431,8,FALSE)</f>
        <v>0</v>
      </c>
      <c r="J28" s="257">
        <f>VLOOKUP(配裝模擬!$C28,資料庫!$B$24:$M$431,9,FALSE)</f>
        <v>55</v>
      </c>
      <c r="K28" s="257">
        <f>VLOOKUP(配裝模擬!$C28,資料庫!$B$24:$M$431,10,FALSE)</f>
        <v>0</v>
      </c>
      <c r="L28" s="257"/>
      <c r="M28" s="471" t="s">
        <v>383</v>
      </c>
      <c r="N28" s="468" t="b">
        <f>IF(OR(N24&gt;=4,N25&gt;=2,N26&gt;=4),TRUE,FALSE)</f>
        <v>1</v>
      </c>
      <c r="O28" s="257"/>
    </row>
    <row r="29" spans="1:18" x14ac:dyDescent="0.25">
      <c r="A29" s="476" t="s">
        <v>116</v>
      </c>
      <c r="B29" s="257"/>
      <c r="C29" s="468" t="s">
        <v>822</v>
      </c>
      <c r="D29" s="257"/>
      <c r="E29" s="257"/>
      <c r="F29" s="257">
        <f>VLOOKUP(配裝模擬!$C29,資料庫!$B$24:$M$431,5,FALSE)</f>
        <v>0</v>
      </c>
      <c r="G29" s="257">
        <f>VLOOKUP(配裝模擬!$C29,資料庫!$B$24:$M$431,6,FALSE)</f>
        <v>0</v>
      </c>
      <c r="H29" s="257"/>
      <c r="I29" s="257"/>
      <c r="J29" s="257">
        <f>VLOOKUP(配裝模擬!$C29,資料庫!$B$24:$M$431,9,FALSE)</f>
        <v>166</v>
      </c>
      <c r="K29" s="257">
        <f>VLOOKUP(配裝模擬!$C29,資料庫!$B$24:$M$431,10,FALSE)</f>
        <v>0</v>
      </c>
      <c r="L29" s="257"/>
      <c r="M29" s="562" t="s">
        <v>420</v>
      </c>
      <c r="N29" s="562"/>
    </row>
    <row r="30" spans="1:18" x14ac:dyDescent="0.25">
      <c r="A30" s="476" t="s">
        <v>118</v>
      </c>
      <c r="B30" s="257"/>
      <c r="C30" s="468" t="s">
        <v>235</v>
      </c>
      <c r="D30" s="257"/>
      <c r="E30" s="257">
        <f>VLOOKUP(配裝模擬!$C30,資料庫!$B$24:$M$431,4,FALSE)</f>
        <v>75</v>
      </c>
      <c r="F30" s="257">
        <f>VLOOKUP(配裝模擬!$C30,資料庫!$B$24:$M$431,5,FALSE)</f>
        <v>0</v>
      </c>
      <c r="G30" s="257">
        <f>VLOOKUP(配裝模擬!$C30,資料庫!$B$24:$M$431,6,FALSE)</f>
        <v>0</v>
      </c>
      <c r="H30" s="257"/>
      <c r="I30" s="257">
        <f>VLOOKUP(配裝模擬!$C30,資料庫!$B$24:$M$431,8,FALSE)</f>
        <v>0</v>
      </c>
      <c r="J30" s="257"/>
      <c r="K30" s="257">
        <f>VLOOKUP(配裝模擬!$C30,資料庫!$B$24:$M$431,10,FALSE)</f>
        <v>0</v>
      </c>
      <c r="L30" s="257"/>
      <c r="M30" s="472" t="s">
        <v>954</v>
      </c>
      <c r="N30" s="473">
        <f>傷害計算!K6</f>
        <v>18221.95466829502</v>
      </c>
      <c r="O30" s="257"/>
    </row>
    <row r="31" spans="1:18" x14ac:dyDescent="0.25">
      <c r="A31" s="476" t="s">
        <v>121</v>
      </c>
      <c r="B31" s="257"/>
      <c r="C31" s="468" t="s">
        <v>741</v>
      </c>
      <c r="D31" s="257">
        <f>VLOOKUP(配裝模擬!$C31,資料庫!$B$24:$M$431,3,FALSE)</f>
        <v>0</v>
      </c>
      <c r="E31" s="257">
        <f>VLOOKUP(配裝模擬!$C31,資料庫!$B$24:$M$431,4,FALSE)</f>
        <v>75</v>
      </c>
      <c r="F31" s="257"/>
      <c r="G31" s="257"/>
      <c r="H31" s="257"/>
      <c r="I31" s="257">
        <f>VLOOKUP(配裝模擬!$C31,資料庫!$B$24:$M$431,8,FALSE)</f>
        <v>0</v>
      </c>
      <c r="J31" s="257"/>
      <c r="K31" s="257">
        <f>VLOOKUP(配裝模擬!$C31,資料庫!$B$24:$M$431,10,FALSE)</f>
        <v>0</v>
      </c>
      <c r="L31" s="257"/>
      <c r="M31" s="474" t="s">
        <v>142</v>
      </c>
      <c r="N31" s="473">
        <f>傷害計算!M13</f>
        <v>61452.917593903287</v>
      </c>
      <c r="O31" s="257"/>
    </row>
    <row r="32" spans="1:18" x14ac:dyDescent="0.25">
      <c r="A32" s="476" t="s">
        <v>121</v>
      </c>
      <c r="B32" s="257"/>
      <c r="C32" s="468" t="s">
        <v>741</v>
      </c>
      <c r="D32" s="257">
        <f>VLOOKUP(配裝模擬!$C32,資料庫!$B$24:$M$431,3,FALSE)</f>
        <v>0</v>
      </c>
      <c r="E32" s="257">
        <f>VLOOKUP(配裝模擬!$C32,資料庫!$B$24:$M$431,4,FALSE)</f>
        <v>75</v>
      </c>
      <c r="F32" s="257"/>
      <c r="G32" s="257"/>
      <c r="H32" s="257"/>
      <c r="I32" s="257">
        <f>VLOOKUP(配裝模擬!$C32,資料庫!$B$24:$M$431,8,FALSE)</f>
        <v>0</v>
      </c>
      <c r="J32" s="257"/>
      <c r="K32" s="257">
        <f>VLOOKUP(配裝模擬!$C32,資料庫!$B$24:$M$431,10,FALSE)</f>
        <v>0</v>
      </c>
      <c r="L32" s="257"/>
      <c r="M32" s="474" t="s">
        <v>168</v>
      </c>
      <c r="N32" s="473">
        <f>傷害計算!M16</f>
        <v>92586.785064129363</v>
      </c>
      <c r="O32" s="257"/>
    </row>
    <row r="33" spans="1:18" x14ac:dyDescent="0.25">
      <c r="A33" s="476" t="s">
        <v>123</v>
      </c>
      <c r="B33" s="257"/>
      <c r="C33" s="468" t="s">
        <v>384</v>
      </c>
      <c r="D33" s="257">
        <f>VLOOKUP(配裝模擬!$C33,資料庫!$B$24:$M$431,3,FALSE)</f>
        <v>0</v>
      </c>
      <c r="E33" s="257"/>
      <c r="F33" s="257">
        <f>VLOOKUP(配裝模擬!$C33,資料庫!$B$24:$M$431,5,FALSE)</f>
        <v>166</v>
      </c>
      <c r="G33" s="257"/>
      <c r="H33" s="257"/>
      <c r="I33" s="257"/>
      <c r="J33" s="257"/>
      <c r="K33" s="257">
        <f>VLOOKUP(配裝模擬!$C33,資料庫!$B$24:$M$431,10,FALSE)</f>
        <v>0</v>
      </c>
      <c r="L33" s="257"/>
      <c r="M33" s="474" t="s">
        <v>971</v>
      </c>
      <c r="N33" s="523">
        <f>傷害計算!M17</f>
        <v>35958.07826329604</v>
      </c>
      <c r="O33" s="522" t="str">
        <f>傷害計算!O18</f>
        <v>8</v>
      </c>
    </row>
    <row r="34" spans="1:18" x14ac:dyDescent="0.25">
      <c r="A34" s="476" t="s">
        <v>125</v>
      </c>
      <c r="B34" s="257"/>
      <c r="C34" s="468" t="s">
        <v>236</v>
      </c>
      <c r="D34" s="257"/>
      <c r="E34" s="257">
        <f>VLOOKUP(配裝模擬!$C34,資料庫!$B$24:$M$431,4,FALSE)</f>
        <v>75</v>
      </c>
      <c r="F34" s="257"/>
      <c r="G34" s="257"/>
      <c r="H34" s="257"/>
      <c r="I34" s="257"/>
      <c r="J34" s="257"/>
      <c r="K34" s="257">
        <f>VLOOKUP(配裝模擬!$C34,資料庫!$B$24:$M$431,10,FALSE)</f>
        <v>0</v>
      </c>
      <c r="L34" s="257"/>
      <c r="M34" s="257" t="s">
        <v>972</v>
      </c>
      <c r="N34" s="257"/>
      <c r="O34" s="257"/>
    </row>
    <row r="35" spans="1:18" x14ac:dyDescent="0.25">
      <c r="A35" s="476" t="s">
        <v>126</v>
      </c>
      <c r="B35" s="257"/>
      <c r="C35" s="468" t="s">
        <v>327</v>
      </c>
      <c r="D35" s="257"/>
      <c r="E35" s="257">
        <f>VLOOKUP(配裝模擬!$C35,資料庫!$B$24:$M$431,4,FALSE)</f>
        <v>102</v>
      </c>
      <c r="F35" s="257"/>
      <c r="G35" s="257"/>
      <c r="H35" s="257"/>
      <c r="I35" s="257"/>
      <c r="J35" s="257"/>
      <c r="K35" s="257">
        <f>VLOOKUP(配裝模擬!$C35,資料庫!$B$24:$M$431,10,FALSE)</f>
        <v>0</v>
      </c>
      <c r="L35" s="257"/>
      <c r="M35" s="257"/>
      <c r="N35" s="257"/>
      <c r="O35" s="257"/>
    </row>
    <row r="36" spans="1:18" x14ac:dyDescent="0.25">
      <c r="A36" s="478"/>
      <c r="B36" s="257"/>
      <c r="C36" s="475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</row>
    <row r="37" spans="1:18" x14ac:dyDescent="0.25">
      <c r="A37" s="477" t="s">
        <v>127</v>
      </c>
      <c r="B37" s="257"/>
      <c r="C37" s="468" t="s">
        <v>874</v>
      </c>
      <c r="D37" s="257"/>
      <c r="E37" s="257"/>
      <c r="F37" s="257"/>
      <c r="G37" s="257"/>
      <c r="H37" s="257"/>
      <c r="I37" s="257">
        <f>VLOOKUP(配裝模擬!$C37,資料庫!$B$24:$M$431,8,FALSE)</f>
        <v>139.529</v>
      </c>
      <c r="J37" s="257">
        <f>VLOOKUP(配裝模擬!$C37,資料庫!$B$24:$M$431,9,FALSE)</f>
        <v>261.56423999999998</v>
      </c>
      <c r="K37" s="257">
        <f>VLOOKUP(配裝模擬!$C37,資料庫!$B$24:$M$431,10,FALSE)</f>
        <v>0</v>
      </c>
      <c r="L37" s="257"/>
      <c r="M37" s="257"/>
      <c r="N37" s="257"/>
      <c r="O37" s="257"/>
    </row>
    <row r="38" spans="1:18" x14ac:dyDescent="0.25">
      <c r="A38" s="477" t="s">
        <v>129</v>
      </c>
      <c r="B38" s="257"/>
      <c r="C38" s="468" t="s">
        <v>484</v>
      </c>
      <c r="D38" s="257">
        <f>VLOOKUP(配裝模擬!$C38,資料庫!$B$24:$M$431,3,FALSE)</f>
        <v>0</v>
      </c>
      <c r="E38" s="257">
        <f>VLOOKUP(配裝模擬!$C38,資料庫!$B$24:$M$431,3,FALSE)</f>
        <v>0</v>
      </c>
      <c r="F38" s="257">
        <f>VLOOKUP(配裝模擬!$C38,資料庫!$B$24:$M$431,5,FALSE)</f>
        <v>0</v>
      </c>
      <c r="G38" s="257">
        <f>VLOOKUP(配裝模擬!$C38,資料庫!$B$24:$M$431,5,FALSE)</f>
        <v>0</v>
      </c>
      <c r="H38" s="257">
        <f>VLOOKUP(配裝模擬!$C38,資料庫!$B$24:$M$431,7,FALSE)</f>
        <v>0</v>
      </c>
      <c r="I38" s="257">
        <f>VLOOKUP(配裝模擬!$C38,資料庫!$B$24:$M$431,8,FALSE)</f>
        <v>0</v>
      </c>
      <c r="J38" s="257">
        <f>VLOOKUP(配裝模擬!$C38,資料庫!$B$24:$M$431,9,FALSE)</f>
        <v>0</v>
      </c>
      <c r="K38" s="257">
        <f>VLOOKUP(配裝模擬!$C38,資料庫!$B$24:$M$431,10,FALSE)</f>
        <v>0</v>
      </c>
      <c r="L38" s="257"/>
      <c r="M38" s="257"/>
      <c r="N38" s="257"/>
      <c r="O38" s="257"/>
    </row>
    <row r="39" spans="1:18" x14ac:dyDescent="0.25">
      <c r="A39" s="477" t="s">
        <v>128</v>
      </c>
      <c r="B39" s="257"/>
      <c r="C39" s="468" t="s">
        <v>521</v>
      </c>
      <c r="D39" s="257"/>
      <c r="E39" s="257"/>
      <c r="F39" s="257"/>
      <c r="G39" s="257"/>
      <c r="H39" s="257"/>
      <c r="I39" s="257">
        <f>VLOOKUP(配裝模擬!$C39,資料庫!$B$24:$M$431,8,FALSE)</f>
        <v>100</v>
      </c>
      <c r="J39" s="257">
        <f>VLOOKUP(配裝模擬!$C39,資料庫!$B$24:$M$431,9,FALSE)</f>
        <v>100</v>
      </c>
      <c r="K39" s="257">
        <f>VLOOKUP(配裝模擬!$C39,資料庫!$B$24:$M$431,10,FALSE)</f>
        <v>0</v>
      </c>
      <c r="L39" s="257"/>
      <c r="M39" s="257"/>
      <c r="N39" s="257"/>
      <c r="O39" s="257"/>
    </row>
    <row r="40" spans="1:18" x14ac:dyDescent="0.25">
      <c r="A40" s="477" t="s">
        <v>130</v>
      </c>
      <c r="B40" s="257"/>
      <c r="C40" s="468" t="s">
        <v>467</v>
      </c>
      <c r="D40" s="257">
        <f>VLOOKUP(配裝模擬!$C40,資料庫!$B$24:$M$431,3,FALSE)</f>
        <v>39</v>
      </c>
      <c r="E40" s="257"/>
      <c r="F40" s="257"/>
      <c r="G40" s="257"/>
      <c r="H40" s="257"/>
      <c r="I40" s="257"/>
      <c r="J40" s="257"/>
      <c r="K40" s="257">
        <f>VLOOKUP(配裝模擬!$C40,資料庫!$B$24:$M$431,10,FALSE)</f>
        <v>0</v>
      </c>
      <c r="L40" s="257"/>
      <c r="M40" s="257"/>
      <c r="N40" s="257"/>
      <c r="O40" s="257"/>
    </row>
    <row r="41" spans="1:18" x14ac:dyDescent="0.25">
      <c r="A41" s="477" t="s">
        <v>131</v>
      </c>
      <c r="B41" s="257"/>
      <c r="C41" s="468" t="s">
        <v>482</v>
      </c>
      <c r="D41" s="257">
        <f>VLOOKUP(配裝模擬!$C41,資料庫!$B$24:$M$431,3,FALSE)</f>
        <v>30</v>
      </c>
      <c r="E41" s="257"/>
      <c r="F41" s="257"/>
      <c r="G41" s="257"/>
      <c r="H41" s="257"/>
      <c r="I41" s="257"/>
      <c r="J41" s="257"/>
      <c r="K41" s="257">
        <f>VLOOKUP(配裝模擬!$C41,資料庫!$B$24:$M$431,10,FALSE)</f>
        <v>0</v>
      </c>
      <c r="L41" s="257"/>
      <c r="M41" s="257"/>
      <c r="N41" s="257"/>
      <c r="O41" s="257"/>
    </row>
    <row r="42" spans="1:18" x14ac:dyDescent="0.25">
      <c r="A42" s="477" t="s">
        <v>132</v>
      </c>
      <c r="B42" s="257"/>
      <c r="C42" s="468" t="s">
        <v>468</v>
      </c>
      <c r="D42" s="257"/>
      <c r="E42" s="257">
        <f>VLOOKUP(配裝模擬!$C42,資料庫!$B$24:$M$431,3,FALSE)</f>
        <v>0</v>
      </c>
      <c r="F42" s="257">
        <f>VLOOKUP(配裝模擬!$C42,資料庫!$B$24:$M$431,5,FALSE)</f>
        <v>133</v>
      </c>
      <c r="G42" s="257">
        <f>VLOOKUP(配裝模擬!$C42,資料庫!$B$24:$M$431,5,FALSE)</f>
        <v>133</v>
      </c>
      <c r="H42" s="257">
        <f>VLOOKUP(配裝模擬!$C42,資料庫!$B$24:$M$431,7,FALSE)</f>
        <v>0</v>
      </c>
      <c r="I42" s="257">
        <f>VLOOKUP(配裝模擬!$C42,資料庫!$B$24:$M$431,8,FALSE)</f>
        <v>0</v>
      </c>
      <c r="J42" s="257">
        <f>VLOOKUP(配裝模擬!$C42,資料庫!$B$24:$M$431,9,FALSE)</f>
        <v>0</v>
      </c>
      <c r="K42" s="257">
        <f>VLOOKUP(配裝模擬!$C42,資料庫!$B$24:$M$431,10,FALSE)</f>
        <v>0</v>
      </c>
      <c r="L42" s="257"/>
      <c r="M42" s="257"/>
      <c r="N42" s="257"/>
      <c r="O42" s="257"/>
    </row>
    <row r="43" spans="1:18" x14ac:dyDescent="0.25">
      <c r="A43" s="477" t="s">
        <v>133</v>
      </c>
      <c r="B43" s="257"/>
      <c r="C43" s="468" t="s">
        <v>481</v>
      </c>
      <c r="D43" s="257"/>
      <c r="E43" s="257">
        <f>VLOOKUP(配裝模擬!$C43,資料庫!$B$24:$M$431,3,FALSE)</f>
        <v>0</v>
      </c>
      <c r="F43" s="257">
        <f>VLOOKUP(配裝模擬!$C43,資料庫!$B$24:$M$431,5,FALSE)</f>
        <v>171</v>
      </c>
      <c r="G43" s="257">
        <f>VLOOKUP(配裝模擬!$C43,資料庫!$B$24:$M$431,5,FALSE)</f>
        <v>171</v>
      </c>
      <c r="H43" s="257">
        <f>VLOOKUP(配裝模擬!$C43,資料庫!$B$24:$M$431,7,FALSE)</f>
        <v>0</v>
      </c>
      <c r="I43" s="257">
        <f>VLOOKUP(配裝模擬!$C43,資料庫!$B$24:$M$431,8,FALSE)</f>
        <v>0</v>
      </c>
      <c r="J43" s="257">
        <f>VLOOKUP(配裝模擬!$C43,資料庫!$B$24:$M$431,9,FALSE)</f>
        <v>0</v>
      </c>
      <c r="K43" s="257">
        <f>VLOOKUP(配裝模擬!$C43,資料庫!$B$24:$M$431,10,FALSE)</f>
        <v>0</v>
      </c>
      <c r="L43" s="257"/>
      <c r="M43" s="257"/>
      <c r="N43" s="257"/>
      <c r="O43" s="257"/>
      <c r="P43" s="257"/>
      <c r="Q43" s="257"/>
      <c r="R43" s="257"/>
    </row>
    <row r="44" spans="1:18" x14ac:dyDescent="0.25">
      <c r="B44" s="195"/>
    </row>
    <row r="45" spans="1:18" x14ac:dyDescent="0.25">
      <c r="B45" s="195"/>
    </row>
    <row r="46" spans="1:18" x14ac:dyDescent="0.25">
      <c r="B46" s="195"/>
    </row>
    <row r="47" spans="1:18" x14ac:dyDescent="0.25">
      <c r="B47" s="195"/>
    </row>
    <row r="48" spans="1:18" x14ac:dyDescent="0.25">
      <c r="B48" s="195"/>
    </row>
    <row r="49" spans="2:2" x14ac:dyDescent="0.25">
      <c r="B49" s="195"/>
    </row>
    <row r="50" spans="2:2" x14ac:dyDescent="0.25">
      <c r="B50" s="195"/>
    </row>
    <row r="51" spans="2:2" x14ac:dyDescent="0.25">
      <c r="B51" s="195"/>
    </row>
    <row r="52" spans="2:2" x14ac:dyDescent="0.25">
      <c r="B52" s="195"/>
    </row>
  </sheetData>
  <mergeCells count="17">
    <mergeCell ref="M11:O11"/>
    <mergeCell ref="M12:O12"/>
    <mergeCell ref="M13:O13"/>
    <mergeCell ref="M29:N29"/>
    <mergeCell ref="M23:N23"/>
    <mergeCell ref="A3:A6"/>
    <mergeCell ref="M20:O20"/>
    <mergeCell ref="M21:O21"/>
    <mergeCell ref="M14:O14"/>
    <mergeCell ref="M15:O15"/>
    <mergeCell ref="M16:O16"/>
    <mergeCell ref="M17:O17"/>
    <mergeCell ref="M18:O18"/>
    <mergeCell ref="M19:O19"/>
    <mergeCell ref="J3:J6"/>
    <mergeCell ref="M9:O9"/>
    <mergeCell ref="M10:O10"/>
  </mergeCells>
  <phoneticPr fontId="2" type="noConversion"/>
  <conditionalFormatting sqref="C22:C24">
    <cfRule type="duplicateValues" dxfId="25" priority="27" stopIfTrue="1"/>
  </conditionalFormatting>
  <conditionalFormatting sqref="G6">
    <cfRule type="cellIs" dxfId="24" priority="25" stopIfTrue="1" operator="greaterThan">
      <formula>107%</formula>
    </cfRule>
    <cfRule type="cellIs" dxfId="23" priority="26" stopIfTrue="1" operator="lessThan">
      <formula>106%</formula>
    </cfRule>
  </conditionalFormatting>
  <conditionalFormatting sqref="N6">
    <cfRule type="cellIs" dxfId="22" priority="23" stopIfTrue="1" operator="lessThan">
      <formula>109%</formula>
    </cfRule>
    <cfRule type="cellIs" dxfId="21" priority="24" stopIfTrue="1" operator="greaterThan">
      <formula>110%</formula>
    </cfRule>
  </conditionalFormatting>
  <conditionalFormatting sqref="H6">
    <cfRule type="cellIs" dxfId="20" priority="22" stopIfTrue="1" operator="greaterThan">
      <formula>0.35</formula>
    </cfRule>
  </conditionalFormatting>
  <conditionalFormatting sqref="M6">
    <cfRule type="cellIs" dxfId="19" priority="21" stopIfTrue="1" operator="greaterThan">
      <formula>0.35</formula>
    </cfRule>
  </conditionalFormatting>
  <conditionalFormatting sqref="K10:K21">
    <cfRule type="cellIs" dxfId="18" priority="20" stopIfTrue="1" operator="greaterThan">
      <formula>2400</formula>
    </cfRule>
  </conditionalFormatting>
  <conditionalFormatting sqref="C10:C21">
    <cfRule type="containsText" dxfId="17" priority="9" stopIfTrue="1" operator="containsText" text="鶴夢">
      <formula>NOT(ISERROR(SEARCH("鶴夢",C10)))</formula>
    </cfRule>
    <cfRule type="containsText" dxfId="16" priority="13" stopIfTrue="1" operator="containsText" text="無界">
      <formula>NOT(ISERROR(SEARCH("無界",C10)))</formula>
    </cfRule>
    <cfRule type="containsText" dxfId="15" priority="17" stopIfTrue="1" operator="containsText" text="凌絕">
      <formula>NOT(ISERROR(SEARCH("凌絕",C10)))</formula>
    </cfRule>
    <cfRule type="containsText" dxfId="14" priority="19" stopIfTrue="1" operator="containsText" text="天韶">
      <formula>NOT(ISERROR(SEARCH("天韶",C10)))</formula>
    </cfRule>
  </conditionalFormatting>
  <conditionalFormatting sqref="B10:B21">
    <cfRule type="containsText" dxfId="13" priority="14" stopIfTrue="1" operator="containsText" text="精簡">
      <formula>NOT(ISERROR(SEARCH("精簡",B10)))</formula>
    </cfRule>
    <cfRule type="containsText" dxfId="12" priority="15" stopIfTrue="1" operator="containsText" text="特效">
      <formula>NOT(ISERROR(SEARCH("特效",B10)))</formula>
    </cfRule>
    <cfRule type="containsText" dxfId="11" priority="16" stopIfTrue="1" operator="containsText" text="套裝">
      <formula>NOT(ISERROR(SEARCH("套裝",B10)))</formula>
    </cfRule>
  </conditionalFormatting>
  <conditionalFormatting sqref="C17">
    <cfRule type="containsText" dxfId="10" priority="11" stopIfTrue="1" operator="containsText" text="窮奇墜">
      <formula>NOT(ISERROR(SEARCH("窮奇墜",C17)))</formula>
    </cfRule>
    <cfRule type="containsText" dxfId="9" priority="12" stopIfTrue="1" operator="containsText" text="殺滿川">
      <formula>NOT(ISERROR(SEARCH("殺滿川",C17)))</formula>
    </cfRule>
  </conditionalFormatting>
  <conditionalFormatting sqref="C21">
    <cfRule type="cellIs" dxfId="8" priority="1" stopIfTrue="1" operator="equal">
      <formula>"梅煎"</formula>
    </cfRule>
    <cfRule type="cellIs" dxfId="7" priority="10" stopIfTrue="1" operator="equal">
      <formula>"還鴉帶影"</formula>
    </cfRule>
  </conditionalFormatting>
  <conditionalFormatting sqref="N24">
    <cfRule type="cellIs" dxfId="6" priority="7" stopIfTrue="1" operator="equal">
      <formula>1</formula>
    </cfRule>
    <cfRule type="cellIs" dxfId="5" priority="8" stopIfTrue="1" operator="equal">
      <formula>3</formula>
    </cfRule>
  </conditionalFormatting>
  <conditionalFormatting sqref="N25">
    <cfRule type="cellIs" dxfId="4" priority="5" stopIfTrue="1" operator="equal">
      <formula>1</formula>
    </cfRule>
    <cfRule type="cellIs" dxfId="3" priority="6" stopIfTrue="1" operator="equal">
      <formula>3</formula>
    </cfRule>
  </conditionalFormatting>
  <conditionalFormatting sqref="N26">
    <cfRule type="cellIs" dxfId="2" priority="3" stopIfTrue="1" operator="equal">
      <formula>1</formula>
    </cfRule>
    <cfRule type="cellIs" dxfId="1" priority="4" stopIfTrue="1" operator="equal">
      <formula>3</formula>
    </cfRule>
  </conditionalFormatting>
  <conditionalFormatting sqref="N27:N28">
    <cfRule type="cellIs" dxfId="0" priority="2" stopIfTrue="1" operator="equal">
      <formula>FALSE</formula>
    </cfRule>
  </conditionalFormatting>
  <dataValidations count="20">
    <dataValidation type="list" allowBlank="1" showInputMessage="1" showErrorMessage="1" sqref="C10:C21" xr:uid="{00000000-0002-0000-0100-000000000000}">
      <formula1>INDIRECT(A10)</formula1>
    </dataValidation>
    <dataValidation type="list" allowBlank="1" showInputMessage="1" showErrorMessage="1" sqref="C25" xr:uid="{00000000-0002-0000-0100-000001000000}">
      <formula1>頭部附魔</formula1>
    </dataValidation>
    <dataValidation type="list" allowBlank="1" showInputMessage="1" showErrorMessage="1" sqref="C26" xr:uid="{00000000-0002-0000-0100-000002000000}">
      <formula1>護腕附魔</formula1>
    </dataValidation>
    <dataValidation type="list" allowBlank="1" showInputMessage="1" showErrorMessage="1" sqref="C27" xr:uid="{00000000-0002-0000-0100-000003000000}">
      <formula1>衣服附魔</formula1>
    </dataValidation>
    <dataValidation type="list" allowBlank="1" showInputMessage="1" showErrorMessage="1" sqref="C28" xr:uid="{00000000-0002-0000-0100-000004000000}">
      <formula1>腰帶附魔</formula1>
    </dataValidation>
    <dataValidation type="list" allowBlank="1" showInputMessage="1" showErrorMessage="1" sqref="C29" xr:uid="{00000000-0002-0000-0100-000005000000}">
      <formula1>下裝附魔</formula1>
    </dataValidation>
    <dataValidation type="list" allowBlank="1" showInputMessage="1" showErrorMessage="1" sqref="C30" xr:uid="{00000000-0002-0000-0100-000006000000}">
      <formula1>鞋子附魔</formula1>
    </dataValidation>
    <dataValidation type="list" allowBlank="1" showInputMessage="1" showErrorMessage="1" sqref="C31:C32" xr:uid="{00000000-0002-0000-0100-000007000000}">
      <formula1>戒指附魔</formula1>
    </dataValidation>
    <dataValidation type="list" allowBlank="1" showInputMessage="1" showErrorMessage="1" sqref="C33" xr:uid="{00000000-0002-0000-0100-000008000000}">
      <formula1>暗器附魔</formula1>
    </dataValidation>
    <dataValidation type="list" allowBlank="1" showInputMessage="1" showErrorMessage="1" sqref="C34" xr:uid="{00000000-0002-0000-0100-000009000000}">
      <formula1>武器附魔</formula1>
    </dataValidation>
    <dataValidation type="list" allowBlank="1" showInputMessage="1" showErrorMessage="1" sqref="C35" xr:uid="{00000000-0002-0000-0100-00000A000000}">
      <formula1>武器熔錠</formula1>
    </dataValidation>
    <dataValidation type="list" allowBlank="1" showInputMessage="1" showErrorMessage="1" sqref="C40" xr:uid="{00000000-0002-0000-0100-00000B000000}">
      <formula1>輔助藥品</formula1>
    </dataValidation>
    <dataValidation type="list" allowBlank="1" showInputMessage="1" showErrorMessage="1" sqref="C41" xr:uid="{00000000-0002-0000-0100-00000C000000}">
      <formula1>輔助食品</formula1>
    </dataValidation>
    <dataValidation type="list" allowBlank="1" showInputMessage="1" showErrorMessage="1" sqref="C42" xr:uid="{00000000-0002-0000-0100-00000D000000}">
      <formula1>增強食品</formula1>
    </dataValidation>
    <dataValidation type="list" allowBlank="1" showInputMessage="1" showErrorMessage="1" sqref="C43" xr:uid="{00000000-0002-0000-0100-00000E000000}">
      <formula1>增強藥品</formula1>
    </dataValidation>
    <dataValidation type="list" allowBlank="1" showInputMessage="1" showErrorMessage="1" sqref="C37" xr:uid="{00000000-0002-0000-0100-00000F000000}">
      <formula1>幫會宴席</formula1>
    </dataValidation>
    <dataValidation type="list" allowBlank="1" showInputMessage="1" showErrorMessage="1" sqref="C39" xr:uid="{00000000-0002-0000-0100-000010000000}">
      <formula1>其他宴席</formula1>
    </dataValidation>
    <dataValidation type="list" allowBlank="1" showInputMessage="1" showErrorMessage="1" sqref="C38" xr:uid="{00000000-0002-0000-0100-000011000000}">
      <formula1>宴席</formula1>
    </dataValidation>
    <dataValidation type="list" allowBlank="1" showInputMessage="1" showErrorMessage="1" sqref="C22:C24" xr:uid="{00000000-0002-0000-0100-000012000000}">
      <formula1>五彩石</formula1>
    </dataValidation>
    <dataValidation type="list" allowBlank="1" showInputMessage="1" showErrorMessage="1" sqref="A10" xr:uid="{00000000-0002-0000-0100-000013000000}">
      <formula1>"頭部,畢業頭部"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6"/>
  <dimension ref="A1:N356"/>
  <sheetViews>
    <sheetView workbookViewId="0">
      <pane ySplit="1" topLeftCell="A320" activePane="bottomLeft" state="frozen"/>
      <selection pane="bottomLeft" activeCell="I299" sqref="I299"/>
    </sheetView>
  </sheetViews>
  <sheetFormatPr defaultRowHeight="18.75" customHeight="1" x14ac:dyDescent="0.25"/>
  <cols>
    <col min="1" max="1" width="8" style="58" customWidth="1"/>
    <col min="2" max="2" width="23.5" style="38" customWidth="1"/>
    <col min="3" max="3" width="10.125" style="173" customWidth="1"/>
    <col min="4" max="4" width="10" style="22" customWidth="1"/>
    <col min="5" max="5" width="12.875" style="22" customWidth="1"/>
    <col min="6" max="6" width="9.125" style="22" customWidth="1"/>
    <col min="7" max="7" width="10.125" style="22" customWidth="1"/>
    <col min="8" max="8" width="13.25" style="22" customWidth="1"/>
    <col min="9" max="9" width="9.5" style="22" customWidth="1"/>
    <col min="10" max="10" width="8.375" style="22" customWidth="1"/>
    <col min="11" max="11" width="9.875" style="22" customWidth="1"/>
    <col min="12" max="12" width="10.375" style="179" customWidth="1"/>
    <col min="13" max="13" width="35.875" style="38" customWidth="1"/>
    <col min="14" max="16384" width="9" style="22"/>
  </cols>
  <sheetData>
    <row r="1" spans="1:14" s="24" customFormat="1" ht="18.75" customHeight="1" x14ac:dyDescent="0.25">
      <c r="A1" s="24" t="s">
        <v>149</v>
      </c>
      <c r="B1" s="200" t="s">
        <v>152</v>
      </c>
      <c r="C1" s="204" t="s">
        <v>160</v>
      </c>
      <c r="D1" s="201" t="s">
        <v>135</v>
      </c>
      <c r="E1" s="203" t="s">
        <v>153</v>
      </c>
      <c r="F1" s="198" t="s">
        <v>140</v>
      </c>
      <c r="G1" s="206" t="s">
        <v>138</v>
      </c>
      <c r="H1" s="197" t="s">
        <v>139</v>
      </c>
      <c r="I1" s="202" t="s">
        <v>137</v>
      </c>
      <c r="J1" s="199" t="s">
        <v>141</v>
      </c>
      <c r="K1" s="24" t="s">
        <v>150</v>
      </c>
      <c r="L1" s="183" t="s">
        <v>529</v>
      </c>
      <c r="M1" s="24" t="s">
        <v>151</v>
      </c>
      <c r="N1" s="24" t="s">
        <v>229</v>
      </c>
    </row>
    <row r="2" spans="1:14" s="179" customFormat="1" ht="18.75" customHeight="1" x14ac:dyDescent="0.25">
      <c r="A2" s="131" t="s">
        <v>89</v>
      </c>
      <c r="B2" s="181" t="s">
        <v>523</v>
      </c>
      <c r="C2" s="184" t="s">
        <v>162</v>
      </c>
      <c r="D2" s="179">
        <f>172+13</f>
        <v>185</v>
      </c>
      <c r="E2" s="179">
        <f t="shared" ref="E2:E10" si="0">312+23</f>
        <v>335</v>
      </c>
      <c r="F2" s="179">
        <v>34</v>
      </c>
      <c r="G2" s="179">
        <f>733+55</f>
        <v>788</v>
      </c>
      <c r="I2" s="179">
        <f>349+26</f>
        <v>375</v>
      </c>
      <c r="K2" s="179">
        <f>2100</f>
        <v>2100</v>
      </c>
      <c r="L2" s="179">
        <f t="shared" ref="L2:L10" si="1">3402+255+64</f>
        <v>3721</v>
      </c>
      <c r="M2" s="222" t="s">
        <v>840</v>
      </c>
    </row>
    <row r="3" spans="1:14" s="179" customFormat="1" ht="18.75" customHeight="1" x14ac:dyDescent="0.25">
      <c r="A3" s="131" t="s">
        <v>89</v>
      </c>
      <c r="B3" s="181" t="s">
        <v>524</v>
      </c>
      <c r="C3" s="184" t="s">
        <v>527</v>
      </c>
      <c r="D3" s="179">
        <f>172+13+10</f>
        <v>195</v>
      </c>
      <c r="E3" s="179">
        <f t="shared" si="0"/>
        <v>335</v>
      </c>
      <c r="F3" s="179">
        <f>733+55</f>
        <v>788</v>
      </c>
      <c r="J3" s="179">
        <f>349+26</f>
        <v>375</v>
      </c>
      <c r="K3" s="189">
        <f>2100</f>
        <v>2100</v>
      </c>
      <c r="L3" s="179">
        <f t="shared" si="1"/>
        <v>3721</v>
      </c>
      <c r="M3" s="222" t="s">
        <v>841</v>
      </c>
    </row>
    <row r="4" spans="1:14" s="179" customFormat="1" ht="18.75" customHeight="1" x14ac:dyDescent="0.25">
      <c r="A4" s="131" t="s">
        <v>89</v>
      </c>
      <c r="B4" s="181" t="s">
        <v>525</v>
      </c>
      <c r="C4" s="184" t="s">
        <v>161</v>
      </c>
      <c r="D4" s="179">
        <f>172+13+10</f>
        <v>195</v>
      </c>
      <c r="E4" s="179">
        <f t="shared" si="0"/>
        <v>335</v>
      </c>
      <c r="F4" s="179">
        <f>733+55</f>
        <v>788</v>
      </c>
      <c r="I4" s="179">
        <f>349+26</f>
        <v>375</v>
      </c>
      <c r="K4" s="189">
        <f>2100</f>
        <v>2100</v>
      </c>
      <c r="L4" s="179">
        <f t="shared" si="1"/>
        <v>3721</v>
      </c>
      <c r="M4" s="182" t="s">
        <v>526</v>
      </c>
    </row>
    <row r="5" spans="1:14" s="179" customFormat="1" ht="18.75" customHeight="1" x14ac:dyDescent="0.25">
      <c r="A5" s="131" t="s">
        <v>89</v>
      </c>
      <c r="B5" s="181" t="s">
        <v>528</v>
      </c>
      <c r="C5" s="184" t="s">
        <v>527</v>
      </c>
      <c r="D5" s="179">
        <f>172+13+10</f>
        <v>195</v>
      </c>
      <c r="E5" s="179">
        <f t="shared" si="0"/>
        <v>335</v>
      </c>
      <c r="F5" s="179">
        <f>733+55</f>
        <v>788</v>
      </c>
      <c r="J5" s="179">
        <f>349+26</f>
        <v>375</v>
      </c>
      <c r="K5" s="189">
        <f>2100</f>
        <v>2100</v>
      </c>
      <c r="L5" s="179">
        <f t="shared" si="1"/>
        <v>3721</v>
      </c>
      <c r="M5" s="222" t="s">
        <v>771</v>
      </c>
    </row>
    <row r="6" spans="1:14" s="179" customFormat="1" ht="18.75" customHeight="1" x14ac:dyDescent="0.25">
      <c r="A6" s="131" t="s">
        <v>89</v>
      </c>
      <c r="B6" s="181" t="s">
        <v>530</v>
      </c>
      <c r="C6" s="184" t="s">
        <v>164</v>
      </c>
      <c r="D6" s="179">
        <f>172+13</f>
        <v>185</v>
      </c>
      <c r="E6" s="179">
        <f t="shared" si="0"/>
        <v>335</v>
      </c>
      <c r="G6" s="179">
        <f>733+55</f>
        <v>788</v>
      </c>
      <c r="J6" s="179">
        <f>375+34</f>
        <v>409</v>
      </c>
      <c r="K6" s="189">
        <f>2100</f>
        <v>2100</v>
      </c>
      <c r="L6" s="179">
        <f t="shared" si="1"/>
        <v>3721</v>
      </c>
      <c r="M6" s="524" t="s">
        <v>997</v>
      </c>
    </row>
    <row r="7" spans="1:14" s="179" customFormat="1" ht="18.75" customHeight="1" x14ac:dyDescent="0.25">
      <c r="A7" s="131" t="s">
        <v>89</v>
      </c>
      <c r="B7" s="196" t="s">
        <v>799</v>
      </c>
      <c r="C7" s="211" t="s">
        <v>699</v>
      </c>
      <c r="D7" s="179">
        <f>172+13+10</f>
        <v>195</v>
      </c>
      <c r="E7" s="179">
        <f t="shared" si="0"/>
        <v>335</v>
      </c>
      <c r="F7" s="179">
        <f>733+55</f>
        <v>788</v>
      </c>
      <c r="I7" s="179">
        <f>349+26</f>
        <v>375</v>
      </c>
      <c r="K7" s="189">
        <f>2100</f>
        <v>2100</v>
      </c>
      <c r="L7" s="179">
        <f t="shared" si="1"/>
        <v>3721</v>
      </c>
      <c r="M7" s="222" t="s">
        <v>853</v>
      </c>
    </row>
    <row r="8" spans="1:14" s="179" customFormat="1" ht="18.75" customHeight="1" x14ac:dyDescent="0.25">
      <c r="A8" s="131" t="s">
        <v>89</v>
      </c>
      <c r="B8" s="181" t="s">
        <v>531</v>
      </c>
      <c r="C8" s="184" t="s">
        <v>164</v>
      </c>
      <c r="D8" s="179">
        <f>172+13</f>
        <v>185</v>
      </c>
      <c r="E8" s="179">
        <f t="shared" si="0"/>
        <v>335</v>
      </c>
      <c r="G8" s="179">
        <f>733+55</f>
        <v>788</v>
      </c>
      <c r="J8" s="179">
        <f>349+26+34</f>
        <v>409</v>
      </c>
      <c r="K8" s="189">
        <f>2100</f>
        <v>2100</v>
      </c>
      <c r="L8" s="179">
        <f t="shared" si="1"/>
        <v>3721</v>
      </c>
      <c r="M8" s="222" t="s">
        <v>842</v>
      </c>
    </row>
    <row r="9" spans="1:14" s="179" customFormat="1" ht="18.75" customHeight="1" x14ac:dyDescent="0.25">
      <c r="A9" s="131" t="s">
        <v>89</v>
      </c>
      <c r="B9" s="181" t="s">
        <v>532</v>
      </c>
      <c r="C9" s="184" t="s">
        <v>161</v>
      </c>
      <c r="D9" s="179">
        <f>172+13+10</f>
        <v>195</v>
      </c>
      <c r="E9" s="179">
        <f t="shared" si="0"/>
        <v>335</v>
      </c>
      <c r="F9" s="179">
        <f>733+55</f>
        <v>788</v>
      </c>
      <c r="I9" s="179">
        <f>349+26</f>
        <v>375</v>
      </c>
      <c r="K9" s="189">
        <f>2100</f>
        <v>2100</v>
      </c>
      <c r="L9" s="179">
        <f t="shared" si="1"/>
        <v>3721</v>
      </c>
      <c r="M9" s="182" t="s">
        <v>533</v>
      </c>
    </row>
    <row r="10" spans="1:14" s="179" customFormat="1" ht="18.75" customHeight="1" x14ac:dyDescent="0.25">
      <c r="A10" s="131" t="s">
        <v>89</v>
      </c>
      <c r="B10" s="181" t="s">
        <v>800</v>
      </c>
      <c r="C10" s="184" t="s">
        <v>164</v>
      </c>
      <c r="D10" s="179">
        <f>172+13</f>
        <v>185</v>
      </c>
      <c r="E10" s="179">
        <f t="shared" si="0"/>
        <v>335</v>
      </c>
      <c r="G10" s="179">
        <f>733+55</f>
        <v>788</v>
      </c>
      <c r="J10" s="179">
        <f>349+26+34</f>
        <v>409</v>
      </c>
      <c r="K10" s="189">
        <f>2100</f>
        <v>2100</v>
      </c>
      <c r="L10" s="179">
        <f t="shared" si="1"/>
        <v>3721</v>
      </c>
      <c r="M10" s="182" t="s">
        <v>843</v>
      </c>
    </row>
    <row r="11" spans="1:14" s="179" customFormat="1" ht="18.75" customHeight="1" x14ac:dyDescent="0.25">
      <c r="A11" s="131" t="s">
        <v>89</v>
      </c>
      <c r="B11" s="207" t="s">
        <v>690</v>
      </c>
      <c r="C11" s="211" t="s">
        <v>696</v>
      </c>
      <c r="E11" s="179">
        <f>757+18</f>
        <v>775</v>
      </c>
      <c r="G11" s="179">
        <f>1057+25</f>
        <v>1082</v>
      </c>
      <c r="H11" s="179">
        <v>34</v>
      </c>
      <c r="K11" s="179">
        <v>2120</v>
      </c>
      <c r="L11" s="179">
        <f>3434+82+64</f>
        <v>3580</v>
      </c>
      <c r="M11" s="182" t="s">
        <v>534</v>
      </c>
    </row>
    <row r="12" spans="1:14" s="179" customFormat="1" ht="18.75" customHeight="1" x14ac:dyDescent="0.25">
      <c r="A12" s="131" t="s">
        <v>89</v>
      </c>
      <c r="B12" s="207" t="s">
        <v>637</v>
      </c>
      <c r="C12" s="211" t="s">
        <v>697</v>
      </c>
      <c r="E12" s="179">
        <f>678+16</f>
        <v>694</v>
      </c>
      <c r="G12" s="179">
        <f>423+10</f>
        <v>433</v>
      </c>
      <c r="H12" s="179">
        <v>34</v>
      </c>
      <c r="I12" s="179">
        <f>810+19</f>
        <v>829</v>
      </c>
      <c r="K12" s="189">
        <v>2120</v>
      </c>
      <c r="L12" s="179">
        <f>3434+82+64</f>
        <v>3580</v>
      </c>
      <c r="M12" s="182" t="s">
        <v>534</v>
      </c>
    </row>
    <row r="13" spans="1:14" s="179" customFormat="1" ht="18.75" customHeight="1" x14ac:dyDescent="0.25">
      <c r="A13" s="131" t="s">
        <v>89</v>
      </c>
      <c r="B13" s="207" t="s">
        <v>638</v>
      </c>
      <c r="C13" s="211" t="s">
        <v>698</v>
      </c>
      <c r="E13" s="179">
        <f>710+17</f>
        <v>727</v>
      </c>
      <c r="F13" s="179">
        <f>405+10</f>
        <v>415</v>
      </c>
      <c r="G13" s="179">
        <f>405+10</f>
        <v>415</v>
      </c>
      <c r="H13" s="179">
        <v>34</v>
      </c>
      <c r="J13" s="179">
        <f>352+8</f>
        <v>360</v>
      </c>
      <c r="K13" s="189">
        <v>2120</v>
      </c>
      <c r="L13" s="179">
        <f>3434+82+64</f>
        <v>3580</v>
      </c>
      <c r="M13" s="182" t="s">
        <v>534</v>
      </c>
    </row>
    <row r="14" spans="1:14" s="179" customFormat="1" ht="18.75" customHeight="1" x14ac:dyDescent="0.25">
      <c r="A14" s="131" t="s">
        <v>89</v>
      </c>
      <c r="B14" s="181" t="s">
        <v>535</v>
      </c>
      <c r="C14" s="184" t="s">
        <v>162</v>
      </c>
      <c r="D14" s="179">
        <f>175+13</f>
        <v>188</v>
      </c>
      <c r="E14" s="179">
        <f>317+24</f>
        <v>341</v>
      </c>
      <c r="G14" s="179">
        <f>743+56</f>
        <v>799</v>
      </c>
      <c r="I14" s="179">
        <f>354+27</f>
        <v>381</v>
      </c>
      <c r="K14" s="189">
        <v>2130</v>
      </c>
      <c r="L14" s="179">
        <f>3450+259+64</f>
        <v>3773</v>
      </c>
      <c r="M14" s="182" t="s">
        <v>837</v>
      </c>
    </row>
    <row r="15" spans="1:14" s="179" customFormat="1" ht="18.75" customHeight="1" x14ac:dyDescent="0.25">
      <c r="A15" s="131" t="s">
        <v>89</v>
      </c>
      <c r="B15" s="181" t="s">
        <v>536</v>
      </c>
      <c r="C15" s="184" t="s">
        <v>164</v>
      </c>
      <c r="D15" s="179">
        <f>175+13</f>
        <v>188</v>
      </c>
      <c r="E15" s="179">
        <f>317+24</f>
        <v>341</v>
      </c>
      <c r="G15" s="179">
        <f>743+56</f>
        <v>799</v>
      </c>
      <c r="J15" s="179">
        <f>354+27+34</f>
        <v>415</v>
      </c>
      <c r="K15" s="189">
        <v>2130</v>
      </c>
      <c r="L15" s="179">
        <f>3450+259+64</f>
        <v>3773</v>
      </c>
      <c r="M15" s="222" t="s">
        <v>772</v>
      </c>
    </row>
    <row r="16" spans="1:14" s="179" customFormat="1" ht="18.75" customHeight="1" x14ac:dyDescent="0.25">
      <c r="A16" s="131" t="s">
        <v>89</v>
      </c>
      <c r="B16" s="207" t="s">
        <v>687</v>
      </c>
      <c r="C16" s="211" t="s">
        <v>700</v>
      </c>
      <c r="E16" s="179">
        <f>786+19</f>
        <v>805</v>
      </c>
      <c r="F16" s="179">
        <f>1097+26</f>
        <v>1123</v>
      </c>
      <c r="I16" s="179">
        <v>34</v>
      </c>
      <c r="K16" s="179">
        <v>2200</v>
      </c>
      <c r="L16" s="179">
        <f>3564+86+64</f>
        <v>3714</v>
      </c>
      <c r="M16" s="182" t="s">
        <v>534</v>
      </c>
    </row>
    <row r="17" spans="1:13" s="179" customFormat="1" ht="18.75" customHeight="1" x14ac:dyDescent="0.25">
      <c r="A17" s="131" t="s">
        <v>89</v>
      </c>
      <c r="B17" s="207" t="s">
        <v>688</v>
      </c>
      <c r="C17" s="211" t="s">
        <v>701</v>
      </c>
      <c r="E17" s="179">
        <f>704+17</f>
        <v>721</v>
      </c>
      <c r="G17" s="179">
        <f>731+18</f>
        <v>749</v>
      </c>
      <c r="H17" s="179">
        <f>548+13</f>
        <v>561</v>
      </c>
      <c r="K17" s="179">
        <v>2200</v>
      </c>
      <c r="L17" s="179">
        <f>3564+86+64</f>
        <v>3714</v>
      </c>
      <c r="M17" s="182" t="s">
        <v>534</v>
      </c>
    </row>
    <row r="18" spans="1:13" s="179" customFormat="1" ht="18.75" customHeight="1" x14ac:dyDescent="0.25">
      <c r="A18" s="131" t="s">
        <v>89</v>
      </c>
      <c r="B18" s="207" t="s">
        <v>639</v>
      </c>
      <c r="C18" s="211" t="s">
        <v>702</v>
      </c>
      <c r="E18" s="179">
        <f>737+18</f>
        <v>755</v>
      </c>
      <c r="F18" s="179">
        <v>34</v>
      </c>
      <c r="G18" s="179">
        <f>475+11</f>
        <v>486</v>
      </c>
      <c r="I18" s="179">
        <f>366+9</f>
        <v>375</v>
      </c>
      <c r="J18" s="179">
        <f>366+9</f>
        <v>375</v>
      </c>
      <c r="K18" s="189">
        <v>2200</v>
      </c>
      <c r="L18" s="179">
        <f>3564+86+64</f>
        <v>3714</v>
      </c>
      <c r="M18" s="182" t="s">
        <v>534</v>
      </c>
    </row>
    <row r="19" spans="1:13" s="179" customFormat="1" ht="18.75" customHeight="1" x14ac:dyDescent="0.25">
      <c r="A19" s="131" t="s">
        <v>89</v>
      </c>
      <c r="B19" s="207" t="s">
        <v>689</v>
      </c>
      <c r="C19" s="211" t="s">
        <v>703</v>
      </c>
      <c r="E19" s="179">
        <f>814+20</f>
        <v>834</v>
      </c>
      <c r="G19" s="179">
        <v>34</v>
      </c>
      <c r="I19" s="179">
        <f>1137+27</f>
        <v>1164</v>
      </c>
      <c r="K19" s="179">
        <v>2280</v>
      </c>
      <c r="L19" s="179">
        <f>3693+89+64</f>
        <v>3846</v>
      </c>
      <c r="M19" s="182" t="s">
        <v>534</v>
      </c>
    </row>
    <row r="20" spans="1:13" s="179" customFormat="1" ht="18.75" customHeight="1" x14ac:dyDescent="0.25">
      <c r="A20" s="131" t="s">
        <v>89</v>
      </c>
      <c r="B20" s="207" t="s">
        <v>640</v>
      </c>
      <c r="C20" s="211" t="s">
        <v>704</v>
      </c>
      <c r="E20" s="179">
        <f>729+17</f>
        <v>746</v>
      </c>
      <c r="G20" s="179">
        <f>758+18</f>
        <v>776</v>
      </c>
      <c r="H20" s="179">
        <v>34</v>
      </c>
      <c r="J20" s="179">
        <f>568+14</f>
        <v>582</v>
      </c>
      <c r="K20" s="179">
        <v>2280</v>
      </c>
      <c r="L20" s="179">
        <f>3693+89+64</f>
        <v>3846</v>
      </c>
      <c r="M20" s="182" t="s">
        <v>534</v>
      </c>
    </row>
    <row r="21" spans="1:13" s="179" customFormat="1" ht="18.75" customHeight="1" x14ac:dyDescent="0.25">
      <c r="A21" s="131" t="s">
        <v>89</v>
      </c>
      <c r="B21" s="207" t="s">
        <v>641</v>
      </c>
      <c r="C21" s="211" t="s">
        <v>705</v>
      </c>
      <c r="E21" s="179">
        <f>763+18</f>
        <v>781</v>
      </c>
      <c r="F21" s="179">
        <f>436+10</f>
        <v>446</v>
      </c>
      <c r="G21" s="179">
        <f>436+10</f>
        <v>446</v>
      </c>
      <c r="H21" s="179">
        <v>34</v>
      </c>
      <c r="I21" s="179">
        <f>379+9</f>
        <v>388</v>
      </c>
      <c r="K21" s="179">
        <v>2280</v>
      </c>
      <c r="L21" s="179">
        <f>3693+89+64</f>
        <v>3846</v>
      </c>
      <c r="M21" s="182" t="s">
        <v>534</v>
      </c>
    </row>
    <row r="22" spans="1:13" s="179" customFormat="1" ht="18.75" customHeight="1" x14ac:dyDescent="0.25">
      <c r="A22" s="131" t="s">
        <v>89</v>
      </c>
      <c r="B22" s="181" t="s">
        <v>801</v>
      </c>
      <c r="C22" s="184" t="s">
        <v>161</v>
      </c>
      <c r="D22" s="179">
        <f>189+14+10</f>
        <v>213</v>
      </c>
      <c r="E22" s="179">
        <f t="shared" ref="E22:E28" si="2">342+26</f>
        <v>368</v>
      </c>
      <c r="F22" s="179">
        <f>803+60</f>
        <v>863</v>
      </c>
      <c r="I22" s="179">
        <f>382+29</f>
        <v>411</v>
      </c>
      <c r="K22" s="179">
        <v>2300</v>
      </c>
      <c r="L22" s="179">
        <f t="shared" ref="L22:L28" si="3">3726+279+64</f>
        <v>4069</v>
      </c>
      <c r="M22" s="182" t="s">
        <v>844</v>
      </c>
    </row>
    <row r="23" spans="1:13" s="179" customFormat="1" ht="18.75" customHeight="1" x14ac:dyDescent="0.25">
      <c r="A23" s="131" t="s">
        <v>89</v>
      </c>
      <c r="B23" s="181" t="s">
        <v>802</v>
      </c>
      <c r="C23" s="184" t="s">
        <v>164</v>
      </c>
      <c r="D23" s="179">
        <f>189+14</f>
        <v>203</v>
      </c>
      <c r="E23" s="179">
        <f t="shared" si="2"/>
        <v>368</v>
      </c>
      <c r="G23" s="179">
        <f>803+60</f>
        <v>863</v>
      </c>
      <c r="J23" s="179">
        <f>382+29+34</f>
        <v>445</v>
      </c>
      <c r="K23" s="189">
        <v>2300</v>
      </c>
      <c r="L23" s="179">
        <f t="shared" si="3"/>
        <v>4069</v>
      </c>
      <c r="M23" s="222" t="s">
        <v>843</v>
      </c>
    </row>
    <row r="24" spans="1:13" ht="18.75" customHeight="1" x14ac:dyDescent="0.25">
      <c r="A24" s="58" t="s">
        <v>89</v>
      </c>
      <c r="B24" s="196" t="s">
        <v>556</v>
      </c>
      <c r="C24" s="211" t="s">
        <v>699</v>
      </c>
      <c r="D24" s="22">
        <f>189+14+10</f>
        <v>213</v>
      </c>
      <c r="E24" s="22">
        <f t="shared" si="2"/>
        <v>368</v>
      </c>
      <c r="F24" s="22">
        <f>803+60</f>
        <v>863</v>
      </c>
      <c r="I24" s="22">
        <f>382+29</f>
        <v>411</v>
      </c>
      <c r="K24" s="189">
        <v>2300</v>
      </c>
      <c r="L24" s="179">
        <f t="shared" si="3"/>
        <v>4069</v>
      </c>
      <c r="M24" s="213" t="s">
        <v>854</v>
      </c>
    </row>
    <row r="25" spans="1:13" s="179" customFormat="1" ht="18.75" customHeight="1" x14ac:dyDescent="0.25">
      <c r="A25" s="131" t="s">
        <v>89</v>
      </c>
      <c r="B25" s="185" t="s">
        <v>803</v>
      </c>
      <c r="C25" s="184" t="s">
        <v>164</v>
      </c>
      <c r="D25" s="179">
        <f>189+14</f>
        <v>203</v>
      </c>
      <c r="E25" s="179">
        <f t="shared" si="2"/>
        <v>368</v>
      </c>
      <c r="G25" s="179">
        <f>803+60</f>
        <v>863</v>
      </c>
      <c r="J25" s="179">
        <f>382+29+34</f>
        <v>445</v>
      </c>
      <c r="K25" s="189">
        <v>2300</v>
      </c>
      <c r="L25" s="179">
        <f t="shared" si="3"/>
        <v>4069</v>
      </c>
      <c r="M25" s="126" t="s">
        <v>998</v>
      </c>
    </row>
    <row r="26" spans="1:13" s="521" customFormat="1" ht="18.75" customHeight="1" x14ac:dyDescent="0.25">
      <c r="A26" s="259" t="s">
        <v>89</v>
      </c>
      <c r="B26" s="126" t="s">
        <v>984</v>
      </c>
      <c r="C26" s="487" t="s">
        <v>986</v>
      </c>
      <c r="D26" s="521">
        <f>189+14</f>
        <v>203</v>
      </c>
      <c r="E26" s="521">
        <f t="shared" si="2"/>
        <v>368</v>
      </c>
      <c r="G26" s="521">
        <f>803+60</f>
        <v>863</v>
      </c>
      <c r="J26" s="521">
        <f>382+29+34</f>
        <v>445</v>
      </c>
      <c r="K26" s="521">
        <v>2300</v>
      </c>
      <c r="L26" s="521">
        <f t="shared" si="3"/>
        <v>4069</v>
      </c>
      <c r="M26" s="126" t="s">
        <v>985</v>
      </c>
    </row>
    <row r="27" spans="1:13" s="521" customFormat="1" ht="18.75" customHeight="1" x14ac:dyDescent="0.25">
      <c r="A27" s="259" t="s">
        <v>89</v>
      </c>
      <c r="B27" s="126" t="s">
        <v>987</v>
      </c>
      <c r="C27" s="487" t="s">
        <v>988</v>
      </c>
      <c r="D27" s="521">
        <f>189+14</f>
        <v>203</v>
      </c>
      <c r="E27" s="521">
        <f t="shared" si="2"/>
        <v>368</v>
      </c>
      <c r="F27" s="521">
        <v>34</v>
      </c>
      <c r="G27" s="521">
        <f>803+60</f>
        <v>863</v>
      </c>
      <c r="I27" s="521">
        <f>382+29</f>
        <v>411</v>
      </c>
      <c r="K27" s="521">
        <v>2300</v>
      </c>
      <c r="L27" s="521">
        <f t="shared" si="3"/>
        <v>4069</v>
      </c>
      <c r="M27" s="126" t="s">
        <v>985</v>
      </c>
    </row>
    <row r="28" spans="1:13" s="521" customFormat="1" ht="18.75" customHeight="1" x14ac:dyDescent="0.25">
      <c r="A28" s="259" t="s">
        <v>89</v>
      </c>
      <c r="B28" s="126" t="s">
        <v>989</v>
      </c>
      <c r="C28" s="487" t="s">
        <v>990</v>
      </c>
      <c r="D28" s="521">
        <f>189+14+10</f>
        <v>213</v>
      </c>
      <c r="E28" s="521">
        <f t="shared" si="2"/>
        <v>368</v>
      </c>
      <c r="F28" s="521">
        <f>803+60</f>
        <v>863</v>
      </c>
      <c r="J28" s="521">
        <f>382+29</f>
        <v>411</v>
      </c>
      <c r="K28" s="521">
        <v>2300</v>
      </c>
      <c r="L28" s="521">
        <f t="shared" si="3"/>
        <v>4069</v>
      </c>
      <c r="M28" s="126" t="s">
        <v>985</v>
      </c>
    </row>
    <row r="29" spans="1:13" ht="18.75" customHeight="1" x14ac:dyDescent="0.25">
      <c r="A29" s="58" t="s">
        <v>89</v>
      </c>
      <c r="B29" s="126" t="s">
        <v>212</v>
      </c>
      <c r="C29" s="173" t="s">
        <v>162</v>
      </c>
      <c r="D29" s="22">
        <f>191+14</f>
        <v>205</v>
      </c>
      <c r="E29" s="22">
        <f>347+26</f>
        <v>373</v>
      </c>
      <c r="F29" s="22">
        <v>34</v>
      </c>
      <c r="G29" s="22">
        <f>813+61</f>
        <v>874</v>
      </c>
      <c r="I29" s="22">
        <f>387+29</f>
        <v>416</v>
      </c>
      <c r="K29" s="22">
        <v>2330</v>
      </c>
      <c r="L29" s="179">
        <f>3774+283+64</f>
        <v>4121</v>
      </c>
      <c r="M29" s="182" t="s">
        <v>837</v>
      </c>
    </row>
    <row r="30" spans="1:13" ht="18.75" customHeight="1" x14ac:dyDescent="0.25">
      <c r="A30" s="58" t="s">
        <v>89</v>
      </c>
      <c r="B30" s="126" t="s">
        <v>163</v>
      </c>
      <c r="C30" s="173" t="s">
        <v>164</v>
      </c>
      <c r="D30" s="22">
        <f>191+14</f>
        <v>205</v>
      </c>
      <c r="E30" s="22">
        <f>347+26</f>
        <v>373</v>
      </c>
      <c r="G30" s="22">
        <f>813+61</f>
        <v>874</v>
      </c>
      <c r="J30" s="22">
        <f>387+29+34</f>
        <v>450</v>
      </c>
      <c r="K30" s="22">
        <v>2330</v>
      </c>
      <c r="L30" s="179">
        <f>3774+283+64</f>
        <v>4121</v>
      </c>
      <c r="M30" s="186" t="s">
        <v>773</v>
      </c>
    </row>
    <row r="31" spans="1:13" s="179" customFormat="1" ht="18.75" customHeight="1" x14ac:dyDescent="0.25">
      <c r="A31" s="131" t="s">
        <v>89</v>
      </c>
      <c r="B31" s="185" t="s">
        <v>537</v>
      </c>
      <c r="C31" s="184" t="s">
        <v>527</v>
      </c>
      <c r="D31" s="179">
        <f>191+14+10</f>
        <v>215</v>
      </c>
      <c r="E31" s="179">
        <f>347+26</f>
        <v>373</v>
      </c>
      <c r="F31" s="179">
        <f>813+61</f>
        <v>874</v>
      </c>
      <c r="J31" s="179">
        <f>387+29</f>
        <v>416</v>
      </c>
      <c r="K31" s="179">
        <v>2330</v>
      </c>
      <c r="L31" s="179">
        <f>3774+283+64</f>
        <v>4121</v>
      </c>
      <c r="M31" s="186" t="s">
        <v>774</v>
      </c>
    </row>
    <row r="32" spans="1:13" ht="18.75" customHeight="1" x14ac:dyDescent="0.25">
      <c r="A32" s="58" t="s">
        <v>89</v>
      </c>
      <c r="B32" s="126" t="s">
        <v>213</v>
      </c>
      <c r="C32" s="173" t="s">
        <v>162</v>
      </c>
      <c r="D32" s="22">
        <f>193+26</f>
        <v>219</v>
      </c>
      <c r="E32" s="22">
        <f>351+26</f>
        <v>377</v>
      </c>
      <c r="F32" s="22">
        <v>34</v>
      </c>
      <c r="G32" s="22">
        <f>824+62</f>
        <v>886</v>
      </c>
      <c r="I32" s="22">
        <f>392+29</f>
        <v>421</v>
      </c>
      <c r="K32" s="22">
        <v>2360</v>
      </c>
      <c r="L32" s="179">
        <f>3823+287+64</f>
        <v>4174</v>
      </c>
      <c r="M32" s="191" t="s">
        <v>562</v>
      </c>
    </row>
    <row r="33" spans="1:13" s="179" customFormat="1" ht="18.75" customHeight="1" x14ac:dyDescent="0.25">
      <c r="A33" s="131" t="s">
        <v>89</v>
      </c>
      <c r="B33" s="207" t="s">
        <v>691</v>
      </c>
      <c r="C33" s="211" t="s">
        <v>696</v>
      </c>
      <c r="E33" s="179">
        <f>857+21</f>
        <v>878</v>
      </c>
      <c r="G33" s="179">
        <f>1197+29</f>
        <v>1226</v>
      </c>
      <c r="H33" s="179">
        <v>34</v>
      </c>
      <c r="K33" s="179">
        <v>2400</v>
      </c>
      <c r="L33" s="179">
        <f>3888+93+64</f>
        <v>4045</v>
      </c>
      <c r="M33" s="182" t="s">
        <v>534</v>
      </c>
    </row>
    <row r="34" spans="1:13" s="179" customFormat="1" ht="18.75" customHeight="1" x14ac:dyDescent="0.25">
      <c r="A34" s="131" t="s">
        <v>89</v>
      </c>
      <c r="B34" s="207" t="s">
        <v>642</v>
      </c>
      <c r="C34" s="211" t="s">
        <v>697</v>
      </c>
      <c r="E34" s="179">
        <f>768+18</f>
        <v>786</v>
      </c>
      <c r="G34" s="179">
        <f>479+11</f>
        <v>490</v>
      </c>
      <c r="H34" s="179">
        <v>34</v>
      </c>
      <c r="I34" s="179">
        <f>917+22</f>
        <v>939</v>
      </c>
      <c r="K34" s="179">
        <v>2400</v>
      </c>
      <c r="L34" s="179">
        <f>3888+93+64</f>
        <v>4045</v>
      </c>
      <c r="M34" s="182" t="s">
        <v>534</v>
      </c>
    </row>
    <row r="35" spans="1:13" s="179" customFormat="1" ht="18.75" customHeight="1" x14ac:dyDescent="0.25">
      <c r="A35" s="131" t="s">
        <v>89</v>
      </c>
      <c r="B35" s="207" t="s">
        <v>643</v>
      </c>
      <c r="C35" s="211" t="s">
        <v>698</v>
      </c>
      <c r="E35" s="179">
        <f>804+19</f>
        <v>823</v>
      </c>
      <c r="F35" s="179">
        <f>459+11</f>
        <v>470</v>
      </c>
      <c r="G35" s="179">
        <f>459+11</f>
        <v>470</v>
      </c>
      <c r="H35" s="179">
        <v>34</v>
      </c>
      <c r="J35" s="179">
        <f>399+10</f>
        <v>409</v>
      </c>
      <c r="K35" s="179">
        <v>2400</v>
      </c>
      <c r="L35" s="179">
        <f>3888+93+64</f>
        <v>4045</v>
      </c>
      <c r="M35" s="182" t="s">
        <v>534</v>
      </c>
    </row>
    <row r="36" spans="1:13" s="179" customFormat="1" ht="18.75" customHeight="1" x14ac:dyDescent="0.25">
      <c r="A36" s="131" t="s">
        <v>89</v>
      </c>
      <c r="B36" s="207" t="s">
        <v>692</v>
      </c>
      <c r="C36" s="211" t="s">
        <v>700</v>
      </c>
      <c r="E36" s="179">
        <f>900+22</f>
        <v>922</v>
      </c>
      <c r="F36" s="179">
        <f>1256+30</f>
        <v>1286</v>
      </c>
      <c r="I36" s="179">
        <v>34</v>
      </c>
      <c r="K36" s="179">
        <v>2520</v>
      </c>
      <c r="L36" s="179">
        <f>4082+98+64</f>
        <v>4244</v>
      </c>
      <c r="M36" s="182" t="s">
        <v>534</v>
      </c>
    </row>
    <row r="37" spans="1:13" s="179" customFormat="1" ht="18.75" customHeight="1" x14ac:dyDescent="0.25">
      <c r="A37" s="131" t="s">
        <v>89</v>
      </c>
      <c r="B37" s="207" t="s">
        <v>693</v>
      </c>
      <c r="C37" s="211" t="s">
        <v>701</v>
      </c>
      <c r="E37" s="179">
        <f>806+19</f>
        <v>825</v>
      </c>
      <c r="F37" s="179">
        <v>34</v>
      </c>
      <c r="G37" s="179">
        <f>838+20</f>
        <v>858</v>
      </c>
      <c r="H37" s="179">
        <f>628+15</f>
        <v>643</v>
      </c>
      <c r="K37" s="179">
        <v>2520</v>
      </c>
      <c r="L37" s="179">
        <f>4082+98+64</f>
        <v>4244</v>
      </c>
      <c r="M37" s="182" t="s">
        <v>534</v>
      </c>
    </row>
    <row r="38" spans="1:13" s="179" customFormat="1" ht="18.75" customHeight="1" x14ac:dyDescent="0.25">
      <c r="A38" s="131" t="s">
        <v>89</v>
      </c>
      <c r="B38" s="207" t="s">
        <v>644</v>
      </c>
      <c r="C38" s="211" t="s">
        <v>702</v>
      </c>
      <c r="E38" s="179">
        <f>844+20</f>
        <v>864</v>
      </c>
      <c r="F38" s="179">
        <v>34</v>
      </c>
      <c r="G38" s="179">
        <f>544+13</f>
        <v>557</v>
      </c>
      <c r="I38" s="179">
        <f>419+10</f>
        <v>429</v>
      </c>
      <c r="J38" s="179">
        <f>419+10</f>
        <v>429</v>
      </c>
      <c r="K38" s="179">
        <v>2520</v>
      </c>
      <c r="L38" s="179">
        <f>4082+98+64</f>
        <v>4244</v>
      </c>
      <c r="M38" s="182" t="s">
        <v>534</v>
      </c>
    </row>
    <row r="39" spans="1:13" s="179" customFormat="1" ht="18.75" customHeight="1" x14ac:dyDescent="0.25">
      <c r="A39" s="131" t="s">
        <v>89</v>
      </c>
      <c r="B39" s="212" t="s">
        <v>804</v>
      </c>
      <c r="C39" s="211" t="s">
        <v>699</v>
      </c>
      <c r="D39" s="179">
        <f>210+16+10</f>
        <v>236</v>
      </c>
      <c r="E39" s="179">
        <f>381+29</f>
        <v>410</v>
      </c>
      <c r="F39" s="179">
        <f>893+67</f>
        <v>960</v>
      </c>
      <c r="I39" s="179">
        <f>425+32</f>
        <v>457</v>
      </c>
      <c r="K39" s="179">
        <v>2560</v>
      </c>
      <c r="L39" s="179">
        <f>4147+311+64</f>
        <v>4522</v>
      </c>
      <c r="M39" s="211" t="s">
        <v>860</v>
      </c>
    </row>
    <row r="40" spans="1:13" s="521" customFormat="1" ht="18.75" customHeight="1" x14ac:dyDescent="0.25">
      <c r="A40" s="259" t="s">
        <v>89</v>
      </c>
      <c r="B40" s="126" t="s">
        <v>992</v>
      </c>
      <c r="C40" s="487" t="s">
        <v>986</v>
      </c>
      <c r="D40" s="521">
        <f>210+16</f>
        <v>226</v>
      </c>
      <c r="E40" s="521">
        <f>381+29</f>
        <v>410</v>
      </c>
      <c r="G40" s="521">
        <f>893+67</f>
        <v>960</v>
      </c>
      <c r="J40" s="521">
        <f>425+32+34</f>
        <v>491</v>
      </c>
      <c r="K40" s="521">
        <v>2560</v>
      </c>
      <c r="L40" s="521">
        <f>4147+311+64</f>
        <v>4522</v>
      </c>
      <c r="M40" s="487" t="s">
        <v>999</v>
      </c>
    </row>
    <row r="41" spans="1:13" s="521" customFormat="1" ht="18.75" customHeight="1" x14ac:dyDescent="0.25">
      <c r="A41" s="259" t="s">
        <v>89</v>
      </c>
      <c r="B41" s="126" t="s">
        <v>993</v>
      </c>
      <c r="C41" s="487" t="s">
        <v>994</v>
      </c>
      <c r="D41" s="521">
        <f>210+16+10</f>
        <v>236</v>
      </c>
      <c r="E41" s="521">
        <f>381+29</f>
        <v>410</v>
      </c>
      <c r="F41" s="521">
        <f>893+67</f>
        <v>960</v>
      </c>
      <c r="I41" s="521">
        <f>425+32</f>
        <v>457</v>
      </c>
      <c r="K41" s="521">
        <v>2560</v>
      </c>
      <c r="L41" s="521">
        <f>4147+311+64</f>
        <v>4522</v>
      </c>
      <c r="M41" s="487"/>
    </row>
    <row r="42" spans="1:13" s="521" customFormat="1" ht="18.75" customHeight="1" x14ac:dyDescent="0.25">
      <c r="A42" s="259" t="s">
        <v>89</v>
      </c>
      <c r="B42" s="126" t="s">
        <v>995</v>
      </c>
      <c r="C42" s="487" t="s">
        <v>986</v>
      </c>
      <c r="D42" s="521">
        <f>210+16</f>
        <v>226</v>
      </c>
      <c r="E42" s="521">
        <f>381+29</f>
        <v>410</v>
      </c>
      <c r="G42" s="521">
        <f>893+67</f>
        <v>960</v>
      </c>
      <c r="J42" s="521">
        <f>425+32+34</f>
        <v>491</v>
      </c>
      <c r="K42" s="521">
        <v>2560</v>
      </c>
      <c r="L42" s="521">
        <f>4147+311+64</f>
        <v>4522</v>
      </c>
      <c r="M42" s="487"/>
    </row>
    <row r="43" spans="1:13" s="179" customFormat="1" ht="18.75" customHeight="1" x14ac:dyDescent="0.25">
      <c r="A43" s="131" t="s">
        <v>89</v>
      </c>
      <c r="B43" s="185" t="s">
        <v>539</v>
      </c>
      <c r="C43" s="184" t="s">
        <v>164</v>
      </c>
      <c r="D43" s="179">
        <f>213+16</f>
        <v>229</v>
      </c>
      <c r="E43" s="179">
        <f>387+29</f>
        <v>416</v>
      </c>
      <c r="G43" s="179">
        <f>907+68</f>
        <v>975</v>
      </c>
      <c r="J43" s="179">
        <f>432+32</f>
        <v>464</v>
      </c>
      <c r="K43" s="179">
        <v>2600</v>
      </c>
      <c r="L43" s="179">
        <f>4212+316+64</f>
        <v>4592</v>
      </c>
      <c r="M43" s="184" t="s">
        <v>775</v>
      </c>
    </row>
    <row r="44" spans="1:13" s="179" customFormat="1" ht="18.75" customHeight="1" x14ac:dyDescent="0.25">
      <c r="A44" s="131" t="s">
        <v>89</v>
      </c>
      <c r="B44" s="185" t="s">
        <v>540</v>
      </c>
      <c r="C44" s="184" t="s">
        <v>527</v>
      </c>
      <c r="D44" s="179">
        <f>213+16+10</f>
        <v>239</v>
      </c>
      <c r="E44" s="179">
        <f>387+29</f>
        <v>416</v>
      </c>
      <c r="F44" s="179">
        <f>907+68</f>
        <v>975</v>
      </c>
      <c r="J44" s="179">
        <f>432+32</f>
        <v>464</v>
      </c>
      <c r="K44" s="179">
        <v>2600</v>
      </c>
      <c r="L44" s="179">
        <f>4212+316+64</f>
        <v>4592</v>
      </c>
      <c r="M44" s="211" t="s">
        <v>776</v>
      </c>
    </row>
    <row r="45" spans="1:13" s="179" customFormat="1" ht="18.75" customHeight="1" x14ac:dyDescent="0.25">
      <c r="A45" s="131" t="s">
        <v>89</v>
      </c>
      <c r="B45" s="185" t="s">
        <v>541</v>
      </c>
      <c r="C45" s="184" t="s">
        <v>162</v>
      </c>
      <c r="D45" s="179">
        <f>213+16+10</f>
        <v>239</v>
      </c>
      <c r="E45" s="179">
        <f>387+29</f>
        <v>416</v>
      </c>
      <c r="F45" s="179">
        <v>34</v>
      </c>
      <c r="G45" s="179">
        <f>907+68</f>
        <v>975</v>
      </c>
      <c r="I45" s="179">
        <f>432+32</f>
        <v>464</v>
      </c>
      <c r="K45" s="179">
        <v>2600</v>
      </c>
      <c r="L45" s="179">
        <f>4212+316+64</f>
        <v>4592</v>
      </c>
      <c r="M45" s="182" t="s">
        <v>837</v>
      </c>
    </row>
    <row r="46" spans="1:13" s="179" customFormat="1" ht="18.75" customHeight="1" x14ac:dyDescent="0.25">
      <c r="A46" s="131" t="s">
        <v>89</v>
      </c>
      <c r="B46" s="216" t="s">
        <v>542</v>
      </c>
      <c r="C46" s="211" t="s">
        <v>725</v>
      </c>
      <c r="D46" s="179">
        <f>216+16</f>
        <v>232</v>
      </c>
      <c r="E46" s="179">
        <f>393+29</f>
        <v>422</v>
      </c>
      <c r="G46" s="179">
        <f>921+69</f>
        <v>990</v>
      </c>
      <c r="I46" s="179">
        <f>439+33</f>
        <v>472</v>
      </c>
      <c r="K46" s="179">
        <v>2640</v>
      </c>
      <c r="L46" s="179">
        <f>4276+321+64</f>
        <v>4661</v>
      </c>
      <c r="M46" s="191" t="s">
        <v>562</v>
      </c>
    </row>
    <row r="47" spans="1:13" s="179" customFormat="1" ht="18.75" customHeight="1" x14ac:dyDescent="0.25">
      <c r="A47" s="131" t="s">
        <v>91</v>
      </c>
      <c r="B47" s="185" t="s">
        <v>543</v>
      </c>
      <c r="C47" s="184" t="s">
        <v>161</v>
      </c>
      <c r="D47" s="179">
        <f>191+14+10</f>
        <v>215</v>
      </c>
      <c r="E47" s="179">
        <f>347+26</f>
        <v>373</v>
      </c>
      <c r="F47" s="179">
        <f>814+61</f>
        <v>875</v>
      </c>
      <c r="I47" s="179">
        <f>388+29</f>
        <v>417</v>
      </c>
      <c r="K47" s="189">
        <v>2100</v>
      </c>
      <c r="L47" s="179">
        <f t="shared" ref="L47:L53" si="4">3780+284+64</f>
        <v>4128</v>
      </c>
      <c r="M47" s="258" t="s">
        <v>845</v>
      </c>
    </row>
    <row r="48" spans="1:13" s="179" customFormat="1" ht="18.75" customHeight="1" x14ac:dyDescent="0.25">
      <c r="A48" s="131" t="s">
        <v>91</v>
      </c>
      <c r="B48" s="185" t="s">
        <v>544</v>
      </c>
      <c r="C48" s="184" t="s">
        <v>164</v>
      </c>
      <c r="D48" s="179">
        <f>191+14</f>
        <v>205</v>
      </c>
      <c r="E48" s="179">
        <f>347+26</f>
        <v>373</v>
      </c>
      <c r="G48" s="179">
        <f>814+61</f>
        <v>875</v>
      </c>
      <c r="H48" s="179">
        <v>34</v>
      </c>
      <c r="J48" s="179">
        <f>388+29</f>
        <v>417</v>
      </c>
      <c r="K48" s="189">
        <f>2100</f>
        <v>2100</v>
      </c>
      <c r="L48" s="179">
        <f t="shared" si="4"/>
        <v>4128</v>
      </c>
      <c r="M48" s="186"/>
    </row>
    <row r="49" spans="1:13" s="179" customFormat="1" ht="18.75" customHeight="1" x14ac:dyDescent="0.25">
      <c r="A49" s="131" t="s">
        <v>91</v>
      </c>
      <c r="B49" s="185" t="s">
        <v>545</v>
      </c>
      <c r="C49" s="184" t="s">
        <v>546</v>
      </c>
      <c r="D49" s="179">
        <f>191+14</f>
        <v>205</v>
      </c>
      <c r="E49" s="179">
        <f>538+40</f>
        <v>578</v>
      </c>
      <c r="I49" s="179">
        <f>388+29+34</f>
        <v>451</v>
      </c>
      <c r="J49" s="179">
        <f>388+29</f>
        <v>417</v>
      </c>
      <c r="K49" s="189">
        <f>2100</f>
        <v>2100</v>
      </c>
      <c r="L49" s="179">
        <f t="shared" si="4"/>
        <v>4128</v>
      </c>
      <c r="M49" s="186" t="s">
        <v>526</v>
      </c>
    </row>
    <row r="50" spans="1:13" s="179" customFormat="1" ht="18.75" customHeight="1" x14ac:dyDescent="0.25">
      <c r="A50" s="131" t="s">
        <v>91</v>
      </c>
      <c r="B50" s="185" t="s">
        <v>805</v>
      </c>
      <c r="C50" s="184" t="s">
        <v>161</v>
      </c>
      <c r="D50" s="179">
        <f>191+14+10</f>
        <v>215</v>
      </c>
      <c r="E50" s="179">
        <f>347+26</f>
        <v>373</v>
      </c>
      <c r="F50" s="179">
        <f>814+61</f>
        <v>875</v>
      </c>
      <c r="I50" s="179">
        <f>388+29</f>
        <v>417</v>
      </c>
      <c r="K50" s="189">
        <f>2100</f>
        <v>2100</v>
      </c>
      <c r="L50" s="179">
        <f t="shared" si="4"/>
        <v>4128</v>
      </c>
      <c r="M50" s="126" t="s">
        <v>1000</v>
      </c>
    </row>
    <row r="51" spans="1:13" s="179" customFormat="1" ht="18.75" customHeight="1" x14ac:dyDescent="0.25">
      <c r="A51" s="131" t="s">
        <v>91</v>
      </c>
      <c r="B51" s="196" t="s">
        <v>806</v>
      </c>
      <c r="C51" s="211" t="s">
        <v>706</v>
      </c>
      <c r="D51" s="179">
        <f>191+14</f>
        <v>205</v>
      </c>
      <c r="E51" s="179">
        <f>347+26</f>
        <v>373</v>
      </c>
      <c r="G51" s="179">
        <f>814+61</f>
        <v>875</v>
      </c>
      <c r="H51" s="179">
        <v>34</v>
      </c>
      <c r="J51" s="179">
        <f>388+29</f>
        <v>417</v>
      </c>
      <c r="K51" s="189">
        <f>2100</f>
        <v>2100</v>
      </c>
      <c r="L51" s="179">
        <f t="shared" si="4"/>
        <v>4128</v>
      </c>
      <c r="M51" s="211" t="s">
        <v>852</v>
      </c>
    </row>
    <row r="52" spans="1:13" s="179" customFormat="1" ht="18.75" customHeight="1" x14ac:dyDescent="0.25">
      <c r="A52" s="131" t="s">
        <v>91</v>
      </c>
      <c r="B52" s="185" t="s">
        <v>547</v>
      </c>
      <c r="C52" s="184" t="s">
        <v>527</v>
      </c>
      <c r="D52" s="179">
        <f>191+14+10</f>
        <v>215</v>
      </c>
      <c r="E52" s="179">
        <f>347+26</f>
        <v>373</v>
      </c>
      <c r="F52" s="179">
        <f>814+61</f>
        <v>875</v>
      </c>
      <c r="J52" s="179">
        <f>388+29</f>
        <v>417</v>
      </c>
      <c r="K52" s="189">
        <f>2100</f>
        <v>2100</v>
      </c>
      <c r="L52" s="179">
        <f t="shared" si="4"/>
        <v>4128</v>
      </c>
      <c r="M52" s="186" t="s">
        <v>777</v>
      </c>
    </row>
    <row r="53" spans="1:13" s="179" customFormat="1" ht="18.75" customHeight="1" x14ac:dyDescent="0.25">
      <c r="A53" s="131" t="s">
        <v>91</v>
      </c>
      <c r="B53" s="185" t="s">
        <v>548</v>
      </c>
      <c r="C53" s="184" t="s">
        <v>162</v>
      </c>
      <c r="D53" s="179">
        <f>191+14</f>
        <v>205</v>
      </c>
      <c r="E53" s="179">
        <f>347+26</f>
        <v>373</v>
      </c>
      <c r="G53" s="179">
        <f>814+61+34</f>
        <v>909</v>
      </c>
      <c r="I53" s="179">
        <f>388+29</f>
        <v>417</v>
      </c>
      <c r="K53" s="189">
        <f>2100</f>
        <v>2100</v>
      </c>
      <c r="L53" s="179">
        <f t="shared" si="4"/>
        <v>4128</v>
      </c>
      <c r="M53" s="186" t="s">
        <v>778</v>
      </c>
    </row>
    <row r="54" spans="1:13" s="179" customFormat="1" ht="18.75" customHeight="1" x14ac:dyDescent="0.25">
      <c r="A54" s="131" t="s">
        <v>91</v>
      </c>
      <c r="B54" s="185" t="s">
        <v>549</v>
      </c>
      <c r="C54" s="184" t="s">
        <v>164</v>
      </c>
      <c r="D54" s="179">
        <f>194+15</f>
        <v>209</v>
      </c>
      <c r="E54" s="179">
        <f>352+26</f>
        <v>378</v>
      </c>
      <c r="G54" s="179">
        <f>826+62</f>
        <v>888</v>
      </c>
      <c r="H54" s="179">
        <v>34</v>
      </c>
      <c r="J54" s="179">
        <f>393+29</f>
        <v>422</v>
      </c>
      <c r="K54" s="179">
        <v>2130</v>
      </c>
      <c r="L54" s="179">
        <f>3834+288+64</f>
        <v>4186</v>
      </c>
      <c r="M54" s="192" t="s">
        <v>837</v>
      </c>
    </row>
    <row r="55" spans="1:13" s="179" customFormat="1" ht="18.75" customHeight="1" x14ac:dyDescent="0.25">
      <c r="A55" s="131" t="s">
        <v>91</v>
      </c>
      <c r="B55" s="187" t="s">
        <v>551</v>
      </c>
      <c r="C55" s="193" t="s">
        <v>161</v>
      </c>
      <c r="D55" s="189">
        <f>194+15+10</f>
        <v>219</v>
      </c>
      <c r="E55" s="189">
        <f>352+26</f>
        <v>378</v>
      </c>
      <c r="F55" s="189">
        <f>826+62</f>
        <v>888</v>
      </c>
      <c r="I55" s="189">
        <f>393+29</f>
        <v>422</v>
      </c>
      <c r="K55" s="189">
        <v>2130</v>
      </c>
      <c r="L55" s="189">
        <f>3834+288+64</f>
        <v>4186</v>
      </c>
      <c r="M55" s="258" t="s">
        <v>779</v>
      </c>
    </row>
    <row r="56" spans="1:13" s="179" customFormat="1" ht="18.75" customHeight="1" x14ac:dyDescent="0.25">
      <c r="A56" s="131" t="s">
        <v>91</v>
      </c>
      <c r="B56" s="188" t="s">
        <v>552</v>
      </c>
      <c r="C56" s="193" t="s">
        <v>162</v>
      </c>
      <c r="D56" s="179">
        <f>194+15</f>
        <v>209</v>
      </c>
      <c r="E56" s="179">
        <f>352+26</f>
        <v>378</v>
      </c>
      <c r="G56" s="189">
        <f>826+62+34</f>
        <v>922</v>
      </c>
      <c r="I56" s="189">
        <f>393+29</f>
        <v>422</v>
      </c>
      <c r="K56" s="189">
        <v>2130</v>
      </c>
      <c r="L56" s="189">
        <f>3834+288+64</f>
        <v>4186</v>
      </c>
      <c r="M56" s="192" t="s">
        <v>780</v>
      </c>
    </row>
    <row r="57" spans="1:13" ht="18.75" customHeight="1" x14ac:dyDescent="0.25">
      <c r="A57" s="131" t="s">
        <v>91</v>
      </c>
      <c r="B57" s="196" t="s">
        <v>480</v>
      </c>
      <c r="C57" s="211" t="s">
        <v>706</v>
      </c>
      <c r="D57" s="22">
        <f>210+16</f>
        <v>226</v>
      </c>
      <c r="E57" s="22">
        <f t="shared" ref="E57:E62" si="5">380+29</f>
        <v>409</v>
      </c>
      <c r="G57" s="22">
        <f>892+67</f>
        <v>959</v>
      </c>
      <c r="H57" s="22">
        <v>34</v>
      </c>
      <c r="J57" s="22">
        <f>425+32</f>
        <v>457</v>
      </c>
      <c r="K57" s="22">
        <v>2300</v>
      </c>
      <c r="L57" s="189">
        <f t="shared" ref="L57:L65" si="6">4140+311+65</f>
        <v>4516</v>
      </c>
      <c r="M57" s="213" t="s">
        <v>863</v>
      </c>
    </row>
    <row r="58" spans="1:13" s="180" customFormat="1" ht="18.75" customHeight="1" x14ac:dyDescent="0.25">
      <c r="A58" s="131" t="s">
        <v>91</v>
      </c>
      <c r="B58" s="188" t="s">
        <v>807</v>
      </c>
      <c r="C58" s="193" t="s">
        <v>161</v>
      </c>
      <c r="D58" s="189">
        <f>210+16+10</f>
        <v>236</v>
      </c>
      <c r="E58" s="189">
        <f t="shared" si="5"/>
        <v>409</v>
      </c>
      <c r="F58" s="189">
        <f>892+67</f>
        <v>959</v>
      </c>
      <c r="I58" s="189">
        <f>425+32</f>
        <v>457</v>
      </c>
      <c r="K58" s="189">
        <v>2300</v>
      </c>
      <c r="L58" s="180">
        <f t="shared" si="6"/>
        <v>4516</v>
      </c>
      <c r="M58" s="126" t="s">
        <v>1001</v>
      </c>
    </row>
    <row r="59" spans="1:13" s="521" customFormat="1" ht="18.75" customHeight="1" x14ac:dyDescent="0.25">
      <c r="A59" s="259" t="s">
        <v>91</v>
      </c>
      <c r="B59" s="126" t="s">
        <v>996</v>
      </c>
      <c r="C59" s="487" t="s">
        <v>990</v>
      </c>
      <c r="D59" s="521">
        <f>210+16+10</f>
        <v>236</v>
      </c>
      <c r="E59" s="521">
        <f t="shared" si="5"/>
        <v>409</v>
      </c>
      <c r="F59" s="521">
        <f>892+67</f>
        <v>959</v>
      </c>
      <c r="J59" s="521">
        <f>425+32</f>
        <v>457</v>
      </c>
      <c r="K59" s="521">
        <v>2300</v>
      </c>
      <c r="L59" s="521">
        <f t="shared" si="6"/>
        <v>4516</v>
      </c>
      <c r="M59" s="126" t="s">
        <v>985</v>
      </c>
    </row>
    <row r="60" spans="1:13" s="521" customFormat="1" ht="18.75" customHeight="1" x14ac:dyDescent="0.25">
      <c r="A60" s="259" t="s">
        <v>91</v>
      </c>
      <c r="B60" s="126" t="s">
        <v>1004</v>
      </c>
      <c r="C60" s="487" t="s">
        <v>988</v>
      </c>
      <c r="D60" s="521">
        <f>210+16</f>
        <v>226</v>
      </c>
      <c r="E60" s="521">
        <f t="shared" si="5"/>
        <v>409</v>
      </c>
      <c r="G60" s="521">
        <f>892+67+34</f>
        <v>993</v>
      </c>
      <c r="I60" s="521">
        <f>425+32</f>
        <v>457</v>
      </c>
      <c r="K60" s="521">
        <v>2300</v>
      </c>
      <c r="L60" s="521">
        <f t="shared" si="6"/>
        <v>4516</v>
      </c>
      <c r="M60" s="126" t="s">
        <v>985</v>
      </c>
    </row>
    <row r="61" spans="1:13" s="521" customFormat="1" ht="18.75" customHeight="1" x14ac:dyDescent="0.25">
      <c r="A61" s="259" t="s">
        <v>91</v>
      </c>
      <c r="B61" s="126" t="s">
        <v>1005</v>
      </c>
      <c r="C61" s="487" t="s">
        <v>994</v>
      </c>
      <c r="D61" s="521">
        <f>210+16+10</f>
        <v>236</v>
      </c>
      <c r="E61" s="521">
        <f t="shared" si="5"/>
        <v>409</v>
      </c>
      <c r="F61" s="521">
        <f>892+67</f>
        <v>959</v>
      </c>
      <c r="I61" s="521">
        <f>425+32</f>
        <v>457</v>
      </c>
      <c r="K61" s="521">
        <v>2300</v>
      </c>
      <c r="L61" s="521">
        <f t="shared" si="6"/>
        <v>4516</v>
      </c>
      <c r="M61" s="126" t="s">
        <v>985</v>
      </c>
    </row>
    <row r="62" spans="1:13" s="521" customFormat="1" ht="18.75" customHeight="1" x14ac:dyDescent="0.25">
      <c r="A62" s="259" t="s">
        <v>91</v>
      </c>
      <c r="B62" s="126" t="s">
        <v>1006</v>
      </c>
      <c r="C62" s="487" t="s">
        <v>986</v>
      </c>
      <c r="D62" s="521">
        <f>210+16</f>
        <v>226</v>
      </c>
      <c r="E62" s="521">
        <f t="shared" si="5"/>
        <v>409</v>
      </c>
      <c r="G62" s="521">
        <f>892+67</f>
        <v>959</v>
      </c>
      <c r="H62" s="521">
        <v>34</v>
      </c>
      <c r="J62" s="521">
        <f>425+32</f>
        <v>457</v>
      </c>
      <c r="K62" s="521">
        <v>2300</v>
      </c>
      <c r="L62" s="521">
        <f t="shared" si="6"/>
        <v>4516</v>
      </c>
      <c r="M62" s="126" t="s">
        <v>985</v>
      </c>
    </row>
    <row r="63" spans="1:13" ht="18.75" customHeight="1" x14ac:dyDescent="0.25">
      <c r="A63" s="58" t="s">
        <v>91</v>
      </c>
      <c r="B63" s="126" t="s">
        <v>166</v>
      </c>
      <c r="C63" s="173" t="s">
        <v>164</v>
      </c>
      <c r="D63" s="22">
        <f>212+16</f>
        <v>228</v>
      </c>
      <c r="E63" s="22">
        <f>385+29</f>
        <v>414</v>
      </c>
      <c r="G63" s="22">
        <f>904+68</f>
        <v>972</v>
      </c>
      <c r="H63" s="22">
        <v>34</v>
      </c>
      <c r="J63" s="22">
        <f>430+32</f>
        <v>462</v>
      </c>
      <c r="K63" s="22">
        <v>2330</v>
      </c>
      <c r="L63" s="189">
        <f t="shared" si="6"/>
        <v>4516</v>
      </c>
      <c r="M63" s="193" t="s">
        <v>837</v>
      </c>
    </row>
    <row r="64" spans="1:13" ht="18.75" customHeight="1" x14ac:dyDescent="0.25">
      <c r="A64" s="58" t="s">
        <v>91</v>
      </c>
      <c r="B64" s="126" t="s">
        <v>214</v>
      </c>
      <c r="C64" s="173" t="s">
        <v>161</v>
      </c>
      <c r="D64" s="22">
        <f>212+16+10</f>
        <v>238</v>
      </c>
      <c r="E64" s="22">
        <f>385+29</f>
        <v>414</v>
      </c>
      <c r="F64" s="22">
        <f>904+68</f>
        <v>972</v>
      </c>
      <c r="I64" s="22">
        <f>430+32</f>
        <v>462</v>
      </c>
      <c r="K64" s="22">
        <v>2330</v>
      </c>
      <c r="L64" s="189">
        <f t="shared" si="6"/>
        <v>4516</v>
      </c>
      <c r="M64" s="192" t="s">
        <v>781</v>
      </c>
    </row>
    <row r="65" spans="1:13" ht="18.75" customHeight="1" x14ac:dyDescent="0.25">
      <c r="A65" s="58" t="s">
        <v>91</v>
      </c>
      <c r="B65" s="126" t="s">
        <v>215</v>
      </c>
      <c r="C65" s="193" t="s">
        <v>162</v>
      </c>
      <c r="D65" s="22">
        <f>212+16</f>
        <v>228</v>
      </c>
      <c r="E65" s="22">
        <f>385+29</f>
        <v>414</v>
      </c>
      <c r="G65" s="22">
        <f>904+68+34</f>
        <v>1006</v>
      </c>
      <c r="I65" s="22">
        <f>430+32</f>
        <v>462</v>
      </c>
      <c r="K65" s="22">
        <v>2330</v>
      </c>
      <c r="L65" s="189">
        <f t="shared" si="6"/>
        <v>4516</v>
      </c>
      <c r="M65" s="258" t="s">
        <v>782</v>
      </c>
    </row>
    <row r="66" spans="1:13" ht="18.75" customHeight="1" x14ac:dyDescent="0.25">
      <c r="A66" s="58" t="s">
        <v>91</v>
      </c>
      <c r="B66" s="126" t="s">
        <v>216</v>
      </c>
      <c r="C66" s="193" t="s">
        <v>527</v>
      </c>
      <c r="D66" s="22">
        <f>215+16+10</f>
        <v>241</v>
      </c>
      <c r="E66" s="22">
        <f>390+29</f>
        <v>419</v>
      </c>
      <c r="F66" s="22">
        <f>915+69</f>
        <v>984</v>
      </c>
      <c r="J66" s="22">
        <f>436+33</f>
        <v>469</v>
      </c>
      <c r="K66" s="22">
        <v>2360</v>
      </c>
      <c r="L66" s="179">
        <f>4248+319+64</f>
        <v>4631</v>
      </c>
      <c r="M66" s="38" t="s">
        <v>836</v>
      </c>
    </row>
    <row r="67" spans="1:13" s="180" customFormat="1" ht="18.75" customHeight="1" x14ac:dyDescent="0.25">
      <c r="A67" s="131" t="s">
        <v>91</v>
      </c>
      <c r="B67" s="196" t="s">
        <v>553</v>
      </c>
      <c r="C67" s="211" t="s">
        <v>706</v>
      </c>
      <c r="D67" s="180">
        <f>233+17</f>
        <v>250</v>
      </c>
      <c r="E67" s="180">
        <f>423+32</f>
        <v>455</v>
      </c>
      <c r="G67" s="180">
        <f>993+74</f>
        <v>1067</v>
      </c>
      <c r="J67" s="180">
        <f>473+35</f>
        <v>508</v>
      </c>
      <c r="K67" s="180">
        <v>2560</v>
      </c>
      <c r="L67" s="180">
        <f>4608+346+64</f>
        <v>5018</v>
      </c>
      <c r="M67" s="213" t="s">
        <v>859</v>
      </c>
    </row>
    <row r="68" spans="1:13" s="521" customFormat="1" ht="18.75" customHeight="1" x14ac:dyDescent="0.25">
      <c r="A68" s="259" t="s">
        <v>91</v>
      </c>
      <c r="B68" s="126" t="s">
        <v>1013</v>
      </c>
      <c r="C68" s="487" t="s">
        <v>994</v>
      </c>
      <c r="M68" s="213"/>
    </row>
    <row r="69" spans="1:13" s="189" customFormat="1" ht="18.75" customHeight="1" x14ac:dyDescent="0.25">
      <c r="A69" s="131" t="s">
        <v>91</v>
      </c>
      <c r="B69" s="191" t="s">
        <v>558</v>
      </c>
      <c r="C69" s="193" t="s">
        <v>161</v>
      </c>
      <c r="D69" s="189">
        <f>237+18+10</f>
        <v>265</v>
      </c>
      <c r="E69" s="189">
        <f>430+32</f>
        <v>462</v>
      </c>
      <c r="F69" s="189">
        <f>1008+76</f>
        <v>1084</v>
      </c>
      <c r="I69" s="189">
        <f>480+36</f>
        <v>516</v>
      </c>
      <c r="K69" s="189">
        <v>2600</v>
      </c>
      <c r="L69" s="189">
        <f>4680+351+64</f>
        <v>5095</v>
      </c>
      <c r="M69" s="191" t="s">
        <v>775</v>
      </c>
    </row>
    <row r="70" spans="1:13" s="189" customFormat="1" ht="18.75" customHeight="1" x14ac:dyDescent="0.25">
      <c r="A70" s="131" t="s">
        <v>91</v>
      </c>
      <c r="B70" s="191" t="s">
        <v>559</v>
      </c>
      <c r="C70" s="193" t="s">
        <v>162</v>
      </c>
      <c r="D70" s="189">
        <f>237+18</f>
        <v>255</v>
      </c>
      <c r="E70" s="189">
        <f>430+32</f>
        <v>462</v>
      </c>
      <c r="F70" s="189">
        <f>1008+76</f>
        <v>1084</v>
      </c>
      <c r="G70" s="189">
        <v>34</v>
      </c>
      <c r="I70" s="189">
        <f>480+36</f>
        <v>516</v>
      </c>
      <c r="K70" s="189">
        <v>2600</v>
      </c>
      <c r="L70" s="189">
        <f>4680+351+64</f>
        <v>5095</v>
      </c>
      <c r="M70" s="191" t="s">
        <v>783</v>
      </c>
    </row>
    <row r="71" spans="1:13" s="189" customFormat="1" ht="18.75" customHeight="1" x14ac:dyDescent="0.25">
      <c r="A71" s="131" t="s">
        <v>91</v>
      </c>
      <c r="B71" s="191" t="s">
        <v>560</v>
      </c>
      <c r="C71" s="193" t="s">
        <v>164</v>
      </c>
      <c r="D71" s="189">
        <f>237+18</f>
        <v>255</v>
      </c>
      <c r="E71" s="189">
        <f>430+32</f>
        <v>462</v>
      </c>
      <c r="G71" s="189">
        <f>1008+76</f>
        <v>1084</v>
      </c>
      <c r="H71" s="189">
        <v>34</v>
      </c>
      <c r="J71" s="189">
        <f>480+36</f>
        <v>516</v>
      </c>
      <c r="K71" s="189">
        <v>2600</v>
      </c>
      <c r="L71" s="189">
        <f>4680+351+64</f>
        <v>5095</v>
      </c>
      <c r="M71" s="191" t="s">
        <v>837</v>
      </c>
    </row>
    <row r="72" spans="1:13" s="189" customFormat="1" ht="18.75" customHeight="1" x14ac:dyDescent="0.25">
      <c r="A72" s="131" t="s">
        <v>91</v>
      </c>
      <c r="B72" s="216" t="s">
        <v>561</v>
      </c>
      <c r="C72" s="211" t="s">
        <v>728</v>
      </c>
      <c r="D72" s="189">
        <f>240+18+10</f>
        <v>268</v>
      </c>
      <c r="E72" s="189">
        <f>436+33</f>
        <v>469</v>
      </c>
      <c r="F72" s="189">
        <f>1024+77</f>
        <v>1101</v>
      </c>
      <c r="J72" s="189">
        <f>488+37</f>
        <v>525</v>
      </c>
      <c r="K72" s="189">
        <v>2640</v>
      </c>
      <c r="L72" s="189">
        <f>4752+356+64</f>
        <v>5172</v>
      </c>
      <c r="M72" s="191" t="s">
        <v>562</v>
      </c>
    </row>
    <row r="73" spans="1:13" s="189" customFormat="1" ht="18.75" customHeight="1" x14ac:dyDescent="0.25">
      <c r="A73" s="131" t="s">
        <v>93</v>
      </c>
      <c r="B73" s="191" t="s">
        <v>808</v>
      </c>
      <c r="C73" s="193" t="s">
        <v>164</v>
      </c>
      <c r="D73" s="189">
        <f>147+11</f>
        <v>158</v>
      </c>
      <c r="E73" s="189">
        <f t="shared" ref="E73:E78" si="7">266+20</f>
        <v>286</v>
      </c>
      <c r="G73" s="189">
        <f>624+47+34</f>
        <v>705</v>
      </c>
      <c r="J73" s="189">
        <f>297+22</f>
        <v>319</v>
      </c>
      <c r="K73" s="189">
        <v>2300</v>
      </c>
      <c r="L73" s="189">
        <f t="shared" ref="L73:L78" si="8">2898+217+64</f>
        <v>3179</v>
      </c>
      <c r="M73" s="191" t="s">
        <v>844</v>
      </c>
    </row>
    <row r="74" spans="1:13" ht="18.75" customHeight="1" x14ac:dyDescent="0.25">
      <c r="A74" s="58" t="s">
        <v>93</v>
      </c>
      <c r="B74" s="196" t="s">
        <v>479</v>
      </c>
      <c r="C74" s="211" t="s">
        <v>706</v>
      </c>
      <c r="D74" s="22">
        <f>147+11</f>
        <v>158</v>
      </c>
      <c r="E74" s="22">
        <f t="shared" si="7"/>
        <v>286</v>
      </c>
      <c r="G74" s="22">
        <f>624+47+34</f>
        <v>705</v>
      </c>
      <c r="J74" s="22">
        <f>297+22</f>
        <v>319</v>
      </c>
      <c r="K74" s="22">
        <v>2300</v>
      </c>
      <c r="L74" s="189">
        <f t="shared" si="8"/>
        <v>3179</v>
      </c>
      <c r="M74" s="211" t="s">
        <v>855</v>
      </c>
    </row>
    <row r="75" spans="1:13" s="189" customFormat="1" ht="18.75" customHeight="1" x14ac:dyDescent="0.25">
      <c r="A75" s="131" t="s">
        <v>93</v>
      </c>
      <c r="B75" s="191" t="s">
        <v>809</v>
      </c>
      <c r="C75" s="193" t="s">
        <v>161</v>
      </c>
      <c r="D75" s="189">
        <f>147+11+10</f>
        <v>168</v>
      </c>
      <c r="E75" s="189">
        <f t="shared" si="7"/>
        <v>286</v>
      </c>
      <c r="F75" s="189">
        <f>624+47</f>
        <v>671</v>
      </c>
      <c r="I75" s="189">
        <f>297+22</f>
        <v>319</v>
      </c>
      <c r="K75" s="189">
        <v>2300</v>
      </c>
      <c r="L75" s="189">
        <f t="shared" si="8"/>
        <v>3179</v>
      </c>
      <c r="M75" s="184" t="s">
        <v>1003</v>
      </c>
    </row>
    <row r="76" spans="1:13" s="521" customFormat="1" ht="18.75" customHeight="1" x14ac:dyDescent="0.25">
      <c r="A76" s="259" t="s">
        <v>93</v>
      </c>
      <c r="B76" s="126" t="s">
        <v>1007</v>
      </c>
      <c r="C76" s="487" t="s">
        <v>986</v>
      </c>
      <c r="D76" s="521">
        <f>147+11</f>
        <v>158</v>
      </c>
      <c r="E76" s="526">
        <f t="shared" si="7"/>
        <v>286</v>
      </c>
      <c r="G76" s="526">
        <f>624+47+34</f>
        <v>705</v>
      </c>
      <c r="J76" s="526">
        <f>297+22</f>
        <v>319</v>
      </c>
      <c r="K76" s="526">
        <v>2300</v>
      </c>
      <c r="L76" s="526">
        <f t="shared" si="8"/>
        <v>3179</v>
      </c>
      <c r="M76" s="126" t="s">
        <v>985</v>
      </c>
    </row>
    <row r="77" spans="1:13" s="521" customFormat="1" ht="18.75" customHeight="1" x14ac:dyDescent="0.25">
      <c r="A77" s="259" t="s">
        <v>93</v>
      </c>
      <c r="B77" s="126" t="s">
        <v>1008</v>
      </c>
      <c r="C77" s="487" t="s">
        <v>994</v>
      </c>
      <c r="D77" s="526">
        <f>147+11+10</f>
        <v>168</v>
      </c>
      <c r="E77" s="526">
        <f t="shared" si="7"/>
        <v>286</v>
      </c>
      <c r="F77" s="526">
        <f>624+47</f>
        <v>671</v>
      </c>
      <c r="I77" s="526">
        <f>297+22</f>
        <v>319</v>
      </c>
      <c r="K77" s="526">
        <v>2300</v>
      </c>
      <c r="L77" s="526">
        <f t="shared" si="8"/>
        <v>3179</v>
      </c>
      <c r="M77" s="126" t="s">
        <v>985</v>
      </c>
    </row>
    <row r="78" spans="1:13" s="521" customFormat="1" ht="18.75" customHeight="1" x14ac:dyDescent="0.25">
      <c r="A78" s="259" t="s">
        <v>93</v>
      </c>
      <c r="B78" s="126" t="s">
        <v>1009</v>
      </c>
      <c r="C78" s="487" t="s">
        <v>990</v>
      </c>
      <c r="D78" s="526">
        <f>147+11</f>
        <v>158</v>
      </c>
      <c r="E78" s="526">
        <f t="shared" si="7"/>
        <v>286</v>
      </c>
      <c r="F78" s="526">
        <f>624+47</f>
        <v>671</v>
      </c>
      <c r="J78" s="526">
        <f>297+22+34</f>
        <v>353</v>
      </c>
      <c r="K78" s="526">
        <v>2300</v>
      </c>
      <c r="L78" s="526">
        <f t="shared" si="8"/>
        <v>3179</v>
      </c>
      <c r="M78" s="126" t="s">
        <v>985</v>
      </c>
    </row>
    <row r="79" spans="1:13" s="189" customFormat="1" ht="18.75" customHeight="1" x14ac:dyDescent="0.25">
      <c r="A79" s="131" t="s">
        <v>93</v>
      </c>
      <c r="B79" s="191" t="s">
        <v>563</v>
      </c>
      <c r="C79" s="193" t="s">
        <v>161</v>
      </c>
      <c r="D79" s="189">
        <f>149+11</f>
        <v>160</v>
      </c>
      <c r="E79" s="189">
        <f>270+20</f>
        <v>290</v>
      </c>
      <c r="F79" s="189">
        <f>632+47</f>
        <v>679</v>
      </c>
      <c r="I79" s="189">
        <f>301+23</f>
        <v>324</v>
      </c>
      <c r="K79" s="189">
        <v>2330</v>
      </c>
      <c r="L79" s="189">
        <f t="shared" ref="L79:L85" si="9">2935+220+64</f>
        <v>3219</v>
      </c>
      <c r="M79" s="193" t="s">
        <v>784</v>
      </c>
    </row>
    <row r="80" spans="1:13" ht="18.75" customHeight="1" x14ac:dyDescent="0.25">
      <c r="A80" s="58" t="s">
        <v>93</v>
      </c>
      <c r="B80" s="126" t="s">
        <v>181</v>
      </c>
      <c r="C80" s="193" t="s">
        <v>527</v>
      </c>
      <c r="D80" s="22">
        <f>149+11</f>
        <v>160</v>
      </c>
      <c r="E80" s="22">
        <f>270+20</f>
        <v>290</v>
      </c>
      <c r="F80" s="22">
        <f>632+47</f>
        <v>679</v>
      </c>
      <c r="J80" s="22">
        <f>301+23+34</f>
        <v>358</v>
      </c>
      <c r="K80" s="22">
        <v>2330</v>
      </c>
      <c r="L80" s="189">
        <f t="shared" si="9"/>
        <v>3219</v>
      </c>
      <c r="M80" s="192" t="s">
        <v>785</v>
      </c>
    </row>
    <row r="81" spans="1:13" ht="18.75" customHeight="1" x14ac:dyDescent="0.25">
      <c r="A81" s="58" t="s">
        <v>93</v>
      </c>
      <c r="B81" s="214" t="s">
        <v>182</v>
      </c>
      <c r="C81" s="211" t="s">
        <v>707</v>
      </c>
      <c r="E81" s="22">
        <f>984+37</f>
        <v>1021</v>
      </c>
      <c r="F81" s="22">
        <v>34</v>
      </c>
      <c r="K81" s="22">
        <v>2330</v>
      </c>
      <c r="L81" s="189">
        <f t="shared" si="9"/>
        <v>3219</v>
      </c>
      <c r="M81" s="211" t="s">
        <v>846</v>
      </c>
    </row>
    <row r="82" spans="1:13" ht="18.75" customHeight="1" x14ac:dyDescent="0.25">
      <c r="A82" s="58" t="s">
        <v>93</v>
      </c>
      <c r="B82" s="214" t="s">
        <v>183</v>
      </c>
      <c r="C82" s="211" t="s">
        <v>708</v>
      </c>
      <c r="E82" s="22">
        <f>620+24</f>
        <v>644</v>
      </c>
      <c r="F82" s="22">
        <f>512+19</f>
        <v>531</v>
      </c>
      <c r="I82" s="22">
        <f>301+11</f>
        <v>312</v>
      </c>
      <c r="K82" s="22">
        <v>2330</v>
      </c>
      <c r="L82" s="189">
        <f t="shared" si="9"/>
        <v>3219</v>
      </c>
      <c r="M82" s="211" t="s">
        <v>846</v>
      </c>
    </row>
    <row r="83" spans="1:13" ht="18.75" customHeight="1" x14ac:dyDescent="0.25">
      <c r="A83" s="58" t="s">
        <v>93</v>
      </c>
      <c r="B83" s="214" t="s">
        <v>184</v>
      </c>
      <c r="C83" s="211" t="s">
        <v>709</v>
      </c>
      <c r="E83" s="22">
        <f>620+24</f>
        <v>644</v>
      </c>
      <c r="G83" s="22">
        <f>512+19</f>
        <v>531</v>
      </c>
      <c r="I83" s="22">
        <v>34</v>
      </c>
      <c r="J83" s="22">
        <f>301+11</f>
        <v>312</v>
      </c>
      <c r="K83" s="22">
        <v>2330</v>
      </c>
      <c r="L83" s="189">
        <f t="shared" si="9"/>
        <v>3219</v>
      </c>
      <c r="M83" s="211" t="s">
        <v>846</v>
      </c>
    </row>
    <row r="84" spans="1:13" ht="18.75" customHeight="1" x14ac:dyDescent="0.25">
      <c r="A84" s="58" t="s">
        <v>93</v>
      </c>
      <c r="B84" s="126" t="s">
        <v>185</v>
      </c>
      <c r="C84" s="193" t="s">
        <v>162</v>
      </c>
      <c r="D84" s="22">
        <f>149+11</f>
        <v>160</v>
      </c>
      <c r="E84" s="22">
        <f>270+20</f>
        <v>290</v>
      </c>
      <c r="G84" s="22">
        <f>632+47</f>
        <v>679</v>
      </c>
      <c r="I84" s="22">
        <f>301+23</f>
        <v>324</v>
      </c>
      <c r="K84" s="22">
        <v>2330</v>
      </c>
      <c r="L84" s="189">
        <f t="shared" si="9"/>
        <v>3219</v>
      </c>
      <c r="M84" s="193" t="s">
        <v>837</v>
      </c>
    </row>
    <row r="85" spans="1:13" ht="18.75" customHeight="1" x14ac:dyDescent="0.25">
      <c r="A85" s="58" t="s">
        <v>93</v>
      </c>
      <c r="B85" s="126" t="s">
        <v>186</v>
      </c>
      <c r="C85" s="193" t="s">
        <v>162</v>
      </c>
      <c r="D85" s="22">
        <f>150+11</f>
        <v>161</v>
      </c>
      <c r="E85" s="22">
        <f>273+20</f>
        <v>293</v>
      </c>
      <c r="G85" s="22">
        <f>641+48</f>
        <v>689</v>
      </c>
      <c r="H85" s="22">
        <v>34</v>
      </c>
      <c r="I85" s="22">
        <f>305+23</f>
        <v>328</v>
      </c>
      <c r="K85" s="22">
        <v>2360</v>
      </c>
      <c r="L85" s="189">
        <f t="shared" si="9"/>
        <v>3219</v>
      </c>
      <c r="M85" s="193" t="s">
        <v>562</v>
      </c>
    </row>
    <row r="86" spans="1:13" s="526" customFormat="1" ht="18.75" customHeight="1" x14ac:dyDescent="0.25">
      <c r="A86" s="259" t="s">
        <v>93</v>
      </c>
      <c r="B86" s="126" t="s">
        <v>1026</v>
      </c>
      <c r="C86" s="487" t="s">
        <v>1028</v>
      </c>
      <c r="D86" s="526">
        <f>155+12</f>
        <v>167</v>
      </c>
      <c r="E86" s="526">
        <f>281+21</f>
        <v>302</v>
      </c>
      <c r="G86" s="526">
        <f>660+50</f>
        <v>710</v>
      </c>
      <c r="H86" s="526">
        <v>34</v>
      </c>
      <c r="I86" s="526">
        <f>314+24</f>
        <v>338</v>
      </c>
      <c r="K86" s="526">
        <v>2430</v>
      </c>
      <c r="L86" s="526">
        <f>3061+230+64</f>
        <v>3355</v>
      </c>
      <c r="M86" s="126" t="s">
        <v>1027</v>
      </c>
    </row>
    <row r="87" spans="1:13" s="180" customFormat="1" ht="18.75" customHeight="1" x14ac:dyDescent="0.25">
      <c r="A87" s="131" t="s">
        <v>93</v>
      </c>
      <c r="B87" s="196" t="s">
        <v>810</v>
      </c>
      <c r="C87" s="211" t="s">
        <v>706</v>
      </c>
      <c r="D87" s="180">
        <f>163+12</f>
        <v>175</v>
      </c>
      <c r="E87" s="180">
        <f>296+22</f>
        <v>318</v>
      </c>
      <c r="G87" s="180">
        <f>695+52+34</f>
        <v>781</v>
      </c>
      <c r="J87" s="180">
        <f>331+25</f>
        <v>356</v>
      </c>
      <c r="K87" s="180">
        <v>2560</v>
      </c>
      <c r="L87" s="180">
        <f>3225+242+64</f>
        <v>3531</v>
      </c>
      <c r="M87" s="213" t="s">
        <v>861</v>
      </c>
    </row>
    <row r="88" spans="1:13" s="521" customFormat="1" ht="18.75" customHeight="1" x14ac:dyDescent="0.25">
      <c r="A88" s="259" t="s">
        <v>93</v>
      </c>
      <c r="B88" s="126" t="s">
        <v>1014</v>
      </c>
      <c r="C88" s="487" t="s">
        <v>994</v>
      </c>
      <c r="D88" s="521">
        <f>163+12+10</f>
        <v>185</v>
      </c>
      <c r="E88" s="521">
        <f>296+22</f>
        <v>318</v>
      </c>
      <c r="F88" s="521">
        <f>695+52</f>
        <v>747</v>
      </c>
      <c r="I88" s="521">
        <f>331+25</f>
        <v>356</v>
      </c>
      <c r="K88" s="526">
        <v>2560</v>
      </c>
      <c r="L88" s="526">
        <f>3225+242+64</f>
        <v>3531</v>
      </c>
      <c r="M88" s="126" t="s">
        <v>1029</v>
      </c>
    </row>
    <row r="89" spans="1:13" s="521" customFormat="1" ht="18.75" customHeight="1" x14ac:dyDescent="0.25">
      <c r="A89" s="259" t="s">
        <v>93</v>
      </c>
      <c r="B89" s="126" t="s">
        <v>1015</v>
      </c>
      <c r="C89" s="487" t="s">
        <v>986</v>
      </c>
      <c r="D89" s="521">
        <f>163+12</f>
        <v>175</v>
      </c>
      <c r="G89" s="526">
        <f>695+52+34</f>
        <v>781</v>
      </c>
      <c r="J89" s="526">
        <f>331+25</f>
        <v>356</v>
      </c>
      <c r="K89" s="526">
        <v>2560</v>
      </c>
      <c r="L89" s="526">
        <f>3225+242+64</f>
        <v>3531</v>
      </c>
      <c r="M89" s="213"/>
    </row>
    <row r="90" spans="1:13" s="189" customFormat="1" ht="18.75" customHeight="1" x14ac:dyDescent="0.25">
      <c r="A90" s="131" t="s">
        <v>93</v>
      </c>
      <c r="B90" s="191" t="s">
        <v>564</v>
      </c>
      <c r="C90" s="193" t="s">
        <v>527</v>
      </c>
      <c r="D90" s="189">
        <f>166+12</f>
        <v>178</v>
      </c>
      <c r="E90" s="189">
        <f>301+23</f>
        <v>324</v>
      </c>
      <c r="F90" s="189">
        <f>706+53</f>
        <v>759</v>
      </c>
      <c r="J90" s="189">
        <f>336+34</f>
        <v>370</v>
      </c>
      <c r="K90" s="189">
        <v>2600</v>
      </c>
      <c r="L90" s="189">
        <f>3276+246+64</f>
        <v>3586</v>
      </c>
      <c r="M90" s="191"/>
    </row>
    <row r="91" spans="1:13" s="189" customFormat="1" ht="18.75" customHeight="1" x14ac:dyDescent="0.25">
      <c r="A91" s="131" t="s">
        <v>93</v>
      </c>
      <c r="B91" s="326" t="s">
        <v>565</v>
      </c>
      <c r="C91" s="193" t="s">
        <v>707</v>
      </c>
      <c r="E91" s="189">
        <f>1098+42</f>
        <v>1140</v>
      </c>
      <c r="F91" s="189">
        <v>34</v>
      </c>
      <c r="K91" s="189">
        <v>2600</v>
      </c>
      <c r="L91" s="189">
        <f>3276+124+64</f>
        <v>3464</v>
      </c>
      <c r="M91" s="194" t="s">
        <v>786</v>
      </c>
    </row>
    <row r="92" spans="1:13" s="189" customFormat="1" ht="18.75" customHeight="1" x14ac:dyDescent="0.25">
      <c r="A92" s="131" t="s">
        <v>93</v>
      </c>
      <c r="B92" s="326" t="s">
        <v>566</v>
      </c>
      <c r="C92" s="193" t="s">
        <v>708</v>
      </c>
      <c r="E92" s="189">
        <f>692+26</f>
        <v>718</v>
      </c>
      <c r="F92" s="189">
        <f>571+22</f>
        <v>593</v>
      </c>
      <c r="G92" s="189">
        <v>34</v>
      </c>
      <c r="I92" s="189">
        <f>336+13</f>
        <v>349</v>
      </c>
      <c r="K92" s="189">
        <v>2600</v>
      </c>
      <c r="L92" s="189">
        <f>3276+124+64</f>
        <v>3464</v>
      </c>
      <c r="M92" s="194" t="s">
        <v>786</v>
      </c>
    </row>
    <row r="93" spans="1:13" s="189" customFormat="1" ht="18.75" customHeight="1" x14ac:dyDescent="0.25">
      <c r="A93" s="131" t="s">
        <v>93</v>
      </c>
      <c r="B93" s="326" t="s">
        <v>567</v>
      </c>
      <c r="C93" s="193" t="s">
        <v>709</v>
      </c>
      <c r="E93" s="189">
        <f>692+26</f>
        <v>718</v>
      </c>
      <c r="G93" s="189">
        <f>571+22</f>
        <v>593</v>
      </c>
      <c r="I93" s="189">
        <v>34</v>
      </c>
      <c r="J93" s="189">
        <f>336+13</f>
        <v>349</v>
      </c>
      <c r="K93" s="189">
        <v>2600</v>
      </c>
      <c r="L93" s="189">
        <f>3276+124+64</f>
        <v>3464</v>
      </c>
      <c r="M93" s="194" t="s">
        <v>786</v>
      </c>
    </row>
    <row r="94" spans="1:13" s="189" customFormat="1" ht="18.75" customHeight="1" x14ac:dyDescent="0.25">
      <c r="A94" s="131" t="s">
        <v>93</v>
      </c>
      <c r="B94" s="191" t="s">
        <v>568</v>
      </c>
      <c r="C94" s="193" t="s">
        <v>161</v>
      </c>
      <c r="D94" s="189">
        <f>166+12+10</f>
        <v>188</v>
      </c>
      <c r="E94" s="189">
        <f>301+23</f>
        <v>324</v>
      </c>
      <c r="F94" s="195">
        <f>706+53</f>
        <v>759</v>
      </c>
      <c r="I94" s="189">
        <f>336</f>
        <v>336</v>
      </c>
      <c r="K94" s="189">
        <v>2600</v>
      </c>
      <c r="L94" s="189">
        <f>3276+124+64</f>
        <v>3464</v>
      </c>
      <c r="M94" s="194" t="s">
        <v>776</v>
      </c>
    </row>
    <row r="95" spans="1:13" s="189" customFormat="1" ht="18.75" customHeight="1" x14ac:dyDescent="0.25">
      <c r="A95" s="131" t="s">
        <v>93</v>
      </c>
      <c r="B95" s="191" t="s">
        <v>569</v>
      </c>
      <c r="C95" s="193" t="s">
        <v>162</v>
      </c>
      <c r="D95" s="189">
        <f>166+12</f>
        <v>178</v>
      </c>
      <c r="E95" s="189">
        <f>301+23</f>
        <v>324</v>
      </c>
      <c r="F95" s="195"/>
      <c r="G95" s="189">
        <f>706+53</f>
        <v>759</v>
      </c>
      <c r="H95" s="189">
        <v>34</v>
      </c>
      <c r="I95" s="189">
        <f>336+25</f>
        <v>361</v>
      </c>
      <c r="K95" s="189">
        <v>2600</v>
      </c>
      <c r="L95" s="189">
        <f>3276+124+64</f>
        <v>3464</v>
      </c>
      <c r="M95" s="194" t="s">
        <v>837</v>
      </c>
    </row>
    <row r="96" spans="1:13" s="189" customFormat="1" ht="18.75" customHeight="1" x14ac:dyDescent="0.25">
      <c r="A96" s="131" t="s">
        <v>93</v>
      </c>
      <c r="B96" s="216" t="s">
        <v>570</v>
      </c>
      <c r="C96" s="211" t="s">
        <v>725</v>
      </c>
      <c r="D96" s="189">
        <f>168+13</f>
        <v>181</v>
      </c>
      <c r="E96" s="189">
        <f>306+23</f>
        <v>329</v>
      </c>
      <c r="F96" s="195"/>
      <c r="G96" s="189">
        <f>717+54</f>
        <v>771</v>
      </c>
      <c r="H96" s="189">
        <v>34</v>
      </c>
      <c r="I96" s="189">
        <f>341+26</f>
        <v>367</v>
      </c>
      <c r="K96" s="189">
        <f>2640</f>
        <v>2640</v>
      </c>
      <c r="L96" s="189">
        <f>3326+249+64</f>
        <v>3639</v>
      </c>
      <c r="M96" s="194" t="s">
        <v>562</v>
      </c>
    </row>
    <row r="97" spans="1:13" s="526" customFormat="1" ht="18.75" customHeight="1" x14ac:dyDescent="0.25">
      <c r="A97" s="259" t="s">
        <v>93</v>
      </c>
      <c r="B97" s="324" t="s">
        <v>1030</v>
      </c>
      <c r="C97" s="487" t="s">
        <v>706</v>
      </c>
      <c r="D97" s="526">
        <f>182+14</f>
        <v>196</v>
      </c>
      <c r="E97" s="526">
        <f>331+25</f>
        <v>356</v>
      </c>
      <c r="G97" s="526">
        <f>776+58</f>
        <v>834</v>
      </c>
      <c r="J97" s="526">
        <f>370+28</f>
        <v>398</v>
      </c>
      <c r="K97" s="526">
        <v>2860</v>
      </c>
      <c r="L97" s="526">
        <f>3603+270+64</f>
        <v>3937</v>
      </c>
      <c r="M97" s="524" t="s">
        <v>1031</v>
      </c>
    </row>
    <row r="98" spans="1:13" s="526" customFormat="1" ht="18.75" customHeight="1" x14ac:dyDescent="0.25">
      <c r="A98" s="259" t="s">
        <v>93</v>
      </c>
      <c r="B98" s="126" t="s">
        <v>1032</v>
      </c>
      <c r="C98" s="487" t="s">
        <v>1033</v>
      </c>
      <c r="D98" s="526">
        <f>185+14</f>
        <v>199</v>
      </c>
      <c r="E98" s="526">
        <f>336+25</f>
        <v>361</v>
      </c>
      <c r="F98" s="526">
        <f>787+59</f>
        <v>846</v>
      </c>
      <c r="J98" s="526">
        <f>370+28+34</f>
        <v>432</v>
      </c>
      <c r="K98" s="526">
        <v>2900</v>
      </c>
      <c r="L98" s="526">
        <f>3653+274+64</f>
        <v>3991</v>
      </c>
      <c r="M98" s="524"/>
    </row>
    <row r="99" spans="1:13" s="526" customFormat="1" ht="18.75" customHeight="1" x14ac:dyDescent="0.25">
      <c r="A99" s="259" t="s">
        <v>93</v>
      </c>
      <c r="B99" s="126" t="s">
        <v>1034</v>
      </c>
      <c r="C99" s="487" t="s">
        <v>138</v>
      </c>
      <c r="D99" s="526">
        <f>185+14</f>
        <v>199</v>
      </c>
      <c r="E99" s="526">
        <f>436+33</f>
        <v>469</v>
      </c>
      <c r="G99" s="526">
        <f>937+70</f>
        <v>1007</v>
      </c>
      <c r="I99" s="526">
        <v>34</v>
      </c>
      <c r="K99" s="526">
        <v>2900</v>
      </c>
      <c r="L99" s="526">
        <f>3653+274+64</f>
        <v>3991</v>
      </c>
      <c r="M99" s="524"/>
    </row>
    <row r="100" spans="1:13" s="526" customFormat="1" ht="18.75" customHeight="1" x14ac:dyDescent="0.25">
      <c r="A100" s="259" t="s">
        <v>93</v>
      </c>
      <c r="B100" s="126" t="s">
        <v>1035</v>
      </c>
      <c r="C100" s="487" t="s">
        <v>1036</v>
      </c>
      <c r="E100" s="526">
        <f>806+19</f>
        <v>825</v>
      </c>
      <c r="G100" s="526">
        <f>1125+27</f>
        <v>1152</v>
      </c>
      <c r="H100" s="526">
        <v>34</v>
      </c>
      <c r="K100" s="526">
        <v>2900</v>
      </c>
      <c r="L100" s="526">
        <f>3653+88+64</f>
        <v>3805</v>
      </c>
      <c r="M100" s="524"/>
    </row>
    <row r="101" spans="1:13" s="526" customFormat="1" ht="18.75" customHeight="1" x14ac:dyDescent="0.25">
      <c r="A101" s="259" t="s">
        <v>93</v>
      </c>
      <c r="B101" s="126" t="s">
        <v>1037</v>
      </c>
      <c r="C101" s="487" t="s">
        <v>1038</v>
      </c>
      <c r="E101" s="526">
        <f>755+18</f>
        <v>773</v>
      </c>
      <c r="F101" s="526">
        <f>787+19</f>
        <v>806</v>
      </c>
      <c r="G101" s="526">
        <v>34</v>
      </c>
      <c r="I101" s="526">
        <f>450+11</f>
        <v>461</v>
      </c>
      <c r="K101" s="526">
        <v>2900</v>
      </c>
      <c r="L101" s="526">
        <f>3653+88+64</f>
        <v>3805</v>
      </c>
      <c r="M101" s="524"/>
    </row>
    <row r="102" spans="1:13" s="526" customFormat="1" ht="18.75" customHeight="1" x14ac:dyDescent="0.25">
      <c r="A102" s="259" t="s">
        <v>93</v>
      </c>
      <c r="B102" s="126" t="s">
        <v>1039</v>
      </c>
      <c r="C102" s="487" t="s">
        <v>1040</v>
      </c>
      <c r="E102" s="526">
        <f>755+18</f>
        <v>773</v>
      </c>
      <c r="F102" s="526">
        <v>34</v>
      </c>
      <c r="G102" s="526">
        <f>487+12</f>
        <v>499</v>
      </c>
      <c r="I102" s="526">
        <f>375+9</f>
        <v>384</v>
      </c>
      <c r="J102" s="526">
        <f>375+9</f>
        <v>384</v>
      </c>
      <c r="K102" s="526">
        <v>2900</v>
      </c>
      <c r="L102" s="526">
        <f>3653+88+64</f>
        <v>3805</v>
      </c>
      <c r="M102" s="524"/>
    </row>
    <row r="103" spans="1:13" s="526" customFormat="1" ht="18.75" customHeight="1" x14ac:dyDescent="0.25">
      <c r="A103" s="259" t="s">
        <v>93</v>
      </c>
      <c r="B103" s="126" t="s">
        <v>1041</v>
      </c>
      <c r="C103" s="487" t="s">
        <v>1028</v>
      </c>
      <c r="D103" s="526">
        <f>185+14</f>
        <v>199</v>
      </c>
      <c r="E103" s="526">
        <f>336+25</f>
        <v>361</v>
      </c>
      <c r="G103" s="526">
        <f>787+59</f>
        <v>846</v>
      </c>
      <c r="H103" s="526">
        <v>34</v>
      </c>
      <c r="I103" s="526">
        <f>375+28</f>
        <v>403</v>
      </c>
      <c r="K103" s="526">
        <v>2900</v>
      </c>
      <c r="L103" s="526">
        <f>3653+274+64</f>
        <v>3991</v>
      </c>
      <c r="M103" s="524"/>
    </row>
    <row r="104" spans="1:13" s="526" customFormat="1" ht="18.75" customHeight="1" x14ac:dyDescent="0.25">
      <c r="A104" s="259" t="s">
        <v>93</v>
      </c>
      <c r="B104" s="126" t="s">
        <v>1042</v>
      </c>
      <c r="C104" s="487" t="s">
        <v>1043</v>
      </c>
      <c r="D104" s="526">
        <f>187+14</f>
        <v>201</v>
      </c>
      <c r="E104" s="526">
        <f>340+26</f>
        <v>366</v>
      </c>
      <c r="G104" s="526">
        <f>798+60</f>
        <v>858</v>
      </c>
      <c r="I104" s="526">
        <f>380+29</f>
        <v>409</v>
      </c>
      <c r="K104" s="526">
        <v>2940</v>
      </c>
      <c r="L104" s="526">
        <f>3704+278+64</f>
        <v>4046</v>
      </c>
      <c r="M104" s="194" t="s">
        <v>562</v>
      </c>
    </row>
    <row r="105" spans="1:13" s="132" customFormat="1" ht="18.75" customHeight="1" x14ac:dyDescent="0.25">
      <c r="A105" s="131" t="s">
        <v>95</v>
      </c>
      <c r="B105" s="126" t="s">
        <v>489</v>
      </c>
      <c r="C105" s="193" t="s">
        <v>161</v>
      </c>
      <c r="D105" s="132">
        <f>134+10</f>
        <v>144</v>
      </c>
      <c r="E105" s="132">
        <f>243+18</f>
        <v>261</v>
      </c>
      <c r="F105" s="132">
        <f>570+43+34</f>
        <v>647</v>
      </c>
      <c r="I105" s="132">
        <f>271+20</f>
        <v>291</v>
      </c>
      <c r="K105" s="189">
        <v>2100</v>
      </c>
      <c r="L105" s="179"/>
      <c r="M105" s="128"/>
    </row>
    <row r="106" spans="1:13" s="132" customFormat="1" ht="18.75" customHeight="1" x14ac:dyDescent="0.25">
      <c r="A106" s="131" t="s">
        <v>95</v>
      </c>
      <c r="B106" s="143" t="s">
        <v>488</v>
      </c>
      <c r="C106" s="193" t="s">
        <v>164</v>
      </c>
      <c r="D106" s="132">
        <f>136+10</f>
        <v>146</v>
      </c>
      <c r="E106" s="132">
        <f>247+19</f>
        <v>266</v>
      </c>
      <c r="G106" s="132">
        <f>578+43+34</f>
        <v>655</v>
      </c>
      <c r="J106" s="132">
        <f>275+21</f>
        <v>296</v>
      </c>
      <c r="K106" s="132">
        <v>2130</v>
      </c>
      <c r="L106" s="179"/>
      <c r="M106" s="128"/>
    </row>
    <row r="107" spans="1:13" s="178" customFormat="1" ht="18.75" customHeight="1" x14ac:dyDescent="0.25">
      <c r="A107" s="131" t="s">
        <v>95</v>
      </c>
      <c r="B107" s="207" t="s">
        <v>645</v>
      </c>
      <c r="C107" s="211" t="s">
        <v>710</v>
      </c>
      <c r="E107" s="178">
        <v>611</v>
      </c>
      <c r="J107" s="178">
        <v>853</v>
      </c>
      <c r="K107" s="178">
        <v>2200</v>
      </c>
      <c r="L107" s="189">
        <f t="shared" ref="L107:L112" si="10">2772+67+64</f>
        <v>2903</v>
      </c>
      <c r="M107" s="182" t="s">
        <v>534</v>
      </c>
    </row>
    <row r="108" spans="1:13" s="189" customFormat="1" ht="18.75" customHeight="1" x14ac:dyDescent="0.25">
      <c r="A108" s="131" t="s">
        <v>95</v>
      </c>
      <c r="B108" s="207" t="s">
        <v>646</v>
      </c>
      <c r="C108" s="211" t="s">
        <v>711</v>
      </c>
      <c r="E108" s="189">
        <f>573+14</f>
        <v>587</v>
      </c>
      <c r="F108" s="189">
        <f>597+14</f>
        <v>611</v>
      </c>
      <c r="G108" s="189">
        <v>34</v>
      </c>
      <c r="I108" s="189">
        <f>341+8</f>
        <v>349</v>
      </c>
      <c r="K108" s="189">
        <v>2200</v>
      </c>
      <c r="L108" s="189">
        <f t="shared" si="10"/>
        <v>2903</v>
      </c>
      <c r="M108" s="182" t="s">
        <v>534</v>
      </c>
    </row>
    <row r="109" spans="1:13" s="189" customFormat="1" ht="18.75" customHeight="1" x14ac:dyDescent="0.25">
      <c r="A109" s="131" t="s">
        <v>95</v>
      </c>
      <c r="B109" s="207" t="s">
        <v>647</v>
      </c>
      <c r="C109" s="211" t="s">
        <v>712</v>
      </c>
      <c r="E109" s="189">
        <f>547+13</f>
        <v>560</v>
      </c>
      <c r="F109" s="189">
        <v>34</v>
      </c>
      <c r="G109" s="189">
        <f>427+10</f>
        <v>437</v>
      </c>
      <c r="H109" s="189">
        <f>284+7</f>
        <v>291</v>
      </c>
      <c r="J109" s="189">
        <f>284+7</f>
        <v>291</v>
      </c>
      <c r="K109" s="189">
        <v>2200</v>
      </c>
      <c r="L109" s="189">
        <f t="shared" si="10"/>
        <v>2903</v>
      </c>
      <c r="M109" s="182" t="s">
        <v>534</v>
      </c>
    </row>
    <row r="110" spans="1:13" s="189" customFormat="1" ht="18.75" customHeight="1" x14ac:dyDescent="0.25">
      <c r="A110" s="131" t="s">
        <v>95</v>
      </c>
      <c r="B110" s="207" t="s">
        <v>648</v>
      </c>
      <c r="C110" s="211" t="s">
        <v>696</v>
      </c>
      <c r="E110" s="189">
        <f>633+15</f>
        <v>648</v>
      </c>
      <c r="G110" s="189">
        <f>884+21</f>
        <v>905</v>
      </c>
      <c r="H110" s="189">
        <v>34</v>
      </c>
      <c r="K110" s="189">
        <v>2200</v>
      </c>
      <c r="L110" s="189">
        <f t="shared" si="10"/>
        <v>2903</v>
      </c>
      <c r="M110" s="182" t="s">
        <v>534</v>
      </c>
    </row>
    <row r="111" spans="1:13" s="189" customFormat="1" ht="18.75" customHeight="1" x14ac:dyDescent="0.25">
      <c r="A111" s="131" t="s">
        <v>95</v>
      </c>
      <c r="B111" s="207" t="s">
        <v>649</v>
      </c>
      <c r="C111" s="211" t="s">
        <v>713</v>
      </c>
      <c r="E111" s="189">
        <f>567+14</f>
        <v>581</v>
      </c>
      <c r="F111" s="189">
        <f>516+12</f>
        <v>528</v>
      </c>
      <c r="G111" s="189">
        <f>516+12</f>
        <v>528</v>
      </c>
      <c r="I111" s="189">
        <v>34</v>
      </c>
      <c r="K111" s="189">
        <v>2200</v>
      </c>
      <c r="L111" s="189">
        <f t="shared" si="10"/>
        <v>2903</v>
      </c>
      <c r="M111" s="182" t="s">
        <v>534</v>
      </c>
    </row>
    <row r="112" spans="1:13" s="189" customFormat="1" ht="18.75" customHeight="1" x14ac:dyDescent="0.25">
      <c r="A112" s="131" t="s">
        <v>95</v>
      </c>
      <c r="B112" s="207" t="s">
        <v>650</v>
      </c>
      <c r="C112" s="211" t="s">
        <v>714</v>
      </c>
      <c r="E112" s="189">
        <f>594+14</f>
        <v>608</v>
      </c>
      <c r="F112" s="189">
        <f>339+8</f>
        <v>347</v>
      </c>
      <c r="G112" s="189">
        <f>339+8</f>
        <v>347</v>
      </c>
      <c r="H112" s="189">
        <f>295+7</f>
        <v>302</v>
      </c>
      <c r="I112" s="189">
        <v>34</v>
      </c>
      <c r="K112" s="189">
        <v>2200</v>
      </c>
      <c r="L112" s="189">
        <f t="shared" si="10"/>
        <v>2903</v>
      </c>
      <c r="M112" s="182" t="s">
        <v>534</v>
      </c>
    </row>
    <row r="113" spans="1:13" s="189" customFormat="1" ht="18.75" customHeight="1" x14ac:dyDescent="0.25">
      <c r="A113" s="131" t="s">
        <v>95</v>
      </c>
      <c r="B113" s="191" t="s">
        <v>811</v>
      </c>
      <c r="C113" s="193" t="s">
        <v>527</v>
      </c>
      <c r="D113" s="189">
        <f>147+11+10</f>
        <v>168</v>
      </c>
      <c r="E113" s="189">
        <f>266+20</f>
        <v>286</v>
      </c>
      <c r="F113" s="189">
        <f>624+47</f>
        <v>671</v>
      </c>
      <c r="J113" s="189">
        <f>297+22+34</f>
        <v>353</v>
      </c>
      <c r="K113" s="189">
        <v>2300</v>
      </c>
      <c r="L113" s="189">
        <f>2898+217+64</f>
        <v>3179</v>
      </c>
      <c r="M113" s="184"/>
    </row>
    <row r="114" spans="1:13" s="189" customFormat="1" ht="18.75" customHeight="1" x14ac:dyDescent="0.25">
      <c r="A114" s="131" t="s">
        <v>95</v>
      </c>
      <c r="B114" s="191" t="s">
        <v>812</v>
      </c>
      <c r="C114" s="193" t="s">
        <v>161</v>
      </c>
      <c r="D114" s="189">
        <f>147+11</f>
        <v>158</v>
      </c>
      <c r="E114" s="189">
        <f>266+20</f>
        <v>286</v>
      </c>
      <c r="F114" s="189">
        <f>624+47+34</f>
        <v>705</v>
      </c>
      <c r="I114" s="189">
        <f>297+22</f>
        <v>319</v>
      </c>
      <c r="K114" s="189">
        <v>2300</v>
      </c>
      <c r="L114" s="189">
        <f>2898+217+64</f>
        <v>3179</v>
      </c>
      <c r="M114" s="184"/>
    </row>
    <row r="115" spans="1:13" ht="18.75" customHeight="1" x14ac:dyDescent="0.25">
      <c r="A115" s="58" t="s">
        <v>95</v>
      </c>
      <c r="B115" s="196" t="s">
        <v>695</v>
      </c>
      <c r="C115" s="211" t="s">
        <v>715</v>
      </c>
      <c r="D115" s="22">
        <f>147+11+10</f>
        <v>168</v>
      </c>
      <c r="E115" s="22">
        <f>266+20</f>
        <v>286</v>
      </c>
      <c r="G115" s="22">
        <f>624+47</f>
        <v>671</v>
      </c>
      <c r="I115" s="22">
        <f>297+22</f>
        <v>319</v>
      </c>
      <c r="K115" s="22">
        <v>2300</v>
      </c>
      <c r="L115" s="189">
        <f>2898+217+64</f>
        <v>3179</v>
      </c>
      <c r="M115" s="213" t="s">
        <v>856</v>
      </c>
    </row>
    <row r="116" spans="1:13" s="189" customFormat="1" ht="18.75" customHeight="1" x14ac:dyDescent="0.25">
      <c r="A116" s="131" t="s">
        <v>95</v>
      </c>
      <c r="B116" s="191" t="s">
        <v>813</v>
      </c>
      <c r="C116" s="193" t="s">
        <v>162</v>
      </c>
      <c r="D116" s="189">
        <f>147+11+10</f>
        <v>168</v>
      </c>
      <c r="E116" s="189">
        <f>266+20</f>
        <v>286</v>
      </c>
      <c r="G116" s="189">
        <f>624+47</f>
        <v>671</v>
      </c>
      <c r="I116" s="189">
        <f>297+22</f>
        <v>319</v>
      </c>
      <c r="K116" s="189">
        <v>2300</v>
      </c>
      <c r="L116" s="189">
        <f>2898+217+64</f>
        <v>3179</v>
      </c>
      <c r="M116" s="184"/>
    </row>
    <row r="117" spans="1:13" s="521" customFormat="1" ht="18.75" customHeight="1" x14ac:dyDescent="0.25">
      <c r="A117" s="259" t="s">
        <v>95</v>
      </c>
      <c r="B117" s="126" t="s">
        <v>1010</v>
      </c>
      <c r="C117" s="487" t="s">
        <v>994</v>
      </c>
      <c r="M117" s="487"/>
    </row>
    <row r="118" spans="1:13" s="521" customFormat="1" ht="18.75" customHeight="1" x14ac:dyDescent="0.25">
      <c r="A118" s="259" t="s">
        <v>95</v>
      </c>
      <c r="B118" s="126" t="s">
        <v>1011</v>
      </c>
      <c r="C118" s="487" t="s">
        <v>986</v>
      </c>
      <c r="M118" s="487"/>
    </row>
    <row r="119" spans="1:13" s="521" customFormat="1" ht="18.75" customHeight="1" x14ac:dyDescent="0.25">
      <c r="A119" s="259" t="s">
        <v>95</v>
      </c>
      <c r="B119" s="126" t="s">
        <v>1012</v>
      </c>
      <c r="C119" s="487" t="s">
        <v>990</v>
      </c>
      <c r="M119" s="487"/>
    </row>
    <row r="120" spans="1:13" ht="18.75" customHeight="1" x14ac:dyDescent="0.25">
      <c r="A120" s="58" t="s">
        <v>95</v>
      </c>
      <c r="B120" s="126" t="s">
        <v>217</v>
      </c>
      <c r="C120" s="193" t="s">
        <v>164</v>
      </c>
      <c r="D120" s="22">
        <f>149+11</f>
        <v>160</v>
      </c>
      <c r="E120" s="22">
        <f>270+20</f>
        <v>290</v>
      </c>
      <c r="G120" s="22">
        <f>632+47+34</f>
        <v>713</v>
      </c>
      <c r="J120" s="22">
        <f>301+23</f>
        <v>324</v>
      </c>
      <c r="K120" s="22">
        <v>2330</v>
      </c>
      <c r="L120" s="189">
        <f t="shared" ref="L120:L125" si="11">2935+220+64</f>
        <v>3219</v>
      </c>
    </row>
    <row r="121" spans="1:13" ht="18.75" customHeight="1" x14ac:dyDescent="0.25">
      <c r="A121" s="58" t="s">
        <v>95</v>
      </c>
      <c r="B121" s="213" t="s">
        <v>218</v>
      </c>
      <c r="C121" s="211" t="s">
        <v>527</v>
      </c>
      <c r="D121" s="22">
        <f>149+11+10</f>
        <v>170</v>
      </c>
      <c r="E121" s="22">
        <f>270+20</f>
        <v>290</v>
      </c>
      <c r="F121" s="22">
        <f>632+47</f>
        <v>679</v>
      </c>
      <c r="J121" s="22">
        <f>301+23+34</f>
        <v>358</v>
      </c>
      <c r="K121" s="22">
        <v>2330</v>
      </c>
      <c r="L121" s="189">
        <f t="shared" si="11"/>
        <v>3219</v>
      </c>
    </row>
    <row r="122" spans="1:13" ht="18.75" customHeight="1" x14ac:dyDescent="0.25">
      <c r="A122" s="58" t="s">
        <v>95</v>
      </c>
      <c r="B122" s="126" t="s">
        <v>187</v>
      </c>
      <c r="C122" s="193" t="s">
        <v>137</v>
      </c>
      <c r="E122" s="22">
        <f>701+27</f>
        <v>728</v>
      </c>
      <c r="I122" s="22">
        <f>632+24</f>
        <v>656</v>
      </c>
      <c r="K122" s="22">
        <v>2330</v>
      </c>
      <c r="L122" s="189">
        <f t="shared" si="11"/>
        <v>3219</v>
      </c>
    </row>
    <row r="123" spans="1:13" ht="18.75" customHeight="1" x14ac:dyDescent="0.25">
      <c r="A123" s="58" t="s">
        <v>95</v>
      </c>
      <c r="B123" s="126" t="s">
        <v>188</v>
      </c>
      <c r="C123" s="193" t="s">
        <v>161</v>
      </c>
      <c r="E123" s="22">
        <f>620+24</f>
        <v>644</v>
      </c>
      <c r="F123" s="22">
        <f>512+19</f>
        <v>531</v>
      </c>
      <c r="G123" s="22">
        <v>34</v>
      </c>
      <c r="I123" s="22">
        <f>301+11</f>
        <v>312</v>
      </c>
      <c r="K123" s="22">
        <v>2330</v>
      </c>
      <c r="L123" s="189">
        <f t="shared" si="11"/>
        <v>3219</v>
      </c>
    </row>
    <row r="124" spans="1:13" ht="18.75" customHeight="1" x14ac:dyDescent="0.25">
      <c r="A124" s="58" t="s">
        <v>95</v>
      </c>
      <c r="B124" s="126" t="s">
        <v>189</v>
      </c>
      <c r="C124" s="193" t="s">
        <v>164</v>
      </c>
      <c r="E124" s="22">
        <f>620+24</f>
        <v>644</v>
      </c>
      <c r="G124" s="22">
        <f>512+19</f>
        <v>531</v>
      </c>
      <c r="I124" s="22">
        <v>34</v>
      </c>
      <c r="J124" s="22">
        <f>301+11</f>
        <v>312</v>
      </c>
      <c r="K124" s="22">
        <v>2330</v>
      </c>
      <c r="L124" s="189">
        <f t="shared" si="11"/>
        <v>3219</v>
      </c>
    </row>
    <row r="125" spans="1:13" ht="18.75" customHeight="1" x14ac:dyDescent="0.25">
      <c r="A125" s="58" t="s">
        <v>95</v>
      </c>
      <c r="B125" s="126" t="s">
        <v>219</v>
      </c>
      <c r="C125" s="193" t="s">
        <v>162</v>
      </c>
      <c r="D125" s="22">
        <f>149+11+10</f>
        <v>170</v>
      </c>
      <c r="E125" s="22">
        <f>270+20</f>
        <v>290</v>
      </c>
      <c r="G125" s="22">
        <f>632+47</f>
        <v>679</v>
      </c>
      <c r="I125" s="22">
        <f>301+23</f>
        <v>324</v>
      </c>
      <c r="K125" s="22">
        <v>2330</v>
      </c>
      <c r="L125" s="189">
        <f t="shared" si="11"/>
        <v>3219</v>
      </c>
      <c r="M125" s="38" t="s">
        <v>837</v>
      </c>
    </row>
    <row r="126" spans="1:13" ht="18.75" customHeight="1" x14ac:dyDescent="0.25">
      <c r="A126" s="58" t="s">
        <v>95</v>
      </c>
      <c r="B126" s="126" t="s">
        <v>190</v>
      </c>
      <c r="C126" s="193" t="s">
        <v>161</v>
      </c>
      <c r="D126" s="22">
        <f>150+11</f>
        <v>161</v>
      </c>
      <c r="E126" s="22">
        <f>273+20</f>
        <v>293</v>
      </c>
      <c r="F126" s="22">
        <f>641+48+34</f>
        <v>723</v>
      </c>
      <c r="I126" s="22">
        <f>305+23</f>
        <v>328</v>
      </c>
      <c r="K126" s="22">
        <v>2360</v>
      </c>
      <c r="L126" s="189">
        <f>3326+249+64</f>
        <v>3639</v>
      </c>
      <c r="M126" s="38" t="s">
        <v>836</v>
      </c>
    </row>
    <row r="127" spans="1:13" s="189" customFormat="1" ht="18.75" customHeight="1" x14ac:dyDescent="0.25">
      <c r="A127" s="131" t="s">
        <v>95</v>
      </c>
      <c r="B127" s="207" t="s">
        <v>651</v>
      </c>
      <c r="C127" s="211" t="s">
        <v>703</v>
      </c>
      <c r="E127" s="189">
        <f>667+16</f>
        <v>683</v>
      </c>
      <c r="G127" s="189">
        <v>34</v>
      </c>
      <c r="I127" s="189">
        <f>931+22</f>
        <v>953</v>
      </c>
      <c r="K127" s="189">
        <v>2400</v>
      </c>
      <c r="L127" s="189">
        <f>3024+73+64</f>
        <v>3161</v>
      </c>
      <c r="M127" s="182" t="s">
        <v>534</v>
      </c>
    </row>
    <row r="128" spans="1:13" s="189" customFormat="1" ht="18.75" customHeight="1" x14ac:dyDescent="0.25">
      <c r="A128" s="131" t="s">
        <v>95</v>
      </c>
      <c r="B128" s="207" t="s">
        <v>652</v>
      </c>
      <c r="C128" s="211" t="s">
        <v>701</v>
      </c>
      <c r="E128" s="189">
        <f>597+14</f>
        <v>611</v>
      </c>
      <c r="F128" s="189">
        <v>34</v>
      </c>
      <c r="G128" s="189">
        <f>620+15</f>
        <v>635</v>
      </c>
      <c r="H128" s="189">
        <f>465+11</f>
        <v>476</v>
      </c>
      <c r="K128" s="189">
        <v>2400</v>
      </c>
      <c r="L128" s="195">
        <f>3024+73+64</f>
        <v>3161</v>
      </c>
      <c r="M128" s="182" t="s">
        <v>534</v>
      </c>
    </row>
    <row r="129" spans="1:13" s="189" customFormat="1" ht="18.75" customHeight="1" x14ac:dyDescent="0.25">
      <c r="A129" s="131" t="s">
        <v>95</v>
      </c>
      <c r="B129" s="207" t="s">
        <v>653</v>
      </c>
      <c r="C129" s="211" t="s">
        <v>717</v>
      </c>
      <c r="E129" s="189">
        <f>597+14</f>
        <v>611</v>
      </c>
      <c r="F129" s="189">
        <v>34</v>
      </c>
      <c r="G129" s="189">
        <f>465+11</f>
        <v>476</v>
      </c>
      <c r="H129" s="189">
        <f>310+7</f>
        <v>317</v>
      </c>
      <c r="I129" s="189">
        <f>310+7</f>
        <v>317</v>
      </c>
      <c r="K129" s="189">
        <v>2400</v>
      </c>
      <c r="L129" s="195">
        <f>3024+73+64</f>
        <v>3161</v>
      </c>
      <c r="M129" s="182" t="s">
        <v>534</v>
      </c>
    </row>
    <row r="130" spans="1:13" s="189" customFormat="1" ht="18.75" customHeight="1" x14ac:dyDescent="0.25">
      <c r="A130" s="131" t="s">
        <v>95</v>
      </c>
      <c r="B130" s="207" t="s">
        <v>654</v>
      </c>
      <c r="C130" s="211" t="s">
        <v>710</v>
      </c>
      <c r="E130" s="189">
        <f>700+17</f>
        <v>717</v>
      </c>
      <c r="F130" s="189">
        <v>34</v>
      </c>
      <c r="J130" s="189">
        <f>977+23</f>
        <v>1000</v>
      </c>
      <c r="K130" s="189">
        <v>2520</v>
      </c>
      <c r="L130" s="189">
        <f>3175+76+64</f>
        <v>3315</v>
      </c>
      <c r="M130" s="182" t="s">
        <v>534</v>
      </c>
    </row>
    <row r="131" spans="1:13" s="189" customFormat="1" ht="18.75" customHeight="1" x14ac:dyDescent="0.25">
      <c r="A131" s="131" t="s">
        <v>95</v>
      </c>
      <c r="B131" s="207" t="s">
        <v>655</v>
      </c>
      <c r="C131" s="211" t="s">
        <v>711</v>
      </c>
      <c r="E131" s="189">
        <f>656+16</f>
        <v>672</v>
      </c>
      <c r="F131" s="189">
        <f>684+16</f>
        <v>700</v>
      </c>
      <c r="G131" s="189">
        <v>34</v>
      </c>
      <c r="I131" s="189">
        <f>391+9</f>
        <v>400</v>
      </c>
      <c r="K131" s="189">
        <v>2520</v>
      </c>
      <c r="L131" s="189">
        <f>3175+76+64</f>
        <v>3315</v>
      </c>
      <c r="M131" s="182" t="s">
        <v>534</v>
      </c>
    </row>
    <row r="132" spans="1:13" s="189" customFormat="1" ht="18.75" customHeight="1" x14ac:dyDescent="0.25">
      <c r="A132" s="131" t="s">
        <v>95</v>
      </c>
      <c r="B132" s="207" t="s">
        <v>656</v>
      </c>
      <c r="C132" s="211" t="s">
        <v>712</v>
      </c>
      <c r="E132" s="189">
        <f>627+15</f>
        <v>642</v>
      </c>
      <c r="F132" s="189">
        <v>34</v>
      </c>
      <c r="G132" s="189">
        <f>489+2</f>
        <v>491</v>
      </c>
      <c r="H132" s="189">
        <f>326+8</f>
        <v>334</v>
      </c>
      <c r="J132" s="189">
        <f>326+8</f>
        <v>334</v>
      </c>
      <c r="K132" s="189">
        <v>2520</v>
      </c>
      <c r="L132" s="189">
        <f>3175+76+64</f>
        <v>3315</v>
      </c>
      <c r="M132" s="182" t="s">
        <v>534</v>
      </c>
    </row>
    <row r="133" spans="1:13" s="189" customFormat="1" ht="18.75" customHeight="1" x14ac:dyDescent="0.25">
      <c r="A133" s="131" t="s">
        <v>95</v>
      </c>
      <c r="B133" s="212" t="s">
        <v>742</v>
      </c>
      <c r="C133" s="211" t="s">
        <v>715</v>
      </c>
      <c r="D133" s="189">
        <f>163+12+10</f>
        <v>185</v>
      </c>
      <c r="E133" s="189">
        <f>296+22</f>
        <v>318</v>
      </c>
      <c r="G133" s="189">
        <f>695+52</f>
        <v>747</v>
      </c>
      <c r="I133" s="189">
        <f>331+25</f>
        <v>356</v>
      </c>
      <c r="K133" s="189">
        <v>2560</v>
      </c>
      <c r="L133" s="189">
        <f>3225+242+64</f>
        <v>3531</v>
      </c>
      <c r="M133" s="211" t="s">
        <v>858</v>
      </c>
    </row>
    <row r="134" spans="1:13" s="521" customFormat="1" ht="18.75" customHeight="1" x14ac:dyDescent="0.25">
      <c r="A134" s="259" t="s">
        <v>95</v>
      </c>
      <c r="B134" s="126" t="s">
        <v>1016</v>
      </c>
      <c r="C134" s="487" t="s">
        <v>988</v>
      </c>
      <c r="D134" s="521">
        <f>163+12+10</f>
        <v>185</v>
      </c>
      <c r="E134" s="521">
        <f>296+22</f>
        <v>318</v>
      </c>
      <c r="G134" s="521">
        <f>695+52</f>
        <v>747</v>
      </c>
      <c r="I134" s="521">
        <f>331+25</f>
        <v>356</v>
      </c>
      <c r="K134" s="521">
        <v>2560</v>
      </c>
      <c r="L134" s="521">
        <f>3225+242+64</f>
        <v>3531</v>
      </c>
      <c r="M134" s="487"/>
    </row>
    <row r="135" spans="1:13" s="521" customFormat="1" ht="18.75" customHeight="1" x14ac:dyDescent="0.25">
      <c r="A135" s="259" t="s">
        <v>95</v>
      </c>
      <c r="B135" s="126" t="s">
        <v>1017</v>
      </c>
      <c r="C135" s="487" t="s">
        <v>990</v>
      </c>
      <c r="M135" s="487"/>
    </row>
    <row r="136" spans="1:13" s="521" customFormat="1" ht="18.75" customHeight="1" x14ac:dyDescent="0.25">
      <c r="A136" s="259" t="s">
        <v>95</v>
      </c>
      <c r="B136" s="126" t="s">
        <v>1018</v>
      </c>
      <c r="C136" s="487" t="s">
        <v>994</v>
      </c>
      <c r="M136" s="487"/>
    </row>
    <row r="137" spans="1:13" s="189" customFormat="1" ht="18.75" customHeight="1" x14ac:dyDescent="0.25">
      <c r="A137" s="131" t="s">
        <v>95</v>
      </c>
      <c r="B137" s="191" t="s">
        <v>571</v>
      </c>
      <c r="C137" s="193" t="s">
        <v>527</v>
      </c>
      <c r="D137" s="189">
        <f>166+12+10</f>
        <v>188</v>
      </c>
      <c r="E137" s="189">
        <f>301+23</f>
        <v>324</v>
      </c>
      <c r="F137" s="189">
        <f>706+53</f>
        <v>759</v>
      </c>
      <c r="J137" s="189">
        <f>336+25+34</f>
        <v>395</v>
      </c>
      <c r="K137" s="189">
        <v>2600</v>
      </c>
      <c r="L137" s="189">
        <f t="shared" ref="L137:L142" si="12">3276+246+64</f>
        <v>3586</v>
      </c>
      <c r="M137" s="184"/>
    </row>
    <row r="138" spans="1:13" s="189" customFormat="1" ht="18.75" customHeight="1" x14ac:dyDescent="0.25">
      <c r="A138" s="131" t="s">
        <v>95</v>
      </c>
      <c r="B138" s="214" t="s">
        <v>572</v>
      </c>
      <c r="C138" s="211" t="s">
        <v>718</v>
      </c>
      <c r="E138" s="189">
        <f>782+30</f>
        <v>812</v>
      </c>
      <c r="G138" s="189">
        <v>34</v>
      </c>
      <c r="I138" s="189">
        <f>706+27</f>
        <v>733</v>
      </c>
      <c r="K138" s="189">
        <v>2600</v>
      </c>
      <c r="L138" s="189">
        <f t="shared" si="12"/>
        <v>3586</v>
      </c>
      <c r="M138" s="192" t="s">
        <v>787</v>
      </c>
    </row>
    <row r="139" spans="1:13" s="189" customFormat="1" ht="18.75" customHeight="1" x14ac:dyDescent="0.25">
      <c r="A139" s="131" t="s">
        <v>95</v>
      </c>
      <c r="B139" s="214" t="s">
        <v>573</v>
      </c>
      <c r="C139" s="211" t="s">
        <v>708</v>
      </c>
      <c r="E139" s="189">
        <f>692+26</f>
        <v>718</v>
      </c>
      <c r="F139" s="189">
        <f>571+22</f>
        <v>593</v>
      </c>
      <c r="G139" s="189">
        <v>34</v>
      </c>
      <c r="I139" s="189">
        <f>336+13</f>
        <v>349</v>
      </c>
      <c r="K139" s="189">
        <v>2600</v>
      </c>
      <c r="L139" s="189">
        <f t="shared" si="12"/>
        <v>3586</v>
      </c>
      <c r="M139" s="192" t="s">
        <v>787</v>
      </c>
    </row>
    <row r="140" spans="1:13" s="189" customFormat="1" ht="18.75" customHeight="1" x14ac:dyDescent="0.25">
      <c r="A140" s="131" t="s">
        <v>95</v>
      </c>
      <c r="B140" s="214" t="s">
        <v>574</v>
      </c>
      <c r="C140" s="211" t="s">
        <v>709</v>
      </c>
      <c r="E140" s="189">
        <f>692+26</f>
        <v>718</v>
      </c>
      <c r="G140" s="189">
        <f>571+22</f>
        <v>593</v>
      </c>
      <c r="I140" s="189">
        <v>34</v>
      </c>
      <c r="J140" s="189">
        <f>336+13</f>
        <v>349</v>
      </c>
      <c r="K140" s="189">
        <v>2600</v>
      </c>
      <c r="L140" s="189">
        <f t="shared" si="12"/>
        <v>3586</v>
      </c>
      <c r="M140" s="192" t="s">
        <v>787</v>
      </c>
    </row>
    <row r="141" spans="1:13" s="189" customFormat="1" ht="18.75" customHeight="1" x14ac:dyDescent="0.25">
      <c r="A141" s="131" t="s">
        <v>95</v>
      </c>
      <c r="B141" s="191" t="s">
        <v>575</v>
      </c>
      <c r="C141" s="193" t="s">
        <v>162</v>
      </c>
      <c r="D141" s="189">
        <f>166+12+10</f>
        <v>188</v>
      </c>
      <c r="E141" s="189">
        <f>301+23</f>
        <v>324</v>
      </c>
      <c r="G141" s="189">
        <f>706+53</f>
        <v>759</v>
      </c>
      <c r="I141" s="189">
        <f>336+25</f>
        <v>361</v>
      </c>
      <c r="K141" s="189">
        <v>2600</v>
      </c>
      <c r="L141" s="189">
        <f t="shared" si="12"/>
        <v>3586</v>
      </c>
      <c r="M141" s="193" t="s">
        <v>837</v>
      </c>
    </row>
    <row r="142" spans="1:13" s="189" customFormat="1" ht="18.75" customHeight="1" x14ac:dyDescent="0.25">
      <c r="A142" s="131" t="s">
        <v>95</v>
      </c>
      <c r="B142" s="191" t="s">
        <v>576</v>
      </c>
      <c r="C142" s="193" t="s">
        <v>164</v>
      </c>
      <c r="D142" s="189">
        <f>166+12</f>
        <v>178</v>
      </c>
      <c r="E142" s="189">
        <f>301+23</f>
        <v>324</v>
      </c>
      <c r="G142" s="189">
        <f>706+53+34</f>
        <v>793</v>
      </c>
      <c r="J142" s="189">
        <f>336+25</f>
        <v>361</v>
      </c>
      <c r="K142" s="189">
        <v>2600</v>
      </c>
      <c r="L142" s="189">
        <f t="shared" si="12"/>
        <v>3586</v>
      </c>
      <c r="M142" s="193" t="s">
        <v>788</v>
      </c>
    </row>
    <row r="143" spans="1:13" s="189" customFormat="1" ht="18.75" customHeight="1" x14ac:dyDescent="0.25">
      <c r="A143" s="131" t="s">
        <v>95</v>
      </c>
      <c r="B143" s="216" t="s">
        <v>577</v>
      </c>
      <c r="C143" s="211" t="s">
        <v>726</v>
      </c>
      <c r="D143" s="189">
        <f>168+13</f>
        <v>181</v>
      </c>
      <c r="E143" s="189">
        <f>306+23</f>
        <v>329</v>
      </c>
      <c r="F143" s="189">
        <f>717+54+34</f>
        <v>805</v>
      </c>
      <c r="I143" s="189">
        <f>341+26</f>
        <v>367</v>
      </c>
      <c r="K143" s="189">
        <f>2640</f>
        <v>2640</v>
      </c>
      <c r="L143" s="189">
        <f>3326+249+64</f>
        <v>3639</v>
      </c>
      <c r="M143" s="193" t="s">
        <v>562</v>
      </c>
    </row>
    <row r="144" spans="1:13" s="172" customFormat="1" ht="18.75" customHeight="1" x14ac:dyDescent="0.25">
      <c r="A144" s="131" t="s">
        <v>97</v>
      </c>
      <c r="B144" s="126" t="s">
        <v>979</v>
      </c>
      <c r="C144" s="193" t="s">
        <v>546</v>
      </c>
      <c r="D144" s="172">
        <f>173+13</f>
        <v>186</v>
      </c>
      <c r="E144" s="172">
        <f>487+37</f>
        <v>524</v>
      </c>
      <c r="I144" s="172">
        <f>351+26</f>
        <v>377</v>
      </c>
      <c r="J144" s="172">
        <f>351+26</f>
        <v>377</v>
      </c>
      <c r="K144" s="172">
        <v>1900</v>
      </c>
      <c r="L144" s="179"/>
      <c r="M144" s="173" t="s">
        <v>977</v>
      </c>
    </row>
    <row r="145" spans="1:13" s="132" customFormat="1" ht="18.75" customHeight="1" x14ac:dyDescent="0.25">
      <c r="A145" s="131" t="s">
        <v>97</v>
      </c>
      <c r="B145" s="143" t="s">
        <v>519</v>
      </c>
      <c r="C145" s="193" t="s">
        <v>161</v>
      </c>
      <c r="D145" s="132">
        <f>191+14</f>
        <v>205</v>
      </c>
      <c r="E145" s="132">
        <f>347+26</f>
        <v>373</v>
      </c>
      <c r="F145" s="132">
        <f>814+61</f>
        <v>875</v>
      </c>
      <c r="I145" s="132">
        <f>388+29+34</f>
        <v>451</v>
      </c>
      <c r="K145" s="189">
        <f>2100</f>
        <v>2100</v>
      </c>
      <c r="L145" s="179">
        <f>3780+284+64</f>
        <v>4128</v>
      </c>
      <c r="M145" s="193" t="s">
        <v>1002</v>
      </c>
    </row>
    <row r="146" spans="1:13" s="260" customFormat="1" ht="18.75" customHeight="1" x14ac:dyDescent="0.25">
      <c r="A146" s="259" t="s">
        <v>97</v>
      </c>
      <c r="B146" s="273" t="s">
        <v>864</v>
      </c>
      <c r="C146" s="271" t="s">
        <v>527</v>
      </c>
      <c r="D146" s="260">
        <f>191+14</f>
        <v>205</v>
      </c>
      <c r="E146" s="260">
        <f>347+26</f>
        <v>373</v>
      </c>
      <c r="F146" s="260">
        <f>814+61</f>
        <v>875</v>
      </c>
      <c r="G146" s="260">
        <v>34</v>
      </c>
      <c r="J146" s="260">
        <f>388+29</f>
        <v>417</v>
      </c>
      <c r="K146" s="260">
        <v>2100</v>
      </c>
      <c r="L146" s="260">
        <f>3780+284+64</f>
        <v>4128</v>
      </c>
      <c r="M146" s="272" t="s">
        <v>867</v>
      </c>
    </row>
    <row r="147" spans="1:13" s="180" customFormat="1" ht="18.75" customHeight="1" x14ac:dyDescent="0.25">
      <c r="A147" s="131" t="s">
        <v>97</v>
      </c>
      <c r="B147" s="188" t="s">
        <v>554</v>
      </c>
      <c r="C147" s="193" t="s">
        <v>161</v>
      </c>
      <c r="D147" s="180">
        <f>194+15</f>
        <v>209</v>
      </c>
      <c r="E147" s="180">
        <f>352+26</f>
        <v>378</v>
      </c>
      <c r="F147" s="180">
        <f>826+32</f>
        <v>858</v>
      </c>
      <c r="I147" s="180">
        <f>393+29</f>
        <v>422</v>
      </c>
      <c r="K147" s="180">
        <v>2130</v>
      </c>
      <c r="L147" s="180">
        <f>3834+288+64</f>
        <v>4186</v>
      </c>
      <c r="M147" s="272" t="s">
        <v>866</v>
      </c>
    </row>
    <row r="148" spans="1:13" s="521" customFormat="1" ht="18.75" customHeight="1" x14ac:dyDescent="0.25">
      <c r="A148" s="259" t="s">
        <v>97</v>
      </c>
      <c r="B148" s="333" t="s">
        <v>973</v>
      </c>
      <c r="C148" s="487" t="s">
        <v>974</v>
      </c>
      <c r="E148" s="521">
        <f>873+21</f>
        <v>894</v>
      </c>
      <c r="G148" s="521">
        <f>1219+29</f>
        <v>1248</v>
      </c>
      <c r="H148" s="521">
        <v>34</v>
      </c>
      <c r="K148" s="521">
        <v>2200</v>
      </c>
      <c r="L148" s="521">
        <f>3960+95+64</f>
        <v>4119</v>
      </c>
      <c r="M148" s="182" t="s">
        <v>534</v>
      </c>
    </row>
    <row r="149" spans="1:13" s="521" customFormat="1" ht="18.75" customHeight="1" x14ac:dyDescent="0.25">
      <c r="A149" s="259" t="s">
        <v>97</v>
      </c>
      <c r="B149" s="333" t="s">
        <v>975</v>
      </c>
      <c r="C149" s="487"/>
      <c r="M149" s="182"/>
    </row>
    <row r="150" spans="1:13" s="189" customFormat="1" ht="18.75" customHeight="1" x14ac:dyDescent="0.25">
      <c r="A150" s="131" t="s">
        <v>97</v>
      </c>
      <c r="B150" s="207" t="s">
        <v>613</v>
      </c>
      <c r="C150" s="193" t="s">
        <v>705</v>
      </c>
      <c r="E150" s="189">
        <f>818+20</f>
        <v>838</v>
      </c>
      <c r="F150" s="189">
        <f>467+11</f>
        <v>478</v>
      </c>
      <c r="G150" s="189">
        <f>467+11</f>
        <v>478</v>
      </c>
      <c r="H150" s="189">
        <v>34</v>
      </c>
      <c r="I150" s="189">
        <f>406+10</f>
        <v>416</v>
      </c>
      <c r="K150" s="189">
        <v>2200</v>
      </c>
      <c r="L150" s="189">
        <f>3960+95+64</f>
        <v>4119</v>
      </c>
      <c r="M150" s="182" t="s">
        <v>534</v>
      </c>
    </row>
    <row r="151" spans="1:13" s="521" customFormat="1" ht="18.75" customHeight="1" x14ac:dyDescent="0.25">
      <c r="A151" s="259" t="s">
        <v>97</v>
      </c>
      <c r="B151" s="126" t="s">
        <v>978</v>
      </c>
      <c r="C151" s="487" t="s">
        <v>546</v>
      </c>
      <c r="K151" s="521">
        <v>2240</v>
      </c>
      <c r="M151" s="487" t="s">
        <v>976</v>
      </c>
    </row>
    <row r="152" spans="1:13" s="521" customFormat="1" ht="18.75" customHeight="1" x14ac:dyDescent="0.25">
      <c r="A152" s="259" t="s">
        <v>97</v>
      </c>
      <c r="B152" s="333" t="s">
        <v>980</v>
      </c>
      <c r="C152" s="487"/>
      <c r="M152" s="487"/>
    </row>
    <row r="153" spans="1:13" s="189" customFormat="1" ht="18.75" customHeight="1" x14ac:dyDescent="0.25">
      <c r="A153" s="131" t="s">
        <v>97</v>
      </c>
      <c r="B153" s="207" t="s">
        <v>635</v>
      </c>
      <c r="C153" s="193" t="s">
        <v>721</v>
      </c>
      <c r="E153" s="189">
        <f>905+22</f>
        <v>927</v>
      </c>
      <c r="G153" s="189">
        <v>34</v>
      </c>
      <c r="I153" s="189">
        <f>632+15</f>
        <v>647</v>
      </c>
      <c r="J153" s="189">
        <f>632+15</f>
        <v>647</v>
      </c>
      <c r="K153" s="189">
        <v>2280</v>
      </c>
      <c r="L153" s="189">
        <f>4104+98+64</f>
        <v>4266</v>
      </c>
      <c r="M153" s="182" t="s">
        <v>534</v>
      </c>
    </row>
    <row r="154" spans="1:13" s="521" customFormat="1" ht="18.75" customHeight="1" x14ac:dyDescent="0.25">
      <c r="A154" s="259" t="s">
        <v>97</v>
      </c>
      <c r="B154" s="333" t="s">
        <v>981</v>
      </c>
      <c r="C154" s="487"/>
      <c r="M154" s="182"/>
    </row>
    <row r="155" spans="1:13" s="189" customFormat="1" ht="18.75" customHeight="1" x14ac:dyDescent="0.25">
      <c r="A155" s="131" t="s">
        <v>97</v>
      </c>
      <c r="B155" s="191" t="s">
        <v>740</v>
      </c>
      <c r="C155" s="193" t="s">
        <v>161</v>
      </c>
      <c r="D155" s="189">
        <f>210+16</f>
        <v>226</v>
      </c>
      <c r="E155" s="189">
        <f>380+29</f>
        <v>409</v>
      </c>
      <c r="G155" s="189">
        <f>892+67</f>
        <v>959</v>
      </c>
      <c r="I155" s="189">
        <f>425+32+34</f>
        <v>491</v>
      </c>
      <c r="K155" s="189">
        <f>2300+173</f>
        <v>2473</v>
      </c>
      <c r="L155" s="189">
        <f>4140+311+64</f>
        <v>4515</v>
      </c>
      <c r="M155" s="193" t="s">
        <v>844</v>
      </c>
    </row>
    <row r="156" spans="1:13" s="189" customFormat="1" ht="18.75" customHeight="1" x14ac:dyDescent="0.25">
      <c r="A156" s="131" t="s">
        <v>97</v>
      </c>
      <c r="B156" s="191" t="s">
        <v>739</v>
      </c>
      <c r="C156" s="193" t="s">
        <v>161</v>
      </c>
      <c r="D156" s="189">
        <f>210+16</f>
        <v>226</v>
      </c>
      <c r="E156" s="189">
        <f>380+29</f>
        <v>409</v>
      </c>
      <c r="F156" s="189">
        <f>892+67</f>
        <v>959</v>
      </c>
      <c r="I156" s="189">
        <f>425+32+34</f>
        <v>491</v>
      </c>
      <c r="K156" s="189">
        <f>2300+173</f>
        <v>2473</v>
      </c>
      <c r="L156" s="189">
        <f>4140+311+64</f>
        <v>4515</v>
      </c>
      <c r="M156" s="193" t="s">
        <v>991</v>
      </c>
    </row>
    <row r="157" spans="1:13" s="189" customFormat="1" ht="18.75" customHeight="1" x14ac:dyDescent="0.25">
      <c r="A157" s="131" t="s">
        <v>97</v>
      </c>
      <c r="B157" s="191" t="s">
        <v>636</v>
      </c>
      <c r="C157" s="193" t="s">
        <v>162</v>
      </c>
      <c r="D157" s="189">
        <f>212+16</f>
        <v>228</v>
      </c>
      <c r="E157" s="189">
        <f>385+29</f>
        <v>414</v>
      </c>
      <c r="G157" s="189">
        <f>904+68</f>
        <v>972</v>
      </c>
      <c r="I157" s="189">
        <f>430+32+34</f>
        <v>496</v>
      </c>
      <c r="K157" s="189">
        <v>2330</v>
      </c>
      <c r="L157" s="189">
        <f t="shared" ref="L157:L162" si="13">4194+315+64</f>
        <v>4573</v>
      </c>
      <c r="M157" s="193"/>
    </row>
    <row r="158" spans="1:13" ht="18.75" customHeight="1" x14ac:dyDescent="0.25">
      <c r="A158" s="58" t="s">
        <v>97</v>
      </c>
      <c r="B158" s="126" t="s">
        <v>191</v>
      </c>
      <c r="C158" s="193" t="s">
        <v>161</v>
      </c>
      <c r="D158" s="22">
        <f>212+16</f>
        <v>228</v>
      </c>
      <c r="E158" s="22">
        <f>385+29</f>
        <v>414</v>
      </c>
      <c r="F158" s="22">
        <f>904+68</f>
        <v>972</v>
      </c>
      <c r="I158" s="22">
        <f>430+32+34</f>
        <v>496</v>
      </c>
      <c r="K158" s="22">
        <v>2330</v>
      </c>
      <c r="L158" s="179">
        <f t="shared" si="13"/>
        <v>4573</v>
      </c>
      <c r="M158" s="271" t="s">
        <v>865</v>
      </c>
    </row>
    <row r="159" spans="1:13" ht="18.75" customHeight="1" x14ac:dyDescent="0.25">
      <c r="A159" s="58" t="s">
        <v>97</v>
      </c>
      <c r="B159" s="326" t="s">
        <v>192</v>
      </c>
      <c r="C159" s="193" t="s">
        <v>982</v>
      </c>
      <c r="E159" s="22">
        <f>1002+38</f>
        <v>1040</v>
      </c>
      <c r="G159" s="22">
        <f>904+34</f>
        <v>938</v>
      </c>
      <c r="H159" s="22">
        <v>34</v>
      </c>
      <c r="K159" s="22">
        <v>2330</v>
      </c>
      <c r="L159" s="189">
        <f t="shared" si="13"/>
        <v>4573</v>
      </c>
    </row>
    <row r="160" spans="1:13" ht="18.75" customHeight="1" x14ac:dyDescent="0.25">
      <c r="A160" s="58" t="s">
        <v>97</v>
      </c>
      <c r="B160" s="326" t="s">
        <v>193</v>
      </c>
      <c r="C160" s="193" t="s">
        <v>983</v>
      </c>
      <c r="E160" s="22">
        <f>886+34</f>
        <v>920</v>
      </c>
      <c r="F160" s="22">
        <f>731+28</f>
        <v>759</v>
      </c>
      <c r="G160" s="22">
        <v>34</v>
      </c>
      <c r="I160" s="22">
        <f>430+16</f>
        <v>446</v>
      </c>
      <c r="K160" s="22">
        <v>2330</v>
      </c>
      <c r="L160" s="189">
        <f t="shared" si="13"/>
        <v>4573</v>
      </c>
    </row>
    <row r="161" spans="1:13" ht="18.75" customHeight="1" x14ac:dyDescent="0.25">
      <c r="A161" s="58" t="s">
        <v>97</v>
      </c>
      <c r="B161" s="326" t="s">
        <v>194</v>
      </c>
      <c r="C161" s="193" t="s">
        <v>709</v>
      </c>
      <c r="E161" s="22">
        <f>886+34</f>
        <v>920</v>
      </c>
      <c r="G161" s="22">
        <f>731+28</f>
        <v>759</v>
      </c>
      <c r="I161" s="22">
        <v>34</v>
      </c>
      <c r="J161" s="22">
        <f>430+16</f>
        <v>446</v>
      </c>
      <c r="K161" s="22">
        <v>2330</v>
      </c>
      <c r="L161" s="189">
        <f t="shared" si="13"/>
        <v>4573</v>
      </c>
    </row>
    <row r="162" spans="1:13" ht="18.75" customHeight="1" x14ac:dyDescent="0.25">
      <c r="A162" s="58" t="s">
        <v>97</v>
      </c>
      <c r="B162" s="126" t="s">
        <v>195</v>
      </c>
      <c r="C162" s="193" t="s">
        <v>162</v>
      </c>
      <c r="D162" s="22">
        <f>212+16</f>
        <v>228</v>
      </c>
      <c r="E162" s="22">
        <f>385+29</f>
        <v>414</v>
      </c>
      <c r="G162" s="22">
        <f>904+68</f>
        <v>972</v>
      </c>
      <c r="I162" s="22">
        <f>430+32+34</f>
        <v>496</v>
      </c>
      <c r="K162" s="22">
        <v>2330</v>
      </c>
      <c r="L162" s="189">
        <f t="shared" si="13"/>
        <v>4573</v>
      </c>
      <c r="M162" s="38" t="s">
        <v>837</v>
      </c>
    </row>
    <row r="163" spans="1:13" ht="18.75" customHeight="1" x14ac:dyDescent="0.25">
      <c r="A163" s="58" t="s">
        <v>97</v>
      </c>
      <c r="B163" s="126" t="s">
        <v>196</v>
      </c>
      <c r="C163" s="193" t="s">
        <v>164</v>
      </c>
      <c r="D163" s="22">
        <f>215+16</f>
        <v>231</v>
      </c>
      <c r="E163" s="22">
        <f>390+29</f>
        <v>419</v>
      </c>
      <c r="G163" s="22">
        <f>915+69</f>
        <v>984</v>
      </c>
      <c r="I163" s="22">
        <v>34</v>
      </c>
      <c r="J163" s="22">
        <f>436+33</f>
        <v>469</v>
      </c>
      <c r="K163" s="22">
        <v>2360</v>
      </c>
      <c r="L163" s="179">
        <f>4248+319+64</f>
        <v>4631</v>
      </c>
    </row>
    <row r="164" spans="1:13" s="189" customFormat="1" ht="18.75" customHeight="1" x14ac:dyDescent="0.25">
      <c r="A164" s="131" t="s">
        <v>97</v>
      </c>
      <c r="B164" s="207" t="s">
        <v>657</v>
      </c>
      <c r="C164" s="211" t="s">
        <v>710</v>
      </c>
      <c r="E164" s="189">
        <f>952+23</f>
        <v>975</v>
      </c>
      <c r="F164" s="189">
        <v>34</v>
      </c>
      <c r="J164" s="189">
        <f>1330+32</f>
        <v>1362</v>
      </c>
      <c r="K164" s="189">
        <v>2400</v>
      </c>
      <c r="L164" s="189">
        <f>4320+104+64</f>
        <v>4488</v>
      </c>
      <c r="M164" s="182" t="s">
        <v>534</v>
      </c>
    </row>
    <row r="165" spans="1:13" s="189" customFormat="1" ht="18.75" customHeight="1" x14ac:dyDescent="0.25">
      <c r="A165" s="131" t="s">
        <v>97</v>
      </c>
      <c r="B165" s="207" t="s">
        <v>658</v>
      </c>
      <c r="C165" s="211" t="s">
        <v>704</v>
      </c>
      <c r="E165" s="189">
        <f>853+20</f>
        <v>873</v>
      </c>
      <c r="G165" s="189">
        <f>886+21</f>
        <v>907</v>
      </c>
      <c r="H165" s="189">
        <v>34</v>
      </c>
      <c r="J165" s="189">
        <f>665+16</f>
        <v>681</v>
      </c>
      <c r="K165" s="189">
        <v>2520</v>
      </c>
      <c r="L165" s="189">
        <f>4320+104+64</f>
        <v>4488</v>
      </c>
      <c r="M165" s="182" t="s">
        <v>534</v>
      </c>
    </row>
    <row r="166" spans="1:13" s="189" customFormat="1" ht="18.75" customHeight="1" x14ac:dyDescent="0.25">
      <c r="A166" s="131" t="s">
        <v>97</v>
      </c>
      <c r="B166" s="207" t="s">
        <v>659</v>
      </c>
      <c r="C166" s="211" t="s">
        <v>719</v>
      </c>
      <c r="E166" s="189">
        <f>853+20</f>
        <v>873</v>
      </c>
      <c r="F166" s="189">
        <f>665+16</f>
        <v>681</v>
      </c>
      <c r="G166" s="189">
        <v>34</v>
      </c>
      <c r="I166" s="189">
        <f>443+11</f>
        <v>454</v>
      </c>
      <c r="J166" s="189">
        <f>443+11</f>
        <v>454</v>
      </c>
      <c r="K166" s="189">
        <v>2520</v>
      </c>
      <c r="L166" s="189">
        <f>4320+104+64</f>
        <v>4488</v>
      </c>
      <c r="M166" s="182" t="s">
        <v>534</v>
      </c>
    </row>
    <row r="167" spans="1:13" s="189" customFormat="1" ht="18.75" customHeight="1" x14ac:dyDescent="0.25">
      <c r="A167" s="131" t="s">
        <v>97</v>
      </c>
      <c r="B167" s="207" t="s">
        <v>660</v>
      </c>
      <c r="C167" s="211" t="s">
        <v>696</v>
      </c>
      <c r="E167" s="189">
        <f>1000+24</f>
        <v>1024</v>
      </c>
      <c r="H167" s="189">
        <v>34</v>
      </c>
      <c r="K167" s="189">
        <v>2520</v>
      </c>
      <c r="L167" s="189">
        <f>4536+109+64</f>
        <v>4709</v>
      </c>
      <c r="M167" s="182" t="s">
        <v>534</v>
      </c>
    </row>
    <row r="168" spans="1:13" s="189" customFormat="1" ht="18.75" customHeight="1" x14ac:dyDescent="0.25">
      <c r="A168" s="131" t="s">
        <v>97</v>
      </c>
      <c r="B168" s="207" t="s">
        <v>661</v>
      </c>
      <c r="C168" s="211" t="s">
        <v>716</v>
      </c>
      <c r="E168" s="189">
        <f>896+22</f>
        <v>918</v>
      </c>
      <c r="F168" s="189">
        <f>698+17</f>
        <v>715</v>
      </c>
      <c r="I168" s="189">
        <v>34</v>
      </c>
      <c r="J168" s="189">
        <f>931+22</f>
        <v>953</v>
      </c>
      <c r="K168" s="189">
        <v>2520</v>
      </c>
      <c r="L168" s="189">
        <f>4536+109+64</f>
        <v>4709</v>
      </c>
      <c r="M168" s="182" t="s">
        <v>534</v>
      </c>
    </row>
    <row r="169" spans="1:13" s="189" customFormat="1" ht="18.75" customHeight="1" x14ac:dyDescent="0.25">
      <c r="A169" s="131" t="s">
        <v>97</v>
      </c>
      <c r="B169" s="207" t="s">
        <v>662</v>
      </c>
      <c r="C169" s="211" t="s">
        <v>705</v>
      </c>
      <c r="E169" s="189">
        <f>937+22</f>
        <v>959</v>
      </c>
      <c r="F169" s="189">
        <f>535+13</f>
        <v>548</v>
      </c>
      <c r="G169" s="189">
        <f>535+13</f>
        <v>548</v>
      </c>
      <c r="H169" s="189">
        <v>34</v>
      </c>
      <c r="I169" s="189">
        <f>465+11</f>
        <v>476</v>
      </c>
      <c r="K169" s="189">
        <v>2520</v>
      </c>
      <c r="L169" s="189">
        <f>4536+109+64</f>
        <v>4709</v>
      </c>
      <c r="M169" s="182" t="s">
        <v>534</v>
      </c>
    </row>
    <row r="170" spans="1:13" s="189" customFormat="1" ht="18.75" customHeight="1" x14ac:dyDescent="0.25">
      <c r="A170" s="131" t="s">
        <v>97</v>
      </c>
      <c r="B170" s="191" t="s">
        <v>614</v>
      </c>
      <c r="C170" s="193" t="s">
        <v>161</v>
      </c>
      <c r="D170" s="189">
        <f>237+18</f>
        <v>255</v>
      </c>
      <c r="E170" s="189">
        <f>430+32</f>
        <v>462</v>
      </c>
      <c r="F170" s="189">
        <f>1008+76</f>
        <v>1084</v>
      </c>
      <c r="I170" s="189">
        <f>480+36+34</f>
        <v>550</v>
      </c>
      <c r="K170" s="189">
        <v>2600</v>
      </c>
      <c r="L170" s="189">
        <f t="shared" ref="L170:L175" si="14">4680+351+64</f>
        <v>5095</v>
      </c>
      <c r="M170" s="193" t="s">
        <v>775</v>
      </c>
    </row>
    <row r="171" spans="1:13" s="189" customFormat="1" ht="18.75" customHeight="1" x14ac:dyDescent="0.25">
      <c r="A171" s="131" t="s">
        <v>97</v>
      </c>
      <c r="B171" s="191" t="s">
        <v>615</v>
      </c>
      <c r="C171" s="193" t="s">
        <v>138</v>
      </c>
      <c r="E171" s="189">
        <f>1118+42</f>
        <v>1160</v>
      </c>
      <c r="G171" s="189">
        <f>1008+38</f>
        <v>1046</v>
      </c>
      <c r="H171" s="189">
        <v>34</v>
      </c>
      <c r="K171" s="189">
        <v>2600</v>
      </c>
      <c r="L171" s="189">
        <f t="shared" si="14"/>
        <v>5095</v>
      </c>
      <c r="M171" s="192" t="s">
        <v>789</v>
      </c>
    </row>
    <row r="172" spans="1:13" s="189" customFormat="1" ht="18.75" customHeight="1" x14ac:dyDescent="0.25">
      <c r="A172" s="131" t="s">
        <v>97</v>
      </c>
      <c r="B172" s="191" t="s">
        <v>616</v>
      </c>
      <c r="C172" s="193" t="s">
        <v>161</v>
      </c>
      <c r="E172" s="189">
        <f>989+38</f>
        <v>1027</v>
      </c>
      <c r="F172" s="189">
        <f>816+31</f>
        <v>847</v>
      </c>
      <c r="G172" s="189">
        <v>34</v>
      </c>
      <c r="I172" s="189">
        <f>480+18</f>
        <v>498</v>
      </c>
      <c r="K172" s="189">
        <v>2600</v>
      </c>
      <c r="L172" s="189">
        <f t="shared" si="14"/>
        <v>5095</v>
      </c>
      <c r="M172" s="192" t="s">
        <v>789</v>
      </c>
    </row>
    <row r="173" spans="1:13" s="189" customFormat="1" ht="18.75" customHeight="1" x14ac:dyDescent="0.25">
      <c r="A173" s="131" t="s">
        <v>97</v>
      </c>
      <c r="B173" s="191" t="s">
        <v>617</v>
      </c>
      <c r="C173" s="193" t="s">
        <v>164</v>
      </c>
      <c r="E173" s="189">
        <f>989+38</f>
        <v>1027</v>
      </c>
      <c r="G173" s="189">
        <f>816+34</f>
        <v>850</v>
      </c>
      <c r="I173" s="189">
        <v>34</v>
      </c>
      <c r="J173" s="189">
        <f>480+18</f>
        <v>498</v>
      </c>
      <c r="K173" s="189">
        <v>2600</v>
      </c>
      <c r="L173" s="189">
        <f t="shared" si="14"/>
        <v>5095</v>
      </c>
      <c r="M173" s="258" t="s">
        <v>789</v>
      </c>
    </row>
    <row r="174" spans="1:13" s="189" customFormat="1" ht="18.75" customHeight="1" x14ac:dyDescent="0.25">
      <c r="A174" s="131" t="s">
        <v>97</v>
      </c>
      <c r="B174" s="191" t="s">
        <v>618</v>
      </c>
      <c r="C174" s="193" t="s">
        <v>162</v>
      </c>
      <c r="D174" s="286">
        <f>237+18</f>
        <v>255</v>
      </c>
      <c r="E174" s="189">
        <f>430+32</f>
        <v>462</v>
      </c>
      <c r="G174" s="189">
        <f>1008+76</f>
        <v>1084</v>
      </c>
      <c r="I174" s="189">
        <f>480+36+34</f>
        <v>550</v>
      </c>
      <c r="K174" s="189">
        <v>2600</v>
      </c>
      <c r="L174" s="189">
        <f t="shared" si="14"/>
        <v>5095</v>
      </c>
      <c r="M174" s="192" t="s">
        <v>776</v>
      </c>
    </row>
    <row r="175" spans="1:13" s="189" customFormat="1" ht="18.75" customHeight="1" x14ac:dyDescent="0.25">
      <c r="A175" s="131" t="s">
        <v>97</v>
      </c>
      <c r="B175" s="191" t="s">
        <v>619</v>
      </c>
      <c r="C175" s="193" t="s">
        <v>162</v>
      </c>
      <c r="D175" s="286">
        <f>237+18</f>
        <v>255</v>
      </c>
      <c r="E175" s="189">
        <f>430+32</f>
        <v>462</v>
      </c>
      <c r="G175" s="189">
        <f>1008+76</f>
        <v>1084</v>
      </c>
      <c r="I175" s="189">
        <f>480+36+34</f>
        <v>550</v>
      </c>
      <c r="K175" s="189">
        <v>2600</v>
      </c>
      <c r="L175" s="189">
        <f t="shared" si="14"/>
        <v>5095</v>
      </c>
      <c r="M175" s="192" t="s">
        <v>837</v>
      </c>
    </row>
    <row r="176" spans="1:13" s="189" customFormat="1" ht="18.75" customHeight="1" x14ac:dyDescent="0.25">
      <c r="A176" s="131" t="s">
        <v>97</v>
      </c>
      <c r="B176" s="216" t="s">
        <v>620</v>
      </c>
      <c r="C176" s="211" t="s">
        <v>727</v>
      </c>
      <c r="D176" s="286"/>
      <c r="E176" s="189">
        <f>436+33</f>
        <v>469</v>
      </c>
      <c r="G176" s="189">
        <f>1024+77</f>
        <v>1101</v>
      </c>
      <c r="I176" s="189">
        <v>34</v>
      </c>
      <c r="J176" s="189">
        <f>488+37</f>
        <v>525</v>
      </c>
      <c r="K176" s="189">
        <v>2640</v>
      </c>
      <c r="L176" s="189">
        <f>4752+356+64</f>
        <v>5172</v>
      </c>
      <c r="M176" s="192" t="s">
        <v>562</v>
      </c>
    </row>
    <row r="177" spans="1:13" ht="18.75" customHeight="1" x14ac:dyDescent="0.25">
      <c r="A177" s="58" t="s">
        <v>99</v>
      </c>
      <c r="B177" s="196" t="s">
        <v>555</v>
      </c>
      <c r="C177" s="211" t="s">
        <v>720</v>
      </c>
      <c r="D177" s="22">
        <f>147+11</f>
        <v>158</v>
      </c>
      <c r="E177" s="22">
        <f>266+20</f>
        <v>286</v>
      </c>
      <c r="F177" s="22">
        <f>624+47+34</f>
        <v>705</v>
      </c>
      <c r="J177" s="22">
        <f>297+22</f>
        <v>319</v>
      </c>
      <c r="K177" s="22">
        <v>2300</v>
      </c>
      <c r="L177" s="179">
        <f>2898+217+64</f>
        <v>3179</v>
      </c>
      <c r="M177" s="211" t="s">
        <v>857</v>
      </c>
    </row>
    <row r="178" spans="1:13" ht="18.75" customHeight="1" x14ac:dyDescent="0.25">
      <c r="A178" s="58" t="s">
        <v>99</v>
      </c>
      <c r="B178" s="270" t="s">
        <v>220</v>
      </c>
      <c r="C178" s="193" t="s">
        <v>164</v>
      </c>
      <c r="D178" s="22">
        <f>149+11+10</f>
        <v>170</v>
      </c>
      <c r="E178" s="22">
        <f>270+20</f>
        <v>290</v>
      </c>
      <c r="G178" s="22">
        <f>632+47</f>
        <v>679</v>
      </c>
      <c r="J178" s="22">
        <f>301+23+34</f>
        <v>358</v>
      </c>
      <c r="K178" s="22">
        <v>2330</v>
      </c>
      <c r="L178" s="195">
        <f>2935+220+64</f>
        <v>3219</v>
      </c>
    </row>
    <row r="179" spans="1:13" ht="18.75" customHeight="1" x14ac:dyDescent="0.25">
      <c r="A179" s="58" t="s">
        <v>99</v>
      </c>
      <c r="B179" s="126" t="s">
        <v>221</v>
      </c>
      <c r="C179" s="193" t="s">
        <v>162</v>
      </c>
      <c r="D179" s="22">
        <f>149+11</f>
        <v>160</v>
      </c>
      <c r="E179" s="22">
        <f>270+20</f>
        <v>290</v>
      </c>
      <c r="G179" s="22">
        <f>632+47</f>
        <v>679</v>
      </c>
      <c r="I179" s="22">
        <f>301+23+34</f>
        <v>358</v>
      </c>
      <c r="K179" s="22">
        <v>2330</v>
      </c>
      <c r="L179" s="179">
        <f>2935+220+64</f>
        <v>3219</v>
      </c>
    </row>
    <row r="180" spans="1:13" ht="18.75" customHeight="1" x14ac:dyDescent="0.25">
      <c r="A180" s="58" t="s">
        <v>99</v>
      </c>
      <c r="B180" s="126" t="s">
        <v>165</v>
      </c>
      <c r="C180" s="193" t="s">
        <v>161</v>
      </c>
      <c r="D180" s="22">
        <f>150+11</f>
        <v>161</v>
      </c>
      <c r="E180" s="22">
        <f>273+20</f>
        <v>293</v>
      </c>
      <c r="F180" s="22">
        <f>641+48</f>
        <v>689</v>
      </c>
      <c r="I180" s="22">
        <f>305+23+34</f>
        <v>362</v>
      </c>
      <c r="K180" s="22">
        <v>2360</v>
      </c>
      <c r="L180" s="179">
        <f>2973+223+64</f>
        <v>3260</v>
      </c>
    </row>
    <row r="181" spans="1:13" s="189" customFormat="1" ht="18.75" customHeight="1" x14ac:dyDescent="0.25">
      <c r="A181" s="131" t="s">
        <v>99</v>
      </c>
      <c r="B181" s="333" t="s">
        <v>663</v>
      </c>
      <c r="C181" s="211" t="s">
        <v>700</v>
      </c>
      <c r="E181" s="189">
        <f>667+16</f>
        <v>683</v>
      </c>
      <c r="F181" s="189">
        <f>931+22</f>
        <v>953</v>
      </c>
      <c r="I181" s="189">
        <v>34</v>
      </c>
      <c r="K181" s="189">
        <v>2400</v>
      </c>
      <c r="L181" s="189">
        <f t="shared" ref="L181:L186" si="15">3024+73+64</f>
        <v>3161</v>
      </c>
      <c r="M181" s="182" t="s">
        <v>534</v>
      </c>
    </row>
    <row r="182" spans="1:13" s="189" customFormat="1" ht="18.75" customHeight="1" x14ac:dyDescent="0.25">
      <c r="A182" s="131" t="s">
        <v>99</v>
      </c>
      <c r="B182" s="207" t="s">
        <v>664</v>
      </c>
      <c r="C182" s="211" t="s">
        <v>721</v>
      </c>
      <c r="E182" s="189">
        <f>667+16</f>
        <v>683</v>
      </c>
      <c r="G182" s="189">
        <v>34</v>
      </c>
      <c r="I182" s="189">
        <f>465+11</f>
        <v>476</v>
      </c>
      <c r="J182" s="189">
        <f>465+11</f>
        <v>476</v>
      </c>
      <c r="K182" s="189">
        <v>2400</v>
      </c>
      <c r="L182" s="189">
        <f t="shared" si="15"/>
        <v>3161</v>
      </c>
      <c r="M182" s="182" t="s">
        <v>534</v>
      </c>
    </row>
    <row r="183" spans="1:13" s="189" customFormat="1" ht="18.75" customHeight="1" x14ac:dyDescent="0.25">
      <c r="A183" s="131" t="s">
        <v>99</v>
      </c>
      <c r="B183" s="207" t="s">
        <v>665</v>
      </c>
      <c r="C183" s="211" t="s">
        <v>712</v>
      </c>
      <c r="E183" s="189">
        <f>597+14</f>
        <v>611</v>
      </c>
      <c r="F183" s="189">
        <v>34</v>
      </c>
      <c r="G183" s="189">
        <f>465+11</f>
        <v>476</v>
      </c>
      <c r="H183" s="189">
        <f>310+7</f>
        <v>317</v>
      </c>
      <c r="J183" s="189">
        <f>310+7</f>
        <v>317</v>
      </c>
      <c r="K183" s="189">
        <v>2400</v>
      </c>
      <c r="L183" s="189">
        <f t="shared" si="15"/>
        <v>3161</v>
      </c>
      <c r="M183" s="182" t="s">
        <v>534</v>
      </c>
    </row>
    <row r="184" spans="1:13" s="189" customFormat="1" ht="18.75" customHeight="1" x14ac:dyDescent="0.25">
      <c r="A184" s="131" t="s">
        <v>99</v>
      </c>
      <c r="B184" s="207" t="s">
        <v>666</v>
      </c>
      <c r="C184" s="211" t="s">
        <v>713</v>
      </c>
      <c r="E184" s="189">
        <f>627+15</f>
        <v>642</v>
      </c>
      <c r="F184" s="189">
        <f>570+14</f>
        <v>584</v>
      </c>
      <c r="G184" s="189">
        <f>570+14</f>
        <v>584</v>
      </c>
      <c r="I184" s="189">
        <v>34</v>
      </c>
      <c r="K184" s="189">
        <v>2400</v>
      </c>
      <c r="L184" s="189">
        <f t="shared" si="15"/>
        <v>3161</v>
      </c>
      <c r="M184" s="182" t="s">
        <v>534</v>
      </c>
    </row>
    <row r="185" spans="1:13" s="189" customFormat="1" ht="18.75" customHeight="1" x14ac:dyDescent="0.25">
      <c r="A185" s="131" t="s">
        <v>99</v>
      </c>
      <c r="B185" s="207" t="s">
        <v>667</v>
      </c>
      <c r="C185" s="211" t="s">
        <v>719</v>
      </c>
      <c r="E185" s="189">
        <f>627+15</f>
        <v>642</v>
      </c>
      <c r="F185" s="189">
        <f>489+12</f>
        <v>501</v>
      </c>
      <c r="H185" s="189">
        <v>34</v>
      </c>
      <c r="I185" s="189">
        <f>326+8</f>
        <v>334</v>
      </c>
      <c r="J185" s="189">
        <f>326+8</f>
        <v>334</v>
      </c>
      <c r="K185" s="189">
        <v>2400</v>
      </c>
      <c r="L185" s="189">
        <f t="shared" si="15"/>
        <v>3161</v>
      </c>
      <c r="M185" s="182" t="s">
        <v>534</v>
      </c>
    </row>
    <row r="186" spans="1:13" s="189" customFormat="1" ht="18.75" customHeight="1" x14ac:dyDescent="0.25">
      <c r="A186" s="131" t="s">
        <v>99</v>
      </c>
      <c r="B186" s="207" t="s">
        <v>668</v>
      </c>
      <c r="C186" s="211" t="s">
        <v>703</v>
      </c>
      <c r="E186" s="189">
        <f>700+17</f>
        <v>717</v>
      </c>
      <c r="H186" s="189">
        <v>34</v>
      </c>
      <c r="I186" s="189">
        <f>977+23</f>
        <v>1000</v>
      </c>
      <c r="K186" s="189">
        <v>2400</v>
      </c>
      <c r="L186" s="189">
        <f t="shared" si="15"/>
        <v>3161</v>
      </c>
      <c r="M186" s="182" t="s">
        <v>534</v>
      </c>
    </row>
    <row r="187" spans="1:13" s="180" customFormat="1" ht="18.75" customHeight="1" x14ac:dyDescent="0.25">
      <c r="A187" s="131" t="s">
        <v>99</v>
      </c>
      <c r="B187" s="196" t="s">
        <v>814</v>
      </c>
      <c r="C187" s="211" t="s">
        <v>720</v>
      </c>
      <c r="D187" s="180">
        <f>163+12</f>
        <v>175</v>
      </c>
      <c r="E187" s="180">
        <f>296+22</f>
        <v>318</v>
      </c>
      <c r="F187" s="180">
        <f>695+52+34</f>
        <v>781</v>
      </c>
      <c r="J187" s="180">
        <f>331+25</f>
        <v>356</v>
      </c>
      <c r="K187" s="180">
        <v>2560</v>
      </c>
      <c r="L187" s="180">
        <f>3225+242+64</f>
        <v>3531</v>
      </c>
      <c r="M187" s="211" t="s">
        <v>862</v>
      </c>
    </row>
    <row r="188" spans="1:13" s="189" customFormat="1" ht="18.75" customHeight="1" x14ac:dyDescent="0.25">
      <c r="A188" s="131" t="s">
        <v>99</v>
      </c>
      <c r="B188" s="191" t="s">
        <v>609</v>
      </c>
      <c r="C188" s="193" t="s">
        <v>164</v>
      </c>
      <c r="D188" s="189">
        <f>166+12+10</f>
        <v>188</v>
      </c>
      <c r="E188" s="189">
        <f>301+23</f>
        <v>324</v>
      </c>
      <c r="G188" s="189">
        <f>706+53</f>
        <v>759</v>
      </c>
      <c r="J188" s="189">
        <f>336+25+34</f>
        <v>395</v>
      </c>
      <c r="K188" s="189">
        <f>2600</f>
        <v>2600</v>
      </c>
      <c r="L188" s="195">
        <f>3276+246+64</f>
        <v>3586</v>
      </c>
      <c r="M188" s="211" t="s">
        <v>839</v>
      </c>
    </row>
    <row r="189" spans="1:13" s="189" customFormat="1" ht="18.75" customHeight="1" x14ac:dyDescent="0.25">
      <c r="A189" s="131" t="s">
        <v>99</v>
      </c>
      <c r="B189" s="191" t="s">
        <v>610</v>
      </c>
      <c r="C189" s="193" t="s">
        <v>162</v>
      </c>
      <c r="D189" s="189">
        <f>166+12</f>
        <v>178</v>
      </c>
      <c r="E189" s="189">
        <f>301+23</f>
        <v>324</v>
      </c>
      <c r="G189" s="189">
        <f>706+53</f>
        <v>759</v>
      </c>
      <c r="I189" s="189">
        <f>366+25+34</f>
        <v>425</v>
      </c>
      <c r="K189" s="195">
        <v>2600</v>
      </c>
      <c r="L189" s="195">
        <f>3276+246+64</f>
        <v>3586</v>
      </c>
      <c r="M189" s="211" t="s">
        <v>798</v>
      </c>
    </row>
    <row r="190" spans="1:13" s="189" customFormat="1" ht="18.75" customHeight="1" x14ac:dyDescent="0.25">
      <c r="A190" s="131" t="s">
        <v>99</v>
      </c>
      <c r="B190" s="191" t="s">
        <v>611</v>
      </c>
      <c r="C190" s="193" t="s">
        <v>162</v>
      </c>
      <c r="D190" s="189">
        <f>166+12</f>
        <v>178</v>
      </c>
      <c r="E190" s="189">
        <f>301+23</f>
        <v>324</v>
      </c>
      <c r="G190" s="189">
        <f>706+53</f>
        <v>759</v>
      </c>
      <c r="I190" s="189">
        <f>336+25+34</f>
        <v>395</v>
      </c>
      <c r="K190" s="189">
        <v>2600</v>
      </c>
      <c r="L190" s="189">
        <f>3276+246+64</f>
        <v>3586</v>
      </c>
      <c r="M190" s="184"/>
    </row>
    <row r="191" spans="1:13" s="189" customFormat="1" ht="18.75" customHeight="1" x14ac:dyDescent="0.25">
      <c r="A191" s="131" t="s">
        <v>99</v>
      </c>
      <c r="B191" s="216" t="s">
        <v>612</v>
      </c>
      <c r="C191" s="211" t="s">
        <v>726</v>
      </c>
      <c r="D191" s="189">
        <f>168+13</f>
        <v>181</v>
      </c>
      <c r="E191" s="189">
        <f>306+23</f>
        <v>329</v>
      </c>
      <c r="F191" s="189">
        <f>717+54</f>
        <v>771</v>
      </c>
      <c r="I191" s="189">
        <f>341+26+34</f>
        <v>401</v>
      </c>
      <c r="K191" s="189">
        <v>2640</v>
      </c>
      <c r="L191" s="189">
        <f>3326+249+64</f>
        <v>3639</v>
      </c>
      <c r="M191" s="193" t="s">
        <v>562</v>
      </c>
    </row>
    <row r="192" spans="1:13" ht="18.75" customHeight="1" x14ac:dyDescent="0.25">
      <c r="A192" s="58" t="s">
        <v>101</v>
      </c>
      <c r="B192" s="126" t="s">
        <v>197</v>
      </c>
      <c r="C192" s="193" t="s">
        <v>162</v>
      </c>
      <c r="D192" s="22">
        <f>106+8</f>
        <v>114</v>
      </c>
      <c r="E192" s="22">
        <f>193+14</f>
        <v>207</v>
      </c>
      <c r="G192" s="22">
        <f>452+34</f>
        <v>486</v>
      </c>
      <c r="I192" s="22">
        <f>215+16</f>
        <v>231</v>
      </c>
      <c r="K192" s="22">
        <v>2330</v>
      </c>
      <c r="L192" s="179">
        <f>2097+157+32</f>
        <v>2286</v>
      </c>
      <c r="M192" s="38" t="s">
        <v>837</v>
      </c>
    </row>
    <row r="193" spans="1:13" ht="18.75" customHeight="1" x14ac:dyDescent="0.25">
      <c r="A193" s="58" t="s">
        <v>101</v>
      </c>
      <c r="B193" s="126" t="s">
        <v>198</v>
      </c>
      <c r="C193" s="193" t="s">
        <v>527</v>
      </c>
      <c r="D193" s="22">
        <f>106+8</f>
        <v>114</v>
      </c>
      <c r="E193" s="22">
        <f>193+14</f>
        <v>207</v>
      </c>
      <c r="F193" s="22">
        <f>452+34</f>
        <v>486</v>
      </c>
      <c r="J193" s="22">
        <f>215+16+34</f>
        <v>265</v>
      </c>
      <c r="K193" s="22">
        <v>2330</v>
      </c>
      <c r="L193" s="195">
        <f>2097+157+32</f>
        <v>2286</v>
      </c>
    </row>
    <row r="194" spans="1:13" ht="18.75" customHeight="1" x14ac:dyDescent="0.25">
      <c r="A194" s="58" t="s">
        <v>101</v>
      </c>
      <c r="B194" s="126" t="s">
        <v>199</v>
      </c>
      <c r="C194" s="193" t="s">
        <v>164</v>
      </c>
      <c r="D194" s="22">
        <f>106+8</f>
        <v>114</v>
      </c>
      <c r="E194" s="22">
        <f>193+14</f>
        <v>207</v>
      </c>
      <c r="G194" s="22">
        <f>452+34</f>
        <v>486</v>
      </c>
      <c r="J194" s="22">
        <f>215+16</f>
        <v>231</v>
      </c>
      <c r="K194" s="22">
        <v>2330</v>
      </c>
      <c r="L194" s="195">
        <f>2097+157+32</f>
        <v>2286</v>
      </c>
    </row>
    <row r="195" spans="1:13" ht="18.75" customHeight="1" x14ac:dyDescent="0.25">
      <c r="A195" s="58" t="s">
        <v>101</v>
      </c>
      <c r="B195" s="191" t="s">
        <v>200</v>
      </c>
      <c r="C195" s="193" t="s">
        <v>527</v>
      </c>
      <c r="D195" s="22">
        <f>107+8</f>
        <v>115</v>
      </c>
      <c r="E195" s="22">
        <f>195+15</f>
        <v>210</v>
      </c>
      <c r="F195" s="22">
        <f>458+34</f>
        <v>492</v>
      </c>
      <c r="J195" s="22">
        <f>218+34</f>
        <v>252</v>
      </c>
      <c r="K195" s="22">
        <v>2360</v>
      </c>
      <c r="L195" s="179">
        <f>2124+159+32</f>
        <v>2315</v>
      </c>
    </row>
    <row r="196" spans="1:13" s="189" customFormat="1" ht="18.75" customHeight="1" x14ac:dyDescent="0.25">
      <c r="A196" s="131" t="s">
        <v>101</v>
      </c>
      <c r="B196" s="207" t="s">
        <v>669</v>
      </c>
      <c r="C196" s="211" t="s">
        <v>710</v>
      </c>
      <c r="E196" s="189">
        <f>476+11</f>
        <v>487</v>
      </c>
      <c r="F196" s="189">
        <v>34</v>
      </c>
      <c r="J196" s="189">
        <f>665+16</f>
        <v>681</v>
      </c>
      <c r="K196" s="189">
        <v>2400</v>
      </c>
      <c r="L196" s="189">
        <f>2160+52+32</f>
        <v>2244</v>
      </c>
      <c r="M196" s="182" t="s">
        <v>534</v>
      </c>
    </row>
    <row r="197" spans="1:13" s="189" customFormat="1" ht="18.75" customHeight="1" x14ac:dyDescent="0.25">
      <c r="A197" s="131" t="s">
        <v>101</v>
      </c>
      <c r="B197" s="207" t="s">
        <v>670</v>
      </c>
      <c r="C197" s="211" t="s">
        <v>716</v>
      </c>
      <c r="E197" s="189">
        <f>427+10</f>
        <v>437</v>
      </c>
      <c r="F197" s="189">
        <f>332+8</f>
        <v>340</v>
      </c>
      <c r="I197" s="189">
        <v>34</v>
      </c>
      <c r="J197" s="189">
        <f>443+11</f>
        <v>454</v>
      </c>
      <c r="K197" s="189">
        <v>2400</v>
      </c>
      <c r="L197" s="189">
        <f>2160+52+32</f>
        <v>2244</v>
      </c>
      <c r="M197" s="182" t="s">
        <v>534</v>
      </c>
    </row>
    <row r="198" spans="1:13" s="189" customFormat="1" ht="18.75" customHeight="1" x14ac:dyDescent="0.25">
      <c r="A198" s="131" t="s">
        <v>101</v>
      </c>
      <c r="B198" s="207" t="s">
        <v>671</v>
      </c>
      <c r="C198" s="211" t="s">
        <v>702</v>
      </c>
      <c r="E198" s="189">
        <f>446+11</f>
        <v>457</v>
      </c>
      <c r="F198" s="189">
        <v>34</v>
      </c>
      <c r="G198" s="189">
        <f>288+7</f>
        <v>295</v>
      </c>
      <c r="I198" s="189">
        <f>222+5</f>
        <v>227</v>
      </c>
      <c r="J198" s="189">
        <f>222+5</f>
        <v>227</v>
      </c>
      <c r="K198" s="189">
        <v>2400</v>
      </c>
      <c r="L198" s="189">
        <f>2160+52+32</f>
        <v>2244</v>
      </c>
      <c r="M198" s="182" t="s">
        <v>534</v>
      </c>
    </row>
    <row r="199" spans="1:13" s="189" customFormat="1" ht="18.75" customHeight="1" x14ac:dyDescent="0.25">
      <c r="A199" s="131" t="s">
        <v>101</v>
      </c>
      <c r="B199" s="191" t="s">
        <v>631</v>
      </c>
      <c r="C199" s="193" t="s">
        <v>527</v>
      </c>
      <c r="D199" s="189">
        <f>113+8</f>
        <v>121</v>
      </c>
      <c r="E199" s="189">
        <f>205+15</f>
        <v>220</v>
      </c>
      <c r="F199" s="189">
        <f>481+36</f>
        <v>517</v>
      </c>
      <c r="J199" s="189">
        <f>229+17+34</f>
        <v>280</v>
      </c>
      <c r="K199" s="189">
        <v>2400</v>
      </c>
      <c r="L199" s="189">
        <f>2160+52+32</f>
        <v>2244</v>
      </c>
      <c r="M199" s="193" t="s">
        <v>608</v>
      </c>
    </row>
    <row r="200" spans="1:13" s="189" customFormat="1" ht="18.75" customHeight="1" x14ac:dyDescent="0.25">
      <c r="A200" s="131" t="s">
        <v>101</v>
      </c>
      <c r="B200" s="207" t="s">
        <v>672</v>
      </c>
      <c r="C200" s="211" t="s">
        <v>696</v>
      </c>
      <c r="E200" s="189">
        <f>500+12</f>
        <v>512</v>
      </c>
      <c r="G200" s="189">
        <f>698+17</f>
        <v>715</v>
      </c>
      <c r="H200" s="189">
        <v>34</v>
      </c>
      <c r="K200" s="189">
        <v>2520</v>
      </c>
      <c r="L200" s="189">
        <f>2268+54+32</f>
        <v>2354</v>
      </c>
      <c r="M200" s="182" t="s">
        <v>534</v>
      </c>
    </row>
    <row r="201" spans="1:13" s="189" customFormat="1" ht="18.75" customHeight="1" x14ac:dyDescent="0.25">
      <c r="A201" s="131" t="s">
        <v>101</v>
      </c>
      <c r="B201" s="207" t="s">
        <v>673</v>
      </c>
      <c r="C201" s="211" t="s">
        <v>721</v>
      </c>
      <c r="E201" s="195">
        <f>500+12</f>
        <v>512</v>
      </c>
      <c r="G201" s="189">
        <v>34</v>
      </c>
      <c r="I201" s="195">
        <f>349+8</f>
        <v>357</v>
      </c>
      <c r="J201" s="195">
        <f>349+8</f>
        <v>357</v>
      </c>
      <c r="K201" s="189">
        <v>2520</v>
      </c>
      <c r="L201" s="189">
        <f>2268+54+32</f>
        <v>2354</v>
      </c>
      <c r="M201" s="182" t="s">
        <v>534</v>
      </c>
    </row>
    <row r="202" spans="1:13" s="189" customFormat="1" ht="18.75" customHeight="1" x14ac:dyDescent="0.25">
      <c r="A202" s="131" t="s">
        <v>101</v>
      </c>
      <c r="B202" s="207" t="s">
        <v>674</v>
      </c>
      <c r="C202" s="211" t="s">
        <v>717</v>
      </c>
      <c r="E202" s="189">
        <f>448+11</f>
        <v>459</v>
      </c>
      <c r="F202" s="189">
        <v>34</v>
      </c>
      <c r="G202" s="189">
        <f>349+8</f>
        <v>357</v>
      </c>
      <c r="H202" s="189">
        <f>233+6</f>
        <v>239</v>
      </c>
      <c r="I202" s="189">
        <f>233+6</f>
        <v>239</v>
      </c>
      <c r="K202" s="189">
        <v>2520</v>
      </c>
      <c r="L202" s="189">
        <f>2268+54+32</f>
        <v>2354</v>
      </c>
      <c r="M202" s="182" t="s">
        <v>534</v>
      </c>
    </row>
    <row r="203" spans="1:13" s="189" customFormat="1" ht="18.75" customHeight="1" x14ac:dyDescent="0.25">
      <c r="A203" s="131" t="s">
        <v>101</v>
      </c>
      <c r="B203" s="191" t="s">
        <v>604</v>
      </c>
      <c r="C203" s="193" t="s">
        <v>162</v>
      </c>
      <c r="D203" s="189">
        <f>118+9</f>
        <v>127</v>
      </c>
      <c r="E203" s="189">
        <f>215+16</f>
        <v>231</v>
      </c>
      <c r="G203" s="189">
        <f>504+38</f>
        <v>542</v>
      </c>
      <c r="I203" s="189">
        <f>240+18</f>
        <v>258</v>
      </c>
      <c r="K203" s="189">
        <v>2600</v>
      </c>
      <c r="L203" s="189">
        <f>2340+176+32</f>
        <v>2548</v>
      </c>
      <c r="M203" s="184"/>
    </row>
    <row r="204" spans="1:13" s="189" customFormat="1" ht="18.75" customHeight="1" x14ac:dyDescent="0.25">
      <c r="A204" s="131" t="s">
        <v>101</v>
      </c>
      <c r="B204" s="191" t="s">
        <v>605</v>
      </c>
      <c r="C204" s="193" t="s">
        <v>527</v>
      </c>
      <c r="D204" s="189">
        <f>118+9</f>
        <v>127</v>
      </c>
      <c r="E204" s="189">
        <f>215+16</f>
        <v>231</v>
      </c>
      <c r="F204" s="189">
        <f>504+38</f>
        <v>542</v>
      </c>
      <c r="J204" s="189">
        <f>240+18+34</f>
        <v>292</v>
      </c>
      <c r="K204" s="189">
        <v>2600</v>
      </c>
      <c r="L204" s="189">
        <f>2340+176+32</f>
        <v>2548</v>
      </c>
      <c r="M204" s="193" t="s">
        <v>788</v>
      </c>
    </row>
    <row r="205" spans="1:13" s="189" customFormat="1" ht="18.75" customHeight="1" x14ac:dyDescent="0.25">
      <c r="A205" s="131" t="s">
        <v>101</v>
      </c>
      <c r="B205" s="191" t="s">
        <v>606</v>
      </c>
      <c r="C205" s="193" t="s">
        <v>164</v>
      </c>
      <c r="D205" s="189">
        <f>118+9</f>
        <v>127</v>
      </c>
      <c r="E205" s="189">
        <f>215+16</f>
        <v>231</v>
      </c>
      <c r="G205" s="189">
        <f>504+38</f>
        <v>542</v>
      </c>
      <c r="J205" s="189">
        <f>240+18</f>
        <v>258</v>
      </c>
      <c r="K205" s="189">
        <v>2600</v>
      </c>
      <c r="L205" s="189">
        <f>2340+176+32</f>
        <v>2548</v>
      </c>
      <c r="M205" s="193" t="s">
        <v>790</v>
      </c>
    </row>
    <row r="206" spans="1:13" s="189" customFormat="1" ht="18.75" customHeight="1" x14ac:dyDescent="0.25">
      <c r="A206" s="131" t="s">
        <v>101</v>
      </c>
      <c r="B206" s="191" t="s">
        <v>634</v>
      </c>
      <c r="C206" s="193" t="s">
        <v>527</v>
      </c>
      <c r="D206" s="189">
        <f>120+9</f>
        <v>129</v>
      </c>
      <c r="E206" s="189">
        <f>218+16</f>
        <v>234</v>
      </c>
      <c r="F206" s="189">
        <f>512+38</f>
        <v>550</v>
      </c>
      <c r="J206" s="189">
        <f>244+18</f>
        <v>262</v>
      </c>
      <c r="K206" s="189">
        <f>2640</f>
        <v>2640</v>
      </c>
      <c r="L206" s="189">
        <f>2376+178+32</f>
        <v>2586</v>
      </c>
      <c r="M206" s="193" t="s">
        <v>607</v>
      </c>
    </row>
    <row r="207" spans="1:13" s="172" customFormat="1" ht="18.75" customHeight="1" x14ac:dyDescent="0.25">
      <c r="A207" s="131" t="s">
        <v>103</v>
      </c>
      <c r="B207" s="174" t="s">
        <v>516</v>
      </c>
      <c r="C207" s="193" t="s">
        <v>546</v>
      </c>
      <c r="D207" s="172">
        <f>96+7</f>
        <v>103</v>
      </c>
      <c r="E207" s="172">
        <f>269+20</f>
        <v>289</v>
      </c>
      <c r="I207" s="172">
        <f>194+15</f>
        <v>209</v>
      </c>
      <c r="J207" s="172">
        <f>194+15</f>
        <v>209</v>
      </c>
      <c r="K207" s="189">
        <v>2100</v>
      </c>
      <c r="L207" s="179"/>
      <c r="M207" s="173" t="s">
        <v>815</v>
      </c>
    </row>
    <row r="208" spans="1:13" s="189" customFormat="1" ht="18.75" customHeight="1" x14ac:dyDescent="0.25">
      <c r="A208" s="131" t="s">
        <v>103</v>
      </c>
      <c r="B208" s="191" t="s">
        <v>596</v>
      </c>
      <c r="C208" s="193" t="s">
        <v>164</v>
      </c>
      <c r="D208" s="189">
        <f>106+8</f>
        <v>114</v>
      </c>
      <c r="E208" s="189">
        <f>193+14</f>
        <v>207</v>
      </c>
      <c r="G208" s="189">
        <f>452+34</f>
        <v>486</v>
      </c>
      <c r="J208" s="189">
        <f>215+16</f>
        <v>231</v>
      </c>
      <c r="K208" s="189">
        <v>2330</v>
      </c>
      <c r="L208" s="189">
        <f>2097+157+32</f>
        <v>2286</v>
      </c>
      <c r="M208" s="184"/>
    </row>
    <row r="209" spans="1:14" ht="18.75" customHeight="1" x14ac:dyDescent="0.25">
      <c r="A209" s="58" t="s">
        <v>103</v>
      </c>
      <c r="B209" s="126" t="s">
        <v>201</v>
      </c>
      <c r="C209" s="193" t="s">
        <v>162</v>
      </c>
      <c r="D209" s="22">
        <f>106+8+10</f>
        <v>124</v>
      </c>
      <c r="E209" s="22">
        <f>193+14</f>
        <v>207</v>
      </c>
      <c r="G209" s="22">
        <f>452+34</f>
        <v>486</v>
      </c>
      <c r="I209" s="22">
        <f>215+16</f>
        <v>231</v>
      </c>
      <c r="K209" s="22">
        <v>2330</v>
      </c>
      <c r="L209" s="195">
        <f>2097+157+32</f>
        <v>2286</v>
      </c>
      <c r="M209" s="184" t="s">
        <v>837</v>
      </c>
    </row>
    <row r="210" spans="1:14" ht="18.75" customHeight="1" x14ac:dyDescent="0.25">
      <c r="A210" s="58" t="s">
        <v>103</v>
      </c>
      <c r="B210" s="126" t="s">
        <v>222</v>
      </c>
      <c r="C210" s="193" t="s">
        <v>161</v>
      </c>
      <c r="D210" s="22">
        <f>106+8+10</f>
        <v>124</v>
      </c>
      <c r="E210" s="22">
        <f>193+14</f>
        <v>207</v>
      </c>
      <c r="F210" s="22">
        <f>452+34</f>
        <v>486</v>
      </c>
      <c r="I210" s="22">
        <f>215+16</f>
        <v>231</v>
      </c>
      <c r="K210" s="22">
        <v>2330</v>
      </c>
      <c r="L210" s="195">
        <f>2097+157+32</f>
        <v>2286</v>
      </c>
      <c r="M210" s="192" t="s">
        <v>785</v>
      </c>
    </row>
    <row r="211" spans="1:14" ht="18.75" customHeight="1" x14ac:dyDescent="0.25">
      <c r="A211" s="58" t="s">
        <v>103</v>
      </c>
      <c r="B211" s="126" t="s">
        <v>202</v>
      </c>
      <c r="C211" s="193" t="s">
        <v>527</v>
      </c>
      <c r="D211" s="22">
        <f>106+8</f>
        <v>114</v>
      </c>
      <c r="E211" s="22">
        <f>193+14</f>
        <v>207</v>
      </c>
      <c r="F211" s="22">
        <f>452+34</f>
        <v>486</v>
      </c>
      <c r="J211" s="22">
        <f>215+16</f>
        <v>231</v>
      </c>
      <c r="K211" s="22">
        <v>2330</v>
      </c>
      <c r="L211" s="195">
        <f>2097+157+32</f>
        <v>2286</v>
      </c>
      <c r="M211" s="192" t="s">
        <v>791</v>
      </c>
    </row>
    <row r="212" spans="1:14" ht="18.75" customHeight="1" x14ac:dyDescent="0.25">
      <c r="A212" s="58" t="s">
        <v>103</v>
      </c>
      <c r="B212" s="205" t="s">
        <v>203</v>
      </c>
      <c r="C212" s="211" t="s">
        <v>722</v>
      </c>
      <c r="D212" s="22">
        <f>106+4</f>
        <v>110</v>
      </c>
      <c r="E212" s="22">
        <f>193+7</f>
        <v>200</v>
      </c>
      <c r="G212" s="22">
        <f>452+17</f>
        <v>469</v>
      </c>
      <c r="J212" s="22">
        <f>215+8+34</f>
        <v>257</v>
      </c>
      <c r="K212" s="22">
        <v>2330</v>
      </c>
      <c r="L212" s="195">
        <f>2097+157+32</f>
        <v>2286</v>
      </c>
      <c r="M212" s="211" t="s">
        <v>847</v>
      </c>
      <c r="N212" s="210" t="s">
        <v>848</v>
      </c>
    </row>
    <row r="213" spans="1:14" ht="18.75" customHeight="1" x14ac:dyDescent="0.25">
      <c r="A213" s="58" t="s">
        <v>103</v>
      </c>
      <c r="B213" s="191" t="s">
        <v>632</v>
      </c>
      <c r="C213" s="193" t="s">
        <v>162</v>
      </c>
      <c r="D213" s="22">
        <f>107+8+10</f>
        <v>125</v>
      </c>
      <c r="E213" s="22">
        <f>195+15</f>
        <v>210</v>
      </c>
      <c r="G213" s="22">
        <f>458+34</f>
        <v>492</v>
      </c>
      <c r="I213" s="22">
        <f>218+16</f>
        <v>234</v>
      </c>
      <c r="K213" s="22">
        <v>2360</v>
      </c>
      <c r="L213" s="179">
        <f>2124+159+32</f>
        <v>2315</v>
      </c>
      <c r="M213" s="193" t="s">
        <v>597</v>
      </c>
    </row>
    <row r="214" spans="1:14" s="189" customFormat="1" ht="18.75" customHeight="1" x14ac:dyDescent="0.25">
      <c r="A214" s="131" t="s">
        <v>103</v>
      </c>
      <c r="B214" s="207" t="s">
        <v>675</v>
      </c>
      <c r="C214" s="211" t="s">
        <v>703</v>
      </c>
      <c r="E214" s="189">
        <f>476+11</f>
        <v>487</v>
      </c>
      <c r="G214" s="189">
        <v>34</v>
      </c>
      <c r="I214" s="189">
        <f>665+16</f>
        <v>681</v>
      </c>
      <c r="K214" s="189">
        <v>2400</v>
      </c>
      <c r="L214" s="189">
        <f>2160+52+32</f>
        <v>2244</v>
      </c>
      <c r="M214" s="182" t="s">
        <v>534</v>
      </c>
    </row>
    <row r="215" spans="1:14" s="189" customFormat="1" ht="18.75" customHeight="1" x14ac:dyDescent="0.25">
      <c r="A215" s="131" t="s">
        <v>103</v>
      </c>
      <c r="B215" s="207" t="s">
        <v>676</v>
      </c>
      <c r="C215" s="211" t="s">
        <v>713</v>
      </c>
      <c r="E215" s="189">
        <f>427+10</f>
        <v>437</v>
      </c>
      <c r="F215" s="189">
        <f>388+9</f>
        <v>397</v>
      </c>
      <c r="G215" s="189">
        <f>388+9</f>
        <v>397</v>
      </c>
      <c r="I215" s="189">
        <v>34</v>
      </c>
      <c r="K215" s="189">
        <v>2400</v>
      </c>
      <c r="L215" s="189">
        <f>2160+52+32</f>
        <v>2244</v>
      </c>
      <c r="M215" s="182" t="s">
        <v>534</v>
      </c>
    </row>
    <row r="216" spans="1:14" s="189" customFormat="1" ht="18.75" customHeight="1" x14ac:dyDescent="0.25">
      <c r="A216" s="131" t="s">
        <v>103</v>
      </c>
      <c r="B216" s="207" t="s">
        <v>677</v>
      </c>
      <c r="C216" s="211" t="s">
        <v>714</v>
      </c>
      <c r="E216" s="189">
        <f>446+11</f>
        <v>457</v>
      </c>
      <c r="F216" s="189">
        <f>255+6</f>
        <v>261</v>
      </c>
      <c r="G216" s="189">
        <f>255+6</f>
        <v>261</v>
      </c>
      <c r="H216" s="189">
        <f>222+5</f>
        <v>227</v>
      </c>
      <c r="K216" s="189">
        <v>2400</v>
      </c>
      <c r="L216" s="189">
        <f>2160+52+32</f>
        <v>2244</v>
      </c>
      <c r="M216" s="182" t="s">
        <v>534</v>
      </c>
    </row>
    <row r="217" spans="1:14" s="189" customFormat="1" ht="18.75" customHeight="1" x14ac:dyDescent="0.25">
      <c r="A217" s="131" t="s">
        <v>103</v>
      </c>
      <c r="B217" s="191" t="s">
        <v>633</v>
      </c>
      <c r="C217" s="193" t="s">
        <v>162</v>
      </c>
      <c r="D217" s="189">
        <f>113+8+10</f>
        <v>131</v>
      </c>
      <c r="E217" s="189">
        <f>205+15</f>
        <v>220</v>
      </c>
      <c r="G217" s="189">
        <f>481+36</f>
        <v>517</v>
      </c>
      <c r="I217" s="189">
        <f>229+17</f>
        <v>246</v>
      </c>
      <c r="K217" s="189">
        <v>2480</v>
      </c>
      <c r="L217" s="189">
        <f>2232+167+32</f>
        <v>2431</v>
      </c>
      <c r="M217" s="193" t="s">
        <v>608</v>
      </c>
    </row>
    <row r="218" spans="1:14" s="189" customFormat="1" ht="18.75" customHeight="1" x14ac:dyDescent="0.25">
      <c r="A218" s="131" t="s">
        <v>103</v>
      </c>
      <c r="B218" s="207" t="s">
        <v>678</v>
      </c>
      <c r="C218" s="211" t="s">
        <v>700</v>
      </c>
      <c r="E218" s="189">
        <f>500+12</f>
        <v>512</v>
      </c>
      <c r="F218" s="189">
        <f>698+17</f>
        <v>715</v>
      </c>
      <c r="I218" s="189">
        <v>34</v>
      </c>
      <c r="K218" s="189">
        <v>2520</v>
      </c>
      <c r="L218" s="189">
        <f>2268+54+32</f>
        <v>2354</v>
      </c>
      <c r="M218" s="182" t="s">
        <v>534</v>
      </c>
    </row>
    <row r="219" spans="1:14" s="189" customFormat="1" ht="18.75" customHeight="1" x14ac:dyDescent="0.25">
      <c r="A219" s="131" t="s">
        <v>103</v>
      </c>
      <c r="B219" s="207" t="s">
        <v>679</v>
      </c>
      <c r="C219" s="211" t="s">
        <v>704</v>
      </c>
      <c r="E219" s="189">
        <f>448+11</f>
        <v>459</v>
      </c>
      <c r="G219" s="189">
        <f>465+11</f>
        <v>476</v>
      </c>
      <c r="H219" s="189">
        <v>34</v>
      </c>
      <c r="J219" s="189">
        <f>349+8</f>
        <v>357</v>
      </c>
      <c r="K219" s="189">
        <v>2520</v>
      </c>
      <c r="L219" s="189">
        <f>2268+54+32</f>
        <v>2354</v>
      </c>
      <c r="M219" s="182" t="s">
        <v>534</v>
      </c>
    </row>
    <row r="220" spans="1:14" s="189" customFormat="1" ht="18.75" customHeight="1" x14ac:dyDescent="0.25">
      <c r="A220" s="131" t="s">
        <v>103</v>
      </c>
      <c r="B220" s="207" t="s">
        <v>680</v>
      </c>
      <c r="C220" s="211" t="s">
        <v>698</v>
      </c>
      <c r="E220" s="189">
        <f>469+11</f>
        <v>480</v>
      </c>
      <c r="F220" s="189">
        <f>268+6</f>
        <v>274</v>
      </c>
      <c r="G220" s="189">
        <f>268+6</f>
        <v>274</v>
      </c>
      <c r="H220" s="189">
        <v>34</v>
      </c>
      <c r="J220" s="189">
        <f>233+6</f>
        <v>239</v>
      </c>
      <c r="K220" s="189">
        <v>2520</v>
      </c>
      <c r="L220" s="189">
        <f>2268+54+32</f>
        <v>2354</v>
      </c>
      <c r="M220" s="182" t="s">
        <v>534</v>
      </c>
    </row>
    <row r="221" spans="1:14" s="189" customFormat="1" ht="18.75" customHeight="1" x14ac:dyDescent="0.25">
      <c r="A221" s="131" t="s">
        <v>103</v>
      </c>
      <c r="B221" s="191" t="s">
        <v>599</v>
      </c>
      <c r="C221" s="193" t="s">
        <v>162</v>
      </c>
      <c r="D221" s="189">
        <f>118+9+10</f>
        <v>137</v>
      </c>
      <c r="E221" s="189">
        <f>215+16</f>
        <v>231</v>
      </c>
      <c r="G221" s="189">
        <f>504+38</f>
        <v>542</v>
      </c>
      <c r="I221" s="189">
        <f>240+18</f>
        <v>258</v>
      </c>
      <c r="K221" s="189">
        <v>2600</v>
      </c>
      <c r="L221" s="189">
        <f>2340+176+32</f>
        <v>2548</v>
      </c>
      <c r="M221" s="193"/>
    </row>
    <row r="222" spans="1:14" s="189" customFormat="1" ht="18.75" customHeight="1" x14ac:dyDescent="0.25">
      <c r="A222" s="131" t="s">
        <v>103</v>
      </c>
      <c r="B222" s="191" t="s">
        <v>600</v>
      </c>
      <c r="C222" s="193" t="s">
        <v>164</v>
      </c>
      <c r="D222" s="189">
        <f>118+9</f>
        <v>127</v>
      </c>
      <c r="E222" s="189">
        <f>215+16</f>
        <v>231</v>
      </c>
      <c r="G222" s="189">
        <f>504+38</f>
        <v>542</v>
      </c>
      <c r="J222" s="189">
        <f>240+18+34</f>
        <v>292</v>
      </c>
      <c r="K222" s="189">
        <v>2600</v>
      </c>
      <c r="L222" s="189">
        <f>2340+176+32</f>
        <v>2548</v>
      </c>
      <c r="M222" s="193"/>
    </row>
    <row r="223" spans="1:14" s="189" customFormat="1" ht="18.75" customHeight="1" x14ac:dyDescent="0.25">
      <c r="A223" s="131" t="s">
        <v>103</v>
      </c>
      <c r="B223" s="191" t="s">
        <v>603</v>
      </c>
      <c r="C223" s="193" t="s">
        <v>161</v>
      </c>
      <c r="D223" s="189">
        <f>118+9+10</f>
        <v>137</v>
      </c>
      <c r="E223" s="189">
        <f>215+16</f>
        <v>231</v>
      </c>
      <c r="F223" s="189">
        <f>504+38</f>
        <v>542</v>
      </c>
      <c r="I223" s="189">
        <f>240+18</f>
        <v>258</v>
      </c>
      <c r="K223" s="189">
        <v>2600</v>
      </c>
      <c r="L223" s="189">
        <f>2340+176+32</f>
        <v>2548</v>
      </c>
      <c r="M223" s="193" t="s">
        <v>790</v>
      </c>
    </row>
    <row r="224" spans="1:14" s="189" customFormat="1" ht="18.75" customHeight="1" x14ac:dyDescent="0.25">
      <c r="A224" s="131" t="s">
        <v>103</v>
      </c>
      <c r="B224" s="191" t="s">
        <v>601</v>
      </c>
      <c r="C224" s="193" t="s">
        <v>162</v>
      </c>
      <c r="D224" s="189">
        <f>118+9+10</f>
        <v>137</v>
      </c>
      <c r="G224" s="189">
        <f>504+38</f>
        <v>542</v>
      </c>
      <c r="I224" s="189">
        <f>240+18</f>
        <v>258</v>
      </c>
      <c r="K224" s="189">
        <v>2600</v>
      </c>
      <c r="L224" s="189">
        <f>2340+176+32</f>
        <v>2548</v>
      </c>
      <c r="M224" s="193" t="s">
        <v>792</v>
      </c>
    </row>
    <row r="225" spans="1:13" s="189" customFormat="1" ht="18.75" customHeight="1" x14ac:dyDescent="0.25">
      <c r="A225" s="131" t="s">
        <v>103</v>
      </c>
      <c r="B225" s="205" t="s">
        <v>602</v>
      </c>
      <c r="C225" s="211" t="s">
        <v>723</v>
      </c>
      <c r="D225" s="189">
        <f>118+4</f>
        <v>122</v>
      </c>
      <c r="E225" s="189">
        <f>215+8</f>
        <v>223</v>
      </c>
      <c r="F225" s="189">
        <f>504+19</f>
        <v>523</v>
      </c>
      <c r="J225" s="189">
        <f>240+9</f>
        <v>249</v>
      </c>
      <c r="K225" s="189">
        <v>2600</v>
      </c>
      <c r="L225" s="189">
        <f>2340+89+32</f>
        <v>2461</v>
      </c>
      <c r="M225" s="258" t="s">
        <v>793</v>
      </c>
    </row>
    <row r="226" spans="1:13" s="189" customFormat="1" ht="18.75" customHeight="1" x14ac:dyDescent="0.25">
      <c r="A226" s="131" t="s">
        <v>103</v>
      </c>
      <c r="B226" s="191" t="s">
        <v>598</v>
      </c>
      <c r="C226" s="193" t="s">
        <v>162</v>
      </c>
      <c r="D226" s="189">
        <f>120+9+10</f>
        <v>139</v>
      </c>
      <c r="E226" s="189">
        <f>218+16</f>
        <v>234</v>
      </c>
      <c r="G226" s="189">
        <f>512+38</f>
        <v>550</v>
      </c>
      <c r="I226" s="189">
        <f>244+18</f>
        <v>262</v>
      </c>
      <c r="K226" s="189">
        <v>2640</v>
      </c>
      <c r="L226" s="189">
        <f>2376+178+32</f>
        <v>2586</v>
      </c>
      <c r="M226" s="193" t="s">
        <v>607</v>
      </c>
    </row>
    <row r="227" spans="1:13" s="172" customFormat="1" ht="18.75" customHeight="1" x14ac:dyDescent="0.25">
      <c r="A227" s="131" t="s">
        <v>105</v>
      </c>
      <c r="B227" s="174" t="s">
        <v>517</v>
      </c>
      <c r="C227" s="193" t="s">
        <v>546</v>
      </c>
      <c r="D227" s="172">
        <f>89+7</f>
        <v>96</v>
      </c>
      <c r="E227" s="172">
        <f>250+19</f>
        <v>269</v>
      </c>
      <c r="I227" s="172">
        <f>180+14</f>
        <v>194</v>
      </c>
      <c r="J227" s="172">
        <f>180+14</f>
        <v>194</v>
      </c>
      <c r="K227" s="172">
        <v>1950</v>
      </c>
      <c r="L227" s="179"/>
      <c r="M227" s="158"/>
    </row>
    <row r="228" spans="1:13" s="132" customFormat="1" ht="18.75" customHeight="1" x14ac:dyDescent="0.25">
      <c r="A228" s="131" t="s">
        <v>105</v>
      </c>
      <c r="B228" s="143" t="s">
        <v>491</v>
      </c>
      <c r="C228" s="193" t="s">
        <v>161</v>
      </c>
      <c r="D228" s="132">
        <f>97+7</f>
        <v>104</v>
      </c>
      <c r="E228" s="132">
        <f>176+13</f>
        <v>189</v>
      </c>
      <c r="F228" s="132">
        <f>413+31</f>
        <v>444</v>
      </c>
      <c r="I228" s="132">
        <f>197+15</f>
        <v>212</v>
      </c>
      <c r="K228" s="132">
        <v>2130</v>
      </c>
      <c r="L228" s="179"/>
      <c r="M228" s="128"/>
    </row>
    <row r="229" spans="1:13" s="132" customFormat="1" ht="18.75" customHeight="1" x14ac:dyDescent="0.25">
      <c r="A229" s="131" t="s">
        <v>105</v>
      </c>
      <c r="B229" s="143" t="s">
        <v>490</v>
      </c>
      <c r="C229" s="193" t="s">
        <v>164</v>
      </c>
      <c r="D229" s="132">
        <f>97+7</f>
        <v>104</v>
      </c>
      <c r="E229" s="132">
        <f>176+13</f>
        <v>189</v>
      </c>
      <c r="G229" s="132">
        <f>413+31</f>
        <v>444</v>
      </c>
      <c r="J229" s="132">
        <f>197+15</f>
        <v>212</v>
      </c>
      <c r="K229" s="132">
        <v>2130</v>
      </c>
      <c r="L229" s="179"/>
      <c r="M229" s="211"/>
    </row>
    <row r="230" spans="1:13" s="189" customFormat="1" ht="18.75" customHeight="1" x14ac:dyDescent="0.25">
      <c r="A230" s="131" t="s">
        <v>105</v>
      </c>
      <c r="B230" s="191" t="s">
        <v>588</v>
      </c>
      <c r="C230" s="193" t="s">
        <v>527</v>
      </c>
      <c r="D230" s="189">
        <f>106+8</f>
        <v>114</v>
      </c>
      <c r="E230" s="189">
        <f>193+14</f>
        <v>207</v>
      </c>
      <c r="F230" s="189">
        <f>452+34</f>
        <v>486</v>
      </c>
      <c r="J230" s="189">
        <f>215+16</f>
        <v>231</v>
      </c>
      <c r="K230" s="189">
        <v>2330</v>
      </c>
      <c r="L230" s="189">
        <f t="shared" ref="L230:L236" si="16">2097+157</f>
        <v>2254</v>
      </c>
      <c r="M230" s="193" t="s">
        <v>794</v>
      </c>
    </row>
    <row r="231" spans="1:13" ht="18.75" customHeight="1" x14ac:dyDescent="0.25">
      <c r="A231" s="58" t="s">
        <v>105</v>
      </c>
      <c r="B231" s="126" t="s">
        <v>223</v>
      </c>
      <c r="C231" s="193" t="s">
        <v>162</v>
      </c>
      <c r="D231" s="22">
        <f>106+8</f>
        <v>114</v>
      </c>
      <c r="E231" s="22">
        <f>193+14</f>
        <v>207</v>
      </c>
      <c r="G231" s="22">
        <f>452+34</f>
        <v>486</v>
      </c>
      <c r="I231" s="22">
        <f>215+16</f>
        <v>231</v>
      </c>
      <c r="K231" s="22">
        <v>2330</v>
      </c>
      <c r="L231" s="189">
        <f t="shared" si="16"/>
        <v>2254</v>
      </c>
      <c r="M231" s="193" t="s">
        <v>837</v>
      </c>
    </row>
    <row r="232" spans="1:13" ht="18.75" customHeight="1" x14ac:dyDescent="0.25">
      <c r="A232" s="58" t="s">
        <v>105</v>
      </c>
      <c r="B232" s="126" t="s">
        <v>204</v>
      </c>
      <c r="C232" s="193" t="s">
        <v>161</v>
      </c>
      <c r="D232" s="22">
        <f>106+8</f>
        <v>114</v>
      </c>
      <c r="E232" s="22">
        <f>193+14</f>
        <v>207</v>
      </c>
      <c r="F232" s="22">
        <f>452+34</f>
        <v>486</v>
      </c>
      <c r="I232" s="22">
        <f>215+16</f>
        <v>231</v>
      </c>
      <c r="K232" s="22">
        <v>2330</v>
      </c>
      <c r="L232" s="189">
        <f t="shared" si="16"/>
        <v>2254</v>
      </c>
      <c r="M232" s="192" t="s">
        <v>791</v>
      </c>
    </row>
    <row r="233" spans="1:13" ht="18.75" customHeight="1" x14ac:dyDescent="0.25">
      <c r="A233" s="58" t="s">
        <v>105</v>
      </c>
      <c r="B233" s="126" t="s">
        <v>224</v>
      </c>
      <c r="C233" s="193" t="s">
        <v>164</v>
      </c>
      <c r="D233" s="22">
        <f>106+8</f>
        <v>114</v>
      </c>
      <c r="E233" s="22">
        <f>193+14</f>
        <v>207</v>
      </c>
      <c r="G233" s="22">
        <f>452+34</f>
        <v>486</v>
      </c>
      <c r="J233" s="22">
        <f>215+16</f>
        <v>231</v>
      </c>
      <c r="K233" s="22">
        <v>2330</v>
      </c>
      <c r="L233" s="189">
        <f t="shared" si="16"/>
        <v>2254</v>
      </c>
      <c r="M233" s="192" t="s">
        <v>781</v>
      </c>
    </row>
    <row r="234" spans="1:13" ht="18.75" customHeight="1" x14ac:dyDescent="0.25">
      <c r="A234" s="58" t="s">
        <v>105</v>
      </c>
      <c r="B234" s="214" t="s">
        <v>225</v>
      </c>
      <c r="C234" s="211" t="s">
        <v>724</v>
      </c>
      <c r="E234" s="22">
        <f>424+16</f>
        <v>440</v>
      </c>
      <c r="F234" s="22">
        <f>624+24</f>
        <v>648</v>
      </c>
      <c r="K234" s="22">
        <v>2330</v>
      </c>
      <c r="L234" s="189">
        <f t="shared" si="16"/>
        <v>2254</v>
      </c>
      <c r="M234" s="211" t="s">
        <v>849</v>
      </c>
    </row>
    <row r="235" spans="1:13" ht="18.75" customHeight="1" x14ac:dyDescent="0.25">
      <c r="A235" s="58" t="s">
        <v>105</v>
      </c>
      <c r="B235" s="214" t="s">
        <v>226</v>
      </c>
      <c r="C235" s="211" t="s">
        <v>708</v>
      </c>
      <c r="E235" s="22">
        <f>443+17</f>
        <v>460</v>
      </c>
      <c r="F235" s="22">
        <f>366+14</f>
        <v>380</v>
      </c>
      <c r="I235" s="22">
        <f>215+8</f>
        <v>223</v>
      </c>
      <c r="K235" s="22">
        <v>2330</v>
      </c>
      <c r="L235" s="189">
        <f t="shared" si="16"/>
        <v>2254</v>
      </c>
      <c r="M235" s="211" t="s">
        <v>849</v>
      </c>
    </row>
    <row r="236" spans="1:13" ht="18.75" customHeight="1" x14ac:dyDescent="0.25">
      <c r="A236" s="58" t="s">
        <v>105</v>
      </c>
      <c r="B236" s="214" t="s">
        <v>205</v>
      </c>
      <c r="C236" s="211" t="s">
        <v>709</v>
      </c>
      <c r="E236" s="22">
        <f>443+17</f>
        <v>460</v>
      </c>
      <c r="G236" s="22">
        <f>366+14</f>
        <v>380</v>
      </c>
      <c r="J236" s="22">
        <f>215+8</f>
        <v>223</v>
      </c>
      <c r="K236" s="22">
        <v>2330</v>
      </c>
      <c r="L236" s="189">
        <f t="shared" si="16"/>
        <v>2254</v>
      </c>
      <c r="M236" s="211" t="s">
        <v>849</v>
      </c>
    </row>
    <row r="237" spans="1:13" s="189" customFormat="1" ht="18.75" customHeight="1" x14ac:dyDescent="0.25">
      <c r="A237" s="131" t="s">
        <v>105</v>
      </c>
      <c r="B237" s="191" t="s">
        <v>589</v>
      </c>
      <c r="C237" s="193" t="s">
        <v>164</v>
      </c>
      <c r="E237" s="189">
        <f>494+19</f>
        <v>513</v>
      </c>
      <c r="G237" s="189">
        <f>408+16</f>
        <v>424</v>
      </c>
      <c r="J237" s="189">
        <f>240+9</f>
        <v>249</v>
      </c>
      <c r="K237" s="189">
        <v>2600</v>
      </c>
      <c r="L237" s="189">
        <f>2340+89</f>
        <v>2429</v>
      </c>
      <c r="M237" s="192" t="s">
        <v>795</v>
      </c>
    </row>
    <row r="238" spans="1:13" s="189" customFormat="1" ht="18.75" customHeight="1" x14ac:dyDescent="0.25">
      <c r="A238" s="131" t="s">
        <v>105</v>
      </c>
      <c r="B238" s="191" t="s">
        <v>590</v>
      </c>
      <c r="C238" s="193" t="s">
        <v>162</v>
      </c>
      <c r="D238" s="189">
        <f>118+9</f>
        <v>127</v>
      </c>
      <c r="E238" s="189">
        <f>215+16</f>
        <v>231</v>
      </c>
      <c r="G238" s="189">
        <f>504+38</f>
        <v>542</v>
      </c>
      <c r="I238" s="189">
        <f>240+18</f>
        <v>258</v>
      </c>
      <c r="K238" s="189">
        <v>2600</v>
      </c>
      <c r="L238" s="189">
        <f>2340+89</f>
        <v>2429</v>
      </c>
      <c r="M238" s="193" t="s">
        <v>837</v>
      </c>
    </row>
    <row r="239" spans="1:13" s="189" customFormat="1" ht="18.75" customHeight="1" x14ac:dyDescent="0.25">
      <c r="A239" s="131" t="s">
        <v>105</v>
      </c>
      <c r="B239" s="191" t="s">
        <v>591</v>
      </c>
      <c r="C239" s="193" t="s">
        <v>527</v>
      </c>
      <c r="D239" s="189">
        <f>118+9</f>
        <v>127</v>
      </c>
      <c r="E239" s="189">
        <f>215+16</f>
        <v>231</v>
      </c>
      <c r="F239" s="189">
        <f>504+38</f>
        <v>542</v>
      </c>
      <c r="J239" s="189">
        <f>240+18</f>
        <v>258</v>
      </c>
      <c r="K239" s="189">
        <v>2600</v>
      </c>
      <c r="L239" s="189">
        <f>2340+89</f>
        <v>2429</v>
      </c>
      <c r="M239" s="211" t="s">
        <v>776</v>
      </c>
    </row>
    <row r="240" spans="1:13" s="189" customFormat="1" ht="18.75" customHeight="1" x14ac:dyDescent="0.25">
      <c r="A240" s="131" t="s">
        <v>105</v>
      </c>
      <c r="B240" s="191" t="s">
        <v>592</v>
      </c>
      <c r="C240" s="193" t="s">
        <v>161</v>
      </c>
      <c r="D240" s="189">
        <f>118+9</f>
        <v>127</v>
      </c>
      <c r="E240" s="189">
        <f>215+16</f>
        <v>231</v>
      </c>
      <c r="F240" s="189">
        <f>504+38</f>
        <v>542</v>
      </c>
      <c r="I240" s="189">
        <f>240+18</f>
        <v>258</v>
      </c>
      <c r="K240" s="189">
        <v>2600</v>
      </c>
      <c r="L240" s="189">
        <f>2340+89</f>
        <v>2429</v>
      </c>
      <c r="M240" s="193" t="s">
        <v>792</v>
      </c>
    </row>
    <row r="241" spans="1:13" s="189" customFormat="1" ht="18.75" customHeight="1" x14ac:dyDescent="0.25">
      <c r="A241" s="131" t="s">
        <v>105</v>
      </c>
      <c r="B241" s="191" t="s">
        <v>593</v>
      </c>
      <c r="C241" s="193" t="s">
        <v>164</v>
      </c>
      <c r="D241" s="189">
        <f>118+9</f>
        <v>127</v>
      </c>
      <c r="E241" s="189">
        <f>215+16</f>
        <v>231</v>
      </c>
      <c r="G241" s="189">
        <f>504+38</f>
        <v>542</v>
      </c>
      <c r="J241" s="189">
        <f>240+18</f>
        <v>258</v>
      </c>
      <c r="K241" s="189">
        <v>2600</v>
      </c>
      <c r="L241" s="189">
        <f>2340+176</f>
        <v>2516</v>
      </c>
      <c r="M241" s="193" t="s">
        <v>775</v>
      </c>
    </row>
    <row r="242" spans="1:13" s="189" customFormat="1" ht="18.75" customHeight="1" x14ac:dyDescent="0.25">
      <c r="A242" s="131" t="s">
        <v>105</v>
      </c>
      <c r="B242" s="214" t="s">
        <v>594</v>
      </c>
      <c r="C242" s="211" t="s">
        <v>724</v>
      </c>
      <c r="E242" s="189">
        <f>473+18</f>
        <v>491</v>
      </c>
      <c r="F242" s="189">
        <f>696+26</f>
        <v>722</v>
      </c>
      <c r="K242" s="189">
        <v>2600</v>
      </c>
      <c r="L242" s="189">
        <f>2340+176</f>
        <v>2516</v>
      </c>
      <c r="M242" s="192" t="s">
        <v>795</v>
      </c>
    </row>
    <row r="243" spans="1:13" s="189" customFormat="1" ht="18.75" customHeight="1" x14ac:dyDescent="0.25">
      <c r="A243" s="131" t="s">
        <v>105</v>
      </c>
      <c r="B243" s="214" t="s">
        <v>595</v>
      </c>
      <c r="C243" s="211" t="s">
        <v>708</v>
      </c>
      <c r="E243" s="189">
        <f>494+19</f>
        <v>513</v>
      </c>
      <c r="F243" s="189">
        <f>408+16</f>
        <v>424</v>
      </c>
      <c r="I243" s="189">
        <f>240+9</f>
        <v>249</v>
      </c>
      <c r="K243" s="189">
        <v>2600</v>
      </c>
      <c r="L243" s="189">
        <f>2340+176</f>
        <v>2516</v>
      </c>
      <c r="M243" s="192" t="s">
        <v>795</v>
      </c>
    </row>
    <row r="244" spans="1:13" s="176" customFormat="1" ht="18.75" customHeight="1" x14ac:dyDescent="0.25">
      <c r="A244" s="131" t="s">
        <v>107</v>
      </c>
      <c r="B244" s="177" t="s">
        <v>520</v>
      </c>
      <c r="C244" s="193" t="s">
        <v>527</v>
      </c>
      <c r="D244" s="176">
        <v>130</v>
      </c>
      <c r="E244" s="176">
        <v>248</v>
      </c>
      <c r="F244" s="176">
        <v>550</v>
      </c>
      <c r="J244" s="176">
        <v>262</v>
      </c>
      <c r="K244" s="176">
        <v>2230</v>
      </c>
      <c r="L244" s="179">
        <f>2408+181+32</f>
        <v>2621</v>
      </c>
      <c r="M244" s="193" t="s">
        <v>584</v>
      </c>
    </row>
    <row r="245" spans="1:13" ht="18.75" customHeight="1" x14ac:dyDescent="0.25">
      <c r="A245" s="58" t="s">
        <v>107</v>
      </c>
      <c r="B245" s="126" t="s">
        <v>206</v>
      </c>
      <c r="C245" s="193" t="s">
        <v>161</v>
      </c>
      <c r="D245" s="22">
        <v>137</v>
      </c>
      <c r="E245" s="22">
        <f>231+17</f>
        <v>248</v>
      </c>
      <c r="F245" s="22">
        <f>542+41</f>
        <v>583</v>
      </c>
      <c r="I245" s="22">
        <f>258+19</f>
        <v>277</v>
      </c>
      <c r="K245" s="22">
        <v>2330</v>
      </c>
      <c r="L245" s="179">
        <f>2516+189+32</f>
        <v>2737</v>
      </c>
    </row>
    <row r="246" spans="1:13" ht="18.75" customHeight="1" x14ac:dyDescent="0.25">
      <c r="A246" s="58" t="s">
        <v>107</v>
      </c>
      <c r="B246" s="126" t="s">
        <v>227</v>
      </c>
      <c r="C246" s="193" t="s">
        <v>162</v>
      </c>
      <c r="D246" s="195" t="s">
        <v>630</v>
      </c>
      <c r="E246" s="22">
        <f>231+17</f>
        <v>248</v>
      </c>
      <c r="G246" s="22">
        <f>542+41</f>
        <v>583</v>
      </c>
      <c r="I246" s="22">
        <f>258+19</f>
        <v>277</v>
      </c>
      <c r="K246" s="22">
        <v>2330</v>
      </c>
      <c r="L246" s="195">
        <f>2516+189+32</f>
        <v>2737</v>
      </c>
      <c r="M246" s="38" t="s">
        <v>837</v>
      </c>
    </row>
    <row r="247" spans="1:13" ht="18.75" customHeight="1" x14ac:dyDescent="0.25">
      <c r="A247" s="58" t="s">
        <v>107</v>
      </c>
      <c r="B247" s="126" t="s">
        <v>228</v>
      </c>
      <c r="C247" s="193" t="s">
        <v>164</v>
      </c>
      <c r="D247" s="22">
        <f>127+10</f>
        <v>137</v>
      </c>
      <c r="E247" s="22">
        <f>231+17</f>
        <v>248</v>
      </c>
      <c r="G247" s="22">
        <f>542+41+34</f>
        <v>617</v>
      </c>
      <c r="J247" s="22">
        <f>258+19</f>
        <v>277</v>
      </c>
      <c r="K247" s="22">
        <v>2330</v>
      </c>
      <c r="L247" s="195">
        <f>2516+189+32</f>
        <v>2737</v>
      </c>
    </row>
    <row r="248" spans="1:13" s="189" customFormat="1" ht="18.75" customHeight="1" x14ac:dyDescent="0.25">
      <c r="A248" s="131" t="s">
        <v>107</v>
      </c>
      <c r="B248" s="207" t="s">
        <v>681</v>
      </c>
      <c r="C248" s="211" t="s">
        <v>696</v>
      </c>
      <c r="E248" s="189">
        <f>571+14</f>
        <v>585</v>
      </c>
      <c r="G248" s="189">
        <f>798+19</f>
        <v>817</v>
      </c>
      <c r="H248" s="189">
        <v>34</v>
      </c>
      <c r="K248" s="189">
        <v>2400</v>
      </c>
      <c r="L248" s="189">
        <f t="shared" ref="L248:L253" si="17">2592+62+32</f>
        <v>2686</v>
      </c>
      <c r="M248" s="182" t="s">
        <v>534</v>
      </c>
    </row>
    <row r="249" spans="1:13" s="189" customFormat="1" ht="18.75" customHeight="1" x14ac:dyDescent="0.25">
      <c r="A249" s="131" t="s">
        <v>107</v>
      </c>
      <c r="B249" s="207" t="s">
        <v>682</v>
      </c>
      <c r="C249" s="211" t="s">
        <v>711</v>
      </c>
      <c r="E249" s="189">
        <f>536+13</f>
        <v>549</v>
      </c>
      <c r="F249" s="189">
        <f>558+13</f>
        <v>571</v>
      </c>
      <c r="I249" s="189">
        <f>319+8</f>
        <v>327</v>
      </c>
      <c r="K249" s="189">
        <v>2400</v>
      </c>
      <c r="L249" s="189">
        <f t="shared" si="17"/>
        <v>2686</v>
      </c>
      <c r="M249" s="182" t="s">
        <v>534</v>
      </c>
    </row>
    <row r="250" spans="1:13" s="189" customFormat="1" ht="18.75" customHeight="1" x14ac:dyDescent="0.25">
      <c r="A250" s="131" t="s">
        <v>107</v>
      </c>
      <c r="B250" s="207" t="s">
        <v>683</v>
      </c>
      <c r="C250" s="211" t="s">
        <v>705</v>
      </c>
      <c r="E250" s="189">
        <f>536+13</f>
        <v>549</v>
      </c>
      <c r="F250" s="189">
        <f>306+7</f>
        <v>313</v>
      </c>
      <c r="G250" s="189">
        <f>306+7</f>
        <v>313</v>
      </c>
      <c r="H250" s="189">
        <v>34</v>
      </c>
      <c r="I250" s="189">
        <f>266+6</f>
        <v>272</v>
      </c>
      <c r="K250" s="189">
        <v>2400</v>
      </c>
      <c r="L250" s="189">
        <f t="shared" si="17"/>
        <v>2686</v>
      </c>
      <c r="M250" s="182" t="s">
        <v>534</v>
      </c>
    </row>
    <row r="251" spans="1:13" s="189" customFormat="1" ht="18.75" customHeight="1" x14ac:dyDescent="0.25">
      <c r="A251" s="131" t="s">
        <v>107</v>
      </c>
      <c r="B251" s="207" t="s">
        <v>684</v>
      </c>
      <c r="C251" s="211" t="s">
        <v>710</v>
      </c>
      <c r="E251" s="189">
        <f>600+14</f>
        <v>614</v>
      </c>
      <c r="J251" s="189">
        <f>838+20</f>
        <v>858</v>
      </c>
      <c r="K251" s="189">
        <v>2400</v>
      </c>
      <c r="L251" s="189">
        <f t="shared" si="17"/>
        <v>2686</v>
      </c>
      <c r="M251" s="182" t="s">
        <v>534</v>
      </c>
    </row>
    <row r="252" spans="1:13" s="189" customFormat="1" ht="18.75" customHeight="1" x14ac:dyDescent="0.25">
      <c r="A252" s="131" t="s">
        <v>107</v>
      </c>
      <c r="B252" s="207" t="s">
        <v>685</v>
      </c>
      <c r="C252" s="211" t="s">
        <v>697</v>
      </c>
      <c r="E252" s="189">
        <f>537+13</f>
        <v>550</v>
      </c>
      <c r="G252" s="189">
        <f>335+8</f>
        <v>343</v>
      </c>
      <c r="H252" s="189">
        <v>34</v>
      </c>
      <c r="I252" s="189">
        <f>642+15</f>
        <v>657</v>
      </c>
      <c r="K252" s="189">
        <v>2400</v>
      </c>
      <c r="L252" s="189">
        <f t="shared" si="17"/>
        <v>2686</v>
      </c>
      <c r="M252" s="182" t="s">
        <v>534</v>
      </c>
    </row>
    <row r="253" spans="1:13" s="189" customFormat="1" ht="18.75" customHeight="1" x14ac:dyDescent="0.25">
      <c r="A253" s="131" t="s">
        <v>107</v>
      </c>
      <c r="B253" s="207" t="s">
        <v>686</v>
      </c>
      <c r="C253" s="211" t="s">
        <v>714</v>
      </c>
      <c r="E253" s="189">
        <f>562+13</f>
        <v>575</v>
      </c>
      <c r="F253" s="189">
        <f>321+8</f>
        <v>329</v>
      </c>
      <c r="G253" s="189">
        <f>321+8</f>
        <v>329</v>
      </c>
      <c r="H253" s="189">
        <f>279+7</f>
        <v>286</v>
      </c>
      <c r="I253" s="189">
        <v>34</v>
      </c>
      <c r="K253" s="189">
        <v>2400</v>
      </c>
      <c r="L253" s="189">
        <f t="shared" si="17"/>
        <v>2686</v>
      </c>
      <c r="M253" s="182" t="s">
        <v>534</v>
      </c>
    </row>
    <row r="254" spans="1:13" s="189" customFormat="1" ht="18.75" customHeight="1" x14ac:dyDescent="0.25">
      <c r="A254" s="131" t="s">
        <v>107</v>
      </c>
      <c r="B254" s="191" t="s">
        <v>585</v>
      </c>
      <c r="C254" s="193" t="s">
        <v>164</v>
      </c>
      <c r="E254" s="189">
        <f>258+19</f>
        <v>277</v>
      </c>
      <c r="G254" s="189">
        <f>605+45+34</f>
        <v>684</v>
      </c>
      <c r="J254" s="189">
        <f>288+22</f>
        <v>310</v>
      </c>
      <c r="K254" s="189">
        <f>2600</f>
        <v>2600</v>
      </c>
      <c r="L254" s="189">
        <f>2808+211+32</f>
        <v>3051</v>
      </c>
      <c r="M254" s="193" t="s">
        <v>796</v>
      </c>
    </row>
    <row r="255" spans="1:13" s="189" customFormat="1" ht="18.75" customHeight="1" x14ac:dyDescent="0.25">
      <c r="A255" s="131" t="s">
        <v>107</v>
      </c>
      <c r="B255" s="191" t="s">
        <v>586</v>
      </c>
      <c r="C255" s="211" t="s">
        <v>161</v>
      </c>
      <c r="D255" s="189">
        <f>142+11+10</f>
        <v>163</v>
      </c>
      <c r="E255" s="189">
        <f>258+19</f>
        <v>277</v>
      </c>
      <c r="F255" s="189">
        <f>605+45</f>
        <v>650</v>
      </c>
      <c r="I255" s="189">
        <f>288+22</f>
        <v>310</v>
      </c>
      <c r="K255" s="189">
        <f>2600</f>
        <v>2600</v>
      </c>
      <c r="L255" s="189">
        <f>2808+211+32</f>
        <v>3051</v>
      </c>
      <c r="M255" s="192" t="s">
        <v>797</v>
      </c>
    </row>
    <row r="256" spans="1:13" s="189" customFormat="1" ht="18.75" customHeight="1" x14ac:dyDescent="0.25">
      <c r="A256" s="131" t="s">
        <v>107</v>
      </c>
      <c r="B256" s="191" t="s">
        <v>587</v>
      </c>
      <c r="C256" s="193" t="s">
        <v>162</v>
      </c>
      <c r="D256" s="189">
        <f>142+11+10</f>
        <v>163</v>
      </c>
      <c r="E256" s="189">
        <f>258+19</f>
        <v>277</v>
      </c>
      <c r="G256" s="189">
        <f>605+45</f>
        <v>650</v>
      </c>
      <c r="I256" s="189">
        <f>288+22</f>
        <v>310</v>
      </c>
      <c r="K256" s="189">
        <f>2600</f>
        <v>2600</v>
      </c>
      <c r="L256" s="189">
        <f>2808+211+32</f>
        <v>3051</v>
      </c>
      <c r="M256" s="192" t="s">
        <v>837</v>
      </c>
    </row>
    <row r="257" spans="1:14" s="25" customFormat="1" ht="18.75" customHeight="1" x14ac:dyDescent="0.25">
      <c r="A257" s="58" t="s">
        <v>109</v>
      </c>
      <c r="B257" s="126" t="s">
        <v>816</v>
      </c>
      <c r="C257" s="193" t="s">
        <v>527</v>
      </c>
      <c r="D257" s="25">
        <f>230+17+10</f>
        <v>257</v>
      </c>
      <c r="E257" s="25">
        <f>792+59+15</f>
        <v>866</v>
      </c>
      <c r="F257" s="25">
        <f>977+73+34</f>
        <v>1084</v>
      </c>
      <c r="J257" s="25">
        <f>465+35</f>
        <v>500</v>
      </c>
      <c r="K257" s="189">
        <v>2100</v>
      </c>
      <c r="L257" s="179"/>
      <c r="M257" s="38" t="s">
        <v>1002</v>
      </c>
    </row>
    <row r="258" spans="1:14" s="189" customFormat="1" ht="18.75" customHeight="1" x14ac:dyDescent="0.25">
      <c r="A258" s="131" t="s">
        <v>109</v>
      </c>
      <c r="B258" s="191" t="s">
        <v>817</v>
      </c>
      <c r="C258" s="193" t="s">
        <v>162</v>
      </c>
      <c r="D258" s="189">
        <f>251+19+10</f>
        <v>280</v>
      </c>
      <c r="E258" s="189">
        <f>868+25+15</f>
        <v>908</v>
      </c>
      <c r="F258" s="189">
        <v>34</v>
      </c>
      <c r="G258" s="189">
        <f>1070+80</f>
        <v>1150</v>
      </c>
      <c r="I258" s="189">
        <f>510+38</f>
        <v>548</v>
      </c>
      <c r="K258" s="189">
        <v>2300</v>
      </c>
      <c r="L258" s="189">
        <f>4968+373+96</f>
        <v>5437</v>
      </c>
      <c r="M258" s="184"/>
    </row>
    <row r="259" spans="1:14" s="189" customFormat="1" ht="18.75" customHeight="1" x14ac:dyDescent="0.25">
      <c r="A259" s="131" t="s">
        <v>109</v>
      </c>
      <c r="B259" s="191" t="s">
        <v>818</v>
      </c>
      <c r="C259" s="193" t="s">
        <v>527</v>
      </c>
      <c r="D259" s="189">
        <f>251+19+10</f>
        <v>280</v>
      </c>
      <c r="E259" s="189">
        <f>868+25+15</f>
        <v>908</v>
      </c>
      <c r="F259" s="189">
        <f>1070+80+34</f>
        <v>1184</v>
      </c>
      <c r="J259" s="189">
        <f>510+38</f>
        <v>548</v>
      </c>
      <c r="K259" s="189">
        <v>2300</v>
      </c>
      <c r="L259" s="189">
        <f>4968+373+96</f>
        <v>5437</v>
      </c>
      <c r="M259" s="184" t="s">
        <v>1003</v>
      </c>
    </row>
    <row r="260" spans="1:14" ht="18.75" customHeight="1" x14ac:dyDescent="0.25">
      <c r="A260" s="58" t="s">
        <v>109</v>
      </c>
      <c r="B260" s="126" t="s">
        <v>207</v>
      </c>
      <c r="C260" s="193" t="s">
        <v>161</v>
      </c>
      <c r="D260" s="22">
        <f>255+19+10</f>
        <v>284</v>
      </c>
      <c r="E260" s="22">
        <f>879+66+15</f>
        <v>960</v>
      </c>
      <c r="F260" s="22">
        <f>1084+81+34</f>
        <v>1199</v>
      </c>
      <c r="I260" s="22">
        <f>516+39</f>
        <v>555</v>
      </c>
      <c r="K260" s="22">
        <v>2330</v>
      </c>
      <c r="L260" s="189">
        <f>5032+377+96</f>
        <v>5505</v>
      </c>
      <c r="M260" s="38" t="s">
        <v>837</v>
      </c>
    </row>
    <row r="261" spans="1:14" ht="18.75" customHeight="1" x14ac:dyDescent="0.25">
      <c r="A261" s="58" t="s">
        <v>109</v>
      </c>
      <c r="B261" s="126" t="s">
        <v>208</v>
      </c>
      <c r="C261" s="193" t="s">
        <v>161</v>
      </c>
      <c r="D261" s="22">
        <f>255+19+10</f>
        <v>284</v>
      </c>
      <c r="E261" s="22">
        <f>879+66+15</f>
        <v>960</v>
      </c>
      <c r="F261" s="22">
        <f>1084+81+34</f>
        <v>1199</v>
      </c>
      <c r="I261" s="22">
        <f>516+39</f>
        <v>555</v>
      </c>
      <c r="K261" s="22">
        <v>2330</v>
      </c>
      <c r="L261" s="189">
        <f>5032+377+96</f>
        <v>5505</v>
      </c>
    </row>
    <row r="262" spans="1:14" s="189" customFormat="1" ht="18.75" customHeight="1" x14ac:dyDescent="0.25">
      <c r="A262" s="131" t="s">
        <v>109</v>
      </c>
      <c r="B262" s="191" t="s">
        <v>578</v>
      </c>
      <c r="C262" s="193" t="s">
        <v>164</v>
      </c>
      <c r="D262" s="189">
        <f>255+19+10</f>
        <v>284</v>
      </c>
      <c r="E262" s="189">
        <f>879+66</f>
        <v>945</v>
      </c>
      <c r="G262" s="189">
        <f>1084+81+34</f>
        <v>1199</v>
      </c>
      <c r="H262" s="189">
        <v>34</v>
      </c>
      <c r="J262" s="189">
        <f>516+39</f>
        <v>555</v>
      </c>
      <c r="K262" s="189">
        <v>2330</v>
      </c>
      <c r="L262" s="189">
        <f>5032+377+96</f>
        <v>5505</v>
      </c>
      <c r="M262" s="211" t="s">
        <v>850</v>
      </c>
    </row>
    <row r="263" spans="1:14" ht="18.75" customHeight="1" x14ac:dyDescent="0.25">
      <c r="A263" s="58" t="s">
        <v>109</v>
      </c>
      <c r="B263" s="215" t="s">
        <v>209</v>
      </c>
      <c r="C263" s="211" t="s">
        <v>722</v>
      </c>
      <c r="D263" s="22">
        <f>255+10+10</f>
        <v>275</v>
      </c>
      <c r="E263" s="22">
        <f>879+33</f>
        <v>912</v>
      </c>
      <c r="G263" s="22">
        <f>1084+41+34</f>
        <v>1159</v>
      </c>
      <c r="H263" s="22">
        <v>34</v>
      </c>
      <c r="J263" s="22">
        <f>516+20</f>
        <v>536</v>
      </c>
      <c r="K263" s="22">
        <v>2330</v>
      </c>
      <c r="L263" s="179">
        <f>5032+377+96</f>
        <v>5505</v>
      </c>
      <c r="M263" s="211" t="s">
        <v>838</v>
      </c>
      <c r="N263" s="285" t="s">
        <v>871</v>
      </c>
    </row>
    <row r="264" spans="1:14" ht="18.75" customHeight="1" x14ac:dyDescent="0.25">
      <c r="A264" s="58" t="s">
        <v>109</v>
      </c>
      <c r="B264" s="126" t="s">
        <v>210</v>
      </c>
      <c r="C264" s="193" t="s">
        <v>162</v>
      </c>
      <c r="D264" s="22">
        <f>258+19</f>
        <v>277</v>
      </c>
      <c r="E264" s="22">
        <f>890+67+15</f>
        <v>972</v>
      </c>
      <c r="F264" s="22">
        <v>34</v>
      </c>
      <c r="G264" s="22">
        <f>1098+82</f>
        <v>1180</v>
      </c>
      <c r="I264" s="22">
        <f>523+39</f>
        <v>562</v>
      </c>
      <c r="K264" s="22">
        <v>2360</v>
      </c>
      <c r="L264" s="179">
        <f>5097+382+96</f>
        <v>5575</v>
      </c>
      <c r="M264" s="191" t="s">
        <v>562</v>
      </c>
    </row>
    <row r="265" spans="1:14" s="189" customFormat="1" ht="18.75" customHeight="1" x14ac:dyDescent="0.25">
      <c r="A265" s="131" t="s">
        <v>109</v>
      </c>
      <c r="B265" s="191" t="s">
        <v>579</v>
      </c>
      <c r="C265" s="193" t="s">
        <v>164</v>
      </c>
      <c r="D265" s="189">
        <f>284+21+10</f>
        <v>315</v>
      </c>
      <c r="E265" s="189">
        <f>981+74</f>
        <v>1055</v>
      </c>
      <c r="G265" s="189">
        <f>1210+91+34</f>
        <v>1335</v>
      </c>
      <c r="H265" s="189">
        <v>34</v>
      </c>
      <c r="J265" s="189">
        <f>576+43</f>
        <v>619</v>
      </c>
      <c r="K265" s="189">
        <v>2600</v>
      </c>
      <c r="L265" s="189">
        <f>5616+421+96</f>
        <v>6133</v>
      </c>
      <c r="M265" s="191" t="s">
        <v>851</v>
      </c>
    </row>
    <row r="266" spans="1:14" s="189" customFormat="1" ht="18.75" customHeight="1" x14ac:dyDescent="0.25">
      <c r="A266" s="131" t="s">
        <v>109</v>
      </c>
      <c r="B266" s="191" t="s">
        <v>580</v>
      </c>
      <c r="C266" s="193" t="s">
        <v>161</v>
      </c>
      <c r="D266" s="189">
        <f>284+21+10</f>
        <v>315</v>
      </c>
      <c r="E266" s="189">
        <f>981+74+15</f>
        <v>1070</v>
      </c>
      <c r="F266" s="189">
        <f>1210+91+34</f>
        <v>1335</v>
      </c>
      <c r="I266" s="189">
        <f>576+43</f>
        <v>619</v>
      </c>
      <c r="K266" s="189">
        <v>2600</v>
      </c>
      <c r="L266" s="189">
        <f>5616+421+96</f>
        <v>6133</v>
      </c>
      <c r="M266" s="191" t="s">
        <v>851</v>
      </c>
    </row>
    <row r="267" spans="1:14" s="189" customFormat="1" ht="18.75" customHeight="1" x14ac:dyDescent="0.25">
      <c r="A267" s="131" t="s">
        <v>109</v>
      </c>
      <c r="B267" s="215" t="s">
        <v>581</v>
      </c>
      <c r="C267" s="211" t="s">
        <v>723</v>
      </c>
      <c r="D267" s="189">
        <f>284+11+10</f>
        <v>305</v>
      </c>
      <c r="E267" s="189">
        <f>981+37+15</f>
        <v>1033</v>
      </c>
      <c r="F267" s="189">
        <f>1210+46+34</f>
        <v>1290</v>
      </c>
      <c r="J267" s="189">
        <f>576+22</f>
        <v>598</v>
      </c>
      <c r="K267" s="189">
        <v>2600</v>
      </c>
      <c r="L267" s="189">
        <f>5616+421+96</f>
        <v>6133</v>
      </c>
      <c r="M267" s="191" t="s">
        <v>783</v>
      </c>
    </row>
    <row r="268" spans="1:14" s="189" customFormat="1" ht="18.75" customHeight="1" x14ac:dyDescent="0.25">
      <c r="A268" s="131" t="s">
        <v>109</v>
      </c>
      <c r="B268" s="191" t="s">
        <v>582</v>
      </c>
      <c r="C268" s="193" t="s">
        <v>161</v>
      </c>
      <c r="D268" s="189">
        <f>284+21+10</f>
        <v>315</v>
      </c>
      <c r="E268" s="189">
        <f>981+74+15</f>
        <v>1070</v>
      </c>
      <c r="F268" s="189">
        <f>1210+91+34</f>
        <v>1335</v>
      </c>
      <c r="I268" s="189">
        <f>576+43</f>
        <v>619</v>
      </c>
      <c r="K268" s="189">
        <v>2600</v>
      </c>
      <c r="L268" s="189">
        <f>5616+421+96</f>
        <v>6133</v>
      </c>
      <c r="M268" s="334" t="s">
        <v>924</v>
      </c>
    </row>
    <row r="269" spans="1:14" s="189" customFormat="1" ht="18.75" customHeight="1" x14ac:dyDescent="0.25">
      <c r="A269" s="131" t="s">
        <v>109</v>
      </c>
      <c r="B269" s="216" t="s">
        <v>583</v>
      </c>
      <c r="C269" s="211" t="s">
        <v>725</v>
      </c>
      <c r="D269" s="189">
        <f>289+22+10</f>
        <v>321</v>
      </c>
      <c r="E269" s="189">
        <f>996+75+15</f>
        <v>1086</v>
      </c>
      <c r="F269" s="189">
        <v>34</v>
      </c>
      <c r="G269" s="189">
        <f>1229+92</f>
        <v>1321</v>
      </c>
      <c r="I269" s="189">
        <f>585+44</f>
        <v>629</v>
      </c>
      <c r="K269" s="189">
        <f>2640</f>
        <v>2640</v>
      </c>
      <c r="L269" s="189">
        <f>5702+428+96</f>
        <v>6226</v>
      </c>
      <c r="M269" s="191" t="s">
        <v>562</v>
      </c>
    </row>
    <row r="270" spans="1:14" ht="18.75" customHeight="1" x14ac:dyDescent="0.25">
      <c r="A270" s="58" t="s">
        <v>111</v>
      </c>
      <c r="B270" s="38" t="s">
        <v>234</v>
      </c>
      <c r="E270" s="22">
        <v>75</v>
      </c>
    </row>
    <row r="271" spans="1:14" ht="18.75" customHeight="1" x14ac:dyDescent="0.25">
      <c r="A271" s="58" t="s">
        <v>111</v>
      </c>
      <c r="B271" s="38" t="s">
        <v>744</v>
      </c>
      <c r="I271" s="22">
        <v>166</v>
      </c>
    </row>
    <row r="272" spans="1:14" ht="18.75" customHeight="1" x14ac:dyDescent="0.25">
      <c r="A272" s="58" t="s">
        <v>113</v>
      </c>
      <c r="B272" s="38" t="s">
        <v>522</v>
      </c>
      <c r="F272" s="22">
        <v>166</v>
      </c>
    </row>
    <row r="273" spans="1:13" ht="18.75" customHeight="1" x14ac:dyDescent="0.25">
      <c r="A273" s="58" t="s">
        <v>113</v>
      </c>
      <c r="B273" s="38" t="s">
        <v>819</v>
      </c>
      <c r="G273" s="22">
        <v>166</v>
      </c>
    </row>
    <row r="274" spans="1:13" ht="18.75" customHeight="1" x14ac:dyDescent="0.25">
      <c r="A274" s="58" t="s">
        <v>113</v>
      </c>
      <c r="B274" s="38" t="s">
        <v>820</v>
      </c>
      <c r="J274" s="22">
        <v>166</v>
      </c>
    </row>
    <row r="275" spans="1:13" s="151" customFormat="1" ht="18.75" customHeight="1" x14ac:dyDescent="0.25">
      <c r="A275" s="131" t="s">
        <v>113</v>
      </c>
      <c r="B275" s="154" t="s">
        <v>509</v>
      </c>
      <c r="C275" s="173"/>
      <c r="H275" s="151">
        <v>83</v>
      </c>
      <c r="L275" s="179"/>
      <c r="M275" s="136"/>
    </row>
    <row r="276" spans="1:13" ht="18.75" customHeight="1" x14ac:dyDescent="0.25">
      <c r="A276" s="58" t="s">
        <v>115</v>
      </c>
      <c r="B276" s="38" t="s">
        <v>518</v>
      </c>
      <c r="F276" s="22">
        <v>166</v>
      </c>
    </row>
    <row r="277" spans="1:13" ht="18.75" customHeight="1" x14ac:dyDescent="0.25">
      <c r="A277" s="58" t="s">
        <v>115</v>
      </c>
      <c r="B277" s="38" t="s">
        <v>821</v>
      </c>
      <c r="G277" s="22">
        <v>166</v>
      </c>
    </row>
    <row r="278" spans="1:13" ht="18.75" customHeight="1" x14ac:dyDescent="0.25">
      <c r="A278" s="58" t="s">
        <v>115</v>
      </c>
      <c r="B278" s="38" t="s">
        <v>822</v>
      </c>
      <c r="J278" s="22">
        <v>166</v>
      </c>
    </row>
    <row r="279" spans="1:13" ht="18.75" customHeight="1" x14ac:dyDescent="0.25">
      <c r="A279" s="58" t="s">
        <v>117</v>
      </c>
      <c r="B279" s="38" t="s">
        <v>235</v>
      </c>
      <c r="E279" s="22">
        <v>75</v>
      </c>
    </row>
    <row r="280" spans="1:13" ht="18.75" customHeight="1" x14ac:dyDescent="0.25">
      <c r="A280" s="58" t="s">
        <v>117</v>
      </c>
      <c r="B280" s="38" t="s">
        <v>823</v>
      </c>
      <c r="I280" s="22">
        <v>166</v>
      </c>
    </row>
    <row r="281" spans="1:13" ht="18.75" customHeight="1" x14ac:dyDescent="0.25">
      <c r="A281" s="58" t="s">
        <v>117</v>
      </c>
      <c r="B281" s="38" t="s">
        <v>824</v>
      </c>
    </row>
    <row r="282" spans="1:13" ht="18.75" customHeight="1" x14ac:dyDescent="0.25">
      <c r="A282" s="58" t="s">
        <v>120</v>
      </c>
      <c r="B282" s="38" t="s">
        <v>557</v>
      </c>
      <c r="I282" s="22">
        <v>166</v>
      </c>
    </row>
    <row r="283" spans="1:13" ht="18.75" customHeight="1" x14ac:dyDescent="0.25">
      <c r="A283" s="58" t="s">
        <v>120</v>
      </c>
      <c r="B283" s="38" t="s">
        <v>741</v>
      </c>
      <c r="E283" s="22">
        <v>75</v>
      </c>
    </row>
    <row r="284" spans="1:13" ht="18.75" customHeight="1" x14ac:dyDescent="0.25">
      <c r="A284" s="58" t="s">
        <v>120</v>
      </c>
      <c r="B284" s="38" t="s">
        <v>825</v>
      </c>
      <c r="D284" s="22">
        <v>37</v>
      </c>
    </row>
    <row r="285" spans="1:13" ht="18.75" customHeight="1" x14ac:dyDescent="0.25">
      <c r="A285" s="58" t="s">
        <v>122</v>
      </c>
      <c r="B285" s="38" t="s">
        <v>384</v>
      </c>
      <c r="F285" s="22">
        <v>166</v>
      </c>
    </row>
    <row r="286" spans="1:13" ht="18.75" customHeight="1" x14ac:dyDescent="0.25">
      <c r="A286" s="58" t="s">
        <v>122</v>
      </c>
      <c r="B286" s="38" t="s">
        <v>826</v>
      </c>
      <c r="D286" s="22">
        <v>37</v>
      </c>
    </row>
    <row r="287" spans="1:13" ht="18.75" customHeight="1" x14ac:dyDescent="0.25">
      <c r="A287" s="58" t="s">
        <v>124</v>
      </c>
      <c r="B287" s="38" t="s">
        <v>827</v>
      </c>
      <c r="E287" s="22">
        <v>75</v>
      </c>
    </row>
    <row r="288" spans="1:13" ht="18.75" customHeight="1" x14ac:dyDescent="0.25">
      <c r="A288" s="58" t="s">
        <v>309</v>
      </c>
      <c r="B288" s="38" t="s">
        <v>323</v>
      </c>
      <c r="D288" s="22">
        <v>31</v>
      </c>
      <c r="E288" s="22">
        <v>62</v>
      </c>
      <c r="F288" s="22">
        <v>139</v>
      </c>
      <c r="G288" s="22">
        <v>139</v>
      </c>
      <c r="H288" s="22">
        <v>139</v>
      </c>
      <c r="I288" s="22">
        <v>139</v>
      </c>
      <c r="J288" s="22">
        <v>139</v>
      </c>
    </row>
    <row r="289" spans="1:14" ht="18.75" customHeight="1" x14ac:dyDescent="0.25">
      <c r="A289" s="58" t="s">
        <v>311</v>
      </c>
      <c r="B289" s="38" t="s">
        <v>324</v>
      </c>
      <c r="E289" s="22">
        <v>124</v>
      </c>
      <c r="F289" s="22">
        <v>278</v>
      </c>
      <c r="H289" s="22">
        <v>278</v>
      </c>
    </row>
    <row r="290" spans="1:14" ht="18.75" customHeight="1" x14ac:dyDescent="0.25">
      <c r="A290" s="58" t="s">
        <v>313</v>
      </c>
      <c r="B290" s="38" t="s">
        <v>325</v>
      </c>
      <c r="E290" s="22">
        <v>278</v>
      </c>
      <c r="F290" s="22">
        <v>555</v>
      </c>
      <c r="H290" s="22">
        <v>555</v>
      </c>
    </row>
    <row r="291" spans="1:14" s="25" customFormat="1" ht="18.75" customHeight="1" x14ac:dyDescent="0.25">
      <c r="A291" s="58" t="s">
        <v>765</v>
      </c>
      <c r="B291" s="38" t="s">
        <v>732</v>
      </c>
      <c r="C291" s="173"/>
      <c r="E291" s="25">
        <v>18</v>
      </c>
      <c r="L291" s="179"/>
      <c r="M291" s="38"/>
    </row>
    <row r="292" spans="1:14" s="25" customFormat="1" ht="18.75" customHeight="1" x14ac:dyDescent="0.25">
      <c r="A292" s="208" t="s">
        <v>765</v>
      </c>
      <c r="B292" s="38" t="s">
        <v>729</v>
      </c>
      <c r="C292" s="173"/>
      <c r="F292" s="25">
        <v>24</v>
      </c>
      <c r="L292" s="179"/>
      <c r="M292" s="38"/>
    </row>
    <row r="293" spans="1:14" s="189" customFormat="1" ht="18.75" customHeight="1" x14ac:dyDescent="0.25">
      <c r="A293" s="208" t="s">
        <v>765</v>
      </c>
      <c r="B293" s="211" t="s">
        <v>767</v>
      </c>
      <c r="C293" s="184"/>
      <c r="J293" s="189">
        <v>55</v>
      </c>
      <c r="M293" s="184"/>
    </row>
    <row r="294" spans="1:14" s="25" customFormat="1" ht="18.75" customHeight="1" x14ac:dyDescent="0.25">
      <c r="A294" s="208" t="s">
        <v>766</v>
      </c>
      <c r="B294" s="211" t="s">
        <v>731</v>
      </c>
      <c r="C294" s="173"/>
      <c r="E294" s="25">
        <v>18</v>
      </c>
      <c r="L294" s="179"/>
      <c r="M294" s="38"/>
    </row>
    <row r="295" spans="1:14" s="25" customFormat="1" ht="18.75" customHeight="1" x14ac:dyDescent="0.25">
      <c r="A295" s="208" t="s">
        <v>766</v>
      </c>
      <c r="B295" s="38" t="s">
        <v>730</v>
      </c>
      <c r="C295" s="173"/>
      <c r="F295" s="25">
        <v>24</v>
      </c>
      <c r="L295" s="179"/>
      <c r="M295" s="38"/>
    </row>
    <row r="296" spans="1:14" s="189" customFormat="1" ht="18.75" customHeight="1" x14ac:dyDescent="0.25">
      <c r="A296" s="208" t="s">
        <v>766</v>
      </c>
      <c r="B296" s="211" t="s">
        <v>768</v>
      </c>
      <c r="C296" s="184"/>
      <c r="J296" s="189">
        <v>55</v>
      </c>
      <c r="M296" s="184"/>
    </row>
    <row r="297" spans="1:14" ht="18.75" customHeight="1" x14ac:dyDescent="0.25">
      <c r="A297" s="58" t="s">
        <v>326</v>
      </c>
      <c r="B297" s="128" t="s">
        <v>828</v>
      </c>
      <c r="E297" s="22">
        <v>75</v>
      </c>
    </row>
    <row r="298" spans="1:14" ht="18.75" customHeight="1" x14ac:dyDescent="0.25">
      <c r="A298" s="58" t="s">
        <v>326</v>
      </c>
      <c r="B298" s="128" t="s">
        <v>327</v>
      </c>
      <c r="E298" s="22">
        <v>102</v>
      </c>
    </row>
    <row r="299" spans="1:14" ht="18.75" customHeight="1" x14ac:dyDescent="0.25">
      <c r="A299" s="58" t="s">
        <v>423</v>
      </c>
      <c r="B299" s="38" t="s">
        <v>424</v>
      </c>
      <c r="I299" s="22">
        <f>結論!D20</f>
        <v>139.529</v>
      </c>
      <c r="J299" s="22">
        <f>結論!E20*3</f>
        <v>261.56423999999998</v>
      </c>
    </row>
    <row r="300" spans="1:14" s="47" customFormat="1" ht="18.75" customHeight="1" x14ac:dyDescent="0.25">
      <c r="A300" s="58" t="s">
        <v>423</v>
      </c>
      <c r="B300" s="128" t="s">
        <v>486</v>
      </c>
      <c r="C300" s="173"/>
      <c r="L300" s="179"/>
      <c r="M300" s="38"/>
    </row>
    <row r="301" spans="1:14" ht="18.75" customHeight="1" x14ac:dyDescent="0.25">
      <c r="A301" s="58" t="s">
        <v>425</v>
      </c>
      <c r="B301" s="38" t="s">
        <v>426</v>
      </c>
      <c r="I301" s="22">
        <v>100</v>
      </c>
      <c r="J301" s="22">
        <v>100</v>
      </c>
    </row>
    <row r="302" spans="1:14" s="47" customFormat="1" ht="18.75" customHeight="1" x14ac:dyDescent="0.25">
      <c r="A302" s="58" t="s">
        <v>425</v>
      </c>
      <c r="B302" s="128" t="s">
        <v>486</v>
      </c>
      <c r="C302" s="173"/>
      <c r="L302" s="179"/>
      <c r="M302" s="38"/>
    </row>
    <row r="303" spans="1:14" ht="18.75" customHeight="1" x14ac:dyDescent="0.25">
      <c r="A303" s="58" t="s">
        <v>427</v>
      </c>
      <c r="B303" s="38" t="s">
        <v>428</v>
      </c>
      <c r="D303" s="22">
        <v>39</v>
      </c>
      <c r="N303" s="22">
        <v>189</v>
      </c>
    </row>
    <row r="304" spans="1:14" s="47" customFormat="1" ht="18.75" customHeight="1" x14ac:dyDescent="0.25">
      <c r="A304" s="58" t="s">
        <v>427</v>
      </c>
      <c r="B304" s="128" t="s">
        <v>475</v>
      </c>
      <c r="C304" s="173"/>
      <c r="D304" s="47">
        <v>41</v>
      </c>
      <c r="L304" s="179"/>
      <c r="M304" s="38"/>
      <c r="N304" s="47">
        <v>150</v>
      </c>
    </row>
    <row r="305" spans="1:14" s="47" customFormat="1" ht="18.75" customHeight="1" x14ac:dyDescent="0.25">
      <c r="A305" s="58" t="s">
        <v>427</v>
      </c>
      <c r="B305" s="128" t="s">
        <v>829</v>
      </c>
      <c r="C305" s="173"/>
      <c r="D305" s="47">
        <v>69</v>
      </c>
      <c r="L305" s="179"/>
      <c r="M305" s="38"/>
      <c r="N305" s="47">
        <v>233</v>
      </c>
    </row>
    <row r="306" spans="1:14" ht="18.75" customHeight="1" x14ac:dyDescent="0.25">
      <c r="A306" s="58" t="s">
        <v>427</v>
      </c>
      <c r="B306" s="38" t="s">
        <v>429</v>
      </c>
      <c r="D306" s="22">
        <v>77</v>
      </c>
      <c r="N306" s="22">
        <v>450</v>
      </c>
    </row>
    <row r="307" spans="1:14" s="47" customFormat="1" ht="18.75" customHeight="1" x14ac:dyDescent="0.25">
      <c r="A307" s="58" t="s">
        <v>427</v>
      </c>
      <c r="B307" s="128" t="s">
        <v>486</v>
      </c>
      <c r="C307" s="173"/>
      <c r="L307" s="179"/>
      <c r="M307" s="38"/>
    </row>
    <row r="308" spans="1:14" ht="18.75" customHeight="1" x14ac:dyDescent="0.25">
      <c r="A308" s="58" t="s">
        <v>430</v>
      </c>
      <c r="B308" s="38" t="s">
        <v>434</v>
      </c>
      <c r="E308" s="22">
        <v>77</v>
      </c>
      <c r="N308" s="125">
        <v>300</v>
      </c>
    </row>
    <row r="309" spans="1:14" s="47" customFormat="1" ht="18.75" customHeight="1" x14ac:dyDescent="0.25">
      <c r="A309" s="58" t="s">
        <v>430</v>
      </c>
      <c r="B309" s="128" t="s">
        <v>830</v>
      </c>
      <c r="C309" s="173"/>
      <c r="E309" s="47">
        <v>114</v>
      </c>
      <c r="L309" s="179"/>
      <c r="M309" s="38"/>
      <c r="N309" s="47">
        <v>200</v>
      </c>
    </row>
    <row r="310" spans="1:14" s="47" customFormat="1" ht="18.75" customHeight="1" x14ac:dyDescent="0.25">
      <c r="A310" s="58" t="s">
        <v>430</v>
      </c>
      <c r="B310" s="128" t="s">
        <v>831</v>
      </c>
      <c r="C310" s="173"/>
      <c r="E310" s="47">
        <v>140</v>
      </c>
      <c r="L310" s="179"/>
      <c r="M310" s="38"/>
      <c r="N310" s="47">
        <v>209</v>
      </c>
    </row>
    <row r="311" spans="1:14" ht="18.75" customHeight="1" x14ac:dyDescent="0.25">
      <c r="A311" s="58" t="s">
        <v>430</v>
      </c>
      <c r="B311" s="38" t="s">
        <v>438</v>
      </c>
      <c r="E311" s="22">
        <v>154</v>
      </c>
      <c r="N311" s="22">
        <v>400</v>
      </c>
    </row>
    <row r="312" spans="1:14" ht="18.75" customHeight="1" x14ac:dyDescent="0.25">
      <c r="A312" s="58" t="s">
        <v>430</v>
      </c>
      <c r="B312" s="38" t="s">
        <v>433</v>
      </c>
      <c r="F312" s="22">
        <v>171</v>
      </c>
      <c r="N312" s="22">
        <v>400</v>
      </c>
    </row>
    <row r="313" spans="1:14" ht="18.75" customHeight="1" x14ac:dyDescent="0.25">
      <c r="A313" s="58" t="s">
        <v>430</v>
      </c>
      <c r="B313" s="38" t="s">
        <v>437</v>
      </c>
      <c r="F313" s="22">
        <v>341</v>
      </c>
      <c r="N313" s="22">
        <v>300</v>
      </c>
    </row>
    <row r="314" spans="1:14" s="47" customFormat="1" ht="18.75" customHeight="1" x14ac:dyDescent="0.25">
      <c r="A314" s="58" t="s">
        <v>430</v>
      </c>
      <c r="B314" s="128" t="s">
        <v>477</v>
      </c>
      <c r="C314" s="173"/>
      <c r="G314" s="47">
        <v>111</v>
      </c>
      <c r="L314" s="179"/>
      <c r="M314" s="38"/>
      <c r="N314" s="47">
        <v>300</v>
      </c>
    </row>
    <row r="315" spans="1:14" ht="18.75" customHeight="1" x14ac:dyDescent="0.25">
      <c r="A315" s="58" t="s">
        <v>430</v>
      </c>
      <c r="B315" s="127" t="s">
        <v>431</v>
      </c>
      <c r="G315" s="22">
        <v>171</v>
      </c>
      <c r="N315" s="22">
        <v>185</v>
      </c>
    </row>
    <row r="316" spans="1:14" ht="18.75" customHeight="1" x14ac:dyDescent="0.25">
      <c r="A316" s="58" t="s">
        <v>430</v>
      </c>
      <c r="B316" s="38" t="s">
        <v>435</v>
      </c>
      <c r="G316" s="22">
        <v>341</v>
      </c>
      <c r="N316" s="22">
        <v>350</v>
      </c>
    </row>
    <row r="317" spans="1:14" s="47" customFormat="1" ht="18.75" customHeight="1" x14ac:dyDescent="0.25">
      <c r="A317" s="58" t="s">
        <v>430</v>
      </c>
      <c r="B317" s="128" t="s">
        <v>476</v>
      </c>
      <c r="C317" s="173"/>
      <c r="H317" s="47">
        <v>111</v>
      </c>
      <c r="L317" s="179"/>
      <c r="M317" s="38"/>
      <c r="N317" s="47">
        <v>200</v>
      </c>
    </row>
    <row r="318" spans="1:14" s="47" customFormat="1" ht="18.75" customHeight="1" x14ac:dyDescent="0.25">
      <c r="A318" s="58" t="s">
        <v>430</v>
      </c>
      <c r="B318" s="128" t="s">
        <v>832</v>
      </c>
      <c r="C318" s="173"/>
      <c r="H318" s="47">
        <v>187</v>
      </c>
      <c r="L318" s="179"/>
      <c r="M318" s="38"/>
      <c r="N318" s="47">
        <v>250</v>
      </c>
    </row>
    <row r="319" spans="1:14" ht="18.75" customHeight="1" x14ac:dyDescent="0.25">
      <c r="A319" s="58" t="s">
        <v>430</v>
      </c>
      <c r="B319" s="38" t="s">
        <v>432</v>
      </c>
      <c r="I319" s="22">
        <v>171</v>
      </c>
      <c r="N319" s="22">
        <v>185</v>
      </c>
    </row>
    <row r="320" spans="1:14" ht="18.75" customHeight="1" x14ac:dyDescent="0.25">
      <c r="A320" s="58" t="s">
        <v>430</v>
      </c>
      <c r="B320" s="38" t="s">
        <v>436</v>
      </c>
      <c r="I320" s="22">
        <v>341</v>
      </c>
      <c r="N320" s="22">
        <v>400</v>
      </c>
    </row>
    <row r="321" spans="1:14" s="47" customFormat="1" ht="18.75" customHeight="1" x14ac:dyDescent="0.25">
      <c r="A321" s="58" t="s">
        <v>430</v>
      </c>
      <c r="B321" s="128" t="s">
        <v>486</v>
      </c>
      <c r="C321" s="173"/>
      <c r="L321" s="179"/>
      <c r="M321" s="38"/>
    </row>
    <row r="322" spans="1:14" ht="18.75" customHeight="1" x14ac:dyDescent="0.25">
      <c r="A322" s="58" t="s">
        <v>439</v>
      </c>
      <c r="B322" s="38" t="s">
        <v>440</v>
      </c>
      <c r="D322" s="22">
        <v>30</v>
      </c>
      <c r="N322" s="22">
        <v>210</v>
      </c>
    </row>
    <row r="323" spans="1:14" s="47" customFormat="1" ht="18.75" customHeight="1" x14ac:dyDescent="0.25">
      <c r="A323" s="58" t="s">
        <v>439</v>
      </c>
      <c r="B323" s="128" t="s">
        <v>769</v>
      </c>
      <c r="C323" s="173"/>
      <c r="D323" s="47">
        <v>46</v>
      </c>
      <c r="L323" s="179"/>
      <c r="M323" s="38"/>
      <c r="N323" s="47">
        <v>119</v>
      </c>
    </row>
    <row r="324" spans="1:14" ht="18.75" customHeight="1" x14ac:dyDescent="0.25">
      <c r="A324" s="58" t="s">
        <v>439</v>
      </c>
      <c r="B324" s="38" t="s">
        <v>441</v>
      </c>
      <c r="D324" s="22">
        <v>60</v>
      </c>
      <c r="N324" s="22">
        <v>318</v>
      </c>
    </row>
    <row r="325" spans="1:14" s="47" customFormat="1" ht="18.75" customHeight="1" x14ac:dyDescent="0.25">
      <c r="A325" s="58" t="s">
        <v>439</v>
      </c>
      <c r="B325" s="128" t="s">
        <v>486</v>
      </c>
      <c r="C325" s="173"/>
      <c r="L325" s="179"/>
      <c r="M325" s="38"/>
    </row>
    <row r="326" spans="1:14" ht="18.75" customHeight="1" x14ac:dyDescent="0.25">
      <c r="A326" s="58" t="s">
        <v>442</v>
      </c>
      <c r="B326" s="38" t="s">
        <v>446</v>
      </c>
      <c r="E326" s="22">
        <v>60</v>
      </c>
      <c r="N326" s="22">
        <v>168</v>
      </c>
    </row>
    <row r="327" spans="1:14" s="47" customFormat="1" ht="18.75" customHeight="1" x14ac:dyDescent="0.25">
      <c r="A327" s="58" t="s">
        <v>442</v>
      </c>
      <c r="B327" s="128" t="s">
        <v>833</v>
      </c>
      <c r="C327" s="173"/>
      <c r="E327" s="47">
        <v>94</v>
      </c>
      <c r="L327" s="179"/>
      <c r="M327" s="38"/>
      <c r="N327" s="47">
        <v>156</v>
      </c>
    </row>
    <row r="328" spans="1:14" ht="18.75" customHeight="1" x14ac:dyDescent="0.25">
      <c r="A328" s="58" t="s">
        <v>442</v>
      </c>
      <c r="B328" s="127" t="s">
        <v>450</v>
      </c>
      <c r="E328" s="22">
        <v>120</v>
      </c>
      <c r="N328" s="22">
        <v>270</v>
      </c>
    </row>
    <row r="329" spans="1:14" s="47" customFormat="1" ht="18.75" customHeight="1" x14ac:dyDescent="0.25">
      <c r="A329" s="58" t="s">
        <v>442</v>
      </c>
      <c r="B329" s="128" t="s">
        <v>834</v>
      </c>
      <c r="C329" s="173"/>
      <c r="F329" s="47">
        <v>125</v>
      </c>
      <c r="L329" s="179"/>
      <c r="M329" s="38"/>
      <c r="N329" s="47">
        <v>155</v>
      </c>
    </row>
    <row r="330" spans="1:14" ht="18.75" customHeight="1" x14ac:dyDescent="0.25">
      <c r="A330" s="58" t="s">
        <v>442</v>
      </c>
      <c r="B330" s="38" t="s">
        <v>445</v>
      </c>
      <c r="F330" s="22">
        <v>133</v>
      </c>
      <c r="N330" s="22">
        <v>130</v>
      </c>
    </row>
    <row r="331" spans="1:14" ht="18.75" customHeight="1" x14ac:dyDescent="0.25">
      <c r="A331" s="58" t="s">
        <v>442</v>
      </c>
      <c r="B331" s="38" t="s">
        <v>449</v>
      </c>
      <c r="F331" s="22">
        <v>265</v>
      </c>
      <c r="N331" s="22">
        <v>300</v>
      </c>
    </row>
    <row r="332" spans="1:14" s="47" customFormat="1" ht="18.75" customHeight="1" x14ac:dyDescent="0.25">
      <c r="A332" s="58" t="s">
        <v>442</v>
      </c>
      <c r="B332" s="128" t="s">
        <v>835</v>
      </c>
      <c r="C332" s="173"/>
      <c r="G332" s="47">
        <v>102</v>
      </c>
      <c r="L332" s="179"/>
      <c r="M332" s="38"/>
      <c r="N332" s="47">
        <v>111</v>
      </c>
    </row>
    <row r="333" spans="1:14" ht="18.75" customHeight="1" x14ac:dyDescent="0.25">
      <c r="A333" s="58" t="s">
        <v>442</v>
      </c>
      <c r="B333" s="38" t="s">
        <v>443</v>
      </c>
      <c r="G333" s="22">
        <v>133</v>
      </c>
      <c r="N333" s="22">
        <v>112</v>
      </c>
    </row>
    <row r="334" spans="1:14" ht="18.75" customHeight="1" x14ac:dyDescent="0.25">
      <c r="A334" s="58" t="s">
        <v>442</v>
      </c>
      <c r="B334" s="38" t="s">
        <v>447</v>
      </c>
      <c r="G334" s="22">
        <v>265</v>
      </c>
      <c r="N334" s="22">
        <v>270</v>
      </c>
    </row>
    <row r="335" spans="1:14" s="47" customFormat="1" ht="18.75" customHeight="1" x14ac:dyDescent="0.25">
      <c r="A335" s="58" t="s">
        <v>442</v>
      </c>
      <c r="B335" s="129" t="s">
        <v>474</v>
      </c>
      <c r="C335" s="173"/>
      <c r="H335" s="47">
        <v>74</v>
      </c>
      <c r="L335" s="179"/>
      <c r="M335" s="38"/>
      <c r="N335" s="47">
        <v>249</v>
      </c>
    </row>
    <row r="336" spans="1:14" ht="18.75" customHeight="1" x14ac:dyDescent="0.25">
      <c r="A336" s="58" t="s">
        <v>442</v>
      </c>
      <c r="B336" s="38" t="s">
        <v>444</v>
      </c>
      <c r="I336" s="22">
        <v>133</v>
      </c>
      <c r="N336" s="22">
        <v>122</v>
      </c>
    </row>
    <row r="337" spans="1:14" ht="18.75" customHeight="1" x14ac:dyDescent="0.25">
      <c r="A337" s="58" t="s">
        <v>442</v>
      </c>
      <c r="B337" s="38" t="s">
        <v>448</v>
      </c>
      <c r="I337" s="22">
        <v>265</v>
      </c>
      <c r="N337" s="22">
        <v>310</v>
      </c>
    </row>
    <row r="338" spans="1:14" s="47" customFormat="1" ht="18.75" customHeight="1" x14ac:dyDescent="0.25">
      <c r="A338" s="58" t="s">
        <v>442</v>
      </c>
      <c r="B338" s="128" t="s">
        <v>486</v>
      </c>
      <c r="C338" s="173"/>
      <c r="L338" s="179"/>
      <c r="M338" s="38"/>
    </row>
    <row r="339" spans="1:14" ht="18.75" customHeight="1" x14ac:dyDescent="0.25">
      <c r="A339" s="58" t="s">
        <v>478</v>
      </c>
      <c r="B339" s="487" t="s">
        <v>469</v>
      </c>
      <c r="D339" s="22">
        <v>63</v>
      </c>
      <c r="N339" s="22">
        <v>600</v>
      </c>
    </row>
    <row r="340" spans="1:14" ht="18.75" customHeight="1" x14ac:dyDescent="0.25">
      <c r="A340" s="58" t="s">
        <v>478</v>
      </c>
      <c r="B340" s="128" t="s">
        <v>470</v>
      </c>
      <c r="D340" s="22">
        <v>68</v>
      </c>
      <c r="N340" s="22">
        <v>2500</v>
      </c>
    </row>
    <row r="341" spans="1:14" ht="18.75" customHeight="1" x14ac:dyDescent="0.25">
      <c r="A341" s="58" t="s">
        <v>478</v>
      </c>
      <c r="B341" s="128" t="s">
        <v>471</v>
      </c>
      <c r="D341" s="22">
        <v>10</v>
      </c>
      <c r="E341" s="22">
        <v>20</v>
      </c>
      <c r="I341" s="22">
        <v>18</v>
      </c>
      <c r="N341" s="22">
        <v>200</v>
      </c>
    </row>
    <row r="342" spans="1:14" ht="18.75" customHeight="1" x14ac:dyDescent="0.25">
      <c r="A342" s="58" t="s">
        <v>478</v>
      </c>
      <c r="B342" s="128" t="s">
        <v>472</v>
      </c>
      <c r="E342" s="22">
        <v>80</v>
      </c>
      <c r="G342" s="22">
        <v>180</v>
      </c>
      <c r="I342" s="22">
        <v>180</v>
      </c>
      <c r="N342" s="22">
        <v>2500</v>
      </c>
    </row>
    <row r="343" spans="1:14" ht="18.75" customHeight="1" x14ac:dyDescent="0.25">
      <c r="A343" s="58" t="s">
        <v>478</v>
      </c>
      <c r="B343" s="128" t="s">
        <v>473</v>
      </c>
      <c r="G343" s="22">
        <v>180</v>
      </c>
      <c r="I343" s="22">
        <v>180</v>
      </c>
      <c r="N343" s="22">
        <v>2500</v>
      </c>
    </row>
    <row r="344" spans="1:14" ht="18.75" customHeight="1" x14ac:dyDescent="0.25">
      <c r="A344" s="131" t="s">
        <v>129</v>
      </c>
      <c r="B344" s="128" t="s">
        <v>485</v>
      </c>
    </row>
    <row r="356" spans="2:5" ht="18.75" customHeight="1" x14ac:dyDescent="0.25">
      <c r="B356" s="38">
        <v>1780</v>
      </c>
      <c r="C356" s="184" t="s">
        <v>550</v>
      </c>
      <c r="D356" s="22">
        <v>890</v>
      </c>
      <c r="E356" s="22">
        <v>1040</v>
      </c>
    </row>
  </sheetData>
  <autoFilter ref="A1:N344" xr:uid="{00000000-0009-0000-0000-000002000000}"/>
  <phoneticPr fontId="3" type="noConversion"/>
  <dataValidations count="1">
    <dataValidation type="list" allowBlank="1" showInputMessage="1" showErrorMessage="1" sqref="A2:A343" xr:uid="{00000000-0002-0000-0200-000000000000}">
      <formula1>裝備部位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5"/>
  <dimension ref="A1:S111"/>
  <sheetViews>
    <sheetView topLeftCell="A40" workbookViewId="0">
      <selection activeCell="D82" sqref="D82"/>
    </sheetView>
  </sheetViews>
  <sheetFormatPr defaultRowHeight="16.5" x14ac:dyDescent="0.25"/>
  <cols>
    <col min="1" max="1" width="12.375" style="15" customWidth="1"/>
    <col min="2" max="2" width="9" style="15"/>
    <col min="3" max="3" width="10" style="15" bestFit="1" customWidth="1"/>
    <col min="4" max="8" width="9" style="15"/>
    <col min="9" max="9" width="9.625" style="15" customWidth="1"/>
    <col min="10" max="10" width="9" style="15"/>
    <col min="11" max="11" width="10.25" style="15" customWidth="1"/>
    <col min="12" max="12" width="9.875" style="15" bestFit="1" customWidth="1"/>
    <col min="13" max="13" width="10" style="15" bestFit="1" customWidth="1"/>
    <col min="14" max="14" width="10.125" style="14" customWidth="1"/>
    <col min="15" max="15" width="9" style="15"/>
    <col min="16" max="16" width="10.125" style="15" customWidth="1"/>
    <col min="17" max="16384" width="9" style="15"/>
  </cols>
  <sheetData>
    <row r="1" spans="1:19" ht="17.25" thickBot="1" x14ac:dyDescent="0.3">
      <c r="A1" s="411" t="s">
        <v>168</v>
      </c>
      <c r="B1" s="411" t="s">
        <v>147</v>
      </c>
      <c r="C1" s="411" t="s">
        <v>146</v>
      </c>
      <c r="D1" s="411" t="s">
        <v>143</v>
      </c>
      <c r="E1" s="411" t="s">
        <v>169</v>
      </c>
      <c r="F1" s="411" t="s">
        <v>144</v>
      </c>
      <c r="G1" s="411" t="s">
        <v>170</v>
      </c>
      <c r="H1" s="411" t="s">
        <v>387</v>
      </c>
      <c r="I1" s="8"/>
      <c r="J1" s="411" t="s">
        <v>142</v>
      </c>
      <c r="K1" s="411" t="s">
        <v>148</v>
      </c>
      <c r="L1" s="411" t="s">
        <v>144</v>
      </c>
      <c r="M1" s="411" t="s">
        <v>145</v>
      </c>
      <c r="N1" s="411" t="s">
        <v>147</v>
      </c>
      <c r="O1" s="411" t="s">
        <v>146</v>
      </c>
      <c r="P1" s="411" t="s">
        <v>143</v>
      </c>
      <c r="Q1" s="411" t="s">
        <v>387</v>
      </c>
      <c r="R1" s="8"/>
    </row>
    <row r="2" spans="1:19" ht="17.25" thickBot="1" x14ac:dyDescent="0.3">
      <c r="A2" s="432" t="s">
        <v>948</v>
      </c>
      <c r="B2" s="351" t="b">
        <v>1</v>
      </c>
      <c r="C2" s="351" t="b">
        <v>1</v>
      </c>
      <c r="D2" s="351" t="b">
        <v>0</v>
      </c>
      <c r="E2" s="351" t="b">
        <v>1</v>
      </c>
      <c r="F2" s="351" t="b">
        <v>0</v>
      </c>
      <c r="G2" s="351" t="b">
        <v>1</v>
      </c>
      <c r="H2" s="356">
        <f>IF(B2=TRUE,1,0)+IF(C2=TRUE,1,0)+IF(D2=TRUE,1,0)+IF(E2=TRUE,1,0)+IF(F2=TRUE,1,0)+IF(G2=TRUE,1,0)</f>
        <v>4</v>
      </c>
      <c r="I2" s="8"/>
      <c r="J2" s="433" t="s">
        <v>949</v>
      </c>
      <c r="K2" s="363" t="b">
        <v>1</v>
      </c>
      <c r="L2" s="351" t="b">
        <v>0</v>
      </c>
      <c r="M2" s="351" t="b">
        <v>0</v>
      </c>
      <c r="N2" s="351" t="b">
        <v>1</v>
      </c>
      <c r="O2" s="351" t="b">
        <v>1</v>
      </c>
      <c r="P2" s="351" t="b">
        <v>1</v>
      </c>
      <c r="Q2" s="356">
        <f>IF(K2=TRUE,1,0)+IF(L2=TRUE,1,0)+IF(M2=TRUE,1,0)+IF(N2=TRUE,1,0)+IF(O2=TRUE,1,0)+IF(P2=TRUE,1,0)</f>
        <v>4</v>
      </c>
      <c r="R2" s="8"/>
    </row>
    <row r="3" spans="1:19" ht="17.25" thickBot="1" x14ac:dyDescent="0.3">
      <c r="A3" s="416" t="s">
        <v>385</v>
      </c>
      <c r="B3" s="357">
        <f>IF(B2=TRUE,5%,0%)</f>
        <v>0.05</v>
      </c>
      <c r="C3" s="357">
        <f>IF(C2=TRUE,4%,0%)</f>
        <v>0.04</v>
      </c>
      <c r="D3" s="357">
        <f>IF(D2=TRUE,3%,0%)</f>
        <v>0</v>
      </c>
      <c r="E3" s="357"/>
      <c r="F3" s="357"/>
      <c r="G3" s="351"/>
      <c r="H3" s="419">
        <f>SUM(B3:D3)</f>
        <v>0.09</v>
      </c>
      <c r="I3" s="8"/>
      <c r="J3" s="355" t="s">
        <v>385</v>
      </c>
      <c r="K3" s="363"/>
      <c r="L3" s="351"/>
      <c r="M3" s="351"/>
      <c r="N3" s="364">
        <f>IF(N2=TRUE,5%,0%)</f>
        <v>0.05</v>
      </c>
      <c r="O3" s="364">
        <f>IF(O2=TRUE,4%,0%)</f>
        <v>0.04</v>
      </c>
      <c r="P3" s="364">
        <f>IF(P2=TRUE,3%,0%)</f>
        <v>0.03</v>
      </c>
      <c r="Q3" s="429">
        <f>SUM(N3:P3)</f>
        <v>0.12</v>
      </c>
      <c r="R3" s="8"/>
    </row>
    <row r="4" spans="1:19" ht="17.25" thickBot="1" x14ac:dyDescent="0.3">
      <c r="A4" s="415" t="s">
        <v>138</v>
      </c>
      <c r="B4" s="357"/>
      <c r="C4" s="357"/>
      <c r="D4" s="357"/>
      <c r="E4" s="357">
        <f>IF(E2=TRUE,4%,0%)</f>
        <v>0.04</v>
      </c>
      <c r="F4" s="357">
        <f>IF(F2=TRUE,3%,0%)</f>
        <v>0</v>
      </c>
      <c r="G4" s="351"/>
      <c r="H4" s="420">
        <f>SUM(E4:F4)</f>
        <v>0.04</v>
      </c>
      <c r="I4" s="8"/>
      <c r="J4" s="415" t="s">
        <v>138</v>
      </c>
      <c r="K4" s="363"/>
      <c r="L4" s="364">
        <f>IF(L2=TRUE,3%,0%)</f>
        <v>0</v>
      </c>
      <c r="M4" s="364">
        <f>IF(M2=TRUE,2%,0%)</f>
        <v>0</v>
      </c>
      <c r="N4" s="351"/>
      <c r="O4" s="351"/>
      <c r="P4" s="351"/>
      <c r="Q4" s="428">
        <f>SUM(L4:M4)</f>
        <v>0</v>
      </c>
      <c r="R4" s="8"/>
    </row>
    <row r="5" spans="1:19" ht="17.25" thickBot="1" x14ac:dyDescent="0.3">
      <c r="A5" s="411" t="s">
        <v>172</v>
      </c>
      <c r="B5" s="411" t="s">
        <v>147</v>
      </c>
      <c r="C5" s="411" t="s">
        <v>146</v>
      </c>
      <c r="D5" s="411" t="s">
        <v>143</v>
      </c>
      <c r="E5" s="411" t="s">
        <v>175</v>
      </c>
      <c r="F5" s="411" t="s">
        <v>396</v>
      </c>
      <c r="G5" s="411" t="s">
        <v>176</v>
      </c>
      <c r="H5" s="411" t="s">
        <v>179</v>
      </c>
      <c r="I5" s="411" t="s">
        <v>387</v>
      </c>
      <c r="J5" s="411" t="s">
        <v>389</v>
      </c>
      <c r="K5" s="413" t="s">
        <v>148</v>
      </c>
      <c r="L5" s="411" t="s">
        <v>148</v>
      </c>
      <c r="M5" s="411" t="s">
        <v>167</v>
      </c>
      <c r="N5" s="411" t="s">
        <v>167</v>
      </c>
      <c r="O5" s="411" t="s">
        <v>147</v>
      </c>
      <c r="P5" s="411" t="s">
        <v>146</v>
      </c>
      <c r="Q5" s="411" t="s">
        <v>143</v>
      </c>
      <c r="R5" s="411" t="s">
        <v>387</v>
      </c>
    </row>
    <row r="6" spans="1:19" ht="17.25" thickBot="1" x14ac:dyDescent="0.3">
      <c r="A6" s="355" t="s">
        <v>948</v>
      </c>
      <c r="B6" s="351" t="b">
        <v>1</v>
      </c>
      <c r="C6" s="351" t="b">
        <v>1</v>
      </c>
      <c r="D6" s="351" t="b">
        <v>1</v>
      </c>
      <c r="E6" s="351" t="b">
        <v>0</v>
      </c>
      <c r="F6" s="351" t="b">
        <v>1</v>
      </c>
      <c r="G6" s="351" t="b">
        <v>0</v>
      </c>
      <c r="H6" s="351" t="b">
        <v>0</v>
      </c>
      <c r="I6" s="421">
        <f>IF(B6=TRUE,1,0)+IF(C6=TRUE,1,0)+IF(D6=TRUE,1,0)+IF(E6=TRUE,1,0)+IF(F6=TRUE,1,0)+IF(G6=TRUE,1,0)+IF(H6=TRUE,1,0)</f>
        <v>4</v>
      </c>
      <c r="J6" s="355" t="s">
        <v>948</v>
      </c>
      <c r="K6" s="351" t="b">
        <v>1</v>
      </c>
      <c r="L6" s="363" t="b">
        <v>1</v>
      </c>
      <c r="M6" s="351" t="b">
        <v>0</v>
      </c>
      <c r="N6" s="351" t="b">
        <v>0</v>
      </c>
      <c r="O6" s="351" t="b">
        <v>1</v>
      </c>
      <c r="P6" s="351" t="b">
        <v>1</v>
      </c>
      <c r="Q6" s="351" t="b">
        <v>0</v>
      </c>
      <c r="R6" s="356">
        <f>IF(K6=TRUE,1,0)+IF(L6=TRUE,1,0)+IF(M6=TRUE,1,0)+IF(N6=TRUE,1,0)+IF(O6=TRUE,1,0)+IF(P6=TRUE,1,0)+IF(Q6=TRUE,1,0)</f>
        <v>4</v>
      </c>
    </row>
    <row r="7" spans="1:19" ht="17.25" thickBot="1" x14ac:dyDescent="0.3">
      <c r="A7" s="417" t="s">
        <v>385</v>
      </c>
      <c r="B7" s="351">
        <f>IF(B6=TRUE,5%,0%)</f>
        <v>0.05</v>
      </c>
      <c r="C7" s="351">
        <f>IF(C6=TRUE,4%,0%)</f>
        <v>0.04</v>
      </c>
      <c r="D7" s="351">
        <f>IF(D6=TRUE,3%,0%)</f>
        <v>0.03</v>
      </c>
      <c r="E7" s="351"/>
      <c r="F7" s="351"/>
      <c r="G7" s="351"/>
      <c r="H7" s="351"/>
      <c r="I7" s="422">
        <f>SUM(B7:D7)</f>
        <v>0.12</v>
      </c>
      <c r="J7" s="415" t="s">
        <v>385</v>
      </c>
      <c r="K7" s="351"/>
      <c r="L7" s="363"/>
      <c r="M7" s="351"/>
      <c r="N7" s="351"/>
      <c r="O7" s="364">
        <f>IF(O6=TRUE,5%,0%)</f>
        <v>0.05</v>
      </c>
      <c r="P7" s="364">
        <f>IF(P6=TRUE,4%,0%)</f>
        <v>0.04</v>
      </c>
      <c r="Q7" s="364">
        <f>IF(Q6=TRUE,3%,0%)</f>
        <v>0</v>
      </c>
      <c r="R7" s="428">
        <f>SUM(O7:Q7)</f>
        <v>0.09</v>
      </c>
    </row>
    <row r="8" spans="1:19" ht="17.25" thickBot="1" x14ac:dyDescent="0.3">
      <c r="A8" s="415" t="s">
        <v>138</v>
      </c>
      <c r="B8" s="351"/>
      <c r="C8" s="351"/>
      <c r="D8" s="351"/>
      <c r="E8" s="351"/>
      <c r="F8" s="351"/>
      <c r="G8" s="351"/>
      <c r="H8" s="351"/>
      <c r="I8" s="365">
        <f>SUM(E8:F8)</f>
        <v>0</v>
      </c>
      <c r="J8" s="411" t="s">
        <v>364</v>
      </c>
      <c r="K8" s="411" t="s">
        <v>147</v>
      </c>
      <c r="L8" s="411" t="s">
        <v>146</v>
      </c>
      <c r="M8" s="411" t="s">
        <v>143</v>
      </c>
      <c r="N8" s="411" t="s">
        <v>171</v>
      </c>
      <c r="O8" s="411" t="s">
        <v>169</v>
      </c>
      <c r="P8" s="411" t="s">
        <v>144</v>
      </c>
      <c r="Q8" s="411" t="s">
        <v>177</v>
      </c>
      <c r="R8" s="411" t="s">
        <v>232</v>
      </c>
      <c r="S8" s="411" t="s">
        <v>387</v>
      </c>
    </row>
    <row r="9" spans="1:19" ht="17.25" thickBot="1" x14ac:dyDescent="0.3">
      <c r="A9" s="411" t="s">
        <v>365</v>
      </c>
      <c r="B9" s="411" t="s">
        <v>147</v>
      </c>
      <c r="C9" s="411" t="s">
        <v>146</v>
      </c>
      <c r="D9" s="411" t="s">
        <v>143</v>
      </c>
      <c r="E9" s="411" t="s">
        <v>169</v>
      </c>
      <c r="F9" s="411" t="s">
        <v>144</v>
      </c>
      <c r="G9" s="411" t="s">
        <v>230</v>
      </c>
      <c r="H9" s="411" t="s">
        <v>387</v>
      </c>
      <c r="I9" s="8"/>
      <c r="J9" s="433" t="s">
        <v>949</v>
      </c>
      <c r="K9" s="351" t="b">
        <v>1</v>
      </c>
      <c r="L9" s="351" t="b">
        <v>1</v>
      </c>
      <c r="M9" s="351" t="b">
        <v>0</v>
      </c>
      <c r="N9" s="363" t="b">
        <v>1</v>
      </c>
      <c r="O9" s="351" t="b">
        <v>0</v>
      </c>
      <c r="P9" s="351" t="b">
        <v>0</v>
      </c>
      <c r="Q9" s="351" t="b">
        <v>1</v>
      </c>
      <c r="R9" s="351" t="b">
        <v>0</v>
      </c>
      <c r="S9" s="356">
        <f>IF(K9=TRUE,1,0)+IF(L9=TRUE,1,0)+IF(M9=TRUE,1,0)+IF(N9=TRUE,1,0)+IF(O9=TRUE,1,0)+IF(P9=TRUE,1,0)+IF(Q9=TRUE,1,0)+IF(R9=TRUE,1,0)</f>
        <v>4</v>
      </c>
    </row>
    <row r="10" spans="1:19" ht="17.25" thickBot="1" x14ac:dyDescent="0.3">
      <c r="A10" s="355" t="s">
        <v>948</v>
      </c>
      <c r="B10" s="361" t="b">
        <v>1</v>
      </c>
      <c r="C10" s="361" t="b">
        <v>1</v>
      </c>
      <c r="D10" s="361" t="b">
        <v>1</v>
      </c>
      <c r="E10" s="361" t="b">
        <v>1</v>
      </c>
      <c r="F10" s="361" t="b">
        <v>0</v>
      </c>
      <c r="G10" s="361" t="b">
        <v>0</v>
      </c>
      <c r="H10" s="356">
        <f>IF(B10=TRUE,1,0)+IF(C10=TRUE,1,0)+IF(D10=TRUE,1,0)+IF(E10=TRUE,1,0)+IF(F10=TRUE,1,0)+IF(G10=TRUE,1,0)</f>
        <v>4</v>
      </c>
      <c r="I10" s="8"/>
      <c r="J10" s="430" t="s">
        <v>385</v>
      </c>
      <c r="K10" s="351">
        <f>IF(K9=TRUE,5%,0%)</f>
        <v>0.05</v>
      </c>
      <c r="L10" s="351">
        <f>IF(L9=TRUE,4%,0%)</f>
        <v>0.04</v>
      </c>
      <c r="M10" s="351">
        <f>IF(M9=TRUE,3%,0%)</f>
        <v>0</v>
      </c>
      <c r="N10" s="363"/>
      <c r="O10" s="351"/>
      <c r="P10" s="351"/>
      <c r="Q10" s="351"/>
      <c r="R10" s="351"/>
      <c r="S10" s="423">
        <f>SUM(K10:M10)</f>
        <v>0.09</v>
      </c>
    </row>
    <row r="11" spans="1:19" ht="17.25" thickBot="1" x14ac:dyDescent="0.3">
      <c r="A11" s="417" t="s">
        <v>385</v>
      </c>
      <c r="B11" s="351">
        <f>IF(B10=TRUE,5%,0%)</f>
        <v>0.05</v>
      </c>
      <c r="C11" s="351">
        <f>IF(C10=TRUE,4%,0%)</f>
        <v>0.04</v>
      </c>
      <c r="D11" s="351">
        <f>IF(D10=TRUE,3%,0%)</f>
        <v>0.03</v>
      </c>
      <c r="E11" s="361"/>
      <c r="F11" s="361"/>
      <c r="G11" s="361"/>
      <c r="H11" s="423">
        <f>SUM(B11:D11)</f>
        <v>0.12</v>
      </c>
      <c r="I11" s="8"/>
      <c r="J11" s="355" t="s">
        <v>138</v>
      </c>
      <c r="K11" s="364"/>
      <c r="L11" s="364"/>
      <c r="M11" s="364"/>
      <c r="N11" s="351">
        <f>IF(N9=TRUE,5%,0%)</f>
        <v>0.05</v>
      </c>
      <c r="O11" s="351">
        <f>IF(O9=TRUE,4%,0%)</f>
        <v>0</v>
      </c>
      <c r="P11" s="351">
        <f>IF(P9=TRUE,3%,0%)</f>
        <v>0</v>
      </c>
      <c r="Q11" s="351"/>
      <c r="R11" s="351"/>
      <c r="S11" s="431">
        <f>SUM(N11:P11)</f>
        <v>0.05</v>
      </c>
    </row>
    <row r="12" spans="1:19" ht="17.25" thickBot="1" x14ac:dyDescent="0.3">
      <c r="A12" s="418" t="s">
        <v>138</v>
      </c>
      <c r="B12" s="362"/>
      <c r="C12" s="362"/>
      <c r="D12" s="362"/>
      <c r="E12" s="359">
        <f>IF(E10=TRUE,4%,0%)</f>
        <v>0.04</v>
      </c>
      <c r="F12" s="359">
        <f>IF(F10=TRUE,3%,0%)</f>
        <v>0</v>
      </c>
      <c r="G12" s="362"/>
      <c r="H12" s="360">
        <f>SUM(E12:F12)</f>
        <v>0.04</v>
      </c>
      <c r="J12" s="411" t="s">
        <v>173</v>
      </c>
      <c r="K12" s="411" t="s">
        <v>146</v>
      </c>
      <c r="L12" s="411" t="s">
        <v>143</v>
      </c>
      <c r="M12" s="411" t="s">
        <v>171</v>
      </c>
      <c r="N12" s="411" t="s">
        <v>169</v>
      </c>
      <c r="O12" s="411" t="s">
        <v>145</v>
      </c>
      <c r="P12" s="411" t="s">
        <v>231</v>
      </c>
      <c r="Q12" s="413"/>
      <c r="R12" s="411" t="s">
        <v>387</v>
      </c>
    </row>
    <row r="13" spans="1:19" ht="17.25" thickBot="1" x14ac:dyDescent="0.3">
      <c r="A13" s="570" t="s">
        <v>256</v>
      </c>
      <c r="B13" s="571"/>
      <c r="C13" s="571"/>
      <c r="D13" s="571"/>
      <c r="E13" s="571"/>
      <c r="F13" s="572"/>
      <c r="J13" s="355" t="s">
        <v>948</v>
      </c>
      <c r="K13" s="361" t="b">
        <v>1</v>
      </c>
      <c r="L13" s="361" t="b">
        <v>0</v>
      </c>
      <c r="M13" s="361" t="b">
        <v>1</v>
      </c>
      <c r="N13" s="361" t="b">
        <v>1</v>
      </c>
      <c r="O13" s="361" t="b">
        <v>0</v>
      </c>
      <c r="P13" s="361" t="b">
        <v>0</v>
      </c>
      <c r="Q13" s="366"/>
      <c r="R13" s="356">
        <f>IF(J13=TRUE,1,0)+IF(K13=TRUE,1,0)+IF(L13=TRUE,1,0)+IF(M13=TRUE,1,0)+IF(N13=TRUE,1,0)+IF(O13=TRUE,1,0)+IF(P13=TRUE,1,0)</f>
        <v>3</v>
      </c>
    </row>
    <row r="14" spans="1:19" ht="17.25" thickBot="1" x14ac:dyDescent="0.3">
      <c r="A14" s="354" t="s">
        <v>257</v>
      </c>
      <c r="B14" s="351" t="s">
        <v>301</v>
      </c>
      <c r="C14" s="351" t="s">
        <v>269</v>
      </c>
      <c r="D14" s="351" t="s">
        <v>302</v>
      </c>
      <c r="E14" s="351"/>
      <c r="F14" s="352"/>
      <c r="J14" s="417" t="s">
        <v>385</v>
      </c>
      <c r="K14" s="351">
        <f>IF(K13=TRUE,4%,0%)</f>
        <v>0.04</v>
      </c>
      <c r="L14" s="351">
        <f>IF(L13=TRUE,3%,0%)</f>
        <v>0</v>
      </c>
      <c r="M14" s="361"/>
      <c r="N14" s="361"/>
      <c r="O14" s="361"/>
      <c r="P14" s="361"/>
      <c r="Q14" s="366"/>
      <c r="R14" s="423">
        <f>SUM(K14:L14)</f>
        <v>0.04</v>
      </c>
    </row>
    <row r="15" spans="1:19" ht="17.25" thickBot="1" x14ac:dyDescent="0.3">
      <c r="A15" s="353" t="s">
        <v>258</v>
      </c>
      <c r="B15" s="351" t="s">
        <v>304</v>
      </c>
      <c r="C15" s="351" t="s">
        <v>270</v>
      </c>
      <c r="D15" s="351" t="s">
        <v>305</v>
      </c>
      <c r="E15" s="351"/>
      <c r="F15" s="352"/>
      <c r="J15" s="415" t="s">
        <v>138</v>
      </c>
      <c r="K15" s="361"/>
      <c r="L15" s="361"/>
      <c r="M15" s="357">
        <f>IF(M13=TRUE,5%,0%)</f>
        <v>0.05</v>
      </c>
      <c r="N15" s="357">
        <f>IF(N13=TRUE,4%,0%)</f>
        <v>0.04</v>
      </c>
      <c r="O15" s="357">
        <f>IF(O13=TRUE,2%,0%)</f>
        <v>0</v>
      </c>
      <c r="P15" s="361"/>
      <c r="Q15" s="366"/>
      <c r="R15" s="358">
        <f>SUM(M15:O15)</f>
        <v>0.09</v>
      </c>
    </row>
    <row r="16" spans="1:19" ht="17.25" thickBot="1" x14ac:dyDescent="0.3">
      <c r="A16" s="353" t="s">
        <v>259</v>
      </c>
      <c r="B16" s="351" t="s">
        <v>271</v>
      </c>
      <c r="C16" s="351" t="s">
        <v>279</v>
      </c>
      <c r="D16" s="351" t="s">
        <v>306</v>
      </c>
      <c r="E16" s="351" t="s">
        <v>272</v>
      </c>
      <c r="F16" s="414"/>
      <c r="G16" s="411" t="s">
        <v>294</v>
      </c>
      <c r="H16" s="412" t="s">
        <v>358</v>
      </c>
      <c r="I16" s="412" t="s">
        <v>359</v>
      </c>
      <c r="J16" s="412" t="s">
        <v>360</v>
      </c>
      <c r="K16" s="412" t="s">
        <v>361</v>
      </c>
      <c r="L16" s="412" t="s">
        <v>362</v>
      </c>
      <c r="M16" s="411" t="s">
        <v>87</v>
      </c>
      <c r="N16" s="411" t="s">
        <v>146</v>
      </c>
      <c r="O16" s="411" t="s">
        <v>143</v>
      </c>
      <c r="P16" s="411" t="s">
        <v>171</v>
      </c>
      <c r="Q16" s="411" t="s">
        <v>169</v>
      </c>
      <c r="R16" s="411" t="s">
        <v>144</v>
      </c>
      <c r="S16" s="411" t="s">
        <v>387</v>
      </c>
    </row>
    <row r="17" spans="1:19" ht="17.25" thickBot="1" x14ac:dyDescent="0.3">
      <c r="A17" s="353" t="s">
        <v>260</v>
      </c>
      <c r="B17" s="351" t="s">
        <v>273</v>
      </c>
      <c r="C17" s="351" t="s">
        <v>278</v>
      </c>
      <c r="D17" s="351" t="s">
        <v>307</v>
      </c>
      <c r="E17" s="351" t="s">
        <v>274</v>
      </c>
      <c r="F17" s="352"/>
      <c r="G17" s="355" t="s">
        <v>948</v>
      </c>
      <c r="H17" s="361" t="b">
        <v>1</v>
      </c>
      <c r="I17" s="361" t="b">
        <v>1</v>
      </c>
      <c r="J17" s="361" t="b">
        <v>0</v>
      </c>
      <c r="K17" s="361" t="b">
        <v>1</v>
      </c>
      <c r="L17" s="361" t="b">
        <v>1</v>
      </c>
      <c r="M17" s="368" t="s">
        <v>948</v>
      </c>
      <c r="N17" s="361" t="b">
        <v>1</v>
      </c>
      <c r="O17" s="361" t="b">
        <v>1</v>
      </c>
      <c r="P17" s="361" t="b">
        <v>1</v>
      </c>
      <c r="Q17" s="361" t="b">
        <v>1</v>
      </c>
      <c r="R17" s="361" t="b">
        <v>0</v>
      </c>
      <c r="S17" s="356">
        <f>IF(N17=TRUE,1,0)+IF(O17=TRUE,1,0)+IF(P17=TRUE,1,0)+IF(Q17=TRUE,1,0)+IF(R17=TRUE,1,0)</f>
        <v>4</v>
      </c>
    </row>
    <row r="18" spans="1:19" ht="17.25" thickBot="1" x14ac:dyDescent="0.3">
      <c r="A18" s="353" t="s">
        <v>261</v>
      </c>
      <c r="B18" s="351" t="s">
        <v>275</v>
      </c>
      <c r="C18" s="351" t="s">
        <v>276</v>
      </c>
      <c r="D18" s="351" t="s">
        <v>277</v>
      </c>
      <c r="E18" s="351" t="s">
        <v>330</v>
      </c>
      <c r="F18" s="352"/>
      <c r="G18" s="418" t="s">
        <v>387</v>
      </c>
      <c r="H18" s="362"/>
      <c r="I18" s="362"/>
      <c r="J18" s="367">
        <f>IF(H17=TRUE,1,0)+IF(I17=TRUE,1,0)+IF(J17=TRUE,1,0)+IF(K17=TRUE,1,0)+IF(L17=TRUE,1,0)</f>
        <v>4</v>
      </c>
      <c r="K18" s="362"/>
      <c r="L18" s="362"/>
      <c r="M18" s="424" t="s">
        <v>385</v>
      </c>
      <c r="N18" s="351">
        <f>IF(N17=TRUE,4%,0%)</f>
        <v>0.04</v>
      </c>
      <c r="O18" s="351">
        <f>IF(O17=TRUE,3%,0%)</f>
        <v>0.03</v>
      </c>
      <c r="P18" s="361"/>
      <c r="Q18" s="361"/>
      <c r="R18" s="361"/>
      <c r="S18" s="419">
        <f>SUM(N18:O18)</f>
        <v>7.0000000000000007E-2</v>
      </c>
    </row>
    <row r="19" spans="1:19" ht="17.25" thickBot="1" x14ac:dyDescent="0.3">
      <c r="A19" s="353" t="s">
        <v>262</v>
      </c>
      <c r="B19" s="351" t="s">
        <v>280</v>
      </c>
      <c r="C19" s="351" t="s">
        <v>281</v>
      </c>
      <c r="D19" s="351" t="s">
        <v>331</v>
      </c>
      <c r="E19" s="351" t="s">
        <v>282</v>
      </c>
      <c r="F19" s="352"/>
      <c r="M19" s="425" t="s">
        <v>138</v>
      </c>
      <c r="N19" s="362"/>
      <c r="O19" s="362"/>
      <c r="P19" s="359">
        <f>IF(P17=TRUE,5%,0%)</f>
        <v>0.05</v>
      </c>
      <c r="Q19" s="359">
        <f>IF(Q17=TRUE,4%,0%)</f>
        <v>0.04</v>
      </c>
      <c r="R19" s="359">
        <f>IF(R17=TRUE,3%,0%)</f>
        <v>0</v>
      </c>
      <c r="S19" s="431">
        <f>SUM(P19:R19)</f>
        <v>0.09</v>
      </c>
    </row>
    <row r="20" spans="1:19" ht="17.25" thickBot="1" x14ac:dyDescent="0.3">
      <c r="A20" s="353" t="s">
        <v>263</v>
      </c>
      <c r="B20" s="351" t="s">
        <v>283</v>
      </c>
      <c r="C20" s="351" t="s">
        <v>332</v>
      </c>
      <c r="D20" s="351" t="s">
        <v>333</v>
      </c>
      <c r="E20" s="351" t="s">
        <v>334</v>
      </c>
      <c r="F20" s="414"/>
      <c r="G20" s="411" t="s">
        <v>363</v>
      </c>
      <c r="H20" s="411" t="s">
        <v>147</v>
      </c>
      <c r="I20" s="411" t="s">
        <v>146</v>
      </c>
      <c r="J20" s="411" t="s">
        <v>143</v>
      </c>
      <c r="K20" s="411" t="s">
        <v>176</v>
      </c>
      <c r="L20" s="411" t="s">
        <v>179</v>
      </c>
      <c r="M20" s="411" t="s">
        <v>387</v>
      </c>
    </row>
    <row r="21" spans="1:19" ht="17.25" thickBot="1" x14ac:dyDescent="0.3">
      <c r="A21" s="353" t="s">
        <v>264</v>
      </c>
      <c r="B21" s="351" t="s">
        <v>284</v>
      </c>
      <c r="C21" s="351" t="s">
        <v>285</v>
      </c>
      <c r="D21" s="351" t="s">
        <v>335</v>
      </c>
      <c r="E21" s="351" t="s">
        <v>336</v>
      </c>
      <c r="F21" s="352"/>
      <c r="G21" s="355" t="s">
        <v>948</v>
      </c>
      <c r="H21" s="351" t="b">
        <v>1</v>
      </c>
      <c r="I21" s="351" t="b">
        <v>1</v>
      </c>
      <c r="J21" s="351" t="b">
        <v>1</v>
      </c>
      <c r="K21" s="351" t="b">
        <v>1</v>
      </c>
      <c r="L21" s="351" t="b">
        <v>0</v>
      </c>
      <c r="M21" s="421">
        <f>IF(H21=TRUE,1,0)+IF(I21=TRUE,1,0)+IF(J21=TRUE,1,0)+IF(K21=TRUE,1,0)+IF(L21=TRUE,1,0)</f>
        <v>4</v>
      </c>
    </row>
    <row r="22" spans="1:19" ht="17.25" thickBot="1" x14ac:dyDescent="0.3">
      <c r="A22" s="353" t="s">
        <v>265</v>
      </c>
      <c r="B22" s="351" t="s">
        <v>337</v>
      </c>
      <c r="C22" s="351" t="s">
        <v>350</v>
      </c>
      <c r="D22" s="351" t="s">
        <v>286</v>
      </c>
      <c r="E22" s="351" t="s">
        <v>241</v>
      </c>
      <c r="F22" s="352"/>
      <c r="G22" s="415" t="s">
        <v>385</v>
      </c>
      <c r="H22" s="351">
        <f>IF(H21=TRUE,5%,0%)</f>
        <v>0.05</v>
      </c>
      <c r="I22" s="351">
        <f>IF(I21=TRUE,4%,0%)</f>
        <v>0.04</v>
      </c>
      <c r="J22" s="351">
        <f>IF(J21=TRUE,3%,0%)</f>
        <v>0.03</v>
      </c>
      <c r="K22" s="351"/>
      <c r="L22" s="351"/>
      <c r="M22" s="358">
        <f>SUM(H22:J22)</f>
        <v>0.12</v>
      </c>
    </row>
    <row r="23" spans="1:19" ht="17.25" thickBot="1" x14ac:dyDescent="0.3">
      <c r="A23" s="353" t="s">
        <v>266</v>
      </c>
      <c r="B23" s="351" t="s">
        <v>287</v>
      </c>
      <c r="C23" s="351" t="s">
        <v>338</v>
      </c>
      <c r="D23" s="351" t="s">
        <v>288</v>
      </c>
      <c r="E23" s="351" t="s">
        <v>289</v>
      </c>
      <c r="F23" s="414"/>
      <c r="G23" s="411" t="s">
        <v>174</v>
      </c>
      <c r="H23" s="411" t="s">
        <v>147</v>
      </c>
      <c r="I23" s="411" t="s">
        <v>146</v>
      </c>
      <c r="J23" s="411" t="s">
        <v>143</v>
      </c>
      <c r="K23" s="411" t="s">
        <v>175</v>
      </c>
      <c r="L23" s="411" t="s">
        <v>178</v>
      </c>
      <c r="M23" s="411" t="s">
        <v>176</v>
      </c>
      <c r="N23" s="411" t="s">
        <v>179</v>
      </c>
      <c r="O23" s="411" t="s">
        <v>387</v>
      </c>
    </row>
    <row r="24" spans="1:19" ht="17.25" thickBot="1" x14ac:dyDescent="0.3">
      <c r="A24" s="353" t="s">
        <v>267</v>
      </c>
      <c r="B24" s="351" t="s">
        <v>290</v>
      </c>
      <c r="C24" s="351" t="s">
        <v>339</v>
      </c>
      <c r="D24" s="351" t="s">
        <v>340</v>
      </c>
      <c r="E24" s="351" t="s">
        <v>341</v>
      </c>
      <c r="F24" s="352"/>
      <c r="G24" s="355" t="s">
        <v>948</v>
      </c>
      <c r="H24" s="361" t="b">
        <v>1</v>
      </c>
      <c r="I24" s="361" t="b">
        <v>1</v>
      </c>
      <c r="J24" s="361" t="b">
        <v>1</v>
      </c>
      <c r="K24" s="361" t="b">
        <v>1</v>
      </c>
      <c r="L24" s="361" t="b">
        <v>0</v>
      </c>
      <c r="M24" s="361"/>
      <c r="N24" s="366"/>
      <c r="O24" s="356">
        <f>IF(H24=TRUE,1,0)+IF(I24=TRUE,1,0)+IF(J24=TRUE,1,0)+IF(K24=TRUE,1,0)+IF(L24=TRUE,1,0)+IF(M24=TRUE,1,0)+IF(N24=TRUE,1,0)</f>
        <v>4</v>
      </c>
    </row>
    <row r="25" spans="1:19" x14ac:dyDescent="0.25">
      <c r="A25" s="371" t="s">
        <v>268</v>
      </c>
      <c r="B25" s="351" t="s">
        <v>343</v>
      </c>
      <c r="C25" s="351" t="s">
        <v>344</v>
      </c>
      <c r="D25" s="351" t="s">
        <v>237</v>
      </c>
      <c r="E25" s="351" t="s">
        <v>345</v>
      </c>
      <c r="F25" s="352"/>
      <c r="G25" s="426" t="s">
        <v>385</v>
      </c>
      <c r="H25" s="351">
        <f>IF(H24=TRUE,5%,0%)</f>
        <v>0.05</v>
      </c>
      <c r="I25" s="351">
        <f>IF(I24=TRUE,4%,0%)</f>
        <v>0.04</v>
      </c>
      <c r="J25" s="351">
        <f>IF(J24=TRUE,3%,0%)</f>
        <v>0.03</v>
      </c>
      <c r="K25" s="361"/>
      <c r="L25" s="361"/>
      <c r="M25" s="361"/>
      <c r="N25" s="366"/>
      <c r="O25" s="427">
        <f>SUM(H25:J25)</f>
        <v>0.12</v>
      </c>
    </row>
    <row r="26" spans="1:19" s="376" customFormat="1" x14ac:dyDescent="0.25">
      <c r="A26" s="569" t="s">
        <v>387</v>
      </c>
      <c r="B26" s="350" t="s">
        <v>315</v>
      </c>
      <c r="C26" s="350" t="s">
        <v>376</v>
      </c>
      <c r="D26" s="350" t="s">
        <v>135</v>
      </c>
      <c r="E26" s="350" t="s">
        <v>137</v>
      </c>
      <c r="F26" s="350" t="s">
        <v>138</v>
      </c>
      <c r="G26" s="350" t="s">
        <v>296</v>
      </c>
      <c r="H26" s="350" t="s">
        <v>297</v>
      </c>
      <c r="I26" s="350" t="s">
        <v>141</v>
      </c>
      <c r="J26" s="350" t="s">
        <v>397</v>
      </c>
      <c r="K26" s="350" t="s">
        <v>394</v>
      </c>
      <c r="L26" s="350" t="s">
        <v>298</v>
      </c>
      <c r="M26" s="350" t="s">
        <v>299</v>
      </c>
      <c r="N26" s="375" t="s">
        <v>369</v>
      </c>
      <c r="O26" s="350" t="s">
        <v>386</v>
      </c>
      <c r="P26" s="350" t="s">
        <v>497</v>
      </c>
      <c r="Q26" s="350" t="s">
        <v>498</v>
      </c>
      <c r="R26" s="376" t="s">
        <v>505</v>
      </c>
      <c r="S26" s="376" t="s">
        <v>506</v>
      </c>
    </row>
    <row r="27" spans="1:19" s="384" customFormat="1" ht="17.25" thickBot="1" x14ac:dyDescent="0.3">
      <c r="A27" s="569"/>
      <c r="B27" s="350" t="s">
        <v>947</v>
      </c>
      <c r="C27" s="377">
        <f t="shared" ref="C27:L27" si="0">SUM(C55:C110)</f>
        <v>0.2</v>
      </c>
      <c r="D27" s="378">
        <f t="shared" si="0"/>
        <v>52.03</v>
      </c>
      <c r="E27" s="379">
        <f t="shared" si="0"/>
        <v>0</v>
      </c>
      <c r="F27" s="379">
        <f t="shared" si="0"/>
        <v>0.2</v>
      </c>
      <c r="G27" s="377">
        <f t="shared" si="0"/>
        <v>0.28000000000000003</v>
      </c>
      <c r="H27" s="377">
        <f t="shared" si="0"/>
        <v>0.30000000000000004</v>
      </c>
      <c r="I27" s="380">
        <f t="shared" si="0"/>
        <v>52</v>
      </c>
      <c r="J27" s="381">
        <f t="shared" si="0"/>
        <v>52</v>
      </c>
      <c r="K27" s="379">
        <f t="shared" si="0"/>
        <v>0.2</v>
      </c>
      <c r="L27" s="377">
        <f t="shared" si="0"/>
        <v>0</v>
      </c>
      <c r="M27" s="377">
        <f>IF(SUM(M81:M110)&gt;=1,1,SUM(M81:M110))</f>
        <v>0</v>
      </c>
      <c r="N27" s="381"/>
      <c r="O27" s="382"/>
      <c r="P27" s="380">
        <f>SUM(P55:P110)</f>
        <v>52</v>
      </c>
      <c r="Q27" s="380">
        <f>SUM(Q55:Q110)</f>
        <v>52</v>
      </c>
      <c r="R27" s="380">
        <f>SUM(R55:R110)</f>
        <v>0</v>
      </c>
      <c r="S27" s="383">
        <f>SUM(S55:S110)</f>
        <v>0</v>
      </c>
    </row>
    <row r="28" spans="1:19" s="519" customFormat="1" ht="17.25" thickBot="1" x14ac:dyDescent="0.3">
      <c r="A28" s="507" t="s">
        <v>36</v>
      </c>
      <c r="B28" s="508" t="s">
        <v>77</v>
      </c>
      <c r="C28" s="509" t="s">
        <v>78</v>
      </c>
      <c r="D28" s="510" t="s">
        <v>35</v>
      </c>
      <c r="E28" s="509" t="s">
        <v>80</v>
      </c>
      <c r="F28" s="509" t="s">
        <v>79</v>
      </c>
      <c r="G28" s="510" t="s">
        <v>73</v>
      </c>
      <c r="H28" s="511" t="s">
        <v>74</v>
      </c>
      <c r="I28" s="512" t="s">
        <v>75</v>
      </c>
      <c r="J28" s="512" t="s">
        <v>76</v>
      </c>
      <c r="K28" s="513"/>
      <c r="L28" s="514"/>
      <c r="M28" s="514"/>
      <c r="N28" s="515"/>
      <c r="O28" s="516"/>
      <c r="P28" s="517"/>
      <c r="Q28" s="517"/>
      <c r="R28" s="517"/>
      <c r="S28" s="518"/>
    </row>
    <row r="29" spans="1:19" s="496" customFormat="1" x14ac:dyDescent="0.25">
      <c r="A29" s="504" t="s">
        <v>34</v>
      </c>
      <c r="B29" s="497">
        <v>35</v>
      </c>
      <c r="C29" s="497">
        <v>38</v>
      </c>
      <c r="D29" s="498">
        <v>1</v>
      </c>
      <c r="E29" s="499"/>
      <c r="F29" s="499">
        <v>1.5</v>
      </c>
      <c r="G29" s="500"/>
      <c r="H29" s="500"/>
      <c r="I29" s="501"/>
      <c r="J29" s="501">
        <v>0.1</v>
      </c>
      <c r="K29" s="490"/>
      <c r="L29" s="491"/>
      <c r="M29" s="491"/>
      <c r="N29" s="492"/>
      <c r="O29" s="493"/>
      <c r="P29" s="494"/>
      <c r="Q29" s="494"/>
      <c r="R29" s="494"/>
      <c r="S29" s="495"/>
    </row>
    <row r="30" spans="1:19" s="496" customFormat="1" x14ac:dyDescent="0.25">
      <c r="A30" s="505" t="s">
        <v>37</v>
      </c>
      <c r="B30" s="497">
        <v>168</v>
      </c>
      <c r="C30" s="497">
        <v>183</v>
      </c>
      <c r="D30" s="498">
        <v>2.54</v>
      </c>
      <c r="E30" s="499">
        <v>10</v>
      </c>
      <c r="F30" s="499"/>
      <c r="G30" s="500">
        <v>1.8</v>
      </c>
      <c r="H30" s="500"/>
      <c r="I30" s="501">
        <v>0.2</v>
      </c>
      <c r="J30" s="501"/>
      <c r="K30" s="490"/>
      <c r="L30" s="491"/>
      <c r="M30" s="491"/>
      <c r="N30" s="492"/>
      <c r="O30" s="493"/>
      <c r="P30" s="494"/>
      <c r="Q30" s="494"/>
      <c r="R30" s="494"/>
      <c r="S30" s="495"/>
    </row>
    <row r="31" spans="1:19" s="496" customFormat="1" x14ac:dyDescent="0.25">
      <c r="A31" s="505" t="s">
        <v>38</v>
      </c>
      <c r="B31" s="502">
        <v>599</v>
      </c>
      <c r="C31" s="497">
        <v>661</v>
      </c>
      <c r="D31" s="498">
        <v>0.97</v>
      </c>
      <c r="E31" s="499"/>
      <c r="F31" s="499"/>
      <c r="G31" s="500">
        <v>1</v>
      </c>
      <c r="H31" s="500"/>
      <c r="I31" s="501">
        <v>0.1</v>
      </c>
      <c r="J31" s="501"/>
      <c r="K31" s="490"/>
      <c r="L31" s="491"/>
      <c r="M31" s="491"/>
      <c r="N31" s="492"/>
      <c r="O31" s="493"/>
      <c r="P31" s="494"/>
      <c r="Q31" s="494"/>
      <c r="R31" s="494"/>
      <c r="S31" s="495"/>
    </row>
    <row r="32" spans="1:19" s="496" customFormat="1" x14ac:dyDescent="0.25">
      <c r="A32" s="505" t="s">
        <v>39</v>
      </c>
      <c r="B32" s="497">
        <v>131</v>
      </c>
      <c r="C32" s="497">
        <v>144</v>
      </c>
      <c r="D32" s="498">
        <v>0.88</v>
      </c>
      <c r="E32" s="499"/>
      <c r="F32" s="499"/>
      <c r="G32" s="500">
        <v>0.9</v>
      </c>
      <c r="H32" s="500"/>
      <c r="I32" s="501">
        <v>0.1</v>
      </c>
      <c r="J32" s="501"/>
      <c r="K32" s="490"/>
      <c r="L32" s="491"/>
      <c r="M32" s="491"/>
      <c r="N32" s="492"/>
      <c r="O32" s="493"/>
      <c r="P32" s="494"/>
      <c r="Q32" s="494"/>
      <c r="R32" s="494"/>
      <c r="S32" s="495"/>
    </row>
    <row r="33" spans="1:19" s="496" customFormat="1" x14ac:dyDescent="0.25">
      <c r="A33" s="505" t="s">
        <v>40</v>
      </c>
      <c r="B33" s="497">
        <v>245</v>
      </c>
      <c r="C33" s="497">
        <v>263</v>
      </c>
      <c r="D33" s="498">
        <v>2.58</v>
      </c>
      <c r="E33" s="499"/>
      <c r="F33" s="499"/>
      <c r="G33" s="500">
        <v>3</v>
      </c>
      <c r="H33" s="500"/>
      <c r="I33" s="501">
        <v>0.3</v>
      </c>
      <c r="J33" s="501">
        <v>0.3</v>
      </c>
      <c r="K33" s="490"/>
      <c r="L33" s="491"/>
      <c r="M33" s="491"/>
      <c r="N33" s="492"/>
      <c r="O33" s="493" t="b">
        <v>0</v>
      </c>
      <c r="P33" s="494"/>
      <c r="Q33" s="494"/>
      <c r="R33" s="494"/>
      <c r="S33" s="495"/>
    </row>
    <row r="34" spans="1:19" s="496" customFormat="1" x14ac:dyDescent="0.25">
      <c r="A34" s="505" t="s">
        <v>180</v>
      </c>
      <c r="B34" s="497">
        <v>32</v>
      </c>
      <c r="C34" s="497">
        <v>32</v>
      </c>
      <c r="D34" s="498">
        <v>0.18</v>
      </c>
      <c r="E34" s="499"/>
      <c r="F34" s="499"/>
      <c r="G34" s="500">
        <v>2.8</v>
      </c>
      <c r="H34" s="500"/>
      <c r="I34" s="501"/>
      <c r="J34" s="501"/>
      <c r="K34" s="490"/>
      <c r="L34" s="491"/>
      <c r="M34" s="491"/>
      <c r="N34" s="492"/>
      <c r="O34" s="493"/>
      <c r="P34" s="494"/>
      <c r="Q34" s="494"/>
      <c r="R34" s="494"/>
      <c r="S34" s="495"/>
    </row>
    <row r="35" spans="1:19" s="496" customFormat="1" x14ac:dyDescent="0.25">
      <c r="A35" s="505" t="s">
        <v>41</v>
      </c>
      <c r="B35" s="497">
        <v>70</v>
      </c>
      <c r="C35" s="497">
        <v>80</v>
      </c>
      <c r="D35" s="503">
        <v>0.35</v>
      </c>
      <c r="E35" s="499"/>
      <c r="F35" s="499"/>
      <c r="G35" s="500">
        <v>0.2</v>
      </c>
      <c r="H35" s="500"/>
      <c r="I35" s="501"/>
      <c r="J35" s="501">
        <f>15%</f>
        <v>0.15</v>
      </c>
      <c r="K35" s="490"/>
      <c r="L35" s="491"/>
      <c r="M35" s="491"/>
      <c r="N35" s="492"/>
      <c r="O35" s="493"/>
      <c r="P35" s="494"/>
      <c r="Q35" s="494"/>
      <c r="R35" s="494"/>
      <c r="S35" s="495"/>
    </row>
    <row r="36" spans="1:19" s="496" customFormat="1" x14ac:dyDescent="0.25">
      <c r="A36" s="505" t="s">
        <v>42</v>
      </c>
      <c r="B36" s="497">
        <v>66</v>
      </c>
      <c r="C36" s="497">
        <v>81</v>
      </c>
      <c r="D36" s="503">
        <v>0.9</v>
      </c>
      <c r="E36" s="499">
        <f>10</f>
        <v>10</v>
      </c>
      <c r="F36" s="499"/>
      <c r="G36" s="500">
        <v>1.5</v>
      </c>
      <c r="H36" s="500"/>
      <c r="I36" s="501">
        <v>0.3</v>
      </c>
      <c r="J36" s="501"/>
      <c r="K36" s="490"/>
      <c r="L36" s="491"/>
      <c r="M36" s="491"/>
      <c r="N36" s="492"/>
      <c r="O36" s="493"/>
      <c r="P36" s="494"/>
      <c r="Q36" s="494"/>
      <c r="R36" s="494"/>
      <c r="S36" s="495"/>
    </row>
    <row r="37" spans="1:19" s="496" customFormat="1" x14ac:dyDescent="0.25">
      <c r="A37" s="505" t="s">
        <v>43</v>
      </c>
      <c r="B37" s="497">
        <v>140</v>
      </c>
      <c r="C37" s="497">
        <v>154</v>
      </c>
      <c r="D37" s="503">
        <v>0.9</v>
      </c>
      <c r="E37" s="499">
        <v>20</v>
      </c>
      <c r="F37" s="499"/>
      <c r="G37" s="500">
        <v>1</v>
      </c>
      <c r="H37" s="500"/>
      <c r="I37" s="501"/>
      <c r="J37" s="501">
        <v>0.2</v>
      </c>
      <c r="K37" s="490"/>
      <c r="L37" s="491"/>
      <c r="M37" s="491"/>
      <c r="N37" s="492"/>
      <c r="O37" s="493"/>
      <c r="P37" s="494"/>
      <c r="Q37" s="494"/>
      <c r="R37" s="494"/>
      <c r="S37" s="495"/>
    </row>
    <row r="38" spans="1:19" s="496" customFormat="1" x14ac:dyDescent="0.25">
      <c r="A38" s="505" t="s">
        <v>44</v>
      </c>
      <c r="B38" s="497">
        <v>118</v>
      </c>
      <c r="C38" s="497">
        <v>130</v>
      </c>
      <c r="D38" s="503">
        <v>0.87</v>
      </c>
      <c r="E38" s="499">
        <v>20</v>
      </c>
      <c r="F38" s="499">
        <v>1</v>
      </c>
      <c r="G38" s="500">
        <v>0.5</v>
      </c>
      <c r="H38" s="500"/>
      <c r="I38" s="501"/>
      <c r="J38" s="501">
        <f>IF(BUFF!F6=TRUE,10%,0%)</f>
        <v>0.1</v>
      </c>
      <c r="K38" s="490"/>
      <c r="L38" s="491"/>
      <c r="M38" s="491"/>
      <c r="N38" s="492"/>
      <c r="O38" s="493"/>
      <c r="P38" s="494"/>
      <c r="Q38" s="494"/>
      <c r="R38" s="494"/>
      <c r="S38" s="495"/>
    </row>
    <row r="39" spans="1:19" s="496" customFormat="1" x14ac:dyDescent="0.25">
      <c r="A39" s="505" t="s">
        <v>45</v>
      </c>
      <c r="B39" s="497">
        <v>65</v>
      </c>
      <c r="C39" s="497">
        <v>71</v>
      </c>
      <c r="D39" s="503">
        <v>0.43</v>
      </c>
      <c r="E39" s="499"/>
      <c r="F39" s="499"/>
      <c r="G39" s="500">
        <v>1</v>
      </c>
      <c r="H39" s="500"/>
      <c r="I39" s="501"/>
      <c r="J39" s="501">
        <v>0.5</v>
      </c>
      <c r="K39" s="490"/>
      <c r="L39" s="491"/>
      <c r="M39" s="491"/>
      <c r="N39" s="492"/>
      <c r="O39" s="493"/>
      <c r="P39" s="494"/>
      <c r="Q39" s="494"/>
      <c r="R39" s="494"/>
      <c r="S39" s="495"/>
    </row>
    <row r="40" spans="1:19" s="496" customFormat="1" x14ac:dyDescent="0.25">
      <c r="A40" s="505" t="s">
        <v>46</v>
      </c>
      <c r="B40" s="497">
        <v>228</v>
      </c>
      <c r="C40" s="497">
        <v>248</v>
      </c>
      <c r="D40" s="503">
        <v>1.66</v>
      </c>
      <c r="E40" s="499">
        <v>45</v>
      </c>
      <c r="F40" s="499"/>
      <c r="G40" s="500">
        <v>2.2000000000000002</v>
      </c>
      <c r="H40" s="500"/>
      <c r="I40" s="501"/>
      <c r="J40" s="501">
        <v>0.5</v>
      </c>
      <c r="K40" s="490"/>
      <c r="L40" s="491"/>
      <c r="M40" s="491"/>
      <c r="N40" s="492"/>
      <c r="O40" s="493"/>
      <c r="P40" s="494"/>
      <c r="Q40" s="494"/>
      <c r="R40" s="494"/>
      <c r="S40" s="495"/>
    </row>
    <row r="41" spans="1:19" s="496" customFormat="1" x14ac:dyDescent="0.25">
      <c r="A41" s="505" t="s">
        <v>47</v>
      </c>
      <c r="B41" s="497">
        <v>154</v>
      </c>
      <c r="C41" s="497">
        <v>170</v>
      </c>
      <c r="D41" s="503">
        <v>0.5</v>
      </c>
      <c r="E41" s="499">
        <v>15</v>
      </c>
      <c r="F41" s="499"/>
      <c r="G41" s="500">
        <v>1.5</v>
      </c>
      <c r="H41" s="500"/>
      <c r="I41" s="501">
        <v>0.2</v>
      </c>
      <c r="J41" s="501"/>
      <c r="K41" s="490"/>
      <c r="L41" s="491"/>
      <c r="M41" s="491"/>
      <c r="N41" s="492"/>
      <c r="O41" s="493"/>
      <c r="P41" s="494"/>
      <c r="Q41" s="494"/>
      <c r="R41" s="494"/>
      <c r="S41" s="495"/>
    </row>
    <row r="42" spans="1:19" s="496" customFormat="1" x14ac:dyDescent="0.25">
      <c r="A42" s="505" t="s">
        <v>82</v>
      </c>
      <c r="B42" s="497">
        <f>152</f>
        <v>152</v>
      </c>
      <c r="C42" s="497">
        <f>228</f>
        <v>228</v>
      </c>
      <c r="D42" s="503">
        <f>0.96</f>
        <v>0.96</v>
      </c>
      <c r="E42" s="499"/>
      <c r="F42" s="499"/>
      <c r="G42" s="500">
        <v>0.4</v>
      </c>
      <c r="H42" s="500"/>
      <c r="I42" s="501">
        <v>0.1</v>
      </c>
      <c r="J42" s="501"/>
      <c r="K42" s="490"/>
      <c r="L42" s="491"/>
      <c r="M42" s="491"/>
      <c r="N42" s="492"/>
      <c r="O42" s="493"/>
      <c r="P42" s="494"/>
      <c r="Q42" s="494"/>
      <c r="R42" s="494"/>
      <c r="S42" s="495"/>
    </row>
    <row r="43" spans="1:19" s="496" customFormat="1" x14ac:dyDescent="0.25">
      <c r="A43" s="505" t="s">
        <v>81</v>
      </c>
      <c r="B43" s="497">
        <v>144</v>
      </c>
      <c r="C43" s="497">
        <v>154</v>
      </c>
      <c r="D43" s="503">
        <v>0.27</v>
      </c>
      <c r="E43" s="499"/>
      <c r="F43" s="499">
        <v>0.2</v>
      </c>
      <c r="G43" s="500">
        <v>0.5</v>
      </c>
      <c r="H43" s="500"/>
      <c r="I43" s="501"/>
      <c r="J43" s="501"/>
      <c r="K43" s="490"/>
      <c r="L43" s="491"/>
      <c r="M43" s="491"/>
      <c r="N43" s="492"/>
      <c r="O43" s="493"/>
      <c r="P43" s="494"/>
      <c r="Q43" s="494"/>
      <c r="R43" s="494"/>
      <c r="S43" s="495"/>
    </row>
    <row r="44" spans="1:19" s="496" customFormat="1" x14ac:dyDescent="0.25">
      <c r="A44" s="505" t="s">
        <v>48</v>
      </c>
      <c r="B44" s="497">
        <f>120</f>
        <v>120</v>
      </c>
      <c r="C44" s="497">
        <f>140</f>
        <v>140</v>
      </c>
      <c r="D44" s="503">
        <f>0.67</f>
        <v>0.67</v>
      </c>
      <c r="E44" s="499"/>
      <c r="F44" s="499"/>
      <c r="G44" s="500">
        <v>0.7</v>
      </c>
      <c r="H44" s="500"/>
      <c r="I44" s="501"/>
      <c r="J44" s="501">
        <f>20%</f>
        <v>0.2</v>
      </c>
      <c r="K44" s="490"/>
      <c r="L44" s="491"/>
      <c r="M44" s="491"/>
      <c r="N44" s="492"/>
      <c r="O44" s="493"/>
      <c r="P44" s="494"/>
      <c r="Q44" s="494"/>
      <c r="R44" s="494"/>
      <c r="S44" s="495"/>
    </row>
    <row r="45" spans="1:19" s="496" customFormat="1" x14ac:dyDescent="0.25">
      <c r="A45" s="505" t="s">
        <v>83</v>
      </c>
      <c r="B45" s="497">
        <v>61</v>
      </c>
      <c r="C45" s="497">
        <v>91</v>
      </c>
      <c r="D45" s="503">
        <v>0.312</v>
      </c>
      <c r="E45" s="499">
        <v>25</v>
      </c>
      <c r="F45" s="499"/>
      <c r="G45" s="500"/>
      <c r="H45" s="500"/>
      <c r="I45" s="501">
        <v>0.1</v>
      </c>
      <c r="J45" s="501"/>
      <c r="K45" s="490"/>
      <c r="L45" s="491"/>
      <c r="M45" s="491"/>
      <c r="N45" s="492"/>
      <c r="O45" s="493"/>
      <c r="P45" s="494"/>
      <c r="Q45" s="494"/>
      <c r="R45" s="494"/>
      <c r="S45" s="495"/>
    </row>
    <row r="46" spans="1:19" s="496" customFormat="1" x14ac:dyDescent="0.25">
      <c r="A46" s="505" t="s">
        <v>84</v>
      </c>
      <c r="B46" s="497">
        <v>124</v>
      </c>
      <c r="C46" s="497">
        <v>137</v>
      </c>
      <c r="D46" s="503">
        <v>0.5</v>
      </c>
      <c r="E46" s="499"/>
      <c r="F46" s="499"/>
      <c r="G46" s="500"/>
      <c r="H46" s="500"/>
      <c r="I46" s="501">
        <v>0.1</v>
      </c>
      <c r="J46" s="501"/>
      <c r="K46" s="490"/>
      <c r="L46" s="491"/>
      <c r="M46" s="491"/>
      <c r="N46" s="492"/>
      <c r="O46" s="493"/>
      <c r="P46" s="494"/>
      <c r="Q46" s="494"/>
      <c r="R46" s="494"/>
      <c r="S46" s="495"/>
    </row>
    <row r="47" spans="1:19" s="496" customFormat="1" x14ac:dyDescent="0.25">
      <c r="A47" s="505" t="s">
        <v>85</v>
      </c>
      <c r="B47" s="497">
        <v>103</v>
      </c>
      <c r="C47" s="497">
        <v>113</v>
      </c>
      <c r="D47" s="503">
        <v>0.69</v>
      </c>
      <c r="E47" s="499"/>
      <c r="F47" s="499"/>
      <c r="G47" s="500"/>
      <c r="H47" s="500"/>
      <c r="I47" s="501">
        <v>0.1</v>
      </c>
      <c r="J47" s="501"/>
      <c r="K47" s="490"/>
      <c r="L47" s="491"/>
      <c r="M47" s="491"/>
      <c r="N47" s="492"/>
      <c r="O47" s="493"/>
      <c r="P47" s="494"/>
      <c r="Q47" s="494"/>
      <c r="R47" s="494"/>
      <c r="S47" s="495"/>
    </row>
    <row r="48" spans="1:19" s="496" customFormat="1" x14ac:dyDescent="0.25">
      <c r="A48" s="505" t="s">
        <v>86</v>
      </c>
      <c r="B48" s="502">
        <v>1465</v>
      </c>
      <c r="C48" s="502">
        <v>1525</v>
      </c>
      <c r="D48" s="503">
        <v>2</v>
      </c>
      <c r="E48" s="499"/>
      <c r="F48" s="499"/>
      <c r="G48" s="500">
        <v>1.8</v>
      </c>
      <c r="H48" s="500"/>
      <c r="I48" s="501">
        <v>0.1</v>
      </c>
      <c r="J48" s="501"/>
      <c r="K48" s="490"/>
      <c r="L48" s="491"/>
      <c r="M48" s="491"/>
      <c r="N48" s="492"/>
      <c r="O48" s="493"/>
      <c r="P48" s="494"/>
      <c r="Q48" s="494"/>
      <c r="R48" s="494"/>
      <c r="S48" s="495"/>
    </row>
    <row r="49" spans="1:19" s="496" customFormat="1" ht="17.25" thickBot="1" x14ac:dyDescent="0.3">
      <c r="A49" s="506" t="s">
        <v>390</v>
      </c>
      <c r="B49" s="502">
        <v>219</v>
      </c>
      <c r="C49" s="502">
        <v>242</v>
      </c>
      <c r="D49" s="503">
        <v>1.87</v>
      </c>
      <c r="E49" s="499"/>
      <c r="F49" s="499"/>
      <c r="G49" s="500">
        <v>1.7</v>
      </c>
      <c r="H49" s="500"/>
      <c r="I49" s="501">
        <v>0.1</v>
      </c>
      <c r="J49" s="501"/>
      <c r="K49" s="490"/>
      <c r="L49" s="491"/>
      <c r="M49" s="491"/>
      <c r="N49" s="492"/>
      <c r="O49" s="493"/>
      <c r="P49" s="494"/>
      <c r="Q49" s="494"/>
      <c r="R49" s="494"/>
      <c r="S49" s="495"/>
    </row>
    <row r="50" spans="1:19" s="496" customFormat="1" ht="17.25" thickBot="1" x14ac:dyDescent="0.3">
      <c r="A50" s="506" t="s">
        <v>238</v>
      </c>
      <c r="B50" s="502">
        <v>450</v>
      </c>
      <c r="C50" s="502">
        <v>500</v>
      </c>
      <c r="D50" s="503">
        <v>1.413</v>
      </c>
      <c r="E50" s="499"/>
      <c r="F50" s="499"/>
      <c r="G50" s="500">
        <v>2</v>
      </c>
      <c r="H50" s="500"/>
      <c r="I50" s="501">
        <v>0</v>
      </c>
      <c r="J50" s="501"/>
      <c r="K50" s="490"/>
      <c r="L50" s="491"/>
      <c r="M50" s="491"/>
      <c r="N50" s="492"/>
      <c r="O50" s="493"/>
      <c r="P50" s="494"/>
      <c r="Q50" s="494"/>
      <c r="R50" s="494"/>
      <c r="S50" s="495"/>
    </row>
    <row r="51" spans="1:19" s="496" customFormat="1" ht="17.25" thickBot="1" x14ac:dyDescent="0.3">
      <c r="A51" s="506" t="s">
        <v>239</v>
      </c>
      <c r="B51" s="502">
        <v>35</v>
      </c>
      <c r="C51" s="502">
        <v>38</v>
      </c>
      <c r="D51" s="503">
        <v>1.03</v>
      </c>
      <c r="E51" s="499"/>
      <c r="F51" s="499">
        <v>1.5</v>
      </c>
      <c r="G51" s="500"/>
      <c r="H51" s="500"/>
      <c r="I51" s="501"/>
      <c r="J51" s="501"/>
      <c r="K51" s="490"/>
      <c r="L51" s="491"/>
      <c r="M51" s="491"/>
      <c r="N51" s="492"/>
      <c r="O51" s="493"/>
      <c r="P51" s="494"/>
      <c r="Q51" s="494"/>
      <c r="R51" s="494"/>
      <c r="S51" s="495"/>
    </row>
    <row r="52" spans="1:19" s="496" customFormat="1" ht="17.25" thickBot="1" x14ac:dyDescent="0.3">
      <c r="A52" s="506" t="s">
        <v>240</v>
      </c>
      <c r="B52" s="502">
        <v>35</v>
      </c>
      <c r="C52" s="502">
        <v>38</v>
      </c>
      <c r="D52" s="503">
        <v>1.125</v>
      </c>
      <c r="E52" s="499"/>
      <c r="F52" s="499">
        <v>1.5</v>
      </c>
      <c r="G52" s="500"/>
      <c r="H52" s="500"/>
      <c r="I52" s="501"/>
      <c r="J52" s="501"/>
      <c r="K52" s="490"/>
      <c r="L52" s="491"/>
      <c r="M52" s="491"/>
      <c r="N52" s="492"/>
      <c r="O52" s="493"/>
      <c r="P52" s="494"/>
      <c r="Q52" s="494"/>
      <c r="R52" s="494"/>
      <c r="S52" s="495"/>
    </row>
    <row r="53" spans="1:19" s="496" customFormat="1" ht="17.25" thickBot="1" x14ac:dyDescent="0.3">
      <c r="A53" s="506" t="s">
        <v>357</v>
      </c>
      <c r="B53" s="502"/>
      <c r="C53" s="502"/>
      <c r="D53" s="503"/>
      <c r="E53" s="499">
        <v>40</v>
      </c>
      <c r="F53" s="499">
        <v>2.5</v>
      </c>
      <c r="G53" s="500"/>
      <c r="H53" s="500"/>
      <c r="I53" s="501"/>
      <c r="J53" s="501"/>
      <c r="K53" s="490"/>
      <c r="L53" s="491"/>
      <c r="M53" s="491"/>
      <c r="N53" s="492"/>
      <c r="O53" s="493"/>
      <c r="P53" s="494"/>
      <c r="Q53" s="494"/>
      <c r="R53" s="494"/>
      <c r="S53" s="495"/>
    </row>
    <row r="54" spans="1:19" s="372" customFormat="1" x14ac:dyDescent="0.25">
      <c r="A54" s="372" t="s">
        <v>354</v>
      </c>
      <c r="B54" s="372" t="s">
        <v>950</v>
      </c>
      <c r="C54" s="372" t="s">
        <v>376</v>
      </c>
      <c r="D54" s="372" t="s">
        <v>135</v>
      </c>
      <c r="E54" s="372" t="s">
        <v>137</v>
      </c>
      <c r="F54" s="372" t="s">
        <v>138</v>
      </c>
      <c r="G54" s="372" t="s">
        <v>296</v>
      </c>
      <c r="H54" s="372" t="s">
        <v>297</v>
      </c>
      <c r="I54" s="372" t="s">
        <v>141</v>
      </c>
      <c r="J54" s="372" t="s">
        <v>397</v>
      </c>
      <c r="K54" s="372" t="s">
        <v>394</v>
      </c>
      <c r="L54" s="372" t="s">
        <v>298</v>
      </c>
      <c r="M54" s="372" t="s">
        <v>299</v>
      </c>
      <c r="N54" s="373" t="s">
        <v>369</v>
      </c>
      <c r="O54" s="372" t="s">
        <v>949</v>
      </c>
      <c r="P54" s="372" t="s">
        <v>497</v>
      </c>
      <c r="Q54" s="372" t="s">
        <v>498</v>
      </c>
      <c r="R54" s="372" t="s">
        <v>504</v>
      </c>
      <c r="S54" s="374" t="s">
        <v>506</v>
      </c>
    </row>
    <row r="55" spans="1:19" x14ac:dyDescent="0.25">
      <c r="A55" s="370" t="s">
        <v>301</v>
      </c>
      <c r="B55" s="148">
        <f>IF(傷害計算!B10=A55,1,0)</f>
        <v>0</v>
      </c>
      <c r="C55" s="148"/>
      <c r="D55" s="148"/>
      <c r="E55" s="148"/>
      <c r="F55" s="44"/>
      <c r="G55" s="44"/>
      <c r="H55" s="44"/>
      <c r="I55" s="148"/>
      <c r="J55" s="148"/>
      <c r="K55" s="148"/>
      <c r="L55" s="148"/>
      <c r="M55" s="148"/>
      <c r="N55" s="57"/>
      <c r="O55" s="45"/>
      <c r="P55" s="45"/>
      <c r="Q55" s="148"/>
      <c r="R55" s="148"/>
    </row>
    <row r="56" spans="1:19" x14ac:dyDescent="0.25">
      <c r="A56" s="369" t="s">
        <v>303</v>
      </c>
      <c r="B56" s="148">
        <f>IF(傷害計算!B10=A56,1,0)</f>
        <v>1</v>
      </c>
      <c r="C56" s="148"/>
      <c r="D56" s="148"/>
      <c r="E56" s="148"/>
      <c r="F56" s="44"/>
      <c r="G56" s="44"/>
      <c r="H56" s="44"/>
      <c r="I56" s="148"/>
      <c r="J56" s="148"/>
      <c r="K56" s="148"/>
      <c r="L56" s="148"/>
      <c r="M56" s="148"/>
      <c r="N56" s="57"/>
      <c r="O56" s="45"/>
      <c r="P56" s="45"/>
      <c r="Q56" s="148"/>
      <c r="R56" s="148"/>
    </row>
    <row r="57" spans="1:19" x14ac:dyDescent="0.25">
      <c r="A57" s="369" t="s">
        <v>306</v>
      </c>
      <c r="B57" s="148">
        <f>IF(傷害計算!D10=A57,1,0)</f>
        <v>1</v>
      </c>
      <c r="C57" s="148"/>
      <c r="D57" s="148"/>
      <c r="E57" s="148"/>
      <c r="F57" s="44"/>
      <c r="G57" s="44"/>
      <c r="H57" s="44"/>
      <c r="I57" s="148"/>
      <c r="J57" s="148"/>
      <c r="K57" s="148"/>
      <c r="L57" s="148"/>
      <c r="M57" s="148"/>
      <c r="N57" s="57"/>
      <c r="O57" s="45"/>
      <c r="P57" s="45"/>
      <c r="Q57" s="148"/>
      <c r="R57" s="148"/>
    </row>
    <row r="58" spans="1:19" x14ac:dyDescent="0.25">
      <c r="A58" s="369" t="s">
        <v>308</v>
      </c>
      <c r="B58" s="148">
        <f>IF(傷害計算!E10=A58,1,0)</f>
        <v>0</v>
      </c>
      <c r="C58" s="148"/>
      <c r="D58" s="148"/>
      <c r="E58" s="148"/>
      <c r="F58" s="44"/>
      <c r="G58" s="44"/>
      <c r="H58" s="44"/>
      <c r="I58" s="148"/>
      <c r="J58" s="148"/>
      <c r="K58" s="45"/>
      <c r="L58" s="148"/>
      <c r="M58" s="148"/>
      <c r="N58" s="57"/>
      <c r="O58" s="45"/>
      <c r="P58" s="45"/>
      <c r="Q58" s="45"/>
      <c r="R58" s="148"/>
    </row>
    <row r="59" spans="1:19" x14ac:dyDescent="0.25">
      <c r="A59" s="369" t="s">
        <v>278</v>
      </c>
      <c r="B59" s="148">
        <f>IF(傷害計算!E10=A59,1,0)</f>
        <v>1</v>
      </c>
      <c r="C59" s="45">
        <f>IF(B59=1,15%,0%)</f>
        <v>0.15</v>
      </c>
      <c r="D59" s="148"/>
      <c r="E59" s="148"/>
      <c r="F59" s="44"/>
      <c r="G59" s="44"/>
      <c r="H59" s="44"/>
      <c r="I59" s="148"/>
      <c r="J59" s="148"/>
      <c r="K59" s="148"/>
      <c r="L59" s="148"/>
      <c r="M59" s="148"/>
      <c r="N59" s="57">
        <v>30</v>
      </c>
      <c r="O59" s="45"/>
      <c r="P59" s="45"/>
      <c r="Q59" s="148"/>
      <c r="R59" s="148"/>
    </row>
    <row r="60" spans="1:19" x14ac:dyDescent="0.25">
      <c r="A60" s="369" t="s">
        <v>274</v>
      </c>
      <c r="B60" s="148">
        <f>IF(傷害計算!E10=A60,1,0)</f>
        <v>0</v>
      </c>
      <c r="C60" s="45">
        <f>IF(B60=1,20%,0%)</f>
        <v>0</v>
      </c>
      <c r="D60" s="148"/>
      <c r="E60" s="148"/>
      <c r="F60" s="44"/>
      <c r="G60" s="44"/>
      <c r="H60" s="44"/>
      <c r="I60" s="148"/>
      <c r="J60" s="148"/>
      <c r="K60" s="148"/>
      <c r="L60" s="148"/>
      <c r="M60" s="148"/>
      <c r="N60" s="57">
        <v>8</v>
      </c>
      <c r="O60" s="45"/>
      <c r="P60" s="45"/>
      <c r="Q60" s="148"/>
      <c r="R60" s="148"/>
    </row>
    <row r="61" spans="1:19" x14ac:dyDescent="0.25">
      <c r="A61" s="369" t="s">
        <v>275</v>
      </c>
      <c r="B61" s="148">
        <f>IF(傷害計算!F10=A61,1,0)</f>
        <v>1</v>
      </c>
      <c r="C61" s="148"/>
      <c r="D61" s="148"/>
      <c r="E61" s="148"/>
      <c r="F61" s="44"/>
      <c r="G61" s="44"/>
      <c r="H61" s="44"/>
      <c r="I61" s="148"/>
      <c r="J61" s="148"/>
      <c r="K61" s="148"/>
      <c r="L61" s="148"/>
      <c r="M61" s="148"/>
      <c r="N61" s="57"/>
      <c r="O61" s="45"/>
      <c r="P61" s="45"/>
      <c r="Q61" s="148"/>
      <c r="R61" s="148"/>
    </row>
    <row r="62" spans="1:19" x14ac:dyDescent="0.25">
      <c r="A62" s="369" t="s">
        <v>276</v>
      </c>
      <c r="B62" s="148">
        <f>IF(傷害計算!F10=A62,1,0)</f>
        <v>0</v>
      </c>
      <c r="C62" s="148"/>
      <c r="D62" s="148"/>
      <c r="E62" s="148"/>
      <c r="F62" s="44"/>
      <c r="G62" s="44"/>
      <c r="H62" s="44"/>
      <c r="I62" s="148"/>
      <c r="J62" s="148"/>
      <c r="K62" s="148"/>
      <c r="L62" s="148"/>
      <c r="M62" s="148"/>
      <c r="N62" s="57"/>
      <c r="O62" s="45"/>
      <c r="P62" s="45"/>
      <c r="Q62" s="148"/>
      <c r="R62" s="148"/>
    </row>
    <row r="63" spans="1:19" x14ac:dyDescent="0.25">
      <c r="A63" s="369" t="s">
        <v>280</v>
      </c>
      <c r="B63" s="148">
        <f>IF(傷害計算!G10=A63,1,0)</f>
        <v>1</v>
      </c>
      <c r="C63" s="148"/>
      <c r="D63" s="148"/>
      <c r="E63" s="148"/>
      <c r="F63" s="44"/>
      <c r="G63" s="44"/>
      <c r="H63" s="44"/>
      <c r="I63" s="148"/>
      <c r="J63" s="148"/>
      <c r="K63" s="148"/>
      <c r="L63" s="148"/>
      <c r="M63" s="148"/>
      <c r="N63" s="57">
        <v>45</v>
      </c>
      <c r="O63" s="45" t="b">
        <v>1</v>
      </c>
      <c r="P63" s="45"/>
      <c r="Q63" s="148"/>
      <c r="R63" s="148"/>
    </row>
    <row r="64" spans="1:19" x14ac:dyDescent="0.25">
      <c r="A64" s="369" t="s">
        <v>331</v>
      </c>
      <c r="B64" s="148">
        <f>IF(傷害計算!G10=A64,1,0)</f>
        <v>0</v>
      </c>
      <c r="C64" s="148"/>
      <c r="D64" s="148"/>
      <c r="E64" s="148"/>
      <c r="F64" s="44"/>
      <c r="G64" s="44"/>
      <c r="H64" s="44"/>
      <c r="I64" s="148"/>
      <c r="J64" s="148"/>
      <c r="K64" s="148"/>
      <c r="L64" s="148"/>
      <c r="M64" s="148"/>
      <c r="N64" s="57"/>
      <c r="O64" s="45"/>
      <c r="P64" s="45"/>
      <c r="Q64" s="148"/>
      <c r="R64" s="148"/>
    </row>
    <row r="65" spans="1:19" x14ac:dyDescent="0.25">
      <c r="A65" s="369" t="s">
        <v>282</v>
      </c>
      <c r="B65" s="148">
        <f>IF(傷害計算!G10=A65,1,0)</f>
        <v>0</v>
      </c>
      <c r="C65" s="148"/>
      <c r="D65" s="148"/>
      <c r="E65" s="148"/>
      <c r="F65" s="44"/>
      <c r="G65" s="44"/>
      <c r="H65" s="44"/>
      <c r="I65" s="148"/>
      <c r="J65" s="148"/>
      <c r="K65" s="148"/>
      <c r="L65" s="148"/>
      <c r="M65" s="148"/>
      <c r="N65" s="57"/>
      <c r="O65" s="45"/>
      <c r="P65" s="148"/>
      <c r="Q65" s="148"/>
      <c r="R65" s="148"/>
    </row>
    <row r="66" spans="1:19" x14ac:dyDescent="0.25">
      <c r="A66" s="369" t="s">
        <v>283</v>
      </c>
      <c r="B66" s="148">
        <f>IF(傷害計算!H10=A66,1,0)</f>
        <v>1</v>
      </c>
      <c r="C66" s="148"/>
      <c r="D66" s="148"/>
      <c r="E66" s="148"/>
      <c r="F66" s="44"/>
      <c r="G66" s="44"/>
      <c r="H66" s="44"/>
      <c r="I66" s="148"/>
      <c r="J66" s="148"/>
      <c r="K66" s="148"/>
      <c r="L66" s="148"/>
      <c r="M66" s="148"/>
      <c r="N66" s="57">
        <v>30</v>
      </c>
      <c r="O66" s="45"/>
      <c r="P66" s="148"/>
      <c r="Q66" s="148"/>
      <c r="R66" s="148"/>
    </row>
    <row r="67" spans="1:19" x14ac:dyDescent="0.25">
      <c r="A67" s="369" t="s">
        <v>284</v>
      </c>
      <c r="B67" s="148">
        <f>IF(傷害計算!I10=A67,1,0)</f>
        <v>1</v>
      </c>
      <c r="C67" s="148"/>
      <c r="D67" s="148"/>
      <c r="E67" s="148"/>
      <c r="F67" s="44"/>
      <c r="G67" s="44"/>
      <c r="H67" s="44"/>
      <c r="I67" s="148"/>
      <c r="J67" s="148"/>
      <c r="K67" s="148"/>
      <c r="L67" s="148"/>
      <c r="M67" s="148"/>
      <c r="N67" s="57"/>
      <c r="O67" s="45"/>
      <c r="P67" s="148"/>
      <c r="Q67" s="148"/>
      <c r="R67" s="148"/>
    </row>
    <row r="68" spans="1:19" x14ac:dyDescent="0.25">
      <c r="A68" s="369" t="s">
        <v>285</v>
      </c>
      <c r="B68" s="148">
        <f>IF(傷害計算!I10=A68,1,0)</f>
        <v>0</v>
      </c>
      <c r="C68" s="148"/>
      <c r="D68" s="148"/>
      <c r="E68" s="148"/>
      <c r="F68" s="44"/>
      <c r="G68" s="44"/>
      <c r="H68" s="44"/>
      <c r="I68" s="148"/>
      <c r="J68" s="148"/>
      <c r="K68" s="148"/>
      <c r="L68" s="148"/>
      <c r="M68" s="148"/>
      <c r="N68" s="57"/>
      <c r="O68" s="45"/>
      <c r="P68" s="45"/>
      <c r="Q68" s="148"/>
      <c r="R68" s="148"/>
    </row>
    <row r="69" spans="1:19" x14ac:dyDescent="0.25">
      <c r="A69" s="369" t="s">
        <v>335</v>
      </c>
      <c r="B69" s="148">
        <f>IF(傷害計算!I10=A69,1,0)</f>
        <v>0</v>
      </c>
      <c r="C69" s="148"/>
      <c r="D69" s="148"/>
      <c r="E69" s="148"/>
      <c r="F69" s="44"/>
      <c r="G69" s="44"/>
      <c r="H69" s="44"/>
      <c r="I69" s="148"/>
      <c r="J69" s="148"/>
      <c r="K69" s="148"/>
      <c r="L69" s="148"/>
      <c r="M69" s="148"/>
      <c r="N69" s="57"/>
      <c r="O69" s="45"/>
      <c r="P69" s="45"/>
      <c r="Q69" s="148"/>
      <c r="R69" s="148"/>
    </row>
    <row r="70" spans="1:19" x14ac:dyDescent="0.25">
      <c r="A70" s="369" t="s">
        <v>350</v>
      </c>
      <c r="B70" s="148">
        <f>IF(傷害計算!J10=A70,1,0)</f>
        <v>0</v>
      </c>
      <c r="C70" s="148"/>
      <c r="D70" s="148"/>
      <c r="E70" s="148"/>
      <c r="F70" s="44"/>
      <c r="G70" s="44"/>
      <c r="H70" s="44"/>
      <c r="I70" s="148"/>
      <c r="J70" s="148"/>
      <c r="K70" s="148"/>
      <c r="L70" s="148"/>
      <c r="M70" s="148"/>
      <c r="N70" s="57"/>
      <c r="O70" s="45"/>
      <c r="P70" s="45"/>
      <c r="Q70" s="148"/>
      <c r="R70" s="148"/>
    </row>
    <row r="71" spans="1:19" x14ac:dyDescent="0.25">
      <c r="A71" s="369" t="s">
        <v>286</v>
      </c>
      <c r="B71" s="148">
        <f>IF(傷害計算!J10=A71,1,0)</f>
        <v>0</v>
      </c>
      <c r="C71" s="148"/>
      <c r="D71" s="148"/>
      <c r="E71" s="148"/>
      <c r="F71" s="44"/>
      <c r="G71" s="44"/>
      <c r="H71" s="44"/>
      <c r="I71" s="148"/>
      <c r="J71" s="148"/>
      <c r="K71" s="148"/>
      <c r="L71" s="148"/>
      <c r="M71" s="148"/>
      <c r="N71" s="57"/>
      <c r="O71" s="45"/>
      <c r="P71" s="45"/>
      <c r="Q71" s="148"/>
      <c r="R71" s="148"/>
    </row>
    <row r="72" spans="1:19" x14ac:dyDescent="0.25">
      <c r="A72" s="369" t="s">
        <v>351</v>
      </c>
      <c r="B72" s="148">
        <f>IF(傷害計算!J10=A72,1,0)</f>
        <v>1</v>
      </c>
      <c r="C72" s="148"/>
      <c r="D72" s="148"/>
      <c r="E72" s="148"/>
      <c r="F72" s="44"/>
      <c r="G72" s="44"/>
      <c r="H72" s="44"/>
      <c r="I72" s="148"/>
      <c r="J72" s="148"/>
      <c r="K72" s="148"/>
      <c r="L72" s="148"/>
      <c r="M72" s="148"/>
      <c r="N72" s="57"/>
      <c r="O72" s="45"/>
      <c r="P72" s="45"/>
      <c r="Q72" s="148"/>
      <c r="R72" s="148"/>
    </row>
    <row r="73" spans="1:19" x14ac:dyDescent="0.25">
      <c r="A73" s="369" t="s">
        <v>352</v>
      </c>
      <c r="B73" s="148">
        <f>IF(傷害計算!K10=A73,1,0)</f>
        <v>1</v>
      </c>
      <c r="C73" s="45"/>
      <c r="D73" s="148"/>
      <c r="E73" s="148"/>
      <c r="F73" s="44"/>
      <c r="G73" s="44"/>
      <c r="H73" s="44"/>
      <c r="I73" s="148"/>
      <c r="J73" s="148"/>
      <c r="K73" s="59"/>
      <c r="L73" s="148"/>
      <c r="M73" s="148"/>
      <c r="N73" s="57">
        <v>8</v>
      </c>
      <c r="O73" s="45"/>
      <c r="P73" s="45"/>
      <c r="Q73" s="148"/>
      <c r="R73" s="148"/>
    </row>
    <row r="74" spans="1:19" x14ac:dyDescent="0.25">
      <c r="A74" s="369" t="s">
        <v>288</v>
      </c>
      <c r="B74" s="148">
        <f>IF(傷害計算!K10=A74,1,0)</f>
        <v>0</v>
      </c>
      <c r="C74" s="45"/>
      <c r="D74" s="148"/>
      <c r="E74" s="148"/>
      <c r="F74" s="44"/>
      <c r="G74" s="44"/>
      <c r="H74" s="44"/>
      <c r="I74" s="148"/>
      <c r="J74" s="148"/>
      <c r="K74" s="59"/>
      <c r="L74" s="148"/>
      <c r="M74" s="148"/>
      <c r="N74" s="57">
        <v>8</v>
      </c>
      <c r="O74" s="45"/>
      <c r="P74" s="45"/>
      <c r="Q74" s="148"/>
      <c r="R74" s="148"/>
    </row>
    <row r="75" spans="1:19" s="209" customFormat="1" x14ac:dyDescent="0.25">
      <c r="A75" s="369" t="s">
        <v>970</v>
      </c>
      <c r="B75" s="148">
        <f>IF(傷害計算!K10=A75,1,0)</f>
        <v>0</v>
      </c>
      <c r="C75" s="45"/>
      <c r="D75" s="148"/>
      <c r="E75" s="148"/>
      <c r="F75" s="44"/>
      <c r="G75" s="44"/>
      <c r="H75" s="44"/>
      <c r="I75" s="148"/>
      <c r="J75" s="148"/>
      <c r="K75" s="59"/>
      <c r="L75" s="148"/>
      <c r="M75" s="148"/>
      <c r="N75" s="57"/>
      <c r="O75" s="45" t="b">
        <v>0</v>
      </c>
      <c r="P75" s="45"/>
      <c r="Q75" s="148"/>
      <c r="R75" s="148"/>
    </row>
    <row r="76" spans="1:19" x14ac:dyDescent="0.25">
      <c r="A76" s="369" t="s">
        <v>290</v>
      </c>
      <c r="B76" s="148">
        <f>IF(傷害計算!L10=A76,1,0)</f>
        <v>1</v>
      </c>
      <c r="C76" s="148"/>
      <c r="D76" s="148"/>
      <c r="E76" s="148"/>
      <c r="F76" s="44"/>
      <c r="G76" s="59">
        <f>IF(AND(B76=1,B79=TRUE),20%,0%)</f>
        <v>0.2</v>
      </c>
      <c r="H76" s="44"/>
      <c r="I76" s="148"/>
      <c r="J76" s="148"/>
      <c r="K76" s="148"/>
      <c r="L76" s="148"/>
      <c r="M76" s="148"/>
      <c r="N76" s="57"/>
      <c r="O76" s="45"/>
      <c r="P76" s="45"/>
      <c r="Q76" s="148"/>
      <c r="R76" s="148"/>
    </row>
    <row r="77" spans="1:19" x14ac:dyDescent="0.25">
      <c r="A77" s="369" t="s">
        <v>340</v>
      </c>
      <c r="B77" s="148">
        <f>IF(傷害計算!L10=A77,1,0)</f>
        <v>0</v>
      </c>
      <c r="C77" s="148"/>
      <c r="D77" s="148"/>
      <c r="E77" s="148"/>
      <c r="F77" s="44"/>
      <c r="G77" s="44"/>
      <c r="H77" s="44"/>
      <c r="I77" s="148"/>
      <c r="J77" s="148"/>
      <c r="K77" s="148"/>
      <c r="L77" s="148"/>
      <c r="M77" s="148"/>
      <c r="N77" s="57"/>
      <c r="O77" s="45"/>
      <c r="P77" s="45"/>
      <c r="Q77" s="148"/>
      <c r="R77" s="148"/>
    </row>
    <row r="78" spans="1:19" x14ac:dyDescent="0.25">
      <c r="A78" s="369" t="s">
        <v>343</v>
      </c>
      <c r="B78" s="148">
        <f>IF(傷害計算!M10=A78,1,0)</f>
        <v>1</v>
      </c>
      <c r="C78" s="148"/>
      <c r="D78" s="148"/>
      <c r="E78" s="148"/>
      <c r="F78" s="44"/>
      <c r="G78" s="44"/>
      <c r="H78" s="44"/>
      <c r="I78" s="148"/>
      <c r="J78" s="148"/>
      <c r="K78" s="148"/>
      <c r="L78" s="148"/>
      <c r="M78" s="45">
        <v>1</v>
      </c>
      <c r="N78" s="57"/>
      <c r="O78" s="45"/>
      <c r="P78" s="45"/>
      <c r="Q78" s="148"/>
      <c r="R78" s="148"/>
    </row>
    <row r="79" spans="1:19" x14ac:dyDescent="0.25">
      <c r="A79" s="385" t="s">
        <v>294</v>
      </c>
      <c r="B79" s="148" t="b">
        <v>1</v>
      </c>
      <c r="C79" s="148"/>
      <c r="D79" s="148"/>
      <c r="E79" s="148"/>
      <c r="F79" s="59">
        <f>IF(B79=TRUE,20%,0%)</f>
        <v>0.2</v>
      </c>
      <c r="G79" s="44"/>
      <c r="H79" s="44"/>
      <c r="I79" s="148"/>
      <c r="J79" s="148"/>
      <c r="K79" s="148"/>
      <c r="L79" s="148"/>
      <c r="M79" s="45"/>
      <c r="N79" s="57"/>
      <c r="O79" s="45"/>
      <c r="P79" s="45"/>
      <c r="Q79" s="148"/>
      <c r="R79" s="148"/>
    </row>
    <row r="80" spans="1:19" s="386" customFormat="1" x14ac:dyDescent="0.25">
      <c r="A80" s="387" t="s">
        <v>353</v>
      </c>
      <c r="B80" s="434" t="s">
        <v>950</v>
      </c>
      <c r="C80" s="386" t="s">
        <v>376</v>
      </c>
      <c r="D80" s="386" t="s">
        <v>135</v>
      </c>
      <c r="E80" s="386" t="s">
        <v>137</v>
      </c>
      <c r="F80" s="386" t="s">
        <v>138</v>
      </c>
      <c r="G80" s="386" t="s">
        <v>296</v>
      </c>
      <c r="H80" s="386" t="s">
        <v>297</v>
      </c>
      <c r="I80" s="386" t="s">
        <v>141</v>
      </c>
      <c r="J80" s="386" t="s">
        <v>397</v>
      </c>
      <c r="K80" s="386" t="s">
        <v>394</v>
      </c>
      <c r="L80" s="386" t="s">
        <v>298</v>
      </c>
      <c r="M80" s="386" t="s">
        <v>299</v>
      </c>
      <c r="N80" s="386" t="s">
        <v>369</v>
      </c>
      <c r="O80" s="434" t="s">
        <v>949</v>
      </c>
      <c r="P80" s="435" t="s">
        <v>497</v>
      </c>
      <c r="Q80" s="434" t="s">
        <v>498</v>
      </c>
      <c r="R80" s="434" t="s">
        <v>504</v>
      </c>
      <c r="S80" s="434" t="s">
        <v>506</v>
      </c>
    </row>
    <row r="81" spans="1:19" x14ac:dyDescent="0.25">
      <c r="A81" s="388" t="s">
        <v>291</v>
      </c>
      <c r="B81" s="148" t="b">
        <v>1</v>
      </c>
      <c r="C81" s="148"/>
      <c r="D81" s="148">
        <f>IF(B81=TRUE,52,0)</f>
        <v>52</v>
      </c>
      <c r="E81" s="148"/>
      <c r="F81" s="148"/>
      <c r="G81" s="148"/>
      <c r="H81" s="148"/>
      <c r="I81" s="148">
        <f>IF(B81=TRUE,52,0)</f>
        <v>52</v>
      </c>
      <c r="J81" s="148">
        <f>IF(B81=TRUE,52,0)</f>
        <v>52</v>
      </c>
      <c r="K81" s="148"/>
      <c r="L81" s="148"/>
      <c r="M81" s="148"/>
      <c r="N81" s="57"/>
      <c r="O81" s="45"/>
      <c r="P81" s="49">
        <f>IF(B81=TRUE,52,0)</f>
        <v>52</v>
      </c>
      <c r="Q81" s="49">
        <f>IF(B81=TRUE,52,0)</f>
        <v>52</v>
      </c>
      <c r="R81" s="148"/>
    </row>
    <row r="82" spans="1:19" x14ac:dyDescent="0.25">
      <c r="A82" s="388" t="s">
        <v>292</v>
      </c>
      <c r="B82" s="148" t="b">
        <v>1</v>
      </c>
      <c r="C82" s="45">
        <f>IF(B82=TRUE,5%,0%)</f>
        <v>0.05</v>
      </c>
      <c r="D82" s="59">
        <f>IF(B82=TRUE,3%,0%)</f>
        <v>0.03</v>
      </c>
      <c r="E82" s="148"/>
      <c r="F82" s="148"/>
      <c r="G82" s="148"/>
      <c r="H82" s="148"/>
      <c r="I82" s="148"/>
      <c r="J82" s="148"/>
      <c r="K82" s="148"/>
      <c r="L82" s="148"/>
      <c r="M82" s="148"/>
      <c r="N82" s="57"/>
      <c r="O82" s="45"/>
      <c r="P82" s="45"/>
      <c r="Q82" s="148"/>
      <c r="R82" s="148"/>
    </row>
    <row r="83" spans="1:19" x14ac:dyDescent="0.25">
      <c r="A83" s="388" t="s">
        <v>293</v>
      </c>
      <c r="B83" s="148" t="b">
        <v>0</v>
      </c>
      <c r="C83" s="148"/>
      <c r="D83" s="148"/>
      <c r="E83" s="148"/>
      <c r="F83" s="45">
        <f>IF(B83=TRUE,5%,0%)</f>
        <v>0</v>
      </c>
      <c r="G83" s="45">
        <f>IF(B83=TRUE,10%,0%)</f>
        <v>0</v>
      </c>
      <c r="H83" s="148"/>
      <c r="I83" s="148"/>
      <c r="J83" s="148"/>
      <c r="K83" s="148"/>
      <c r="L83" s="148"/>
      <c r="M83" s="148"/>
      <c r="N83" s="57"/>
      <c r="O83" s="45"/>
      <c r="P83" s="45"/>
      <c r="Q83" s="148"/>
      <c r="R83" s="148"/>
    </row>
    <row r="84" spans="1:19" x14ac:dyDescent="0.25">
      <c r="A84" s="388" t="s">
        <v>367</v>
      </c>
      <c r="B84" s="148" t="b">
        <v>1</v>
      </c>
      <c r="C84" s="148"/>
      <c r="D84" s="148"/>
      <c r="E84" s="45">
        <f>IF(B84=TRUE,0%,0%)</f>
        <v>0</v>
      </c>
      <c r="F84" s="148"/>
      <c r="G84" s="59">
        <f>IF(B84=TRUE,8%,0%)</f>
        <v>0.08</v>
      </c>
      <c r="H84" s="45">
        <f>IF(B84=TRUE,10%,0%)</f>
        <v>0.1</v>
      </c>
      <c r="I84" s="148"/>
      <c r="J84" s="148"/>
      <c r="K84" s="148"/>
      <c r="L84" s="148"/>
      <c r="M84" s="148"/>
      <c r="N84" s="57">
        <v>3</v>
      </c>
      <c r="O84" s="45"/>
      <c r="P84" s="45"/>
      <c r="Q84" s="148"/>
      <c r="R84" s="148"/>
    </row>
    <row r="85" spans="1:19" x14ac:dyDescent="0.25">
      <c r="A85" s="388" t="s">
        <v>294</v>
      </c>
      <c r="B85" s="148">
        <v>1</v>
      </c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57"/>
      <c r="O85" s="45"/>
      <c r="P85" s="45"/>
      <c r="Q85" s="148"/>
      <c r="R85" s="148"/>
    </row>
    <row r="86" spans="1:19" x14ac:dyDescent="0.25">
      <c r="A86" s="388" t="s">
        <v>142</v>
      </c>
      <c r="B86" s="148" t="b">
        <v>1</v>
      </c>
      <c r="C86" s="148"/>
      <c r="D86" s="148"/>
      <c r="E86" s="148"/>
      <c r="F86" s="148"/>
      <c r="G86" s="148"/>
      <c r="H86" s="59">
        <f>IF(B86=TRUE,20%,0%)</f>
        <v>0.2</v>
      </c>
      <c r="I86" s="148"/>
      <c r="J86" s="148"/>
      <c r="K86" s="148"/>
      <c r="L86" s="148"/>
      <c r="M86" s="148"/>
      <c r="N86" s="57">
        <v>0</v>
      </c>
      <c r="O86" s="45" t="b">
        <v>0</v>
      </c>
      <c r="P86" s="45"/>
      <c r="Q86" s="148"/>
      <c r="R86" s="59">
        <f>IF(O86=TRUE,25%,0%)</f>
        <v>0</v>
      </c>
      <c r="S86" s="149">
        <f>(傷害計算!$D$2*BUFF!R86)/15344.2</f>
        <v>0</v>
      </c>
    </row>
    <row r="87" spans="1:19" x14ac:dyDescent="0.25">
      <c r="A87" s="388" t="s">
        <v>300</v>
      </c>
      <c r="B87" s="148">
        <f>IF(配裝模擬!N28=TRUE,1,0)</f>
        <v>1</v>
      </c>
      <c r="C87" s="45">
        <f>IF(AND(B87=1,O87=TRUE),10%,0%)</f>
        <v>0</v>
      </c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57">
        <v>6</v>
      </c>
      <c r="O87" s="45" t="b">
        <v>0</v>
      </c>
      <c r="P87" s="45"/>
      <c r="Q87" s="148"/>
      <c r="R87" s="148"/>
    </row>
    <row r="88" spans="1:19" x14ac:dyDescent="0.25">
      <c r="A88" s="388" t="s">
        <v>368</v>
      </c>
      <c r="B88" s="148">
        <f>B74</f>
        <v>0</v>
      </c>
      <c r="C88" s="45"/>
      <c r="D88" s="148"/>
      <c r="E88" s="148"/>
      <c r="F88" s="148"/>
      <c r="G88" s="148"/>
      <c r="H88" s="148"/>
      <c r="I88" s="148"/>
      <c r="J88" s="148"/>
      <c r="K88" s="59">
        <f>IF(AND(B88=1,O88=TRUE),15%,0%)</f>
        <v>0</v>
      </c>
      <c r="L88" s="148"/>
      <c r="M88" s="148"/>
      <c r="N88" s="57">
        <v>8</v>
      </c>
      <c r="O88" s="45" t="b">
        <v>0</v>
      </c>
      <c r="P88" s="45"/>
      <c r="Q88" s="148"/>
      <c r="R88" s="148"/>
    </row>
    <row r="89" spans="1:19" x14ac:dyDescent="0.25">
      <c r="A89" s="388" t="s">
        <v>372</v>
      </c>
      <c r="B89" s="148">
        <f>B73</f>
        <v>1</v>
      </c>
      <c r="C89" s="45"/>
      <c r="D89" s="148"/>
      <c r="E89" s="148"/>
      <c r="F89" s="148"/>
      <c r="G89" s="148"/>
      <c r="H89" s="148"/>
      <c r="I89" s="148"/>
      <c r="J89" s="148"/>
      <c r="K89" s="59">
        <f>IF(AND(B89=1,O89=TRUE),5%,0%)</f>
        <v>0</v>
      </c>
      <c r="L89" s="148"/>
      <c r="M89" s="148"/>
      <c r="N89" s="57">
        <v>8</v>
      </c>
      <c r="O89" s="45" t="b">
        <v>0</v>
      </c>
      <c r="P89" s="45"/>
      <c r="Q89" s="148"/>
      <c r="R89" s="148"/>
    </row>
    <row r="90" spans="1:19" x14ac:dyDescent="0.25">
      <c r="A90" s="388" t="s">
        <v>373</v>
      </c>
      <c r="B90" s="148">
        <f>B73</f>
        <v>1</v>
      </c>
      <c r="C90" s="45"/>
      <c r="D90" s="148"/>
      <c r="E90" s="148"/>
      <c r="F90" s="148"/>
      <c r="G90" s="148"/>
      <c r="H90" s="148"/>
      <c r="I90" s="148"/>
      <c r="J90" s="148"/>
      <c r="K90" s="59">
        <f>IF(AND(B90=1,O90=TRUE),10%,0%)</f>
        <v>0</v>
      </c>
      <c r="L90" s="148"/>
      <c r="M90" s="148"/>
      <c r="N90" s="57">
        <v>8</v>
      </c>
      <c r="O90" s="45" t="b">
        <v>0</v>
      </c>
      <c r="P90" s="45"/>
      <c r="Q90" s="148"/>
      <c r="R90" s="148"/>
    </row>
    <row r="91" spans="1:19" x14ac:dyDescent="0.25">
      <c r="A91" s="388" t="s">
        <v>374</v>
      </c>
      <c r="B91" s="148">
        <f>B73</f>
        <v>1</v>
      </c>
      <c r="C91" s="45"/>
      <c r="D91" s="148"/>
      <c r="E91" s="148"/>
      <c r="F91" s="148"/>
      <c r="G91" s="148"/>
      <c r="H91" s="148"/>
      <c r="I91" s="148"/>
      <c r="J91" s="148"/>
      <c r="K91" s="59">
        <f>IF(AND(B91=1,O91=TRUE),20%,0%)</f>
        <v>0.2</v>
      </c>
      <c r="L91" s="148"/>
      <c r="M91" s="148"/>
      <c r="N91" s="57">
        <v>8</v>
      </c>
      <c r="O91" s="45" t="b">
        <v>1</v>
      </c>
      <c r="P91" s="45"/>
      <c r="Q91" s="148"/>
      <c r="R91" s="148"/>
    </row>
    <row r="92" spans="1:19" x14ac:dyDescent="0.25">
      <c r="A92" s="388" t="s">
        <v>417</v>
      </c>
      <c r="B92" s="148">
        <v>0</v>
      </c>
      <c r="C92" s="45">
        <f>IF(AND(G2=TRUE,O92=TRUE),20%,0%)</f>
        <v>0</v>
      </c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57">
        <v>8</v>
      </c>
      <c r="O92" s="45" t="b">
        <v>0</v>
      </c>
      <c r="P92" s="45"/>
      <c r="Q92" s="148"/>
      <c r="R92" s="148"/>
    </row>
    <row r="93" spans="1:19" x14ac:dyDescent="0.25">
      <c r="A93" s="388" t="s">
        <v>375</v>
      </c>
      <c r="B93" s="148" t="b">
        <v>0</v>
      </c>
      <c r="C93" s="45">
        <f>IF(B93=TRUE,30%,0%)</f>
        <v>0</v>
      </c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57">
        <v>12</v>
      </c>
      <c r="O93" s="45"/>
      <c r="P93" s="45"/>
      <c r="Q93" s="148"/>
      <c r="R93" s="148"/>
    </row>
    <row r="94" spans="1:19" x14ac:dyDescent="0.25">
      <c r="A94" s="389" t="s">
        <v>938</v>
      </c>
      <c r="B94" s="148" t="b">
        <v>0</v>
      </c>
      <c r="C94" s="45">
        <f>IF(B94=TRUE,5%,0%)</f>
        <v>0</v>
      </c>
      <c r="D94" s="148"/>
      <c r="E94" s="148"/>
      <c r="F94" s="148"/>
      <c r="G94" s="148"/>
      <c r="H94" s="59">
        <f>IF(B94=TRUE,10%+IF(O94=TRUE,10%,0%),0%)</f>
        <v>0</v>
      </c>
      <c r="I94" s="148"/>
      <c r="J94" s="148"/>
      <c r="K94" s="148"/>
      <c r="L94" s="148"/>
      <c r="M94" s="148"/>
      <c r="N94" s="57"/>
      <c r="O94" s="148" t="b">
        <v>0</v>
      </c>
      <c r="P94" s="148"/>
      <c r="Q94" s="148"/>
      <c r="R94" s="148"/>
    </row>
    <row r="95" spans="1:19" x14ac:dyDescent="0.25">
      <c r="A95" s="389" t="s">
        <v>939</v>
      </c>
      <c r="B95" s="148" t="b">
        <v>0</v>
      </c>
      <c r="C95" s="148"/>
      <c r="D95" s="148"/>
      <c r="E95" s="148"/>
      <c r="F95" s="148"/>
      <c r="G95" s="148"/>
      <c r="H95" s="45">
        <f>IF(B94=TRUE,IF(B95=TRUE,30%,0%),0%)</f>
        <v>0</v>
      </c>
      <c r="I95" s="148"/>
      <c r="J95" s="148"/>
      <c r="K95" s="148"/>
      <c r="L95" s="148"/>
      <c r="M95" s="148"/>
      <c r="N95" s="57">
        <v>5</v>
      </c>
      <c r="O95" s="45"/>
      <c r="P95" s="45"/>
      <c r="Q95" s="148"/>
      <c r="R95" s="148"/>
    </row>
    <row r="96" spans="1:19" x14ac:dyDescent="0.25">
      <c r="A96" s="389" t="s">
        <v>940</v>
      </c>
      <c r="B96" s="148" t="b">
        <v>0</v>
      </c>
      <c r="C96" s="148"/>
      <c r="D96" s="148"/>
      <c r="E96" s="148"/>
      <c r="F96" s="148"/>
      <c r="G96" s="148"/>
      <c r="H96" s="148"/>
      <c r="I96" s="148"/>
      <c r="J96" s="148">
        <f>IF(B94=TRUE,IF(B96=TRUE,200*O96,0),0)</f>
        <v>0</v>
      </c>
      <c r="K96" s="148"/>
      <c r="L96" s="148"/>
      <c r="M96" s="148"/>
      <c r="N96" s="148">
        <v>20</v>
      </c>
      <c r="O96" s="57">
        <f>傷害計算!S10</f>
        <v>5</v>
      </c>
      <c r="P96" s="45"/>
      <c r="Q96" s="148"/>
      <c r="R96" s="148"/>
    </row>
    <row r="97" spans="1:18" x14ac:dyDescent="0.25">
      <c r="A97" s="388" t="s">
        <v>421</v>
      </c>
      <c r="B97" s="148" t="b">
        <v>0</v>
      </c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57"/>
      <c r="O97" s="59">
        <f>IF(B97=TRUE,10%*傷害計算!S2,0%)</f>
        <v>0</v>
      </c>
      <c r="P97" s="45"/>
      <c r="Q97" s="148"/>
      <c r="R97" s="148"/>
    </row>
    <row r="98" spans="1:18" x14ac:dyDescent="0.25">
      <c r="A98" s="389" t="s">
        <v>934</v>
      </c>
      <c r="B98" s="148" t="b">
        <v>0</v>
      </c>
      <c r="C98" s="59">
        <f>IF(B98=TRUE,15%,0%)</f>
        <v>0</v>
      </c>
      <c r="D98" s="148"/>
      <c r="E98" s="148"/>
      <c r="F98" s="148"/>
      <c r="G98" s="148"/>
      <c r="H98" s="45">
        <f>IF(B98=TRUE,15%,0%)</f>
        <v>0</v>
      </c>
      <c r="I98" s="148"/>
      <c r="J98" s="148"/>
      <c r="K98" s="148"/>
      <c r="L98" s="148"/>
      <c r="M98" s="148"/>
      <c r="N98" s="57"/>
      <c r="O98" s="148"/>
      <c r="P98" s="148"/>
      <c r="Q98" s="148"/>
      <c r="R98" s="148"/>
    </row>
    <row r="99" spans="1:18" x14ac:dyDescent="0.25">
      <c r="A99" s="389" t="s">
        <v>935</v>
      </c>
      <c r="B99" s="148"/>
      <c r="C99" s="59">
        <f>IF(B99=TRUE,40%,0%)</f>
        <v>0</v>
      </c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57">
        <v>30</v>
      </c>
      <c r="O99" s="148"/>
      <c r="P99" s="148"/>
      <c r="Q99" s="148"/>
      <c r="R99" s="148"/>
    </row>
    <row r="100" spans="1:18" x14ac:dyDescent="0.25">
      <c r="A100" s="389" t="s">
        <v>936</v>
      </c>
      <c r="B100" s="148"/>
      <c r="C100" s="59">
        <f>IF(B100=TRUE,20%,0%)</f>
        <v>0</v>
      </c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57">
        <v>30</v>
      </c>
      <c r="O100" s="148"/>
      <c r="P100" s="148"/>
      <c r="Q100" s="148"/>
      <c r="R100" s="148"/>
    </row>
    <row r="101" spans="1:18" x14ac:dyDescent="0.25">
      <c r="A101" s="389" t="s">
        <v>937</v>
      </c>
      <c r="B101" s="148" t="b">
        <v>0</v>
      </c>
      <c r="C101" s="59">
        <f>IF(B101=TRUE,20%,0%)</f>
        <v>0</v>
      </c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57"/>
      <c r="O101" s="148"/>
      <c r="P101" s="148"/>
      <c r="Q101" s="148"/>
      <c r="R101" s="148"/>
    </row>
    <row r="102" spans="1:18" x14ac:dyDescent="0.25">
      <c r="A102" s="389" t="s">
        <v>941</v>
      </c>
      <c r="B102" s="148" t="b">
        <v>0</v>
      </c>
      <c r="C102" s="59"/>
      <c r="D102" s="148"/>
      <c r="E102" s="45">
        <f>IF(B102=TRUE,3%,0%)</f>
        <v>0</v>
      </c>
      <c r="F102" s="45">
        <f>IF(B102=TRUE,3%,0%)</f>
        <v>0</v>
      </c>
      <c r="G102" s="59">
        <f>IF(B102=TRUE,15%,0%)</f>
        <v>0</v>
      </c>
      <c r="H102" s="148"/>
      <c r="I102" s="148"/>
      <c r="J102" s="148"/>
      <c r="K102" s="148"/>
      <c r="L102" s="148"/>
      <c r="M102" s="148"/>
      <c r="N102" s="57"/>
      <c r="O102" s="148"/>
      <c r="P102" s="148"/>
      <c r="Q102" s="148"/>
      <c r="R102" s="148"/>
    </row>
    <row r="103" spans="1:18" x14ac:dyDescent="0.25">
      <c r="A103" s="389" t="s">
        <v>942</v>
      </c>
      <c r="B103" s="148" t="b">
        <v>0</v>
      </c>
      <c r="C103" s="45">
        <f>IF(B103=TRUE,5%,0%)</f>
        <v>0</v>
      </c>
      <c r="D103" s="148"/>
      <c r="E103" s="148"/>
      <c r="F103" s="148"/>
      <c r="G103" s="148"/>
      <c r="H103" s="59">
        <f>IF(B103=TRUE,20%,0%)</f>
        <v>0</v>
      </c>
      <c r="I103" s="148"/>
      <c r="J103" s="148"/>
      <c r="K103" s="148"/>
      <c r="L103" s="148"/>
      <c r="M103" s="148"/>
      <c r="N103" s="57"/>
      <c r="O103" s="148"/>
      <c r="P103" s="148"/>
      <c r="Q103" s="148"/>
      <c r="R103" s="148"/>
    </row>
    <row r="104" spans="1:18" x14ac:dyDescent="0.25">
      <c r="A104" s="389" t="s">
        <v>943</v>
      </c>
      <c r="B104" s="148" t="b">
        <v>0</v>
      </c>
      <c r="C104" s="45">
        <f>IF(B104=TRUE,5%,0%)</f>
        <v>0</v>
      </c>
      <c r="D104" s="148"/>
      <c r="E104" s="148"/>
      <c r="F104" s="148"/>
      <c r="G104" s="45">
        <f>IF(B104=TRUE,20%,0%)</f>
        <v>0</v>
      </c>
      <c r="H104" s="148"/>
      <c r="I104" s="148"/>
      <c r="J104" s="148"/>
      <c r="K104" s="148"/>
      <c r="L104" s="148"/>
      <c r="M104" s="148"/>
      <c r="N104" s="57"/>
      <c r="O104" s="148"/>
      <c r="P104" s="148"/>
      <c r="Q104" s="148"/>
      <c r="R104" s="148"/>
    </row>
    <row r="105" spans="1:18" x14ac:dyDescent="0.25">
      <c r="A105" s="389" t="s">
        <v>945</v>
      </c>
      <c r="B105" s="148" t="b">
        <v>0</v>
      </c>
      <c r="C105" s="59">
        <f>IF(B105=TRUE,5%,0%)</f>
        <v>0</v>
      </c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57"/>
      <c r="O105" s="148"/>
      <c r="P105" s="148"/>
      <c r="Q105" s="148"/>
      <c r="R105" s="148"/>
    </row>
    <row r="106" spans="1:18" x14ac:dyDescent="0.25">
      <c r="A106" s="389" t="s">
        <v>946</v>
      </c>
      <c r="B106" s="148" t="b">
        <v>0</v>
      </c>
      <c r="C106" s="148"/>
      <c r="D106" s="148"/>
      <c r="E106" s="148"/>
      <c r="F106" s="59">
        <f>IF(B102=TRUE,IF(B106=TRUE,1%*O106,0),0)</f>
        <v>0</v>
      </c>
      <c r="G106" s="148"/>
      <c r="H106" s="148"/>
      <c r="I106" s="148"/>
      <c r="J106" s="148"/>
      <c r="K106" s="148"/>
      <c r="L106" s="148"/>
      <c r="M106" s="148"/>
      <c r="N106" s="57"/>
      <c r="O106" s="148">
        <f>傷害計算!Y9</f>
        <v>5</v>
      </c>
      <c r="P106" s="148"/>
      <c r="Q106" s="148"/>
      <c r="R106" s="148"/>
    </row>
    <row r="107" spans="1:18" x14ac:dyDescent="0.25">
      <c r="A107" s="389" t="s">
        <v>952</v>
      </c>
      <c r="B107" s="148" t="b">
        <v>0</v>
      </c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45">
        <f>IF(B107=TRUE,M78,0%)</f>
        <v>0</v>
      </c>
      <c r="N107" s="57"/>
      <c r="O107" s="148"/>
      <c r="P107" s="148"/>
      <c r="Q107" s="148"/>
      <c r="R107" s="148"/>
    </row>
    <row r="108" spans="1:18" x14ac:dyDescent="0.25">
      <c r="A108" s="389" t="s">
        <v>953</v>
      </c>
      <c r="B108" s="148" t="b">
        <v>0</v>
      </c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45">
        <f>IF(B108=TRUE,30%,0%)</f>
        <v>0</v>
      </c>
      <c r="N108" s="57"/>
      <c r="O108" s="148"/>
      <c r="P108" s="148"/>
      <c r="Q108" s="148"/>
      <c r="R108" s="148"/>
    </row>
    <row r="109" spans="1:18" x14ac:dyDescent="0.25">
      <c r="A109" s="389" t="s">
        <v>966</v>
      </c>
      <c r="B109" s="148"/>
      <c r="C109" s="148"/>
      <c r="D109" s="148"/>
      <c r="E109" s="148"/>
      <c r="F109" s="148"/>
      <c r="G109" s="148"/>
      <c r="H109" s="148">
        <f>IF(B109=TRUE,IF(B77=1,5%*O109,0),0)</f>
        <v>0</v>
      </c>
      <c r="I109" s="148"/>
      <c r="J109" s="148"/>
      <c r="K109" s="148"/>
      <c r="L109" s="148"/>
      <c r="M109" s="148"/>
      <c r="N109" s="57"/>
      <c r="O109" s="148">
        <f>傷害計算!Y3</f>
        <v>5</v>
      </c>
      <c r="P109" s="148"/>
      <c r="Q109" s="148"/>
      <c r="R109" s="148"/>
    </row>
    <row r="110" spans="1:18" x14ac:dyDescent="0.25">
      <c r="A110" s="389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57"/>
      <c r="O110" s="148"/>
      <c r="P110" s="148"/>
      <c r="Q110" s="148"/>
      <c r="R110" s="148"/>
    </row>
    <row r="111" spans="1:18" s="345" customFormat="1" x14ac:dyDescent="0.25">
      <c r="N111" s="349"/>
    </row>
  </sheetData>
  <protectedRanges>
    <protectedRange sqref="A54:M54 B55:M55 B80:M80 C26:M26" name="区域2"/>
  </protectedRanges>
  <mergeCells count="2">
    <mergeCell ref="A26:A27"/>
    <mergeCell ref="A13:F13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1"/>
  <dimension ref="A1:O106"/>
  <sheetViews>
    <sheetView workbookViewId="0">
      <selection activeCell="F10" sqref="F10"/>
    </sheetView>
  </sheetViews>
  <sheetFormatPr defaultRowHeight="18.75" x14ac:dyDescent="0.25"/>
  <cols>
    <col min="1" max="1" width="8.875" style="22" bestFit="1" customWidth="1"/>
    <col min="2" max="3" width="10.5" style="22" bestFit="1" customWidth="1"/>
    <col min="4" max="4" width="9" style="22"/>
    <col min="5" max="6" width="10.5" style="22" bestFit="1" customWidth="1"/>
    <col min="7" max="7" width="9" style="22"/>
    <col min="8" max="8" width="10.5" style="22" bestFit="1" customWidth="1"/>
    <col min="9" max="11" width="12.5" style="22" bestFit="1" customWidth="1"/>
    <col min="12" max="12" width="9" style="22"/>
    <col min="13" max="13" width="10.5" style="22" bestFit="1" customWidth="1"/>
    <col min="14" max="16384" width="9" style="22"/>
  </cols>
  <sheetData>
    <row r="1" spans="1:15" x14ac:dyDescent="0.25">
      <c r="A1" s="574" t="s">
        <v>2</v>
      </c>
      <c r="B1" s="573"/>
      <c r="C1" s="573"/>
    </row>
    <row r="2" spans="1:15" ht="19.5" thickBot="1" x14ac:dyDescent="0.3">
      <c r="A2" s="573" t="s">
        <v>17</v>
      </c>
      <c r="B2" s="573"/>
    </row>
    <row r="3" spans="1:15" ht="19.5" thickBot="1" x14ac:dyDescent="0.3">
      <c r="D3" s="22" t="s">
        <v>0</v>
      </c>
      <c r="E3" s="26">
        <v>2.0081000000000002</v>
      </c>
      <c r="F3" s="573" t="s">
        <v>1</v>
      </c>
      <c r="G3" s="573"/>
      <c r="H3" s="573"/>
      <c r="I3" s="573"/>
      <c r="J3" s="573"/>
    </row>
    <row r="5" spans="1:15" x14ac:dyDescent="0.25">
      <c r="A5" s="27" t="s">
        <v>3</v>
      </c>
      <c r="B5" s="27" t="s">
        <v>4</v>
      </c>
      <c r="C5" s="28" t="s">
        <v>5</v>
      </c>
      <c r="D5" s="29" t="s">
        <v>6</v>
      </c>
      <c r="E5" s="27" t="s">
        <v>7</v>
      </c>
      <c r="F5" s="27" t="s">
        <v>8</v>
      </c>
      <c r="H5" s="573" t="s">
        <v>21</v>
      </c>
      <c r="I5" s="573"/>
      <c r="J5" s="573"/>
      <c r="K5" s="573"/>
    </row>
    <row r="6" spans="1:15" x14ac:dyDescent="0.25">
      <c r="A6" s="30">
        <v>0</v>
      </c>
      <c r="B6" s="22">
        <v>10000</v>
      </c>
      <c r="C6" s="31"/>
      <c r="D6" s="32">
        <v>0</v>
      </c>
      <c r="E6" s="22">
        <v>10000</v>
      </c>
    </row>
    <row r="7" spans="1:15" x14ac:dyDescent="0.25">
      <c r="A7" s="30">
        <v>0.01</v>
      </c>
      <c r="B7" s="22">
        <v>10100</v>
      </c>
      <c r="C7" s="33">
        <f>B7/B6</f>
        <v>1.01</v>
      </c>
      <c r="D7" s="32">
        <v>0.01</v>
      </c>
      <c r="E7" s="22">
        <f>10000*(1-D7)+10000*D7*E3</f>
        <v>10100.81</v>
      </c>
      <c r="F7" s="34">
        <f>E7/E6</f>
        <v>1.010081</v>
      </c>
      <c r="H7" s="35"/>
      <c r="I7" s="35" t="s">
        <v>14</v>
      </c>
      <c r="J7" s="35" t="s">
        <v>15</v>
      </c>
      <c r="K7" s="35" t="s">
        <v>16</v>
      </c>
      <c r="M7" s="35" t="s">
        <v>12</v>
      </c>
      <c r="N7" s="35" t="s">
        <v>13</v>
      </c>
    </row>
    <row r="8" spans="1:15" x14ac:dyDescent="0.25">
      <c r="A8" s="30">
        <v>0.02</v>
      </c>
      <c r="B8" s="22">
        <v>10200</v>
      </c>
      <c r="C8" s="33">
        <f t="shared" ref="C8:C71" si="0">B8/B7</f>
        <v>1.0099009900990099</v>
      </c>
      <c r="D8" s="32">
        <v>0.02</v>
      </c>
      <c r="E8" s="22">
        <f>10000*(1-D8)+10000*D8*E3</f>
        <v>10201.620000000001</v>
      </c>
      <c r="F8" s="34">
        <f t="shared" ref="F8:F71" si="1">E8/E7</f>
        <v>1.0099803877114808</v>
      </c>
      <c r="H8" s="35" t="s">
        <v>9</v>
      </c>
      <c r="I8" s="36">
        <v>1.7317468297860454</v>
      </c>
      <c r="J8" s="36">
        <v>2.1600283038191535</v>
      </c>
      <c r="K8" s="36">
        <v>2.5883097778522615</v>
      </c>
      <c r="M8" s="35">
        <v>5</v>
      </c>
      <c r="N8" s="36">
        <v>0.52138614230117497</v>
      </c>
    </row>
    <row r="9" spans="1:15" x14ac:dyDescent="0.25">
      <c r="A9" s="30">
        <v>0.03</v>
      </c>
      <c r="B9" s="22">
        <v>10300</v>
      </c>
      <c r="C9" s="33">
        <f t="shared" si="0"/>
        <v>1.0098039215686274</v>
      </c>
      <c r="D9" s="32">
        <v>0.03</v>
      </c>
      <c r="E9" s="22">
        <f>10000*(1-D9)+10000*D9*E3</f>
        <v>10302.43</v>
      </c>
      <c r="F9" s="34">
        <f t="shared" si="1"/>
        <v>1.0098817638767175</v>
      </c>
      <c r="H9" s="35" t="s">
        <v>10</v>
      </c>
      <c r="I9" s="36">
        <v>3.4448727259184775</v>
      </c>
      <c r="J9" s="36">
        <v>4.3014356739846935</v>
      </c>
      <c r="K9" s="36">
        <v>5.1766195557045229</v>
      </c>
      <c r="M9" s="35">
        <v>6</v>
      </c>
      <c r="N9" s="36">
        <v>0.63311174422285532</v>
      </c>
    </row>
    <row r="10" spans="1:15" x14ac:dyDescent="0.25">
      <c r="A10" s="30">
        <v>0.04</v>
      </c>
      <c r="B10" s="22">
        <v>10400</v>
      </c>
      <c r="C10" s="33">
        <f t="shared" si="0"/>
        <v>1.0097087378640777</v>
      </c>
      <c r="D10" s="32">
        <v>0.04</v>
      </c>
      <c r="E10" s="22">
        <f>10000*(1-D10)+10000*D10*E3</f>
        <v>10403.24</v>
      </c>
      <c r="F10" s="34">
        <f t="shared" si="1"/>
        <v>1.0097850701242328</v>
      </c>
      <c r="H10" s="35" t="s">
        <v>11</v>
      </c>
      <c r="I10" s="36">
        <v>6.889745451836955</v>
      </c>
      <c r="J10" s="36">
        <v>8.6214922816230004</v>
      </c>
      <c r="K10" s="36">
        <v>10.334618177755432</v>
      </c>
      <c r="M10" s="35">
        <v>7</v>
      </c>
      <c r="N10" s="36">
        <v>0.83794201441260263</v>
      </c>
    </row>
    <row r="11" spans="1:15" x14ac:dyDescent="0.25">
      <c r="A11" s="30">
        <v>0.05</v>
      </c>
      <c r="B11" s="22">
        <v>10500</v>
      </c>
      <c r="C11" s="33">
        <f t="shared" si="0"/>
        <v>1.0096153846153846</v>
      </c>
      <c r="D11" s="32">
        <v>0.05</v>
      </c>
      <c r="E11" s="22">
        <f>10000*(1-D11)+10000*D11*E3</f>
        <v>10504.05</v>
      </c>
      <c r="F11" s="34">
        <f t="shared" si="1"/>
        <v>1.0096902503450849</v>
      </c>
      <c r="M11" s="35">
        <v>8</v>
      </c>
      <c r="N11" s="36">
        <v>1.0800141519095767</v>
      </c>
    </row>
    <row r="12" spans="1:15" x14ac:dyDescent="0.25">
      <c r="A12" s="30">
        <v>0.06</v>
      </c>
      <c r="B12" s="22">
        <v>10600</v>
      </c>
      <c r="C12" s="33">
        <f t="shared" si="0"/>
        <v>1.0095238095238095</v>
      </c>
      <c r="D12" s="32">
        <v>0.06</v>
      </c>
      <c r="E12" s="22">
        <f>10000*(1-D12)+10000*D12*E3</f>
        <v>10604.86</v>
      </c>
      <c r="F12" s="34">
        <f t="shared" si="1"/>
        <v>1.0095972505842985</v>
      </c>
      <c r="H12" s="573" t="s">
        <v>18</v>
      </c>
      <c r="I12" s="573"/>
      <c r="J12" s="573"/>
      <c r="K12" s="573"/>
      <c r="L12" s="573"/>
      <c r="M12" s="573"/>
      <c r="N12" s="573"/>
      <c r="O12" s="573"/>
    </row>
    <row r="13" spans="1:15" x14ac:dyDescent="0.25">
      <c r="A13" s="30">
        <v>7.0000000000000007E-2</v>
      </c>
      <c r="B13" s="22">
        <v>10700</v>
      </c>
      <c r="C13" s="33">
        <f t="shared" si="0"/>
        <v>1.0094339622641511</v>
      </c>
      <c r="D13" s="32">
        <v>7.0000000000000007E-2</v>
      </c>
      <c r="E13" s="22">
        <f>10000*(1-D13)+10000*D13*E3</f>
        <v>10705.67</v>
      </c>
      <c r="F13" s="34">
        <f t="shared" si="1"/>
        <v>1.0095060189384866</v>
      </c>
      <c r="H13" s="573" t="s">
        <v>20</v>
      </c>
      <c r="I13" s="573"/>
      <c r="J13" s="573"/>
      <c r="K13" s="573"/>
      <c r="L13" s="573"/>
      <c r="M13" s="573"/>
      <c r="N13" s="573"/>
      <c r="O13" s="573"/>
    </row>
    <row r="14" spans="1:15" x14ac:dyDescent="0.25">
      <c r="A14" s="30">
        <v>0.08</v>
      </c>
      <c r="B14" s="22">
        <v>10800</v>
      </c>
      <c r="C14" s="33">
        <f t="shared" si="0"/>
        <v>1.0093457943925233</v>
      </c>
      <c r="D14" s="32">
        <v>0.08</v>
      </c>
      <c r="E14" s="22">
        <f>10000*(1-D14)+10000*D14*E3</f>
        <v>10806.48</v>
      </c>
      <c r="F14" s="34">
        <f t="shared" si="1"/>
        <v>1.0094165054592565</v>
      </c>
      <c r="H14" s="573"/>
      <c r="I14" s="573"/>
      <c r="J14" s="573"/>
      <c r="K14" s="573"/>
      <c r="L14" s="573"/>
      <c r="M14" s="573"/>
      <c r="N14" s="573"/>
      <c r="O14" s="573"/>
    </row>
    <row r="15" spans="1:15" x14ac:dyDescent="0.25">
      <c r="A15" s="30">
        <v>0.09</v>
      </c>
      <c r="B15" s="22">
        <v>10900</v>
      </c>
      <c r="C15" s="33">
        <f t="shared" si="0"/>
        <v>1.0092592592592593</v>
      </c>
      <c r="D15" s="32">
        <v>0.09</v>
      </c>
      <c r="E15" s="22">
        <f>10000*(1-D15)+10000*D15*E3</f>
        <v>10907.29</v>
      </c>
      <c r="F15" s="34">
        <f t="shared" si="1"/>
        <v>1.0093286620620221</v>
      </c>
      <c r="H15" s="22" t="s">
        <v>19</v>
      </c>
      <c r="I15" s="37"/>
    </row>
    <row r="16" spans="1:15" x14ac:dyDescent="0.25">
      <c r="A16" s="30">
        <v>0.1</v>
      </c>
      <c r="B16" s="22">
        <v>11000</v>
      </c>
      <c r="C16" s="33">
        <f t="shared" si="0"/>
        <v>1.0091743119266054</v>
      </c>
      <c r="D16" s="32">
        <v>0.1</v>
      </c>
      <c r="E16" s="22">
        <f>10000*(1-D16)+10000*D16*E3</f>
        <v>11008.1</v>
      </c>
      <c r="F16" s="34">
        <f t="shared" si="1"/>
        <v>1.0092424424398727</v>
      </c>
      <c r="I16" s="37"/>
    </row>
    <row r="17" spans="1:15" x14ac:dyDescent="0.25">
      <c r="A17" s="30">
        <v>0.11</v>
      </c>
      <c r="B17" s="22">
        <v>11100.000000000002</v>
      </c>
      <c r="C17" s="33">
        <f t="shared" si="0"/>
        <v>1.0090909090909093</v>
      </c>
      <c r="D17" s="32">
        <v>0.11</v>
      </c>
      <c r="E17" s="22">
        <f>10000*(1-D17)+10000*D17*E3</f>
        <v>11108.91</v>
      </c>
      <c r="F17" s="34">
        <f t="shared" si="1"/>
        <v>1.0091578019821767</v>
      </c>
      <c r="I17" s="38" t="s">
        <v>57</v>
      </c>
      <c r="J17" s="38" t="s">
        <v>55</v>
      </c>
      <c r="K17" s="38" t="s">
        <v>56</v>
      </c>
      <c r="L17" s="38" t="s">
        <v>61</v>
      </c>
      <c r="M17" s="38" t="s">
        <v>63</v>
      </c>
      <c r="N17" s="38" t="s">
        <v>64</v>
      </c>
      <c r="O17" s="38" t="s">
        <v>65</v>
      </c>
    </row>
    <row r="18" spans="1:15" x14ac:dyDescent="0.25">
      <c r="A18" s="30">
        <v>0.12</v>
      </c>
      <c r="B18" s="22">
        <v>11200.000000000002</v>
      </c>
      <c r="C18" s="33">
        <f t="shared" si="0"/>
        <v>1.0090090090090089</v>
      </c>
      <c r="D18" s="32">
        <v>0.12</v>
      </c>
      <c r="E18" s="22">
        <f>10000*(1-D18)+10000*D18*E3</f>
        <v>11209.720000000001</v>
      </c>
      <c r="F18" s="34">
        <f t="shared" si="1"/>
        <v>1.0090746976976139</v>
      </c>
      <c r="H18" s="39" t="s">
        <v>60</v>
      </c>
      <c r="I18" s="40">
        <v>175</v>
      </c>
      <c r="J18" s="41">
        <v>0.5</v>
      </c>
      <c r="K18" s="42">
        <v>16</v>
      </c>
      <c r="L18" s="40">
        <v>1.0066999999999999</v>
      </c>
      <c r="M18" s="40">
        <f>(1.01+L18)*50/2</f>
        <v>50.417500000000004</v>
      </c>
      <c r="N18" s="40">
        <f>(1.0086+L18)*16/2</f>
        <v>16.122399999999999</v>
      </c>
      <c r="O18" s="40">
        <f>M18+N18</f>
        <v>66.539900000000003</v>
      </c>
    </row>
    <row r="19" spans="1:15" x14ac:dyDescent="0.25">
      <c r="A19" s="30">
        <v>0.13</v>
      </c>
      <c r="B19" s="22">
        <v>11299.999999999998</v>
      </c>
      <c r="C19" s="33">
        <f t="shared" si="0"/>
        <v>1.0089285714285712</v>
      </c>
      <c r="D19" s="32">
        <v>0.13</v>
      </c>
      <c r="E19" s="22">
        <f>10000*(1-D19)+10000*D19*E3</f>
        <v>11310.53</v>
      </c>
      <c r="F19" s="34">
        <f t="shared" si="1"/>
        <v>1.0089930881413629</v>
      </c>
      <c r="H19" s="38" t="s">
        <v>59</v>
      </c>
      <c r="I19" s="43"/>
      <c r="J19" s="43"/>
      <c r="K19" s="43"/>
      <c r="L19" s="43"/>
    </row>
    <row r="20" spans="1:15" x14ac:dyDescent="0.25">
      <c r="A20" s="30">
        <v>0.14000000000000001</v>
      </c>
      <c r="B20" s="22">
        <v>11400.000000000002</v>
      </c>
      <c r="C20" s="33">
        <f t="shared" si="0"/>
        <v>1.0088495575221241</v>
      </c>
      <c r="D20" s="32">
        <v>0.14000000000000001</v>
      </c>
      <c r="E20" s="22">
        <f>10000*(1-D20)+10000*D20*E3</f>
        <v>11411.34</v>
      </c>
      <c r="F20" s="34">
        <f t="shared" si="1"/>
        <v>1.0089129333461826</v>
      </c>
      <c r="H20" s="39" t="s">
        <v>53</v>
      </c>
      <c r="I20" s="40">
        <v>180.81</v>
      </c>
      <c r="J20" s="42">
        <v>44</v>
      </c>
      <c r="K20" s="42">
        <v>22</v>
      </c>
      <c r="L20" s="40">
        <v>1.0068999999999999</v>
      </c>
      <c r="M20" s="40">
        <f>(1.01+L20)*44/2</f>
        <v>44.371799999999993</v>
      </c>
      <c r="N20" s="40">
        <f>(1.0086+L20)*22/2</f>
        <v>22.170499999999997</v>
      </c>
      <c r="O20" s="40">
        <f>M20+N20</f>
        <v>66.542299999999983</v>
      </c>
    </row>
    <row r="21" spans="1:15" x14ac:dyDescent="0.25">
      <c r="A21" s="30">
        <v>0.15</v>
      </c>
      <c r="B21" s="22">
        <v>11500</v>
      </c>
      <c r="C21" s="33">
        <f t="shared" si="0"/>
        <v>1.0087719298245612</v>
      </c>
      <c r="D21" s="32">
        <v>0.15</v>
      </c>
      <c r="E21" s="22">
        <f>10000*(1-D21)+10000*D21*E3</f>
        <v>11512.150000000001</v>
      </c>
      <c r="F21" s="34">
        <f t="shared" si="1"/>
        <v>1.0088341947571453</v>
      </c>
      <c r="H21" s="38" t="s">
        <v>54</v>
      </c>
      <c r="I21" s="22">
        <v>185.97</v>
      </c>
      <c r="J21" s="22">
        <v>41</v>
      </c>
      <c r="K21" s="43">
        <v>25</v>
      </c>
      <c r="L21" s="22">
        <v>1.0071000000000001</v>
      </c>
      <c r="M21" s="22">
        <f>(1.01+L21)*41/2</f>
        <v>41.350550000000005</v>
      </c>
      <c r="N21" s="22">
        <f>(1.0086+L25)*22/2</f>
        <v>22.1782</v>
      </c>
      <c r="O21" s="22">
        <f>M21+N21</f>
        <v>63.528750000000002</v>
      </c>
    </row>
    <row r="22" spans="1:15" x14ac:dyDescent="0.25">
      <c r="A22" s="30">
        <v>0.16</v>
      </c>
      <c r="B22" s="22">
        <v>11600</v>
      </c>
      <c r="C22" s="33">
        <f t="shared" si="0"/>
        <v>1.008695652173913</v>
      </c>
      <c r="D22" s="32">
        <v>0.16</v>
      </c>
      <c r="E22" s="22">
        <f>10000*(1-D22)+10000*D22*E3</f>
        <v>11612.960000000001</v>
      </c>
      <c r="F22" s="34">
        <f t="shared" si="1"/>
        <v>1.0087568351697989</v>
      </c>
      <c r="I22" s="22" t="s">
        <v>62</v>
      </c>
    </row>
    <row r="23" spans="1:15" x14ac:dyDescent="0.25">
      <c r="A23" s="30">
        <v>0.17</v>
      </c>
      <c r="B23" s="22">
        <v>11700</v>
      </c>
      <c r="C23" s="33">
        <f t="shared" si="0"/>
        <v>1.0086206896551724</v>
      </c>
      <c r="D23" s="32">
        <v>0.17</v>
      </c>
      <c r="E23" s="22">
        <f>10000*(1-D23)+10000*D23*E3</f>
        <v>11713.77</v>
      </c>
      <c r="F23" s="34">
        <f t="shared" si="1"/>
        <v>1.008680818671553</v>
      </c>
      <c r="H23" s="22" t="s">
        <v>66</v>
      </c>
      <c r="I23" s="22">
        <v>195.97</v>
      </c>
      <c r="J23" s="22">
        <v>35</v>
      </c>
      <c r="K23" s="22">
        <v>31</v>
      </c>
      <c r="L23" s="22">
        <v>1.0075000000000001</v>
      </c>
      <c r="M23" s="22">
        <f>(1.01+L23)*J23/2</f>
        <v>35.306249999999999</v>
      </c>
      <c r="N23" s="22">
        <f>(1.0086+L23)*K23/2</f>
        <v>31.249549999999996</v>
      </c>
      <c r="O23" s="22">
        <f>M23+N23</f>
        <v>66.555799999999991</v>
      </c>
    </row>
    <row r="24" spans="1:15" x14ac:dyDescent="0.25">
      <c r="A24" s="30">
        <v>0.18</v>
      </c>
      <c r="B24" s="22">
        <v>11800</v>
      </c>
      <c r="C24" s="33">
        <f t="shared" si="0"/>
        <v>1.0085470085470085</v>
      </c>
      <c r="D24" s="32">
        <v>0.18</v>
      </c>
      <c r="E24" s="22">
        <f>10000*(1-D24)+10000*D24*E3</f>
        <v>11814.58</v>
      </c>
      <c r="F24" s="34">
        <f t="shared" si="1"/>
        <v>1.008606110586088</v>
      </c>
      <c r="H24" s="22" t="s">
        <v>72</v>
      </c>
      <c r="I24" s="22">
        <v>205.97</v>
      </c>
      <c r="J24" s="22">
        <v>30</v>
      </c>
      <c r="K24" s="22">
        <v>36</v>
      </c>
      <c r="L24" s="22">
        <v>1.0077</v>
      </c>
      <c r="M24" s="22">
        <f>(1.01+L24)*J24/2</f>
        <v>30.265499999999999</v>
      </c>
      <c r="N24" s="22">
        <f>(1.0086+L24)*K24/2</f>
        <v>36.293400000000005</v>
      </c>
      <c r="O24" s="22">
        <f>M24+N24</f>
        <v>66.558900000000008</v>
      </c>
    </row>
    <row r="25" spans="1:15" x14ac:dyDescent="0.25">
      <c r="A25" s="30">
        <v>0.19</v>
      </c>
      <c r="B25" s="22">
        <v>11900</v>
      </c>
      <c r="C25" s="33">
        <f t="shared" si="0"/>
        <v>1.0084745762711864</v>
      </c>
      <c r="D25" s="32">
        <v>0.19</v>
      </c>
      <c r="E25" s="22">
        <f>10000*(1-D25)+10000*D25*E3</f>
        <v>11915.390000000001</v>
      </c>
      <c r="F25" s="34">
        <f t="shared" si="1"/>
        <v>1.0085326774206109</v>
      </c>
      <c r="H25" s="22" t="s">
        <v>67</v>
      </c>
      <c r="I25" s="22">
        <v>200.81</v>
      </c>
      <c r="J25" s="22">
        <v>33</v>
      </c>
      <c r="K25" s="22">
        <v>33</v>
      </c>
      <c r="L25" s="22">
        <v>1.0076000000000001</v>
      </c>
      <c r="M25" s="22">
        <f>(1.01+L25)*J25/2</f>
        <v>33.290399999999998</v>
      </c>
      <c r="N25" s="22">
        <f>(1.01+L25)*J25/2</f>
        <v>33.290399999999998</v>
      </c>
      <c r="O25" s="22">
        <f>M25+N25</f>
        <v>66.580799999999996</v>
      </c>
    </row>
    <row r="26" spans="1:15" x14ac:dyDescent="0.25">
      <c r="A26" s="30">
        <v>0.2</v>
      </c>
      <c r="B26" s="22">
        <v>12000</v>
      </c>
      <c r="C26" s="33">
        <f t="shared" si="0"/>
        <v>1.0084033613445378</v>
      </c>
      <c r="D26" s="32">
        <v>0.2</v>
      </c>
      <c r="E26" s="22">
        <f>10000*(1-D26)+10000*D26*E3</f>
        <v>12016.2</v>
      </c>
      <c r="F26" s="34">
        <f t="shared" si="1"/>
        <v>1.0084604868157903</v>
      </c>
    </row>
    <row r="27" spans="1:15" x14ac:dyDescent="0.25">
      <c r="A27" s="30">
        <v>0.21</v>
      </c>
      <c r="B27" s="22">
        <v>12100</v>
      </c>
      <c r="C27" s="33">
        <f t="shared" si="0"/>
        <v>1.0083333333333333</v>
      </c>
      <c r="D27" s="32">
        <v>0.21</v>
      </c>
      <c r="E27" s="22">
        <f>10000*(1-D27)+10000*D27*E3</f>
        <v>12117.01</v>
      </c>
      <c r="F27" s="34">
        <f t="shared" si="1"/>
        <v>1.0083895074982108</v>
      </c>
    </row>
    <row r="28" spans="1:15" x14ac:dyDescent="0.25">
      <c r="A28" s="30">
        <v>0.22</v>
      </c>
      <c r="B28" s="22">
        <v>12200</v>
      </c>
      <c r="C28" s="33">
        <f t="shared" si="0"/>
        <v>1.0082644628099173</v>
      </c>
      <c r="D28" s="32">
        <v>0.22</v>
      </c>
      <c r="E28" s="22">
        <f>10000*(1-D28)+10000*D28*E3</f>
        <v>12217.82</v>
      </c>
      <c r="F28" s="34">
        <f t="shared" si="1"/>
        <v>1.008319709235199</v>
      </c>
    </row>
    <row r="29" spans="1:15" x14ac:dyDescent="0.25">
      <c r="A29" s="30">
        <v>0.23</v>
      </c>
      <c r="B29" s="22">
        <v>12300</v>
      </c>
      <c r="C29" s="33">
        <f t="shared" si="0"/>
        <v>1.0081967213114753</v>
      </c>
      <c r="D29" s="32">
        <v>0.23</v>
      </c>
      <c r="E29" s="22">
        <f>10000*(1-D29)+10000*D29*E3</f>
        <v>12318.630000000001</v>
      </c>
      <c r="F29" s="34">
        <f t="shared" si="1"/>
        <v>1.0082510627918893</v>
      </c>
    </row>
    <row r="30" spans="1:15" x14ac:dyDescent="0.25">
      <c r="A30" s="30">
        <v>0.24</v>
      </c>
      <c r="B30" s="22">
        <v>12400</v>
      </c>
      <c r="C30" s="33">
        <f t="shared" si="0"/>
        <v>1.0081300813008129</v>
      </c>
      <c r="D30" s="32">
        <v>0.24</v>
      </c>
      <c r="E30" s="22">
        <f>10000*(1-D30)+10000*D30*E3</f>
        <v>12419.44</v>
      </c>
      <c r="F30" s="34">
        <f t="shared" si="1"/>
        <v>1.0081835398903936</v>
      </c>
    </row>
    <row r="31" spans="1:15" x14ac:dyDescent="0.25">
      <c r="A31" s="30">
        <v>0.25</v>
      </c>
      <c r="B31" s="22">
        <v>12500</v>
      </c>
      <c r="C31" s="33">
        <f t="shared" si="0"/>
        <v>1.0080645161290323</v>
      </c>
      <c r="D31" s="32">
        <v>0.25</v>
      </c>
      <c r="E31" s="22">
        <f>10000*(1-D31)+10000*D31*E3</f>
        <v>12520.25</v>
      </c>
      <c r="F31" s="34">
        <f t="shared" si="1"/>
        <v>1.0081171131709641</v>
      </c>
    </row>
    <row r="32" spans="1:15" x14ac:dyDescent="0.25">
      <c r="A32" s="30">
        <v>0.26</v>
      </c>
      <c r="B32" s="22">
        <v>12600</v>
      </c>
      <c r="C32" s="33">
        <f t="shared" si="0"/>
        <v>1.008</v>
      </c>
      <c r="D32" s="32">
        <v>0.26</v>
      </c>
      <c r="E32" s="22">
        <f>10000*(1-D32)+10000*D32*E3</f>
        <v>12621.060000000001</v>
      </c>
      <c r="F32" s="34">
        <f t="shared" si="1"/>
        <v>1.0080517561550291</v>
      </c>
    </row>
    <row r="33" spans="1:6" x14ac:dyDescent="0.25">
      <c r="A33" s="30">
        <v>0.27</v>
      </c>
      <c r="B33" s="22">
        <v>12700</v>
      </c>
      <c r="C33" s="33">
        <f t="shared" si="0"/>
        <v>1.0079365079365079</v>
      </c>
      <c r="D33" s="32">
        <v>0.27</v>
      </c>
      <c r="E33" s="22">
        <f>10000*(1-D33)+10000*D33*E3</f>
        <v>12721.87</v>
      </c>
      <c r="F33" s="34">
        <f t="shared" si="1"/>
        <v>1.0079874432099998</v>
      </c>
    </row>
    <row r="34" spans="1:6" x14ac:dyDescent="0.25">
      <c r="A34" s="30">
        <v>0.28000000000000003</v>
      </c>
      <c r="B34" s="22">
        <v>12800</v>
      </c>
      <c r="C34" s="33">
        <f t="shared" si="0"/>
        <v>1.0078740157480315</v>
      </c>
      <c r="D34" s="32">
        <v>0.28000000000000003</v>
      </c>
      <c r="E34" s="22">
        <f>10000*(1-D34)+10000*D34*E3</f>
        <v>12822.68</v>
      </c>
      <c r="F34" s="34">
        <f t="shared" si="1"/>
        <v>1.0079241495157552</v>
      </c>
    </row>
    <row r="35" spans="1:6" x14ac:dyDescent="0.25">
      <c r="A35" s="30">
        <v>0.28999999999999998</v>
      </c>
      <c r="B35" s="22">
        <v>12900</v>
      </c>
      <c r="C35" s="33">
        <f t="shared" si="0"/>
        <v>1.0078125</v>
      </c>
      <c r="D35" s="32">
        <v>0.28999999999999998</v>
      </c>
      <c r="E35" s="22">
        <f>10000*(1-D35)+10000*D35*E3</f>
        <v>12923.490000000002</v>
      </c>
      <c r="F35" s="34">
        <f t="shared" si="1"/>
        <v>1.0078618510327015</v>
      </c>
    </row>
    <row r="36" spans="1:6" x14ac:dyDescent="0.25">
      <c r="A36" s="30">
        <v>0.3</v>
      </c>
      <c r="B36" s="22">
        <v>13000</v>
      </c>
      <c r="C36" s="33">
        <f t="shared" si="0"/>
        <v>1.0077519379844961</v>
      </c>
      <c r="D36" s="32">
        <v>0.3</v>
      </c>
      <c r="E36" s="22">
        <f>10000*(1-D36)+10000*D36*E3</f>
        <v>13024.300000000001</v>
      </c>
      <c r="F36" s="34">
        <f t="shared" si="1"/>
        <v>1.0078005244713308</v>
      </c>
    </row>
    <row r="37" spans="1:6" x14ac:dyDescent="0.25">
      <c r="A37" s="30">
        <v>0.31</v>
      </c>
      <c r="B37" s="22">
        <v>13100</v>
      </c>
      <c r="C37" s="33">
        <f t="shared" si="0"/>
        <v>1.0076923076923077</v>
      </c>
      <c r="D37" s="32">
        <v>0.31</v>
      </c>
      <c r="E37" s="22">
        <f>10000*(1-D37)+10000*D37*E3</f>
        <v>13125.11</v>
      </c>
      <c r="F37" s="34">
        <f t="shared" si="1"/>
        <v>1.0077401472631926</v>
      </c>
    </row>
    <row r="38" spans="1:6" x14ac:dyDescent="0.25">
      <c r="A38" s="30">
        <v>0.32</v>
      </c>
      <c r="B38" s="22">
        <v>13200</v>
      </c>
      <c r="C38" s="33">
        <f t="shared" si="0"/>
        <v>1.0076335877862594</v>
      </c>
      <c r="D38" s="32">
        <v>0.32</v>
      </c>
      <c r="E38" s="22">
        <f>10000*(1-D38)+10000*D38*E3</f>
        <v>13225.92</v>
      </c>
      <c r="F38" s="34">
        <f t="shared" si="1"/>
        <v>1.0076806975332016</v>
      </c>
    </row>
    <row r="39" spans="1:6" x14ac:dyDescent="0.25">
      <c r="A39" s="30">
        <v>0.33</v>
      </c>
      <c r="B39" s="22">
        <v>13300</v>
      </c>
      <c r="C39" s="33">
        <f t="shared" si="0"/>
        <v>1.0075757575757576</v>
      </c>
      <c r="D39" s="32">
        <v>0.33</v>
      </c>
      <c r="E39" s="22">
        <f>10000*(1-D39)+10000*D39*E3</f>
        <v>13326.73</v>
      </c>
      <c r="F39" s="34">
        <f t="shared" si="1"/>
        <v>1.0076221540732138</v>
      </c>
    </row>
    <row r="40" spans="1:6" x14ac:dyDescent="0.25">
      <c r="A40" s="30">
        <v>0.34</v>
      </c>
      <c r="B40" s="22">
        <v>13400</v>
      </c>
      <c r="C40" s="33">
        <f t="shared" si="0"/>
        <v>1.0075187969924813</v>
      </c>
      <c r="D40" s="32">
        <v>0.34</v>
      </c>
      <c r="E40" s="22">
        <f>10000*(1-D40)+10000*D40*E3</f>
        <v>13427.54</v>
      </c>
      <c r="F40" s="34">
        <f t="shared" si="1"/>
        <v>1.0075644963168009</v>
      </c>
    </row>
    <row r="41" spans="1:6" x14ac:dyDescent="0.25">
      <c r="A41" s="30">
        <v>0.35</v>
      </c>
      <c r="B41" s="22">
        <v>13500</v>
      </c>
      <c r="C41" s="33">
        <f t="shared" si="0"/>
        <v>1.0074626865671641</v>
      </c>
      <c r="D41" s="32">
        <v>0.35</v>
      </c>
      <c r="E41" s="22">
        <f>10000*(1-D41)+10000*D41*E3</f>
        <v>13528.35</v>
      </c>
      <c r="F41" s="34">
        <f t="shared" si="1"/>
        <v>1.0075077043151612</v>
      </c>
    </row>
    <row r="42" spans="1:6" x14ac:dyDescent="0.25">
      <c r="A42" s="30">
        <v>0.36</v>
      </c>
      <c r="B42" s="22">
        <v>13599.999999999998</v>
      </c>
      <c r="C42" s="33">
        <f t="shared" si="0"/>
        <v>1.0074074074074073</v>
      </c>
      <c r="D42" s="32">
        <v>0.36</v>
      </c>
      <c r="E42" s="22">
        <f>10000*(1-D42)+10000*D42*E3</f>
        <v>13629.16</v>
      </c>
      <c r="F42" s="34">
        <f t="shared" si="1"/>
        <v>1.0074517587141076</v>
      </c>
    </row>
    <row r="43" spans="1:6" x14ac:dyDescent="0.25">
      <c r="A43" s="30">
        <v>0.37</v>
      </c>
      <c r="B43" s="22">
        <v>13700.000000000002</v>
      </c>
      <c r="C43" s="33">
        <f t="shared" si="0"/>
        <v>1.0073529411764708</v>
      </c>
      <c r="D43" s="32">
        <v>0.37</v>
      </c>
      <c r="E43" s="22">
        <f>10000*(1-D43)+10000*D43*E3</f>
        <v>13729.970000000001</v>
      </c>
      <c r="F43" s="34">
        <f t="shared" si="1"/>
        <v>1.0073966407320776</v>
      </c>
    </row>
    <row r="44" spans="1:6" x14ac:dyDescent="0.25">
      <c r="A44" s="30">
        <v>0.38</v>
      </c>
      <c r="B44" s="22">
        <v>13799.999999999998</v>
      </c>
      <c r="C44" s="33">
        <f t="shared" si="0"/>
        <v>1.0072992700729924</v>
      </c>
      <c r="D44" s="32">
        <v>0.38</v>
      </c>
      <c r="E44" s="22">
        <f>10000*(1-D44)+10000*D44*E3</f>
        <v>13830.78</v>
      </c>
      <c r="F44" s="34">
        <f t="shared" si="1"/>
        <v>1.0073423321391088</v>
      </c>
    </row>
    <row r="45" spans="1:6" x14ac:dyDescent="0.25">
      <c r="A45" s="30">
        <v>0.39</v>
      </c>
      <c r="B45" s="22">
        <v>13900.000000000002</v>
      </c>
      <c r="C45" s="33">
        <f t="shared" si="0"/>
        <v>1.0072463768115945</v>
      </c>
      <c r="D45" s="32">
        <v>0.39</v>
      </c>
      <c r="E45" s="22">
        <f>10000*(1-D45)+10000*D45*E3</f>
        <v>13931.59</v>
      </c>
      <c r="F45" s="34">
        <f t="shared" si="1"/>
        <v>1.0072888152367401</v>
      </c>
    </row>
    <row r="46" spans="1:6" x14ac:dyDescent="0.25">
      <c r="A46" s="30">
        <v>0.4</v>
      </c>
      <c r="B46" s="22">
        <v>14000</v>
      </c>
      <c r="C46" s="33">
        <f t="shared" si="0"/>
        <v>1.0071942446043165</v>
      </c>
      <c r="D46" s="32">
        <v>0.4</v>
      </c>
      <c r="E46" s="22">
        <f>10000*(1-D46)+10000*D46*E3</f>
        <v>14032.400000000001</v>
      </c>
      <c r="F46" s="34">
        <f t="shared" si="1"/>
        <v>1.0072360728387788</v>
      </c>
    </row>
    <row r="47" spans="1:6" x14ac:dyDescent="0.25">
      <c r="A47" s="30">
        <v>0.41</v>
      </c>
      <c r="B47" s="22">
        <v>14100.000000000002</v>
      </c>
      <c r="C47" s="33">
        <f t="shared" si="0"/>
        <v>1.0071428571428573</v>
      </c>
      <c r="D47" s="32">
        <v>0.41</v>
      </c>
      <c r="E47" s="22">
        <f>10000*(1-D47)+10000*D47*E3</f>
        <v>14133.210000000003</v>
      </c>
      <c r="F47" s="34">
        <f t="shared" si="1"/>
        <v>1.0071840882529006</v>
      </c>
    </row>
    <row r="48" spans="1:6" x14ac:dyDescent="0.25">
      <c r="A48" s="30">
        <v>0.42</v>
      </c>
      <c r="B48" s="22">
        <v>14200</v>
      </c>
      <c r="C48" s="33">
        <f t="shared" si="0"/>
        <v>1.0070921985815602</v>
      </c>
      <c r="D48" s="32">
        <v>0.42</v>
      </c>
      <c r="E48" s="22">
        <f>10000*(1-D48)+10000*D48*E3</f>
        <v>14234.02</v>
      </c>
      <c r="F48" s="34">
        <f t="shared" si="1"/>
        <v>1.0071328452630364</v>
      </c>
    </row>
    <row r="49" spans="1:6" x14ac:dyDescent="0.25">
      <c r="A49" s="30">
        <v>0.43</v>
      </c>
      <c r="B49" s="22">
        <v>14300</v>
      </c>
      <c r="C49" s="33">
        <f t="shared" si="0"/>
        <v>1.0070422535211268</v>
      </c>
      <c r="D49" s="32">
        <v>0.43</v>
      </c>
      <c r="E49" s="22">
        <f>10000*(1-D49)+10000*D49*E3</f>
        <v>14334.830000000002</v>
      </c>
      <c r="F49" s="34">
        <f t="shared" si="1"/>
        <v>1.0070823281125081</v>
      </c>
    </row>
    <row r="50" spans="1:6" x14ac:dyDescent="0.25">
      <c r="A50" s="30">
        <v>0.44</v>
      </c>
      <c r="B50" s="22">
        <v>14400</v>
      </c>
      <c r="C50" s="33">
        <f t="shared" si="0"/>
        <v>1.0069930069930071</v>
      </c>
      <c r="D50" s="32">
        <v>0.44</v>
      </c>
      <c r="E50" s="22">
        <f>10000*(1-D50)+10000*D50*E3</f>
        <v>14435.640000000003</v>
      </c>
      <c r="F50" s="34">
        <f t="shared" si="1"/>
        <v>1.0070325214878726</v>
      </c>
    </row>
    <row r="51" spans="1:6" x14ac:dyDescent="0.25">
      <c r="A51" s="30">
        <v>0.45</v>
      </c>
      <c r="B51" s="22">
        <v>14500</v>
      </c>
      <c r="C51" s="33">
        <f t="shared" si="0"/>
        <v>1.0069444444444444</v>
      </c>
      <c r="D51" s="32">
        <v>0.45</v>
      </c>
      <c r="E51" s="22">
        <f>10000*(1-D51)+10000*D51*E3</f>
        <v>14536.45</v>
      </c>
      <c r="F51" s="34">
        <f t="shared" si="1"/>
        <v>1.0069834105034483</v>
      </c>
    </row>
    <row r="52" spans="1:6" x14ac:dyDescent="0.25">
      <c r="A52" s="30">
        <v>0.46</v>
      </c>
      <c r="B52" s="22">
        <v>14600</v>
      </c>
      <c r="C52" s="33">
        <f t="shared" si="0"/>
        <v>1.0068965517241379</v>
      </c>
      <c r="D52" s="32">
        <v>0.46</v>
      </c>
      <c r="E52" s="22">
        <f>10000*(1-D52)+10000*D52*E3</f>
        <v>14637.26</v>
      </c>
      <c r="F52" s="34">
        <f t="shared" si="1"/>
        <v>1.0069349806864811</v>
      </c>
    </row>
    <row r="53" spans="1:6" x14ac:dyDescent="0.25">
      <c r="A53" s="30">
        <v>0.47</v>
      </c>
      <c r="B53" s="22">
        <v>14700</v>
      </c>
      <c r="C53" s="33">
        <f t="shared" si="0"/>
        <v>1.0068493150684932</v>
      </c>
      <c r="D53" s="32">
        <v>0.47</v>
      </c>
      <c r="E53" s="22">
        <f>10000*(1-D53)+10000*D53*E3</f>
        <v>14738.070000000002</v>
      </c>
      <c r="F53" s="34">
        <f t="shared" si="1"/>
        <v>1.0068872179629249</v>
      </c>
    </row>
    <row r="54" spans="1:6" x14ac:dyDescent="0.25">
      <c r="A54" s="30">
        <v>0.48</v>
      </c>
      <c r="B54" s="22">
        <v>14800</v>
      </c>
      <c r="C54" s="33">
        <f t="shared" si="0"/>
        <v>1.0068027210884354</v>
      </c>
      <c r="D54" s="32">
        <v>0.48</v>
      </c>
      <c r="E54" s="22">
        <f>10000*(1-D54)+10000*D54*E3</f>
        <v>14838.880000000001</v>
      </c>
      <c r="F54" s="34">
        <f t="shared" si="1"/>
        <v>1.0068401086438048</v>
      </c>
    </row>
    <row r="55" spans="1:6" x14ac:dyDescent="0.25">
      <c r="A55" s="30">
        <v>0.49</v>
      </c>
      <c r="B55" s="22">
        <v>14900</v>
      </c>
      <c r="C55" s="33">
        <f t="shared" si="0"/>
        <v>1.0067567567567568</v>
      </c>
      <c r="D55" s="32">
        <v>0.49</v>
      </c>
      <c r="E55" s="22">
        <f>10000*(1-D55)+10000*D55*E3</f>
        <v>14939.69</v>
      </c>
      <c r="F55" s="34">
        <f t="shared" si="1"/>
        <v>1.0067936394121388</v>
      </c>
    </row>
    <row r="56" spans="1:6" x14ac:dyDescent="0.25">
      <c r="A56" s="30">
        <v>0.5</v>
      </c>
      <c r="B56" s="22">
        <v>15000</v>
      </c>
      <c r="C56" s="33">
        <f t="shared" si="0"/>
        <v>1.0067114093959733</v>
      </c>
      <c r="D56" s="32">
        <v>0.5</v>
      </c>
      <c r="E56" s="22">
        <f>10000*(1-D56)+10000*D56*E3</f>
        <v>15040.500000000002</v>
      </c>
      <c r="F56" s="34">
        <f t="shared" si="1"/>
        <v>1.006747797310386</v>
      </c>
    </row>
    <row r="57" spans="1:6" x14ac:dyDescent="0.25">
      <c r="A57" s="30">
        <v>0.51</v>
      </c>
      <c r="B57" s="22">
        <v>15100</v>
      </c>
      <c r="C57" s="33">
        <f t="shared" si="0"/>
        <v>1.0066666666666666</v>
      </c>
      <c r="D57" s="32">
        <v>0.51</v>
      </c>
      <c r="E57" s="22">
        <f>10000*(1-D57)+10000*D57*E3</f>
        <v>15141.310000000001</v>
      </c>
      <c r="F57" s="34">
        <f t="shared" si="1"/>
        <v>1.0067025697284</v>
      </c>
    </row>
    <row r="58" spans="1:6" x14ac:dyDescent="0.25">
      <c r="A58" s="30">
        <v>0.52</v>
      </c>
      <c r="B58" s="22">
        <v>15200</v>
      </c>
      <c r="C58" s="33">
        <f t="shared" si="0"/>
        <v>1.0066225165562914</v>
      </c>
      <c r="D58" s="32">
        <v>0.52</v>
      </c>
      <c r="E58" s="22">
        <f>10000*(1-D58)+10000*D58*E3</f>
        <v>15242.12</v>
      </c>
      <c r="F58" s="34">
        <f t="shared" si="1"/>
        <v>1.0066579443918657</v>
      </c>
    </row>
    <row r="59" spans="1:6" x14ac:dyDescent="0.25">
      <c r="A59" s="30">
        <v>0.53</v>
      </c>
      <c r="B59" s="22">
        <v>15300</v>
      </c>
      <c r="C59" s="33">
        <f t="shared" si="0"/>
        <v>1.006578947368421</v>
      </c>
      <c r="D59" s="32">
        <v>0.53</v>
      </c>
      <c r="E59" s="22">
        <f>10000*(1-D59)+10000*D59*E3</f>
        <v>15342.93</v>
      </c>
      <c r="F59" s="34">
        <f t="shared" si="1"/>
        <v>1.0066139093511925</v>
      </c>
    </row>
    <row r="60" spans="1:6" x14ac:dyDescent="0.25">
      <c r="A60" s="30">
        <v>0.54</v>
      </c>
      <c r="B60" s="22">
        <v>15400</v>
      </c>
      <c r="C60" s="33">
        <f t="shared" si="0"/>
        <v>1.0065359477124183</v>
      </c>
      <c r="D60" s="32">
        <v>0.54</v>
      </c>
      <c r="E60" s="22">
        <f>10000*(1-D60)+10000*D60*E3</f>
        <v>15443.740000000002</v>
      </c>
      <c r="F60" s="34">
        <f t="shared" si="1"/>
        <v>1.0065704529708472</v>
      </c>
    </row>
    <row r="61" spans="1:6" x14ac:dyDescent="0.25">
      <c r="A61" s="30">
        <v>0.55000000000000004</v>
      </c>
      <c r="B61" s="22">
        <v>15500</v>
      </c>
      <c r="C61" s="33">
        <f t="shared" si="0"/>
        <v>1.0064935064935066</v>
      </c>
      <c r="D61" s="32">
        <v>0.55000000000000004</v>
      </c>
      <c r="E61" s="22">
        <f>10000*(1-D61)+10000*D61*E3</f>
        <v>15544.550000000001</v>
      </c>
      <c r="F61" s="34">
        <f t="shared" si="1"/>
        <v>1.0065275639191025</v>
      </c>
    </row>
    <row r="62" spans="1:6" x14ac:dyDescent="0.25">
      <c r="A62" s="30">
        <v>0.56000000000000005</v>
      </c>
      <c r="B62" s="22">
        <v>15600</v>
      </c>
      <c r="C62" s="33">
        <f t="shared" si="0"/>
        <v>1.0064516129032257</v>
      </c>
      <c r="D62" s="32">
        <v>0.56000000000000005</v>
      </c>
      <c r="E62" s="22">
        <f>10000*(1-D62)+10000*D62*E3</f>
        <v>15645.36</v>
      </c>
      <c r="F62" s="34">
        <f t="shared" si="1"/>
        <v>1.0064852311581873</v>
      </c>
    </row>
    <row r="63" spans="1:6" x14ac:dyDescent="0.25">
      <c r="A63" s="30">
        <v>0.56999999999999995</v>
      </c>
      <c r="B63" s="22">
        <v>15700</v>
      </c>
      <c r="C63" s="33">
        <f t="shared" si="0"/>
        <v>1.0064102564102564</v>
      </c>
      <c r="D63" s="32">
        <v>0.56999999999999995</v>
      </c>
      <c r="E63" s="22">
        <f>10000*(1-D63)+10000*D63*E3</f>
        <v>15746.170000000002</v>
      </c>
      <c r="F63" s="34">
        <f t="shared" si="1"/>
        <v>1.0064434439348153</v>
      </c>
    </row>
    <row r="64" spans="1:6" x14ac:dyDescent="0.25">
      <c r="A64" s="30">
        <v>0.57999999999999996</v>
      </c>
      <c r="B64" s="22">
        <v>15800</v>
      </c>
      <c r="C64" s="33">
        <f t="shared" si="0"/>
        <v>1.0063694267515924</v>
      </c>
      <c r="D64" s="32">
        <v>0.57999999999999996</v>
      </c>
      <c r="E64" s="22">
        <f>10000*(1-D64)+10000*D64*E3</f>
        <v>15846.980000000001</v>
      </c>
      <c r="F64" s="34">
        <f t="shared" si="1"/>
        <v>1.0064021917710784</v>
      </c>
    </row>
    <row r="65" spans="1:6" x14ac:dyDescent="0.25">
      <c r="A65" s="30">
        <v>0.59</v>
      </c>
      <c r="B65" s="22">
        <v>15899.999999999998</v>
      </c>
      <c r="C65" s="33">
        <f t="shared" si="0"/>
        <v>1.0063291139240504</v>
      </c>
      <c r="D65" s="32">
        <v>0.59</v>
      </c>
      <c r="E65" s="22">
        <f>10000*(1-D65)+10000*D65*E3</f>
        <v>15947.79</v>
      </c>
      <c r="F65" s="34">
        <f t="shared" si="1"/>
        <v>1.006361464455688</v>
      </c>
    </row>
    <row r="66" spans="1:6" x14ac:dyDescent="0.25">
      <c r="A66" s="30">
        <v>0.6</v>
      </c>
      <c r="B66" s="22">
        <v>16000</v>
      </c>
      <c r="C66" s="33">
        <f t="shared" si="0"/>
        <v>1.0062893081761008</v>
      </c>
      <c r="D66" s="32">
        <v>0.6</v>
      </c>
      <c r="E66" s="22">
        <f>10000*(1-D66)+10000*D66*E3</f>
        <v>16048.600000000002</v>
      </c>
      <c r="F66" s="34">
        <f t="shared" si="1"/>
        <v>1.0063212520355487</v>
      </c>
    </row>
    <row r="67" spans="1:6" x14ac:dyDescent="0.25">
      <c r="A67" s="30">
        <v>0.61</v>
      </c>
      <c r="B67" s="22">
        <v>16099.999999999998</v>
      </c>
      <c r="C67" s="33">
        <f t="shared" si="0"/>
        <v>1.0062499999999999</v>
      </c>
      <c r="D67" s="32">
        <v>0.61</v>
      </c>
      <c r="E67" s="22">
        <f>10000*(1-D67)+10000*D67*E3</f>
        <v>16149.410000000002</v>
      </c>
      <c r="F67" s="34">
        <f t="shared" si="1"/>
        <v>1.0062815448076468</v>
      </c>
    </row>
    <row r="68" spans="1:6" x14ac:dyDescent="0.25">
      <c r="A68" s="30">
        <v>0.62</v>
      </c>
      <c r="B68" s="22">
        <v>16200.000000000002</v>
      </c>
      <c r="C68" s="33">
        <f t="shared" si="0"/>
        <v>1.0062111801242237</v>
      </c>
      <c r="D68" s="32">
        <v>0.62</v>
      </c>
      <c r="E68" s="22">
        <f>10000*(1-D68)+10000*D68*E3</f>
        <v>16250.220000000001</v>
      </c>
      <c r="F68" s="34">
        <f t="shared" si="1"/>
        <v>1.0062423333112478</v>
      </c>
    </row>
    <row r="69" spans="1:6" x14ac:dyDescent="0.25">
      <c r="A69" s="30">
        <v>0.63</v>
      </c>
      <c r="B69" s="22">
        <v>16299.999999999998</v>
      </c>
      <c r="C69" s="33">
        <f t="shared" si="0"/>
        <v>1.0061728395061726</v>
      </c>
      <c r="D69" s="32">
        <v>0.63</v>
      </c>
      <c r="E69" s="22">
        <f>10000*(1-D69)+10000*D69*E3</f>
        <v>16351.03</v>
      </c>
      <c r="F69" s="34">
        <f t="shared" si="1"/>
        <v>1.0062036083203796</v>
      </c>
    </row>
    <row r="70" spans="1:6" x14ac:dyDescent="0.25">
      <c r="A70" s="30">
        <v>0.64</v>
      </c>
      <c r="B70" s="22">
        <v>16400</v>
      </c>
      <c r="C70" s="33">
        <f t="shared" si="0"/>
        <v>1.0061349693251536</v>
      </c>
      <c r="D70" s="32">
        <v>0.64</v>
      </c>
      <c r="E70" s="22">
        <f>10000*(1-D70)+10000*D70*E3</f>
        <v>16451.840000000004</v>
      </c>
      <c r="F70" s="34">
        <f t="shared" si="1"/>
        <v>1.0061653608365959</v>
      </c>
    </row>
    <row r="71" spans="1:6" x14ac:dyDescent="0.25">
      <c r="A71" s="30">
        <v>0.65</v>
      </c>
      <c r="B71" s="22">
        <v>16500</v>
      </c>
      <c r="C71" s="33">
        <f t="shared" si="0"/>
        <v>1.0060975609756098</v>
      </c>
      <c r="D71" s="32">
        <v>0.65</v>
      </c>
      <c r="E71" s="22">
        <f>10000*(1-D71)+10000*D71*E3</f>
        <v>16552.650000000001</v>
      </c>
      <c r="F71" s="34">
        <f t="shared" si="1"/>
        <v>1.0061275820820041</v>
      </c>
    </row>
    <row r="72" spans="1:6" x14ac:dyDescent="0.25">
      <c r="A72" s="30">
        <v>0.66</v>
      </c>
      <c r="B72" s="22">
        <v>16600</v>
      </c>
      <c r="C72" s="33">
        <f t="shared" ref="C72:C106" si="2">B72/B71</f>
        <v>1.0060606060606061</v>
      </c>
      <c r="D72" s="32">
        <v>0.66</v>
      </c>
      <c r="E72" s="22">
        <f>10000*(1-D72)+10000*D72*E3</f>
        <v>16653.46</v>
      </c>
      <c r="F72" s="34">
        <f t="shared" ref="F72:F106" si="3">E72/E71</f>
        <v>1.0060902634925524</v>
      </c>
    </row>
    <row r="73" spans="1:6" x14ac:dyDescent="0.25">
      <c r="A73" s="30">
        <v>0.67</v>
      </c>
      <c r="B73" s="22">
        <v>16700</v>
      </c>
      <c r="C73" s="33">
        <f t="shared" si="2"/>
        <v>1.0060240963855422</v>
      </c>
      <c r="D73" s="32">
        <v>0.67</v>
      </c>
      <c r="E73" s="22">
        <f>10000*(1-D73)+10000*D73*E3</f>
        <v>16754.27</v>
      </c>
      <c r="F73" s="34">
        <f t="shared" si="3"/>
        <v>1.0060533967115544</v>
      </c>
    </row>
    <row r="74" spans="1:6" x14ac:dyDescent="0.25">
      <c r="A74" s="30">
        <v>0.68</v>
      </c>
      <c r="B74" s="22">
        <v>16800</v>
      </c>
      <c r="C74" s="33">
        <f t="shared" si="2"/>
        <v>1.0059880239520957</v>
      </c>
      <c r="D74" s="32">
        <v>0.68</v>
      </c>
      <c r="E74" s="22">
        <f>10000*(1-D74)+10000*D74*E3</f>
        <v>16855.080000000002</v>
      </c>
      <c r="F74" s="34">
        <f t="shared" si="3"/>
        <v>1.0060169735834508</v>
      </c>
    </row>
    <row r="75" spans="1:6" x14ac:dyDescent="0.25">
      <c r="A75" s="30">
        <v>0.69</v>
      </c>
      <c r="B75" s="22">
        <v>16900</v>
      </c>
      <c r="C75" s="33">
        <f t="shared" si="2"/>
        <v>1.0059523809523809</v>
      </c>
      <c r="D75" s="32">
        <v>0.69</v>
      </c>
      <c r="E75" s="22">
        <f>10000*(1-D75)+10000*D75*E3</f>
        <v>16955.89</v>
      </c>
      <c r="F75" s="34">
        <f t="shared" si="3"/>
        <v>1.0059809861477962</v>
      </c>
    </row>
    <row r="76" spans="1:6" x14ac:dyDescent="0.25">
      <c r="A76" s="30">
        <v>0.7</v>
      </c>
      <c r="B76" s="22">
        <v>17000</v>
      </c>
      <c r="C76" s="33">
        <f t="shared" si="2"/>
        <v>1.0059171597633136</v>
      </c>
      <c r="D76" s="32">
        <v>0.7</v>
      </c>
      <c r="E76" s="22">
        <f>10000*(1-D76)+10000*D76*E3</f>
        <v>17056.7</v>
      </c>
      <c r="F76" s="34">
        <f t="shared" si="3"/>
        <v>1.0059454266334591</v>
      </c>
    </row>
    <row r="77" spans="1:6" x14ac:dyDescent="0.25">
      <c r="A77" s="30">
        <v>0.71</v>
      </c>
      <c r="B77" s="22">
        <v>17100</v>
      </c>
      <c r="C77" s="33">
        <f t="shared" si="2"/>
        <v>1.0058823529411764</v>
      </c>
      <c r="D77" s="32">
        <v>0.71</v>
      </c>
      <c r="E77" s="22">
        <f>10000*(1-D77)+10000*D77*E3</f>
        <v>17157.510000000002</v>
      </c>
      <c r="F77" s="34">
        <f t="shared" si="3"/>
        <v>1.0059102874530244</v>
      </c>
    </row>
    <row r="78" spans="1:6" x14ac:dyDescent="0.25">
      <c r="A78" s="30">
        <v>0.72</v>
      </c>
      <c r="B78" s="22">
        <v>17200</v>
      </c>
      <c r="C78" s="33">
        <f t="shared" si="2"/>
        <v>1.0058479532163742</v>
      </c>
      <c r="D78" s="32">
        <v>0.72</v>
      </c>
      <c r="E78" s="22">
        <f>10000*(1-D78)+10000*D78*E3</f>
        <v>17258.320000000003</v>
      </c>
      <c r="F78" s="34">
        <f t="shared" si="3"/>
        <v>1.0058755611974</v>
      </c>
    </row>
    <row r="79" spans="1:6" x14ac:dyDescent="0.25">
      <c r="A79" s="30">
        <v>0.73</v>
      </c>
      <c r="B79" s="22">
        <v>17300</v>
      </c>
      <c r="C79" s="33">
        <f t="shared" si="2"/>
        <v>1.0058139534883721</v>
      </c>
      <c r="D79" s="32">
        <v>0.73</v>
      </c>
      <c r="E79" s="22">
        <f>10000*(1-D79)+10000*D79*E3</f>
        <v>17359.13</v>
      </c>
      <c r="F79" s="34">
        <f t="shared" si="3"/>
        <v>1.0058412406306059</v>
      </c>
    </row>
    <row r="80" spans="1:6" x14ac:dyDescent="0.25">
      <c r="A80" s="30">
        <v>0.74</v>
      </c>
      <c r="B80" s="22">
        <v>17400</v>
      </c>
      <c r="C80" s="33">
        <f t="shared" si="2"/>
        <v>1.0057803468208093</v>
      </c>
      <c r="D80" s="32">
        <v>0.74</v>
      </c>
      <c r="E80" s="22">
        <f>10000*(1-D80)+10000*D80*E3</f>
        <v>17459.940000000002</v>
      </c>
      <c r="F80" s="34">
        <f t="shared" si="3"/>
        <v>1.0058073186847498</v>
      </c>
    </row>
    <row r="81" spans="1:6" x14ac:dyDescent="0.25">
      <c r="A81" s="30">
        <v>0.75</v>
      </c>
      <c r="B81" s="22">
        <v>17500</v>
      </c>
      <c r="C81" s="33">
        <f t="shared" si="2"/>
        <v>1.0057471264367817</v>
      </c>
      <c r="D81" s="32">
        <v>0.75</v>
      </c>
      <c r="E81" s="22">
        <f>10000*(1-D81)+10000*D81*E3</f>
        <v>17560.75</v>
      </c>
      <c r="F81" s="34">
        <f t="shared" si="3"/>
        <v>1.0057737884551721</v>
      </c>
    </row>
    <row r="82" spans="1:6" x14ac:dyDescent="0.25">
      <c r="A82" s="30">
        <v>0.76</v>
      </c>
      <c r="B82" s="22">
        <v>17600</v>
      </c>
      <c r="C82" s="33">
        <f t="shared" si="2"/>
        <v>1.0057142857142858</v>
      </c>
      <c r="D82" s="32">
        <v>0.76</v>
      </c>
      <c r="E82" s="22">
        <f>10000*(1-D82)+10000*D82*E3</f>
        <v>17661.560000000001</v>
      </c>
      <c r="F82" s="34">
        <f t="shared" si="3"/>
        <v>1.0057406431957634</v>
      </c>
    </row>
    <row r="83" spans="1:6" x14ac:dyDescent="0.25">
      <c r="A83" s="30">
        <v>0.77</v>
      </c>
      <c r="B83" s="22">
        <v>17700</v>
      </c>
      <c r="C83" s="33">
        <f t="shared" si="2"/>
        <v>1.0056818181818181</v>
      </c>
      <c r="D83" s="32">
        <v>0.77</v>
      </c>
      <c r="E83" s="22">
        <f>10000*(1-D83)+10000*D83*E3</f>
        <v>17762.370000000003</v>
      </c>
      <c r="F83" s="34">
        <f t="shared" si="3"/>
        <v>1.0057078763144367</v>
      </c>
    </row>
    <row r="84" spans="1:6" x14ac:dyDescent="0.25">
      <c r="A84" s="30">
        <v>0.78</v>
      </c>
      <c r="B84" s="22">
        <v>17800</v>
      </c>
      <c r="C84" s="33">
        <f t="shared" si="2"/>
        <v>1.0056497175141244</v>
      </c>
      <c r="D84" s="32">
        <v>0.78</v>
      </c>
      <c r="E84" s="22">
        <f>10000*(1-D84)+10000*D84*E3</f>
        <v>17863.18</v>
      </c>
      <c r="F84" s="34">
        <f t="shared" si="3"/>
        <v>1.0056754813687587</v>
      </c>
    </row>
    <row r="85" spans="1:6" x14ac:dyDescent="0.25">
      <c r="A85" s="30">
        <v>0.79</v>
      </c>
      <c r="B85" s="22">
        <v>17900</v>
      </c>
      <c r="C85" s="33">
        <f t="shared" si="2"/>
        <v>1.0056179775280898</v>
      </c>
      <c r="D85" s="32">
        <v>0.79</v>
      </c>
      <c r="E85" s="22">
        <f>10000*(1-D85)+10000*D85*E3</f>
        <v>17963.990000000002</v>
      </c>
      <c r="F85" s="34">
        <f t="shared" si="3"/>
        <v>1.005643452061727</v>
      </c>
    </row>
    <row r="86" spans="1:6" x14ac:dyDescent="0.25">
      <c r="A86" s="30">
        <v>0.8</v>
      </c>
      <c r="B86" s="22">
        <v>18000</v>
      </c>
      <c r="C86" s="33">
        <f t="shared" si="2"/>
        <v>1.005586592178771</v>
      </c>
      <c r="D86" s="32">
        <v>0.8</v>
      </c>
      <c r="E86" s="22">
        <f>10000*(1-D86)+10000*D86*E3</f>
        <v>18064.8</v>
      </c>
      <c r="F86" s="34">
        <f t="shared" si="3"/>
        <v>1.0056117822376875</v>
      </c>
    </row>
    <row r="87" spans="1:6" x14ac:dyDescent="0.25">
      <c r="A87" s="30">
        <v>0.81</v>
      </c>
      <c r="B87" s="22">
        <v>18100</v>
      </c>
      <c r="C87" s="33">
        <f t="shared" si="2"/>
        <v>1.0055555555555555</v>
      </c>
      <c r="D87" s="32">
        <v>0.81</v>
      </c>
      <c r="E87" s="22">
        <f>10000*(1-D87)+10000*D87*E3</f>
        <v>18165.610000000004</v>
      </c>
      <c r="F87" s="34">
        <f t="shared" si="3"/>
        <v>1.0055804658783936</v>
      </c>
    </row>
    <row r="88" spans="1:6" x14ac:dyDescent="0.25">
      <c r="A88" s="30">
        <v>0.82</v>
      </c>
      <c r="B88" s="22">
        <v>18200</v>
      </c>
      <c r="C88" s="33">
        <f t="shared" si="2"/>
        <v>1.0055248618784531</v>
      </c>
      <c r="D88" s="32">
        <v>0.82</v>
      </c>
      <c r="E88" s="22">
        <f>10000*(1-D88)+10000*D88*E3</f>
        <v>18266.420000000002</v>
      </c>
      <c r="F88" s="34">
        <f t="shared" si="3"/>
        <v>1.0055494970991889</v>
      </c>
    </row>
    <row r="89" spans="1:6" x14ac:dyDescent="0.25">
      <c r="A89" s="30">
        <v>0.83</v>
      </c>
      <c r="B89" s="22">
        <v>18300</v>
      </c>
      <c r="C89" s="33">
        <f t="shared" si="2"/>
        <v>1.0054945054945055</v>
      </c>
      <c r="D89" s="32">
        <v>0.83</v>
      </c>
      <c r="E89" s="22">
        <f>10000*(1-D89)+10000*D89*E3</f>
        <v>18367.230000000003</v>
      </c>
      <c r="F89" s="34">
        <f t="shared" si="3"/>
        <v>1.0055188701453268</v>
      </c>
    </row>
    <row r="90" spans="1:6" x14ac:dyDescent="0.25">
      <c r="A90" s="30">
        <v>0.84</v>
      </c>
      <c r="B90" s="22">
        <v>18400</v>
      </c>
      <c r="C90" s="33">
        <f t="shared" si="2"/>
        <v>1.0054644808743169</v>
      </c>
      <c r="D90" s="32">
        <v>0.84</v>
      </c>
      <c r="E90" s="22">
        <f>10000*(1-D90)+10000*D90*E3</f>
        <v>18468.04</v>
      </c>
      <c r="F90" s="34">
        <f t="shared" si="3"/>
        <v>1.0054885793883999</v>
      </c>
    </row>
    <row r="91" spans="1:6" x14ac:dyDescent="0.25">
      <c r="A91" s="30">
        <v>0.85</v>
      </c>
      <c r="B91" s="22">
        <v>18500</v>
      </c>
      <c r="C91" s="33">
        <f t="shared" si="2"/>
        <v>1.0054347826086956</v>
      </c>
      <c r="D91" s="32">
        <v>0.85</v>
      </c>
      <c r="E91" s="22">
        <f>10000*(1-D91)+10000*D91*E3</f>
        <v>18568.850000000002</v>
      </c>
      <c r="F91" s="34">
        <f t="shared" si="3"/>
        <v>1.0054586193228952</v>
      </c>
    </row>
    <row r="92" spans="1:6" x14ac:dyDescent="0.25">
      <c r="A92" s="30">
        <v>0.86</v>
      </c>
      <c r="B92" s="22">
        <v>18600</v>
      </c>
      <c r="C92" s="33">
        <f t="shared" si="2"/>
        <v>1.0054054054054054</v>
      </c>
      <c r="D92" s="32">
        <v>0.86</v>
      </c>
      <c r="E92" s="22">
        <f>10000*(1-D92)+10000*D92*E3</f>
        <v>18669.660000000003</v>
      </c>
      <c r="F92" s="34">
        <f t="shared" si="3"/>
        <v>1.0054289845628568</v>
      </c>
    </row>
    <row r="93" spans="1:6" x14ac:dyDescent="0.25">
      <c r="A93" s="30">
        <v>0.87</v>
      </c>
      <c r="B93" s="22">
        <v>18700</v>
      </c>
      <c r="C93" s="33">
        <f t="shared" si="2"/>
        <v>1.0053763440860215</v>
      </c>
      <c r="D93" s="32">
        <v>0.87</v>
      </c>
      <c r="E93" s="22">
        <f>10000*(1-D93)+10000*D93*E3</f>
        <v>18770.47</v>
      </c>
      <c r="F93" s="34">
        <f t="shared" si="3"/>
        <v>1.0053996698386578</v>
      </c>
    </row>
    <row r="94" spans="1:6" x14ac:dyDescent="0.25">
      <c r="A94" s="30">
        <v>0.88</v>
      </c>
      <c r="B94" s="22">
        <v>18800</v>
      </c>
      <c r="C94" s="33">
        <f t="shared" si="2"/>
        <v>1.0053475935828877</v>
      </c>
      <c r="D94" s="32">
        <v>0.88</v>
      </c>
      <c r="E94" s="22">
        <f>10000*(1-D94)+10000*D94*E3</f>
        <v>18871.280000000002</v>
      </c>
      <c r="F94" s="34">
        <f t="shared" si="3"/>
        <v>1.0053706699938787</v>
      </c>
    </row>
    <row r="95" spans="1:6" x14ac:dyDescent="0.25">
      <c r="A95" s="30">
        <v>0.89</v>
      </c>
      <c r="B95" s="22">
        <v>18900</v>
      </c>
      <c r="C95" s="33">
        <f t="shared" si="2"/>
        <v>1.0053191489361701</v>
      </c>
      <c r="D95" s="32">
        <v>0.89</v>
      </c>
      <c r="E95" s="22">
        <f>10000*(1-D95)+10000*D95*E3</f>
        <v>18972.09</v>
      </c>
      <c r="F95" s="34">
        <f t="shared" si="3"/>
        <v>1.0053419799822798</v>
      </c>
    </row>
    <row r="96" spans="1:6" x14ac:dyDescent="0.25">
      <c r="A96" s="30">
        <v>0.9</v>
      </c>
      <c r="B96" s="22">
        <v>19000</v>
      </c>
      <c r="C96" s="33">
        <f t="shared" si="2"/>
        <v>1.0052910052910053</v>
      </c>
      <c r="D96" s="32">
        <v>0.9</v>
      </c>
      <c r="E96" s="22">
        <f>10000*(1-D96)+10000*D96*E3</f>
        <v>19072.900000000001</v>
      </c>
      <c r="F96" s="34">
        <f t="shared" si="3"/>
        <v>1.0053135948648779</v>
      </c>
    </row>
    <row r="97" spans="1:6" x14ac:dyDescent="0.25">
      <c r="A97" s="30">
        <v>0.91</v>
      </c>
      <c r="B97" s="22">
        <v>19100</v>
      </c>
      <c r="C97" s="33">
        <f t="shared" si="2"/>
        <v>1.0052631578947369</v>
      </c>
      <c r="D97" s="32">
        <v>0.91</v>
      </c>
      <c r="E97" s="22">
        <f>10000*(1-D97)+10000*D97*E3</f>
        <v>19173.710000000003</v>
      </c>
      <c r="F97" s="34">
        <f t="shared" si="3"/>
        <v>1.0052855098071085</v>
      </c>
    </row>
    <row r="98" spans="1:6" x14ac:dyDescent="0.25">
      <c r="A98" s="30">
        <v>0.92</v>
      </c>
      <c r="B98" s="22">
        <v>19200</v>
      </c>
      <c r="C98" s="33">
        <f t="shared" si="2"/>
        <v>1.0052356020942408</v>
      </c>
      <c r="D98" s="32">
        <v>0.92</v>
      </c>
      <c r="E98" s="22">
        <f>10000*(1-D98)+10000*D98*E3</f>
        <v>19274.52</v>
      </c>
      <c r="F98" s="34">
        <f t="shared" si="3"/>
        <v>1.0052577200760833</v>
      </c>
    </row>
    <row r="99" spans="1:6" x14ac:dyDescent="0.25">
      <c r="A99" s="30">
        <v>0.93</v>
      </c>
      <c r="B99" s="22">
        <v>19300</v>
      </c>
      <c r="C99" s="33">
        <f t="shared" si="2"/>
        <v>1.0052083333333333</v>
      </c>
      <c r="D99" s="32">
        <v>0.93</v>
      </c>
      <c r="E99" s="22">
        <f>10000*(1-D99)+10000*D99*E3</f>
        <v>19375.330000000002</v>
      </c>
      <c r="F99" s="34">
        <f t="shared" si="3"/>
        <v>1.00523022103793</v>
      </c>
    </row>
    <row r="100" spans="1:6" x14ac:dyDescent="0.25">
      <c r="A100" s="30">
        <v>0.94</v>
      </c>
      <c r="B100" s="22">
        <v>19400</v>
      </c>
      <c r="C100" s="33">
        <f t="shared" si="2"/>
        <v>1.0051813471502591</v>
      </c>
      <c r="D100" s="32">
        <v>0.94</v>
      </c>
      <c r="E100" s="22">
        <f>10000*(1-D100)+10000*D100*E3</f>
        <v>19476.140000000003</v>
      </c>
      <c r="F100" s="34">
        <f t="shared" si="3"/>
        <v>1.0052030081552159</v>
      </c>
    </row>
    <row r="101" spans="1:6" x14ac:dyDescent="0.25">
      <c r="A101" s="30">
        <v>0.95</v>
      </c>
      <c r="B101" s="22">
        <v>19500</v>
      </c>
      <c r="C101" s="33">
        <f t="shared" si="2"/>
        <v>1.0051546391752577</v>
      </c>
      <c r="D101" s="32">
        <v>0.95</v>
      </c>
      <c r="E101" s="22">
        <f>10000*(1-D101)+10000*D101*E3</f>
        <v>19576.95</v>
      </c>
      <c r="F101" s="34">
        <f t="shared" si="3"/>
        <v>1.0051760769844538</v>
      </c>
    </row>
    <row r="102" spans="1:6" x14ac:dyDescent="0.25">
      <c r="A102" s="30">
        <v>0.96</v>
      </c>
      <c r="B102" s="22">
        <v>19600</v>
      </c>
      <c r="C102" s="33">
        <f t="shared" si="2"/>
        <v>1.0051282051282051</v>
      </c>
      <c r="D102" s="32">
        <v>0.96</v>
      </c>
      <c r="E102" s="22">
        <f>10000*(1-D102)+10000*D102*E3</f>
        <v>19677.760000000002</v>
      </c>
      <c r="F102" s="34">
        <f t="shared" si="3"/>
        <v>1.0051494231736813</v>
      </c>
    </row>
    <row r="103" spans="1:6" x14ac:dyDescent="0.25">
      <c r="A103" s="30">
        <v>0.97</v>
      </c>
      <c r="B103" s="22">
        <v>19700</v>
      </c>
      <c r="C103" s="33">
        <f t="shared" si="2"/>
        <v>1.0051020408163265</v>
      </c>
      <c r="D103" s="32">
        <v>0.97</v>
      </c>
      <c r="E103" s="22">
        <f>10000*(1-D103)+10000*D103*E3</f>
        <v>19778.570000000003</v>
      </c>
      <c r="F103" s="34">
        <f t="shared" si="3"/>
        <v>1.0051230424601174</v>
      </c>
    </row>
    <row r="104" spans="1:6" x14ac:dyDescent="0.25">
      <c r="A104" s="30">
        <v>0.98</v>
      </c>
      <c r="B104" s="22">
        <v>19800</v>
      </c>
      <c r="C104" s="33">
        <f t="shared" si="2"/>
        <v>1.0050761421319796</v>
      </c>
      <c r="D104" s="32">
        <v>0.98</v>
      </c>
      <c r="E104" s="22">
        <f>10000*(1-D104)+10000*D104*E3</f>
        <v>19879.38</v>
      </c>
      <c r="F104" s="34">
        <f t="shared" si="3"/>
        <v>1.0050969306678894</v>
      </c>
    </row>
    <row r="105" spans="1:6" x14ac:dyDescent="0.25">
      <c r="A105" s="30">
        <v>0.99</v>
      </c>
      <c r="B105" s="22">
        <v>19900</v>
      </c>
      <c r="C105" s="33">
        <f t="shared" si="2"/>
        <v>1.005050505050505</v>
      </c>
      <c r="D105" s="32">
        <v>0.99</v>
      </c>
      <c r="E105" s="22">
        <f>10000*(1-D105)+10000*D105*E3</f>
        <v>19980.190000000002</v>
      </c>
      <c r="F105" s="34">
        <f t="shared" si="3"/>
        <v>1.0050710837058299</v>
      </c>
    </row>
    <row r="106" spans="1:6" x14ac:dyDescent="0.25">
      <c r="A106" s="30">
        <v>1</v>
      </c>
      <c r="B106" s="22">
        <v>20000</v>
      </c>
      <c r="C106" s="33">
        <f t="shared" si="2"/>
        <v>1.0050251256281406</v>
      </c>
      <c r="D106" s="32">
        <v>1</v>
      </c>
      <c r="E106" s="22">
        <f>10000*(1-D106)+10000*D106*E3</f>
        <v>20081.000000000004</v>
      </c>
      <c r="F106" s="34">
        <f t="shared" si="3"/>
        <v>1.0050454975653385</v>
      </c>
    </row>
  </sheetData>
  <mergeCells count="7">
    <mergeCell ref="H14:O14"/>
    <mergeCell ref="F3:J3"/>
    <mergeCell ref="A1:C1"/>
    <mergeCell ref="H5:K5"/>
    <mergeCell ref="A2:B2"/>
    <mergeCell ref="H12:O12"/>
    <mergeCell ref="H13:O1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4"/>
  <dimension ref="A1:Q81"/>
  <sheetViews>
    <sheetView zoomScaleNormal="100" workbookViewId="0">
      <selection activeCell="I51" sqref="I51"/>
    </sheetView>
  </sheetViews>
  <sheetFormatPr defaultRowHeight="18.75" x14ac:dyDescent="0.25"/>
  <cols>
    <col min="1" max="1" width="9" style="193"/>
    <col min="2" max="2" width="24.25" style="136" customWidth="1"/>
    <col min="3" max="3" width="9" style="133"/>
    <col min="4" max="5" width="9.625" style="133" bestFit="1" customWidth="1"/>
    <col min="6" max="6" width="10.625" style="133" bestFit="1" customWidth="1"/>
    <col min="7" max="7" width="9.625" style="133" bestFit="1" customWidth="1"/>
    <col min="8" max="8" width="10.625" style="133" bestFit="1" customWidth="1"/>
    <col min="9" max="9" width="14.75" style="137" customWidth="1"/>
    <col min="10" max="10" width="18.25" style="137" bestFit="1" customWidth="1"/>
    <col min="11" max="11" width="13.125" style="133" customWidth="1"/>
    <col min="12" max="12" width="13.25" style="133" customWidth="1"/>
    <col min="13" max="13" width="10" style="137" customWidth="1"/>
    <col min="14" max="16384" width="9" style="133"/>
  </cols>
  <sheetData>
    <row r="1" spans="1:16" s="234" customFormat="1" x14ac:dyDescent="0.25">
      <c r="A1" s="230" t="s">
        <v>760</v>
      </c>
      <c r="B1" s="231" t="s">
        <v>49</v>
      </c>
      <c r="C1" s="231" t="s">
        <v>30</v>
      </c>
      <c r="D1" s="232" t="s">
        <v>22</v>
      </c>
      <c r="E1" s="232" t="s">
        <v>23</v>
      </c>
      <c r="F1" s="232" t="s">
        <v>24</v>
      </c>
      <c r="G1" s="232" t="s">
        <v>25</v>
      </c>
      <c r="H1" s="232" t="s">
        <v>26</v>
      </c>
      <c r="I1" s="233" t="s">
        <v>68</v>
      </c>
      <c r="J1" s="233" t="s">
        <v>40</v>
      </c>
      <c r="K1" s="232" t="s">
        <v>50</v>
      </c>
      <c r="L1" s="232" t="s">
        <v>58</v>
      </c>
      <c r="M1" s="233" t="s">
        <v>71</v>
      </c>
      <c r="N1" s="234" t="s">
        <v>487</v>
      </c>
    </row>
    <row r="2" spans="1:16" s="227" customFormat="1" x14ac:dyDescent="0.25">
      <c r="A2" s="575" t="s">
        <v>762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</row>
    <row r="3" spans="1:16" s="253" customFormat="1" x14ac:dyDescent="0.25">
      <c r="A3" s="251"/>
      <c r="B3" s="252" t="s">
        <v>734</v>
      </c>
      <c r="I3" s="261">
        <v>28349</v>
      </c>
      <c r="J3" s="261">
        <v>165837</v>
      </c>
      <c r="K3" s="237"/>
      <c r="M3" s="254"/>
    </row>
    <row r="4" spans="1:16" s="249" customFormat="1" x14ac:dyDescent="0.25">
      <c r="A4" s="248"/>
      <c r="B4" s="252" t="s">
        <v>733</v>
      </c>
      <c r="I4" s="261">
        <v>28594</v>
      </c>
      <c r="J4" s="261">
        <v>167222</v>
      </c>
      <c r="M4" s="250"/>
    </row>
    <row r="5" spans="1:16" s="157" customFormat="1" x14ac:dyDescent="0.25">
      <c r="A5" s="160"/>
      <c r="B5" s="210" t="s">
        <v>735</v>
      </c>
      <c r="I5" s="262">
        <v>28725</v>
      </c>
      <c r="J5" s="262">
        <v>168001</v>
      </c>
      <c r="M5" s="162"/>
    </row>
    <row r="6" spans="1:16" s="157" customFormat="1" x14ac:dyDescent="0.25">
      <c r="A6" s="160"/>
      <c r="B6" s="210" t="s">
        <v>736</v>
      </c>
      <c r="I6" s="262">
        <v>28662</v>
      </c>
      <c r="J6" s="262">
        <v>167505</v>
      </c>
      <c r="M6" s="162"/>
    </row>
    <row r="7" spans="1:16" s="157" customFormat="1" x14ac:dyDescent="0.25">
      <c r="A7" s="160"/>
      <c r="B7" s="210" t="s">
        <v>737</v>
      </c>
      <c r="I7" s="262">
        <v>28675</v>
      </c>
      <c r="J7" s="262">
        <v>167666</v>
      </c>
      <c r="M7" s="162"/>
    </row>
    <row r="8" spans="1:16" s="157" customFormat="1" x14ac:dyDescent="0.25">
      <c r="A8" s="160"/>
      <c r="B8" s="217" t="s">
        <v>738</v>
      </c>
      <c r="I8" s="263">
        <v>28737</v>
      </c>
      <c r="J8" s="263">
        <v>168154</v>
      </c>
      <c r="M8" s="162"/>
    </row>
    <row r="9" spans="1:16" s="157" customFormat="1" x14ac:dyDescent="0.25">
      <c r="A9" s="160"/>
      <c r="B9" s="220" t="s">
        <v>758</v>
      </c>
      <c r="I9" s="264">
        <v>27199</v>
      </c>
      <c r="J9" s="264">
        <v>143542</v>
      </c>
      <c r="M9" s="162"/>
      <c r="P9" s="157" t="s">
        <v>51</v>
      </c>
    </row>
    <row r="10" spans="1:16" s="159" customFormat="1" x14ac:dyDescent="0.25">
      <c r="A10" s="207"/>
      <c r="B10" s="210" t="s">
        <v>743</v>
      </c>
      <c r="I10" s="262">
        <v>27823</v>
      </c>
      <c r="J10" s="262">
        <v>146552</v>
      </c>
      <c r="M10" s="165"/>
    </row>
    <row r="11" spans="1:16" s="274" customFormat="1" x14ac:dyDescent="0.25">
      <c r="A11" s="276">
        <v>1</v>
      </c>
      <c r="B11" s="274" t="s">
        <v>745</v>
      </c>
      <c r="I11" s="277">
        <v>27875</v>
      </c>
      <c r="J11" s="277">
        <v>146827</v>
      </c>
      <c r="M11" s="278"/>
      <c r="P11" s="279" t="s">
        <v>52</v>
      </c>
    </row>
    <row r="12" spans="1:16" s="249" customFormat="1" x14ac:dyDescent="0.25">
      <c r="A12" s="248"/>
      <c r="B12" s="236" t="s">
        <v>752</v>
      </c>
      <c r="C12" s="236"/>
      <c r="D12" s="236"/>
      <c r="E12" s="236"/>
      <c r="F12" s="236"/>
      <c r="G12" s="236"/>
      <c r="H12" s="236"/>
      <c r="I12" s="265">
        <v>28002</v>
      </c>
      <c r="J12" s="265">
        <v>147376</v>
      </c>
      <c r="K12" s="247"/>
      <c r="M12" s="250"/>
    </row>
    <row r="13" spans="1:16" s="157" customFormat="1" x14ac:dyDescent="0.25">
      <c r="A13" s="160"/>
      <c r="B13" s="221" t="s">
        <v>753</v>
      </c>
      <c r="C13" s="221"/>
      <c r="D13" s="221"/>
      <c r="E13" s="221"/>
      <c r="F13" s="221"/>
      <c r="G13" s="221"/>
      <c r="H13" s="221"/>
      <c r="I13" s="266">
        <v>28232</v>
      </c>
      <c r="J13" s="266">
        <v>148830</v>
      </c>
      <c r="K13" s="221"/>
      <c r="M13" s="162"/>
    </row>
    <row r="14" spans="1:16" s="243" customFormat="1" x14ac:dyDescent="0.25">
      <c r="A14" s="239"/>
      <c r="B14" s="236" t="s">
        <v>750</v>
      </c>
      <c r="C14" s="236"/>
      <c r="D14" s="236"/>
      <c r="E14" s="236"/>
      <c r="F14" s="236"/>
      <c r="G14" s="236"/>
      <c r="H14" s="236"/>
      <c r="I14" s="265">
        <v>27961</v>
      </c>
      <c r="J14" s="265">
        <v>148224</v>
      </c>
      <c r="K14" s="247"/>
      <c r="L14" s="237"/>
      <c r="M14" s="242"/>
    </row>
    <row r="15" spans="1:16" s="135" customFormat="1" x14ac:dyDescent="0.25">
      <c r="A15" s="143"/>
      <c r="B15" s="221" t="s">
        <v>749</v>
      </c>
      <c r="C15" s="221"/>
      <c r="D15" s="221"/>
      <c r="E15" s="221"/>
      <c r="F15" s="221"/>
      <c r="G15" s="221"/>
      <c r="H15" s="221"/>
      <c r="I15" s="266">
        <v>28141</v>
      </c>
      <c r="J15" s="266">
        <v>149201</v>
      </c>
      <c r="K15" s="221"/>
      <c r="L15" s="155"/>
      <c r="M15" s="139"/>
    </row>
    <row r="16" spans="1:16" s="135" customFormat="1" x14ac:dyDescent="0.25">
      <c r="A16" s="143">
        <v>2</v>
      </c>
      <c r="B16" s="218" t="s">
        <v>747</v>
      </c>
      <c r="C16" s="221"/>
      <c r="D16" s="221"/>
      <c r="E16" s="221"/>
      <c r="F16" s="221"/>
      <c r="G16" s="221"/>
      <c r="H16" s="221"/>
      <c r="I16" s="267">
        <v>29513</v>
      </c>
      <c r="J16" s="267">
        <v>156187</v>
      </c>
      <c r="L16" s="157"/>
      <c r="M16" s="139"/>
    </row>
    <row r="17" spans="1:14" s="245" customFormat="1" x14ac:dyDescent="0.25">
      <c r="A17" s="244"/>
      <c r="B17" s="236" t="s">
        <v>746</v>
      </c>
      <c r="C17" s="236"/>
      <c r="D17" s="236"/>
      <c r="E17" s="236"/>
      <c r="F17" s="236"/>
      <c r="G17" s="236"/>
      <c r="H17" s="236"/>
      <c r="I17" s="265">
        <v>29228</v>
      </c>
      <c r="J17" s="265">
        <v>154671</v>
      </c>
      <c r="M17" s="246"/>
    </row>
    <row r="18" spans="1:14" s="237" customFormat="1" x14ac:dyDescent="0.25">
      <c r="A18" s="235"/>
      <c r="B18" s="236" t="s">
        <v>748</v>
      </c>
      <c r="C18" s="236"/>
      <c r="D18" s="236"/>
      <c r="E18" s="236"/>
      <c r="F18" s="236"/>
      <c r="G18" s="236"/>
      <c r="H18" s="236"/>
      <c r="I18" s="265">
        <v>27867</v>
      </c>
      <c r="J18" s="265">
        <v>147704</v>
      </c>
      <c r="M18" s="238"/>
    </row>
    <row r="19" spans="1:14" s="135" customFormat="1" x14ac:dyDescent="0.25">
      <c r="A19" s="143"/>
      <c r="B19" s="221" t="s">
        <v>751</v>
      </c>
      <c r="C19" s="221"/>
      <c r="D19" s="221"/>
      <c r="E19" s="221"/>
      <c r="F19" s="221"/>
      <c r="G19" s="221"/>
      <c r="H19" s="221"/>
      <c r="I19" s="266">
        <v>28047</v>
      </c>
      <c r="J19" s="266">
        <v>148679</v>
      </c>
      <c r="K19" s="221"/>
      <c r="L19" s="157"/>
      <c r="M19" s="139"/>
    </row>
    <row r="20" spans="1:14" s="243" customFormat="1" x14ac:dyDescent="0.25">
      <c r="A20" s="239"/>
      <c r="B20" s="240" t="s">
        <v>755</v>
      </c>
      <c r="C20" s="236"/>
      <c r="D20" s="236"/>
      <c r="E20" s="236"/>
      <c r="F20" s="236"/>
      <c r="G20" s="236"/>
      <c r="H20" s="236"/>
      <c r="I20" s="268">
        <v>29132</v>
      </c>
      <c r="J20" s="268">
        <v>154145</v>
      </c>
      <c r="K20" s="241"/>
      <c r="L20" s="241"/>
      <c r="M20" s="242"/>
      <c r="N20" s="241"/>
    </row>
    <row r="21" spans="1:14" s="135" customFormat="1" x14ac:dyDescent="0.25">
      <c r="A21" s="143">
        <v>3</v>
      </c>
      <c r="B21" s="219" t="s">
        <v>756</v>
      </c>
      <c r="C21" s="219"/>
      <c r="D21" s="219"/>
      <c r="E21" s="219"/>
      <c r="F21" s="219"/>
      <c r="G21" s="219"/>
      <c r="H21" s="219"/>
      <c r="I21" s="269">
        <v>29294</v>
      </c>
      <c r="J21" s="269">
        <v>155047</v>
      </c>
      <c r="K21" s="159"/>
      <c r="L21" s="157"/>
      <c r="M21" s="139"/>
      <c r="N21" s="152"/>
    </row>
    <row r="22" spans="1:14" s="237" customFormat="1" x14ac:dyDescent="0.25">
      <c r="A22" s="235"/>
      <c r="B22" s="240" t="s">
        <v>757</v>
      </c>
      <c r="C22" s="236"/>
      <c r="D22" s="236"/>
      <c r="E22" s="236"/>
      <c r="F22" s="236"/>
      <c r="G22" s="236"/>
      <c r="H22" s="255"/>
      <c r="I22" s="268">
        <v>29057</v>
      </c>
      <c r="J22" s="268">
        <v>153290</v>
      </c>
      <c r="M22" s="238"/>
    </row>
    <row r="23" spans="1:14" s="167" customFormat="1" x14ac:dyDescent="0.25">
      <c r="A23" s="144"/>
      <c r="B23" s="275" t="s">
        <v>869</v>
      </c>
      <c r="C23" s="169"/>
      <c r="F23" s="163"/>
      <c r="G23" s="163"/>
      <c r="H23" s="163"/>
      <c r="I23" s="168">
        <v>29634</v>
      </c>
      <c r="J23" s="168"/>
      <c r="M23" s="168"/>
    </row>
    <row r="24" spans="1:14" s="157" customFormat="1" x14ac:dyDescent="0.25">
      <c r="A24" s="160"/>
      <c r="B24" s="274" t="s">
        <v>868</v>
      </c>
      <c r="C24" s="170"/>
      <c r="D24" s="161"/>
      <c r="E24" s="161"/>
      <c r="F24" s="161"/>
      <c r="G24" s="161"/>
      <c r="H24" s="161"/>
      <c r="I24" s="162">
        <v>28589</v>
      </c>
      <c r="J24" s="162"/>
      <c r="M24" s="162"/>
    </row>
    <row r="25" spans="1:14" s="281" customFormat="1" x14ac:dyDescent="0.25">
      <c r="A25" s="280"/>
      <c r="B25" s="288" t="s">
        <v>870</v>
      </c>
      <c r="C25" s="282"/>
      <c r="D25" s="283"/>
      <c r="E25" s="283"/>
      <c r="F25" s="283"/>
      <c r="G25" s="283"/>
      <c r="H25" s="283"/>
      <c r="I25" s="284">
        <v>28241</v>
      </c>
      <c r="J25" s="284">
        <v>149317</v>
      </c>
      <c r="M25" s="284"/>
    </row>
    <row r="26" spans="1:14" s="290" customFormat="1" x14ac:dyDescent="0.25">
      <c r="A26" s="301"/>
      <c r="B26" s="290" t="s">
        <v>875</v>
      </c>
      <c r="C26" s="321"/>
      <c r="D26" s="322"/>
      <c r="E26" s="296"/>
      <c r="F26" s="298"/>
      <c r="G26" s="298"/>
      <c r="H26" s="298"/>
      <c r="I26" s="323">
        <v>31184</v>
      </c>
      <c r="J26" s="323">
        <v>164817</v>
      </c>
      <c r="M26" s="299"/>
    </row>
    <row r="27" spans="1:14" s="312" customFormat="1" x14ac:dyDescent="0.25">
      <c r="A27" s="311"/>
      <c r="B27" s="312" t="s">
        <v>890</v>
      </c>
      <c r="C27" s="313"/>
      <c r="D27" s="318"/>
      <c r="E27" s="314"/>
      <c r="F27" s="318"/>
      <c r="G27" s="315"/>
      <c r="I27" s="316">
        <v>31249</v>
      </c>
      <c r="J27" s="316">
        <v>165117</v>
      </c>
      <c r="M27" s="317"/>
    </row>
    <row r="28" spans="1:14" s="320" customFormat="1" x14ac:dyDescent="0.25">
      <c r="A28" s="319"/>
      <c r="B28" s="312" t="s">
        <v>889</v>
      </c>
      <c r="C28" s="313"/>
      <c r="D28" s="318"/>
      <c r="E28" s="318"/>
      <c r="F28" s="315"/>
      <c r="G28" s="318"/>
      <c r="H28" s="315"/>
      <c r="I28" s="316">
        <v>31554</v>
      </c>
      <c r="J28" s="316">
        <v>167697</v>
      </c>
      <c r="M28" s="316"/>
    </row>
    <row r="29" spans="1:14" s="308" customFormat="1" x14ac:dyDescent="0.25">
      <c r="A29" s="302"/>
      <c r="B29" s="303" t="s">
        <v>888</v>
      </c>
      <c r="C29" s="304"/>
      <c r="D29" s="305"/>
      <c r="E29" s="305"/>
      <c r="F29" s="306"/>
      <c r="G29" s="305"/>
      <c r="H29" s="306"/>
      <c r="I29" s="307">
        <v>31911</v>
      </c>
      <c r="J29" s="307">
        <v>169379</v>
      </c>
      <c r="M29" s="307"/>
    </row>
    <row r="30" spans="1:14" s="308" customFormat="1" x14ac:dyDescent="0.25">
      <c r="A30" s="302"/>
      <c r="B30" s="303" t="s">
        <v>887</v>
      </c>
      <c r="C30" s="306"/>
      <c r="D30" s="306"/>
      <c r="E30" s="306"/>
      <c r="F30" s="306"/>
      <c r="G30" s="306"/>
      <c r="H30" s="306"/>
      <c r="I30" s="309">
        <v>31964</v>
      </c>
      <c r="J30" s="309">
        <v>169743</v>
      </c>
      <c r="K30" s="308" t="s">
        <v>879</v>
      </c>
      <c r="L30" s="308" t="s">
        <v>882</v>
      </c>
      <c r="M30" s="307"/>
      <c r="N30" s="303" t="s">
        <v>878</v>
      </c>
    </row>
    <row r="31" spans="1:14" s="308" customFormat="1" x14ac:dyDescent="0.25">
      <c r="A31" s="302"/>
      <c r="B31" s="303" t="s">
        <v>886</v>
      </c>
      <c r="C31" s="306"/>
      <c r="D31" s="306"/>
      <c r="E31" s="306"/>
      <c r="F31" s="306"/>
      <c r="G31" s="306"/>
      <c r="H31" s="306"/>
      <c r="I31" s="309">
        <v>31858</v>
      </c>
      <c r="J31" s="309">
        <v>169093</v>
      </c>
      <c r="K31" s="308" t="s">
        <v>880</v>
      </c>
      <c r="L31" s="308" t="s">
        <v>882</v>
      </c>
      <c r="M31" s="307"/>
      <c r="N31" s="303" t="s">
        <v>878</v>
      </c>
    </row>
    <row r="32" spans="1:14" s="308" customFormat="1" x14ac:dyDescent="0.25">
      <c r="A32" s="302"/>
      <c r="B32" s="303" t="s">
        <v>885</v>
      </c>
      <c r="I32" s="307">
        <v>31870</v>
      </c>
      <c r="J32" s="307">
        <v>168798</v>
      </c>
      <c r="K32" s="308" t="s">
        <v>881</v>
      </c>
      <c r="L32" s="308" t="s">
        <v>883</v>
      </c>
      <c r="M32" s="307"/>
      <c r="N32" s="303" t="s">
        <v>878</v>
      </c>
    </row>
    <row r="33" spans="1:14" s="308" customFormat="1" x14ac:dyDescent="0.25">
      <c r="A33" s="310"/>
      <c r="B33" s="303" t="s">
        <v>895</v>
      </c>
      <c r="C33" s="303"/>
      <c r="D33" s="303"/>
      <c r="E33" s="303"/>
      <c r="F33" s="303"/>
      <c r="G33" s="303"/>
      <c r="H33" s="303"/>
      <c r="I33" s="309">
        <v>32341</v>
      </c>
      <c r="J33" s="309">
        <v>171269</v>
      </c>
      <c r="K33" s="308" t="s">
        <v>896</v>
      </c>
      <c r="L33" s="308" t="s">
        <v>883</v>
      </c>
      <c r="M33" s="307"/>
      <c r="N33" s="303" t="s">
        <v>878</v>
      </c>
    </row>
    <row r="34" spans="1:14" s="308" customFormat="1" x14ac:dyDescent="0.25">
      <c r="A34" s="310"/>
      <c r="B34" s="303" t="s">
        <v>884</v>
      </c>
      <c r="C34" s="303"/>
      <c r="D34" s="303"/>
      <c r="E34" s="303"/>
      <c r="F34" s="303"/>
      <c r="G34" s="303"/>
      <c r="H34" s="303"/>
      <c r="I34" s="309">
        <v>32079</v>
      </c>
      <c r="J34" s="309">
        <v>169896</v>
      </c>
      <c r="K34" s="308" t="s">
        <v>897</v>
      </c>
      <c r="M34" s="307"/>
      <c r="N34" s="303"/>
    </row>
    <row r="35" spans="1:14" s="290" customFormat="1" x14ac:dyDescent="0.25">
      <c r="A35" s="324"/>
      <c r="B35" s="293" t="s">
        <v>910</v>
      </c>
      <c r="C35" s="293"/>
      <c r="D35" s="293"/>
      <c r="E35" s="293"/>
      <c r="F35" s="293"/>
      <c r="G35" s="293"/>
      <c r="H35" s="293"/>
      <c r="I35" s="294">
        <v>32130</v>
      </c>
      <c r="J35" s="294">
        <v>171688</v>
      </c>
      <c r="K35" s="290" t="s">
        <v>898</v>
      </c>
      <c r="L35" s="290" t="s">
        <v>883</v>
      </c>
      <c r="M35" s="299"/>
      <c r="N35" s="290" t="s">
        <v>878</v>
      </c>
    </row>
    <row r="36" spans="1:14" s="290" customFormat="1" x14ac:dyDescent="0.25">
      <c r="A36" s="301"/>
      <c r="B36" s="290" t="s">
        <v>911</v>
      </c>
      <c r="I36" s="299">
        <v>32388</v>
      </c>
      <c r="J36" s="299">
        <v>173033</v>
      </c>
      <c r="M36" s="299"/>
    </row>
    <row r="37" spans="1:14" s="303" customFormat="1" x14ac:dyDescent="0.25">
      <c r="A37" s="310"/>
      <c r="B37" s="303" t="s">
        <v>909</v>
      </c>
      <c r="I37" s="309">
        <v>32422</v>
      </c>
      <c r="J37" s="309">
        <v>172581</v>
      </c>
      <c r="K37" s="303" t="s">
        <v>894</v>
      </c>
      <c r="L37" s="303" t="s">
        <v>883</v>
      </c>
      <c r="M37" s="309"/>
    </row>
    <row r="38" spans="1:14" s="303" customFormat="1" x14ac:dyDescent="0.25">
      <c r="A38" s="310"/>
      <c r="B38" s="303" t="s">
        <v>902</v>
      </c>
      <c r="I38" s="309">
        <v>32164</v>
      </c>
      <c r="J38" s="309">
        <v>171221</v>
      </c>
      <c r="K38" s="303" t="s">
        <v>894</v>
      </c>
      <c r="L38" s="303" t="s">
        <v>883</v>
      </c>
      <c r="M38" s="309"/>
    </row>
    <row r="39" spans="1:14" s="287" customFormat="1" x14ac:dyDescent="0.25">
      <c r="A39" s="301"/>
      <c r="B39" s="290" t="s">
        <v>891</v>
      </c>
      <c r="C39" s="298"/>
      <c r="D39" s="298"/>
      <c r="E39" s="298"/>
      <c r="F39" s="298"/>
      <c r="G39" s="298"/>
      <c r="H39" s="298"/>
      <c r="I39" s="299">
        <v>32496</v>
      </c>
      <c r="J39" s="299">
        <v>172327</v>
      </c>
      <c r="K39" s="300" t="s">
        <v>899</v>
      </c>
      <c r="M39" s="137"/>
    </row>
    <row r="40" spans="1:14" s="308" customFormat="1" x14ac:dyDescent="0.25">
      <c r="A40" s="310"/>
      <c r="B40" s="303" t="s">
        <v>892</v>
      </c>
      <c r="C40" s="303"/>
      <c r="D40" s="303"/>
      <c r="E40" s="303"/>
      <c r="F40" s="303"/>
      <c r="G40" s="303"/>
      <c r="H40" s="303"/>
      <c r="I40" s="309">
        <v>32186</v>
      </c>
      <c r="J40" s="309">
        <v>170629</v>
      </c>
      <c r="M40" s="307"/>
    </row>
    <row r="41" spans="1:14" s="308" customFormat="1" x14ac:dyDescent="0.25">
      <c r="A41" s="302"/>
      <c r="B41" s="303" t="s">
        <v>893</v>
      </c>
      <c r="I41" s="307">
        <v>32155</v>
      </c>
      <c r="J41" s="307">
        <v>170121</v>
      </c>
      <c r="M41" s="307"/>
    </row>
    <row r="42" spans="1:14" s="287" customFormat="1" x14ac:dyDescent="0.25">
      <c r="A42" s="289"/>
      <c r="B42" s="291" t="s">
        <v>904</v>
      </c>
      <c r="C42" s="291"/>
      <c r="D42" s="291"/>
      <c r="E42" s="291"/>
      <c r="F42" s="291"/>
      <c r="G42" s="291"/>
      <c r="H42" s="291"/>
      <c r="I42" s="292">
        <v>32288</v>
      </c>
      <c r="J42" s="292">
        <v>171290</v>
      </c>
      <c r="K42" s="300" t="s">
        <v>906</v>
      </c>
      <c r="L42" s="300" t="s">
        <v>905</v>
      </c>
      <c r="M42" s="137"/>
    </row>
    <row r="43" spans="1:14" s="287" customFormat="1" x14ac:dyDescent="0.25">
      <c r="A43" s="289"/>
      <c r="B43" s="300" t="s">
        <v>911</v>
      </c>
      <c r="C43" s="291"/>
      <c r="D43" s="291"/>
      <c r="E43" s="291"/>
      <c r="F43" s="291"/>
      <c r="G43" s="291"/>
      <c r="H43" s="291"/>
      <c r="I43" s="299">
        <v>32551</v>
      </c>
      <c r="J43" s="299">
        <v>172671</v>
      </c>
      <c r="M43" s="137"/>
    </row>
    <row r="44" spans="1:14" s="287" customFormat="1" x14ac:dyDescent="0.25">
      <c r="A44" s="289"/>
      <c r="B44" s="295" t="s">
        <v>913</v>
      </c>
      <c r="C44" s="295"/>
      <c r="D44" s="295"/>
      <c r="E44" s="295"/>
      <c r="F44" s="295"/>
      <c r="G44" s="295"/>
      <c r="H44" s="295"/>
      <c r="I44" s="297">
        <v>32618</v>
      </c>
      <c r="J44" s="297">
        <v>171963</v>
      </c>
      <c r="K44" s="300" t="s">
        <v>901</v>
      </c>
      <c r="L44" s="300" t="s">
        <v>903</v>
      </c>
      <c r="M44" s="137"/>
    </row>
    <row r="45" spans="1:14" s="287" customFormat="1" x14ac:dyDescent="0.25">
      <c r="A45" s="289"/>
      <c r="B45" s="290" t="s">
        <v>911</v>
      </c>
      <c r="C45" s="290"/>
      <c r="D45" s="290"/>
      <c r="E45" s="290"/>
      <c r="F45" s="290"/>
      <c r="G45" s="290"/>
      <c r="H45" s="290"/>
      <c r="I45" s="299">
        <v>32865</v>
      </c>
      <c r="J45" s="299">
        <v>173260</v>
      </c>
      <c r="L45" s="300"/>
      <c r="M45" s="137"/>
    </row>
    <row r="46" spans="1:14" s="287" customFormat="1" x14ac:dyDescent="0.25">
      <c r="A46" s="289"/>
      <c r="B46" s="293" t="s">
        <v>912</v>
      </c>
      <c r="C46" s="293"/>
      <c r="D46" s="293"/>
      <c r="E46" s="293"/>
      <c r="F46" s="293"/>
      <c r="G46" s="293"/>
      <c r="H46" s="293"/>
      <c r="I46" s="294">
        <v>32257</v>
      </c>
      <c r="J46" s="294">
        <v>171591</v>
      </c>
      <c r="K46" s="300" t="s">
        <v>901</v>
      </c>
      <c r="L46" s="300" t="s">
        <v>903</v>
      </c>
      <c r="M46" s="137"/>
    </row>
    <row r="47" spans="1:14" s="153" customFormat="1" x14ac:dyDescent="0.25">
      <c r="A47" s="193"/>
      <c r="B47" s="300" t="s">
        <v>911</v>
      </c>
      <c r="C47" s="170"/>
      <c r="D47" s="166"/>
      <c r="E47" s="163"/>
      <c r="F47" s="166"/>
      <c r="H47" s="175"/>
      <c r="I47" s="137">
        <v>32504</v>
      </c>
      <c r="J47" s="137">
        <v>172890</v>
      </c>
      <c r="M47" s="137"/>
    </row>
    <row r="48" spans="1:14" s="287" customFormat="1" x14ac:dyDescent="0.25">
      <c r="A48" s="289"/>
      <c r="B48" s="300" t="s">
        <v>914</v>
      </c>
      <c r="C48" s="170"/>
      <c r="D48" s="166"/>
      <c r="E48" s="163"/>
      <c r="F48" s="166"/>
      <c r="H48" s="175"/>
      <c r="I48" s="137">
        <v>31685</v>
      </c>
      <c r="J48" s="137">
        <v>169015</v>
      </c>
      <c r="K48" s="300" t="s">
        <v>915</v>
      </c>
      <c r="L48" s="300" t="s">
        <v>903</v>
      </c>
      <c r="M48" s="137"/>
    </row>
    <row r="49" spans="1:17" x14ac:dyDescent="0.25">
      <c r="B49" s="329" t="s">
        <v>920</v>
      </c>
      <c r="D49" s="22"/>
      <c r="F49" s="167"/>
      <c r="I49" s="323">
        <v>32069</v>
      </c>
      <c r="J49" s="323">
        <v>171110</v>
      </c>
    </row>
    <row r="50" spans="1:17" x14ac:dyDescent="0.25">
      <c r="B50" s="328" t="s">
        <v>918</v>
      </c>
      <c r="D50" s="22"/>
      <c r="E50" s="298"/>
      <c r="F50" s="225"/>
      <c r="G50" s="221"/>
      <c r="H50" s="225"/>
      <c r="I50" s="323">
        <v>32260</v>
      </c>
      <c r="J50" s="323">
        <v>172090</v>
      </c>
    </row>
    <row r="51" spans="1:17" x14ac:dyDescent="0.25">
      <c r="B51" s="329" t="s">
        <v>917</v>
      </c>
      <c r="D51" s="22"/>
      <c r="E51" s="290"/>
      <c r="F51" s="225"/>
      <c r="G51" s="225"/>
      <c r="H51" s="225"/>
      <c r="I51" s="323">
        <v>31958</v>
      </c>
      <c r="J51" s="323">
        <v>170665</v>
      </c>
    </row>
    <row r="52" spans="1:17" x14ac:dyDescent="0.25">
      <c r="B52" s="484" t="s">
        <v>919</v>
      </c>
      <c r="C52" s="484" t="s">
        <v>923</v>
      </c>
      <c r="D52" s="484"/>
      <c r="E52" s="484"/>
      <c r="F52" s="484"/>
      <c r="G52" s="485"/>
      <c r="H52" s="485"/>
      <c r="I52" s="486">
        <v>32996</v>
      </c>
      <c r="J52" s="486">
        <v>175488</v>
      </c>
    </row>
    <row r="53" spans="1:17" x14ac:dyDescent="0.25">
      <c r="B53" s="484" t="s">
        <v>919</v>
      </c>
      <c r="C53" s="484" t="s">
        <v>922</v>
      </c>
      <c r="D53" s="484"/>
      <c r="E53" s="485"/>
      <c r="F53" s="485"/>
      <c r="G53" s="485"/>
      <c r="H53" s="485"/>
      <c r="I53" s="486">
        <v>33361</v>
      </c>
      <c r="J53" s="486">
        <v>175853</v>
      </c>
    </row>
    <row r="54" spans="1:17" s="134" customFormat="1" ht="15.75" customHeight="1" x14ac:dyDescent="0.25">
      <c r="A54" s="208"/>
      <c r="B54" s="228" t="s">
        <v>754</v>
      </c>
      <c r="C54" s="23"/>
      <c r="D54" s="229"/>
      <c r="E54" s="228" t="s">
        <v>759</v>
      </c>
      <c r="F54" s="225"/>
      <c r="G54" s="225"/>
      <c r="H54" s="225"/>
      <c r="I54" s="226"/>
      <c r="J54" s="141"/>
      <c r="K54" s="140"/>
      <c r="M54" s="141"/>
      <c r="N54" s="145"/>
      <c r="O54" s="145"/>
      <c r="P54" s="145"/>
      <c r="Q54" s="140"/>
    </row>
    <row r="55" spans="1:17" s="135" customFormat="1" x14ac:dyDescent="0.25">
      <c r="A55" s="193">
        <v>1</v>
      </c>
      <c r="B55" s="326" t="s">
        <v>907</v>
      </c>
      <c r="C55" s="225"/>
      <c r="D55" s="225"/>
      <c r="E55" s="225"/>
      <c r="F55" s="225"/>
      <c r="G55" s="225"/>
      <c r="H55" s="225"/>
      <c r="I55" s="226"/>
      <c r="J55" s="139"/>
      <c r="M55" s="139"/>
    </row>
    <row r="56" spans="1:17" s="135" customFormat="1" x14ac:dyDescent="0.25">
      <c r="A56" s="193">
        <v>2</v>
      </c>
      <c r="B56" s="327" t="s">
        <v>908</v>
      </c>
      <c r="C56" s="223"/>
      <c r="D56" s="221"/>
      <c r="E56" s="221"/>
      <c r="F56" s="221"/>
      <c r="G56" s="221"/>
      <c r="H56" s="225"/>
      <c r="I56" s="226"/>
      <c r="J56" s="139"/>
      <c r="M56" s="139"/>
    </row>
    <row r="57" spans="1:17" s="135" customFormat="1" x14ac:dyDescent="0.25">
      <c r="A57" s="193">
        <v>3</v>
      </c>
      <c r="B57" s="136"/>
      <c r="C57" s="133"/>
      <c r="D57" s="133"/>
      <c r="E57" s="221"/>
      <c r="F57" s="221"/>
      <c r="G57" s="221"/>
      <c r="H57" s="225"/>
      <c r="I57" s="226"/>
      <c r="J57" s="139"/>
      <c r="M57" s="139"/>
    </row>
    <row r="58" spans="1:17" s="135" customFormat="1" x14ac:dyDescent="0.25">
      <c r="A58" s="193">
        <v>4</v>
      </c>
      <c r="B58" s="325"/>
      <c r="C58" s="223"/>
      <c r="D58" s="225"/>
      <c r="E58" s="221"/>
      <c r="F58" s="225"/>
      <c r="G58" s="225"/>
      <c r="H58" s="225"/>
      <c r="I58" s="226"/>
      <c r="J58" s="139"/>
      <c r="M58" s="139"/>
    </row>
    <row r="59" spans="1:17" s="135" customFormat="1" x14ac:dyDescent="0.25">
      <c r="A59" s="213">
        <v>5</v>
      </c>
      <c r="B59" s="224"/>
      <c r="C59" s="223"/>
      <c r="D59" s="225"/>
      <c r="E59" s="221"/>
      <c r="F59" s="225"/>
      <c r="G59" s="225"/>
      <c r="H59" s="225"/>
      <c r="I59" s="226"/>
      <c r="J59" s="139"/>
      <c r="M59" s="139"/>
    </row>
    <row r="60" spans="1:17" s="134" customFormat="1" x14ac:dyDescent="0.25">
      <c r="A60" s="143">
        <v>6</v>
      </c>
      <c r="B60" s="212"/>
      <c r="C60" s="223"/>
      <c r="D60" s="225"/>
      <c r="E60" s="22"/>
      <c r="F60" s="161"/>
      <c r="G60" s="161"/>
      <c r="H60" s="161"/>
      <c r="I60" s="141"/>
      <c r="J60" s="141"/>
      <c r="M60" s="141"/>
    </row>
    <row r="61" spans="1:17" s="135" customFormat="1" x14ac:dyDescent="0.25">
      <c r="A61" s="143">
        <v>1</v>
      </c>
      <c r="B61" s="213"/>
      <c r="C61" s="221"/>
      <c r="D61" s="221"/>
      <c r="E61" s="25"/>
      <c r="F61" s="161"/>
      <c r="G61" s="161"/>
      <c r="H61" s="161"/>
      <c r="I61" s="139"/>
      <c r="J61" s="139"/>
      <c r="M61" s="139"/>
    </row>
    <row r="62" spans="1:17" x14ac:dyDescent="0.25">
      <c r="A62" s="143">
        <v>2</v>
      </c>
      <c r="B62" s="213"/>
      <c r="C62" s="221"/>
      <c r="D62" s="221"/>
      <c r="E62" s="22"/>
      <c r="F62" s="161"/>
      <c r="G62" s="161"/>
      <c r="H62" s="161"/>
    </row>
    <row r="63" spans="1:17" x14ac:dyDescent="0.25">
      <c r="A63" s="143">
        <v>3</v>
      </c>
      <c r="B63" s="213"/>
      <c r="C63" s="221"/>
      <c r="D63" s="221"/>
      <c r="E63" s="22"/>
      <c r="F63" s="161"/>
      <c r="G63" s="161"/>
      <c r="H63" s="161"/>
    </row>
    <row r="64" spans="1:17" x14ac:dyDescent="0.25">
      <c r="A64" s="143">
        <v>4</v>
      </c>
      <c r="B64" s="135"/>
      <c r="C64" s="221"/>
      <c r="D64" s="221"/>
      <c r="E64" s="155"/>
      <c r="F64" s="161"/>
      <c r="G64" s="161"/>
      <c r="H64" s="161"/>
    </row>
    <row r="65" spans="1:13" s="135" customFormat="1" x14ac:dyDescent="0.25">
      <c r="A65" s="144"/>
      <c r="B65" s="134"/>
      <c r="C65" s="134"/>
      <c r="D65" s="134"/>
      <c r="E65" s="25"/>
      <c r="F65" s="164"/>
      <c r="G65" s="164"/>
      <c r="H65" s="164"/>
      <c r="I65" s="139"/>
      <c r="J65" s="139"/>
      <c r="M65" s="139"/>
    </row>
    <row r="66" spans="1:13" s="135" customFormat="1" x14ac:dyDescent="0.25">
      <c r="A66" s="143"/>
      <c r="E66" s="22"/>
      <c r="F66" s="161"/>
      <c r="G66" s="161"/>
      <c r="H66" s="161"/>
      <c r="I66" s="137"/>
      <c r="J66" s="137"/>
      <c r="M66" s="139"/>
    </row>
    <row r="67" spans="1:13" x14ac:dyDescent="0.25">
      <c r="E67" s="22"/>
      <c r="F67" s="164"/>
      <c r="G67" s="164"/>
      <c r="H67" s="164"/>
    </row>
    <row r="68" spans="1:13" x14ac:dyDescent="0.25">
      <c r="E68" s="22"/>
      <c r="F68" s="157"/>
      <c r="G68" s="157"/>
      <c r="H68" s="161"/>
    </row>
    <row r="69" spans="1:13" x14ac:dyDescent="0.25">
      <c r="E69" s="22"/>
      <c r="F69" s="135"/>
      <c r="G69" s="135"/>
      <c r="H69" s="138"/>
    </row>
    <row r="70" spans="1:13" s="135" customFormat="1" x14ac:dyDescent="0.25">
      <c r="A70" s="143"/>
      <c r="E70" s="25"/>
      <c r="H70" s="138"/>
      <c r="I70" s="139"/>
      <c r="J70" s="139"/>
      <c r="M70" s="139"/>
    </row>
    <row r="71" spans="1:13" s="134" customFormat="1" x14ac:dyDescent="0.25">
      <c r="A71" s="143"/>
      <c r="B71" s="135"/>
      <c r="C71" s="135"/>
      <c r="D71" s="135"/>
      <c r="E71" s="22"/>
      <c r="F71" s="135"/>
      <c r="G71" s="135"/>
      <c r="H71" s="138"/>
      <c r="I71" s="141"/>
      <c r="J71" s="141"/>
      <c r="M71" s="141"/>
    </row>
    <row r="72" spans="1:13" s="134" customFormat="1" x14ac:dyDescent="0.25">
      <c r="A72" s="193"/>
      <c r="B72" s="136"/>
      <c r="C72" s="133"/>
      <c r="D72" s="133"/>
      <c r="E72" s="22"/>
      <c r="F72" s="167"/>
      <c r="G72" s="167"/>
      <c r="H72" s="163"/>
      <c r="I72" s="141"/>
      <c r="J72" s="141"/>
      <c r="M72" s="141"/>
    </row>
    <row r="73" spans="1:13" x14ac:dyDescent="0.25">
      <c r="E73" s="22"/>
      <c r="F73" s="157"/>
      <c r="G73" s="157"/>
      <c r="H73" s="161"/>
    </row>
    <row r="74" spans="1:13" x14ac:dyDescent="0.25">
      <c r="E74" s="22"/>
      <c r="F74" s="135"/>
      <c r="G74" s="135"/>
      <c r="H74" s="138"/>
    </row>
    <row r="75" spans="1:13" x14ac:dyDescent="0.25">
      <c r="A75" s="143"/>
      <c r="B75" s="135"/>
      <c r="C75" s="135"/>
      <c r="D75" s="135"/>
      <c r="E75" s="138"/>
      <c r="F75" s="138"/>
      <c r="G75" s="138"/>
      <c r="H75" s="138"/>
    </row>
    <row r="76" spans="1:13" x14ac:dyDescent="0.25">
      <c r="A76" s="144"/>
      <c r="B76" s="134"/>
      <c r="C76" s="134"/>
      <c r="D76" s="134"/>
      <c r="E76" s="138"/>
      <c r="F76" s="138"/>
      <c r="G76" s="138"/>
      <c r="H76" s="138"/>
    </row>
    <row r="77" spans="1:13" x14ac:dyDescent="0.25">
      <c r="A77" s="144"/>
      <c r="B77" s="134"/>
      <c r="C77" s="134"/>
      <c r="D77" s="134"/>
    </row>
    <row r="80" spans="1:13" x14ac:dyDescent="0.25">
      <c r="B80" s="156"/>
      <c r="C80" s="142"/>
      <c r="D80" s="138"/>
    </row>
    <row r="81" spans="2:4" x14ac:dyDescent="0.25">
      <c r="B81" s="156"/>
      <c r="C81" s="142"/>
      <c r="D81" s="138"/>
    </row>
  </sheetData>
  <mergeCells count="1">
    <mergeCell ref="A2:N2"/>
  </mergeCells>
  <phoneticPr fontId="2" type="noConversion"/>
  <hyperlinks>
    <hyperlink ref="P11" r:id="rId1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7"/>
  <dimension ref="A1:G33"/>
  <sheetViews>
    <sheetView workbookViewId="0">
      <selection activeCell="G22" sqref="G22"/>
    </sheetView>
  </sheetViews>
  <sheetFormatPr defaultRowHeight="16.5" x14ac:dyDescent="0.25"/>
  <cols>
    <col min="1" max="1" width="9" style="15"/>
  </cols>
  <sheetData>
    <row r="1" spans="1:7" ht="18.75" x14ac:dyDescent="0.25">
      <c r="A1" s="15" t="s">
        <v>149</v>
      </c>
      <c r="B1" s="22" t="s">
        <v>315</v>
      </c>
      <c r="C1" t="s">
        <v>500</v>
      </c>
      <c r="D1">
        <v>102</v>
      </c>
      <c r="E1">
        <v>103</v>
      </c>
      <c r="F1">
        <v>104</v>
      </c>
      <c r="G1" s="189" t="s">
        <v>694</v>
      </c>
    </row>
    <row r="2" spans="1:7" ht="18.75" x14ac:dyDescent="0.25">
      <c r="A2" s="15" t="s">
        <v>90</v>
      </c>
      <c r="B2" s="22" t="s">
        <v>135</v>
      </c>
      <c r="C2" t="s">
        <v>137</v>
      </c>
      <c r="D2" s="147">
        <v>1.05</v>
      </c>
      <c r="E2" s="147">
        <v>1.1000000000000001</v>
      </c>
      <c r="F2" s="147">
        <v>1.1499999999999999</v>
      </c>
      <c r="G2" s="189" t="s">
        <v>162</v>
      </c>
    </row>
    <row r="3" spans="1:7" ht="18.75" x14ac:dyDescent="0.25">
      <c r="A3" s="15" t="s">
        <v>92</v>
      </c>
      <c r="B3" s="22" t="s">
        <v>317</v>
      </c>
      <c r="C3" t="s">
        <v>501</v>
      </c>
      <c r="D3">
        <v>2818</v>
      </c>
      <c r="E3">
        <v>4959</v>
      </c>
      <c r="F3">
        <v>6643</v>
      </c>
      <c r="G3" s="189" t="s">
        <v>164</v>
      </c>
    </row>
    <row r="4" spans="1:7" ht="18.75" x14ac:dyDescent="0.25">
      <c r="A4" s="15" t="s">
        <v>94</v>
      </c>
      <c r="B4" s="22" t="s">
        <v>318</v>
      </c>
      <c r="C4" t="s">
        <v>502</v>
      </c>
      <c r="D4" s="147">
        <v>0.25</v>
      </c>
      <c r="E4" s="147">
        <v>0.35</v>
      </c>
      <c r="F4" s="147">
        <v>0.4</v>
      </c>
      <c r="G4" s="189" t="s">
        <v>161</v>
      </c>
    </row>
    <row r="5" spans="1:7" ht="18.75" x14ac:dyDescent="0.25">
      <c r="A5" s="15" t="s">
        <v>96</v>
      </c>
      <c r="B5" s="22" t="s">
        <v>320</v>
      </c>
      <c r="C5" t="s">
        <v>503</v>
      </c>
      <c r="D5" s="147">
        <v>0.2</v>
      </c>
      <c r="E5" s="147">
        <v>0.3</v>
      </c>
      <c r="F5" s="147">
        <v>0.4</v>
      </c>
      <c r="G5" s="189" t="s">
        <v>527</v>
      </c>
    </row>
    <row r="6" spans="1:7" ht="18.75" x14ac:dyDescent="0.25">
      <c r="A6" s="15" t="s">
        <v>98</v>
      </c>
      <c r="B6" s="22" t="s">
        <v>319</v>
      </c>
      <c r="G6" s="189" t="s">
        <v>140</v>
      </c>
    </row>
    <row r="7" spans="1:7" ht="18.75" x14ac:dyDescent="0.25">
      <c r="A7" s="15" t="s">
        <v>100</v>
      </c>
      <c r="B7" s="22" t="s">
        <v>322</v>
      </c>
      <c r="G7" s="189" t="s">
        <v>138</v>
      </c>
    </row>
    <row r="8" spans="1:7" ht="18.75" x14ac:dyDescent="0.25">
      <c r="A8" s="15" t="s">
        <v>102</v>
      </c>
      <c r="B8" s="22" t="s">
        <v>153</v>
      </c>
      <c r="G8" s="195" t="s">
        <v>140</v>
      </c>
    </row>
    <row r="9" spans="1:7" ht="18.75" x14ac:dyDescent="0.25">
      <c r="A9" s="15" t="s">
        <v>104</v>
      </c>
      <c r="G9" s="195" t="s">
        <v>137</v>
      </c>
    </row>
    <row r="10" spans="1:7" ht="18.75" x14ac:dyDescent="0.25">
      <c r="A10" s="15" t="s">
        <v>106</v>
      </c>
      <c r="G10" s="195" t="s">
        <v>141</v>
      </c>
    </row>
    <row r="11" spans="1:7" ht="18.75" x14ac:dyDescent="0.25">
      <c r="A11" s="15" t="s">
        <v>108</v>
      </c>
      <c r="G11" s="195" t="s">
        <v>546</v>
      </c>
    </row>
    <row r="12" spans="1:7" ht="18.75" x14ac:dyDescent="0.25">
      <c r="A12" s="15" t="s">
        <v>110</v>
      </c>
      <c r="G12" s="195" t="s">
        <v>626</v>
      </c>
    </row>
    <row r="13" spans="1:7" ht="18.75" x14ac:dyDescent="0.25">
      <c r="A13" s="15" t="s">
        <v>310</v>
      </c>
      <c r="G13" s="195" t="s">
        <v>628</v>
      </c>
    </row>
    <row r="14" spans="1:7" ht="18.75" x14ac:dyDescent="0.25">
      <c r="A14" s="15" t="s">
        <v>312</v>
      </c>
      <c r="G14" s="195" t="s">
        <v>627</v>
      </c>
    </row>
    <row r="15" spans="1:7" ht="18.75" x14ac:dyDescent="0.25">
      <c r="A15" s="15" t="s">
        <v>314</v>
      </c>
      <c r="G15" s="195" t="s">
        <v>625</v>
      </c>
    </row>
    <row r="16" spans="1:7" ht="18.75" x14ac:dyDescent="0.25">
      <c r="A16" s="15" t="s">
        <v>112</v>
      </c>
      <c r="G16" s="195" t="s">
        <v>527</v>
      </c>
    </row>
    <row r="17" spans="1:7" ht="18.75" x14ac:dyDescent="0.25">
      <c r="A17" s="15" t="s">
        <v>114</v>
      </c>
      <c r="G17" s="195" t="s">
        <v>629</v>
      </c>
    </row>
    <row r="18" spans="1:7" ht="18.75" x14ac:dyDescent="0.25">
      <c r="A18" s="15" t="s">
        <v>116</v>
      </c>
      <c r="G18" s="195" t="s">
        <v>624</v>
      </c>
    </row>
    <row r="19" spans="1:7" ht="18.75" x14ac:dyDescent="0.25">
      <c r="A19" s="209" t="s">
        <v>328</v>
      </c>
      <c r="G19" s="195" t="s">
        <v>621</v>
      </c>
    </row>
    <row r="20" spans="1:7" ht="18.75" x14ac:dyDescent="0.25">
      <c r="A20" s="209" t="s">
        <v>329</v>
      </c>
      <c r="G20" s="195" t="s">
        <v>623</v>
      </c>
    </row>
    <row r="21" spans="1:7" ht="18.75" x14ac:dyDescent="0.25">
      <c r="A21" s="15" t="s">
        <v>118</v>
      </c>
      <c r="G21" s="195" t="s">
        <v>622</v>
      </c>
    </row>
    <row r="22" spans="1:7" x14ac:dyDescent="0.25">
      <c r="A22" s="15" t="s">
        <v>121</v>
      </c>
    </row>
    <row r="23" spans="1:7" ht="18.75" x14ac:dyDescent="0.25">
      <c r="A23" s="15" t="s">
        <v>121</v>
      </c>
      <c r="G23" s="195"/>
    </row>
    <row r="24" spans="1:7" ht="18.75" x14ac:dyDescent="0.25">
      <c r="A24" s="15" t="s">
        <v>123</v>
      </c>
      <c r="G24" s="195"/>
    </row>
    <row r="25" spans="1:7" x14ac:dyDescent="0.25">
      <c r="A25" s="15" t="s">
        <v>125</v>
      </c>
    </row>
    <row r="26" spans="1:7" x14ac:dyDescent="0.25">
      <c r="A26" s="15" t="s">
        <v>126</v>
      </c>
    </row>
    <row r="27" spans="1:7" x14ac:dyDescent="0.25">
      <c r="A27" s="15" t="s">
        <v>127</v>
      </c>
    </row>
    <row r="28" spans="1:7" x14ac:dyDescent="0.25">
      <c r="A28" s="15" t="s">
        <v>129</v>
      </c>
    </row>
    <row r="29" spans="1:7" x14ac:dyDescent="0.25">
      <c r="A29" s="15" t="s">
        <v>128</v>
      </c>
    </row>
    <row r="30" spans="1:7" x14ac:dyDescent="0.25">
      <c r="A30" s="15" t="s">
        <v>130</v>
      </c>
    </row>
    <row r="31" spans="1:7" x14ac:dyDescent="0.25">
      <c r="A31" s="15" t="s">
        <v>131</v>
      </c>
    </row>
    <row r="32" spans="1:7" x14ac:dyDescent="0.25">
      <c r="A32" s="15" t="s">
        <v>132</v>
      </c>
    </row>
    <row r="33" spans="1:1" x14ac:dyDescent="0.25">
      <c r="A33" s="15" t="s">
        <v>133</v>
      </c>
    </row>
  </sheetData>
  <sheetProtection password="E803" sheet="1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8"/>
  <dimension ref="A1:E20"/>
  <sheetViews>
    <sheetView topLeftCell="A7" workbookViewId="0">
      <selection activeCell="D20" sqref="D20"/>
    </sheetView>
  </sheetViews>
  <sheetFormatPr defaultRowHeight="16.5" x14ac:dyDescent="0.25"/>
  <sheetData>
    <row r="1" spans="1:5" x14ac:dyDescent="0.25">
      <c r="A1" t="s">
        <v>355</v>
      </c>
    </row>
    <row r="2" spans="1:5" x14ac:dyDescent="0.25">
      <c r="A2" t="s">
        <v>451</v>
      </c>
      <c r="B2" t="s">
        <v>452</v>
      </c>
      <c r="C2" s="146" t="s">
        <v>453</v>
      </c>
    </row>
    <row r="3" spans="1:5" x14ac:dyDescent="0.25">
      <c r="A3" t="s">
        <v>454</v>
      </c>
      <c r="B3" t="s">
        <v>455</v>
      </c>
      <c r="C3" t="s">
        <v>456</v>
      </c>
      <c r="D3" s="146" t="s">
        <v>457</v>
      </c>
      <c r="E3" t="s">
        <v>458</v>
      </c>
    </row>
    <row r="4" spans="1:5" x14ac:dyDescent="0.25">
      <c r="A4" t="s">
        <v>459</v>
      </c>
      <c r="B4" t="s">
        <v>460</v>
      </c>
    </row>
    <row r="5" spans="1:5" x14ac:dyDescent="0.25">
      <c r="A5" t="s">
        <v>461</v>
      </c>
      <c r="B5" t="s">
        <v>456</v>
      </c>
      <c r="C5" s="146" t="s">
        <v>457</v>
      </c>
      <c r="D5" t="s">
        <v>462</v>
      </c>
      <c r="E5" t="s">
        <v>463</v>
      </c>
    </row>
    <row r="6" spans="1:5" x14ac:dyDescent="0.25">
      <c r="A6" t="s">
        <v>464</v>
      </c>
      <c r="B6" t="s">
        <v>465</v>
      </c>
    </row>
    <row r="7" spans="1:5" x14ac:dyDescent="0.25">
      <c r="A7" t="s">
        <v>466</v>
      </c>
      <c r="B7" t="s">
        <v>465</v>
      </c>
    </row>
    <row r="8" spans="1:5" x14ac:dyDescent="0.25">
      <c r="A8" t="s">
        <v>496</v>
      </c>
    </row>
    <row r="9" spans="1:5" x14ac:dyDescent="0.25">
      <c r="A9" t="s">
        <v>492</v>
      </c>
      <c r="B9" t="s">
        <v>493</v>
      </c>
      <c r="C9" t="s">
        <v>494</v>
      </c>
    </row>
    <row r="10" spans="1:5" x14ac:dyDescent="0.25">
      <c r="A10" t="s">
        <v>495</v>
      </c>
    </row>
    <row r="11" spans="1:5" x14ac:dyDescent="0.25">
      <c r="A11" t="s">
        <v>510</v>
      </c>
      <c r="B11" t="s">
        <v>511</v>
      </c>
      <c r="C11" t="s">
        <v>512</v>
      </c>
      <c r="E11" t="s">
        <v>513</v>
      </c>
    </row>
    <row r="12" spans="1:5" x14ac:dyDescent="0.25">
      <c r="A12" t="s">
        <v>514</v>
      </c>
      <c r="B12" t="s">
        <v>515</v>
      </c>
    </row>
    <row r="13" spans="1:5" x14ac:dyDescent="0.25">
      <c r="A13" t="s">
        <v>900</v>
      </c>
    </row>
    <row r="19" spans="1:5" x14ac:dyDescent="0.25">
      <c r="A19" s="527" t="s">
        <v>1019</v>
      </c>
      <c r="B19" t="s">
        <v>1020</v>
      </c>
      <c r="C19" t="s">
        <v>1021</v>
      </c>
      <c r="D19" t="s">
        <v>1023</v>
      </c>
      <c r="E19" t="s">
        <v>1022</v>
      </c>
    </row>
    <row r="20" spans="1:5" x14ac:dyDescent="0.25">
      <c r="B20">
        <v>153.44900000000001</v>
      </c>
      <c r="C20">
        <v>153.44300000000001</v>
      </c>
      <c r="D20">
        <v>139.529</v>
      </c>
      <c r="E20">
        <v>87.188079999999999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45</vt:i4>
      </vt:variant>
    </vt:vector>
  </HeadingPairs>
  <TitlesOfParts>
    <vt:vector size="53" baseType="lpstr">
      <vt:lpstr>傷害計算</vt:lpstr>
      <vt:lpstr>配裝模擬</vt:lpstr>
      <vt:lpstr>資料庫</vt:lpstr>
      <vt:lpstr>BUFF</vt:lpstr>
      <vt:lpstr>會破試算</vt:lpstr>
      <vt:lpstr>個人配裝</vt:lpstr>
      <vt:lpstr>名稱用</vt:lpstr>
      <vt:lpstr>結論</vt:lpstr>
      <vt:lpstr>下裝</vt:lpstr>
      <vt:lpstr>下裝附魔</vt:lpstr>
      <vt:lpstr>五彩石</vt:lpstr>
      <vt:lpstr>衣服</vt:lpstr>
      <vt:lpstr>衣服附魔</vt:lpstr>
      <vt:lpstr>戒指</vt:lpstr>
      <vt:lpstr>戒指附魔</vt:lpstr>
      <vt:lpstr>其他宴席</vt:lpstr>
      <vt:lpstr>奇穴1</vt:lpstr>
      <vt:lpstr>奇穴10</vt:lpstr>
      <vt:lpstr>奇穴11</vt:lpstr>
      <vt:lpstr>奇穴12</vt:lpstr>
      <vt:lpstr>奇穴2</vt:lpstr>
      <vt:lpstr>奇穴3</vt:lpstr>
      <vt:lpstr>奇穴4</vt:lpstr>
      <vt:lpstr>奇穴5</vt:lpstr>
      <vt:lpstr>奇穴6</vt:lpstr>
      <vt:lpstr>奇穴7</vt:lpstr>
      <vt:lpstr>奇穴8</vt:lpstr>
      <vt:lpstr>奇穴9</vt:lpstr>
      <vt:lpstr>武器</vt:lpstr>
      <vt:lpstr>武器附魔</vt:lpstr>
      <vt:lpstr>武器熔錠</vt:lpstr>
      <vt:lpstr>宴席</vt:lpstr>
      <vt:lpstr>畢業頭部</vt:lpstr>
      <vt:lpstr>項鍊</vt:lpstr>
      <vt:lpstr>暗器附魔</vt:lpstr>
      <vt:lpstr>暗器囊</vt:lpstr>
      <vt:lpstr>腰帶</vt:lpstr>
      <vt:lpstr>腰帶附魔</vt:lpstr>
      <vt:lpstr>腰墜</vt:lpstr>
      <vt:lpstr>裝備名稱</vt:lpstr>
      <vt:lpstr>裝備部位</vt:lpstr>
      <vt:lpstr>輔助食品</vt:lpstr>
      <vt:lpstr>輔助藥品</vt:lpstr>
      <vt:lpstr>增強食品</vt:lpstr>
      <vt:lpstr>增強藥品</vt:lpstr>
      <vt:lpstr>鞋子</vt:lpstr>
      <vt:lpstr>鞋子附魔</vt:lpstr>
      <vt:lpstr>頭部</vt:lpstr>
      <vt:lpstr>頭部附魔</vt:lpstr>
      <vt:lpstr>幫會宴席</vt:lpstr>
      <vt:lpstr>類型</vt:lpstr>
      <vt:lpstr>護腕</vt:lpstr>
      <vt:lpstr>護腕附魔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夏菲</cp:lastModifiedBy>
  <dcterms:created xsi:type="dcterms:W3CDTF">2019-04-19T12:44:08Z</dcterms:created>
  <dcterms:modified xsi:type="dcterms:W3CDTF">2019-11-29T07:48:45Z</dcterms:modified>
</cp:coreProperties>
</file>