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ame\JX3\EXCEL\自製\"/>
    </mc:Choice>
  </mc:AlternateContent>
  <xr:revisionPtr revIDLastSave="0" documentId="13_ncr:1_{19ED9967-AEA0-4B63-A8D2-67016D27F36B}" xr6:coauthVersionLast="44" xr6:coauthVersionMax="44" xr10:uidLastSave="{00000000-0000-0000-0000-000000000000}"/>
  <bookViews>
    <workbookView xWindow="-120" yWindow="-120" windowWidth="21840" windowHeight="13140" activeTab="2" xr2:uid="{00000000-000D-0000-FFFF-FFFF00000000}"/>
  </bookViews>
  <sheets>
    <sheet name="傷害計算" sheetId="2" r:id="rId1"/>
    <sheet name="配裝模擬" sheetId="4" r:id="rId2"/>
    <sheet name="破會收益" sheetId="12" r:id="rId3"/>
    <sheet name="BUFF" sheetId="5" state="hidden" r:id="rId4"/>
    <sheet name="DPS計算(Test)" sheetId="13" state="hidden" r:id="rId5"/>
    <sheet name="資料庫" sheetId="7" state="hidden" r:id="rId6"/>
    <sheet name="AutoData" sheetId="10" state="hidden" r:id="rId7"/>
    <sheet name="會破試算" sheetId="1" state="hidden" r:id="rId8"/>
    <sheet name="個人配裝" sheetId="3" state="hidden" r:id="rId9"/>
    <sheet name="static" sheetId="8" state="hidden" r:id="rId10"/>
    <sheet name="staticResult" sheetId="9" state="hidden" r:id="rId11"/>
  </sheets>
  <definedNames>
    <definedName name="_xlnm._FilterDatabase" localSheetId="6" hidden="1">AutoData!$B$1:$O$335</definedName>
    <definedName name="_xlnm._FilterDatabase" localSheetId="5" hidden="1">資料庫!$A$1:$Q$476</definedName>
    <definedName name="下裝" localSheetId="6">AutoData!$C$135:$C$167</definedName>
    <definedName name="下裝">資料庫!$B$155:$B$199</definedName>
    <definedName name="下裝附魔" localSheetId="6">AutoData!$C$267:$C$269</definedName>
    <definedName name="下裝附魔">資料庫!$B$405:$B$407</definedName>
    <definedName name="五彩石">static!$B$2:$B$9</definedName>
    <definedName name="衣服" localSheetId="6">AutoData!$C$47:$C$72</definedName>
    <definedName name="衣服">資料庫!$B$46:$B$68</definedName>
    <definedName name="衣服附魔" localSheetId="6">AutoData!$C$282:$C$284</definedName>
    <definedName name="衣服附魔">資料庫!$B$422:$B$424</definedName>
    <definedName name="戒指" localSheetId="6">AutoData!$C$218:$C$234</definedName>
    <definedName name="戒指">資料庫!$B$300:$B$326</definedName>
    <definedName name="戒指附魔" localSheetId="6">AutoData!$C$273:$C$275</definedName>
    <definedName name="戒指附魔">資料庫!$B$411:$B$413</definedName>
    <definedName name="其他宴席" localSheetId="6">AutoData!$C$292:$C$293</definedName>
    <definedName name="其他宴席">資料庫!$B$433:$B$434</definedName>
    <definedName name="奇穴1">BUFF!$B$14:$D$14</definedName>
    <definedName name="奇穴10">BUFF!$B$23:$E$23</definedName>
    <definedName name="奇穴11">BUFF!$B$24:$E$24</definedName>
    <definedName name="奇穴12">BUFF!$B$25:$E$25</definedName>
    <definedName name="奇穴2">BUFF!$B$15:$D$15</definedName>
    <definedName name="奇穴3">BUFF!$B$16:$E$16</definedName>
    <definedName name="奇穴4">BUFF!$B$17:$E$17</definedName>
    <definedName name="奇穴5">BUFF!$B$18:$E$18</definedName>
    <definedName name="奇穴6">BUFF!$B$19:$E$19</definedName>
    <definedName name="奇穴7">BUFF!$B$20:$E$20</definedName>
    <definedName name="奇穴8">BUFF!$B$21:$E$21</definedName>
    <definedName name="奇穴9">BUFF!$B$22:$E$22</definedName>
    <definedName name="武器" localSheetId="6">AutoData!$C$248:$C$260</definedName>
    <definedName name="武器">資料庫!$B$364:$B$397</definedName>
    <definedName name="武器附魔" localSheetId="6">AutoData!$C$278</definedName>
    <definedName name="武器附魔">資料庫!$B$417:$B$418</definedName>
    <definedName name="武器熔錠" localSheetId="6">AutoData!$C$288:$C$289</definedName>
    <definedName name="武器熔錠">資料庫!$B$428:$B$430</definedName>
    <definedName name="宴席" localSheetId="6">AutoData!$C$330:$C$335</definedName>
    <definedName name="宴席">資料庫!$B$471:$B$476</definedName>
    <definedName name="畢業頭部" localSheetId="6">AutoData!$C$22:$C$46</definedName>
    <definedName name="畢業頭部">資料庫!$B$38:$B$45</definedName>
    <definedName name="項鍊" localSheetId="6">AutoData!$C$183:$C$197</definedName>
    <definedName name="項鍊">資料庫!$B$233:$B$264</definedName>
    <definedName name="暗器附魔" localSheetId="6">AutoData!$C$276:$C$277</definedName>
    <definedName name="暗器附魔">資料庫!$B$414:$B$416</definedName>
    <definedName name="暗器囊" localSheetId="6">AutoData!$C$235:$C$247</definedName>
    <definedName name="暗器囊">資料庫!$B$327:$B$363</definedName>
    <definedName name="腰帶" localSheetId="6">AutoData!$C$73:$C$95</definedName>
    <definedName name="腰帶">資料庫!$B$69:$B$100</definedName>
    <definedName name="腰帶附魔" localSheetId="6">AutoData!$C$285:$C$287</definedName>
    <definedName name="腰帶附魔">資料庫!$B$425:$B$427</definedName>
    <definedName name="腰墜" localSheetId="6">AutoData!$C$198:$C$217</definedName>
    <definedName name="腰墜">資料庫!$B$265:$B$299</definedName>
    <definedName name="裝備名稱" localSheetId="6">AutoData!$C$24:$C$328</definedName>
    <definedName name="裝備名稱">資料庫!$B$14:$B$469</definedName>
    <definedName name="裝備部位">static!$A$2:$A$35</definedName>
    <definedName name="輔助食品" localSheetId="6">AutoData!$C$313:$C$316</definedName>
    <definedName name="輔助食品">資料庫!$B$454:$B$457</definedName>
    <definedName name="輔助藥品" localSheetId="6">AutoData!$C$294:$C$298</definedName>
    <definedName name="輔助藥品">資料庫!$B$435:$B$439</definedName>
    <definedName name="增強食品" localSheetId="6">AutoData!$C$317:$C$329</definedName>
    <definedName name="增強食品">資料庫!$B$458:$B$470</definedName>
    <definedName name="增強藥品" localSheetId="6">AutoData!$C$299:$C$312</definedName>
    <definedName name="增強藥品">資料庫!$B$440:$B$453</definedName>
    <definedName name="鞋子" localSheetId="6">AutoData!$C$168:$C$182</definedName>
    <definedName name="鞋子">資料庫!$B$200:$B$232</definedName>
    <definedName name="鞋子附魔" localSheetId="6">AutoData!$C$270:$C$272</definedName>
    <definedName name="鞋子附魔">資料庫!$B$408:$B$410</definedName>
    <definedName name="頭部" localSheetId="6">AutoData!$C$2:$C$46</definedName>
    <definedName name="頭部">資料庫!$B$2:$B$45</definedName>
    <definedName name="頭部附魔" localSheetId="6">AutoData!$C$261:$C$262</definedName>
    <definedName name="頭部附魔">資料庫!$B$398:$B$400</definedName>
    <definedName name="幫會宴席" localSheetId="6">AutoData!$C$290:$C$291</definedName>
    <definedName name="幫會宴席">資料庫!$B$431:$B$432</definedName>
    <definedName name="類型">static!$G$2:$G$10</definedName>
    <definedName name="護腕" localSheetId="6">AutoData!$C$96:$C$134</definedName>
    <definedName name="護腕">資料庫!$B$101:$B$154</definedName>
    <definedName name="護腕附魔" localSheetId="6">AutoData!$C$263:$C$266</definedName>
    <definedName name="護腕附魔">資料庫!$B$401:$B$404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3" i="5" l="1"/>
  <c r="M88" i="5"/>
  <c r="AA116" i="5"/>
  <c r="L326" i="7"/>
  <c r="H326" i="7"/>
  <c r="G326" i="7"/>
  <c r="O325" i="7"/>
  <c r="I325" i="7"/>
  <c r="G325" i="7"/>
  <c r="D325" i="7"/>
  <c r="D326" i="7"/>
  <c r="O326" i="7"/>
  <c r="O153" i="7"/>
  <c r="H153" i="7"/>
  <c r="G153" i="7"/>
  <c r="D153" i="7"/>
  <c r="N153" i="7"/>
  <c r="K153" i="7"/>
  <c r="O198" i="7"/>
  <c r="L198" i="7"/>
  <c r="K192" i="7"/>
  <c r="H198" i="7"/>
  <c r="G198" i="7"/>
  <c r="D198" i="7"/>
  <c r="N198" i="7"/>
  <c r="O44" i="7"/>
  <c r="N44" i="7"/>
  <c r="K44" i="7"/>
  <c r="L43" i="7"/>
  <c r="I44" i="7"/>
  <c r="G44" i="7"/>
  <c r="D44" i="7"/>
  <c r="AA27" i="5" l="1"/>
  <c r="E36" i="5"/>
  <c r="I29" i="2" l="1"/>
  <c r="I24" i="2"/>
  <c r="I58" i="2" s="1"/>
  <c r="I27" i="2"/>
  <c r="I23" i="2"/>
  <c r="I37" i="2"/>
  <c r="I26" i="2"/>
  <c r="I36" i="2"/>
  <c r="I25" i="2"/>
  <c r="D373" i="7"/>
  <c r="E373" i="7"/>
  <c r="F373" i="7"/>
  <c r="G373" i="7"/>
  <c r="H373" i="7"/>
  <c r="I373" i="7"/>
  <c r="K373" i="7"/>
  <c r="M373" i="7"/>
  <c r="O373" i="7"/>
  <c r="O386" i="7"/>
  <c r="M386" i="7"/>
  <c r="K386" i="7"/>
  <c r="I386" i="7"/>
  <c r="H386" i="7"/>
  <c r="G386" i="7"/>
  <c r="F386" i="7"/>
  <c r="E386" i="7"/>
  <c r="D386" i="7"/>
  <c r="I49" i="2" l="1"/>
  <c r="I45" i="2"/>
  <c r="I48" i="2"/>
  <c r="I47" i="2"/>
  <c r="I50" i="2"/>
  <c r="I46" i="2"/>
  <c r="G82" i="5"/>
  <c r="AE83" i="5"/>
  <c r="AE82" i="5"/>
  <c r="AE81" i="5"/>
  <c r="G81" i="5" s="1"/>
  <c r="AE80" i="5"/>
  <c r="AE79" i="5"/>
  <c r="C80" i="5"/>
  <c r="F81" i="5" l="1"/>
  <c r="AC107" i="5" l="1"/>
  <c r="O383" i="7"/>
  <c r="K383" i="7"/>
  <c r="H383" i="7"/>
  <c r="G383" i="7"/>
  <c r="F383" i="7"/>
  <c r="E383" i="7"/>
  <c r="D383" i="7"/>
  <c r="O397" i="7"/>
  <c r="N397" i="7"/>
  <c r="M397" i="7"/>
  <c r="K397" i="7"/>
  <c r="I397" i="7"/>
  <c r="H397" i="7"/>
  <c r="D397" i="7"/>
  <c r="G397" i="7"/>
  <c r="F397" i="7"/>
  <c r="E397" i="7"/>
  <c r="O395" i="7"/>
  <c r="M395" i="7"/>
  <c r="K395" i="7"/>
  <c r="I395" i="7"/>
  <c r="H395" i="7"/>
  <c r="D395" i="7"/>
  <c r="G395" i="7"/>
  <c r="F395" i="7"/>
  <c r="E395" i="7"/>
  <c r="O393" i="7"/>
  <c r="N393" i="7"/>
  <c r="M393" i="7"/>
  <c r="K393" i="7"/>
  <c r="I393" i="7"/>
  <c r="H393" i="7"/>
  <c r="G393" i="7"/>
  <c r="F393" i="7"/>
  <c r="E393" i="7"/>
  <c r="D393" i="7"/>
  <c r="O391" i="7"/>
  <c r="M391" i="7"/>
  <c r="K391" i="7"/>
  <c r="I391" i="7"/>
  <c r="H391" i="7"/>
  <c r="G391" i="7"/>
  <c r="F391" i="7"/>
  <c r="E391" i="7"/>
  <c r="D391" i="7"/>
  <c r="O374" i="7"/>
  <c r="M374" i="7"/>
  <c r="K374" i="7"/>
  <c r="I374" i="7"/>
  <c r="H374" i="7"/>
  <c r="G374" i="7"/>
  <c r="F374" i="7"/>
  <c r="E374" i="7"/>
  <c r="D374" i="7"/>
  <c r="O385" i="7"/>
  <c r="N385" i="7"/>
  <c r="M385" i="7"/>
  <c r="K385" i="7"/>
  <c r="I385" i="7"/>
  <c r="H385" i="7"/>
  <c r="G385" i="7"/>
  <c r="F385" i="7"/>
  <c r="E385" i="7"/>
  <c r="D385" i="7"/>
  <c r="O392" i="7"/>
  <c r="M392" i="7"/>
  <c r="K392" i="7"/>
  <c r="I392" i="7"/>
  <c r="H392" i="7"/>
  <c r="G392" i="7"/>
  <c r="F392" i="7"/>
  <c r="E392" i="7"/>
  <c r="D392" i="7"/>
  <c r="O394" i="7"/>
  <c r="M394" i="7"/>
  <c r="K394" i="7"/>
  <c r="I394" i="7"/>
  <c r="H394" i="7"/>
  <c r="G394" i="7"/>
  <c r="F394" i="7"/>
  <c r="E394" i="7"/>
  <c r="D394" i="7"/>
  <c r="K396" i="7"/>
  <c r="M396" i="7"/>
  <c r="I396" i="7"/>
  <c r="H396" i="7"/>
  <c r="G396" i="7"/>
  <c r="D396" i="7"/>
  <c r="O396" i="7"/>
  <c r="W27" i="5"/>
  <c r="L27" i="5"/>
  <c r="K27" i="5"/>
  <c r="L43" i="4"/>
  <c r="L42" i="4"/>
  <c r="L39" i="4"/>
  <c r="L38" i="4"/>
  <c r="G108" i="5" l="1"/>
  <c r="G101" i="5"/>
  <c r="M108" i="5"/>
  <c r="C103" i="5"/>
  <c r="N64" i="13"/>
  <c r="G63" i="13" s="1"/>
  <c r="F63" i="13" s="1"/>
  <c r="O69" i="2" l="1"/>
  <c r="H69" i="2"/>
  <c r="N51" i="13"/>
  <c r="G50" i="13" s="1"/>
  <c r="F50" i="13" l="1"/>
  <c r="N37" i="13" l="1"/>
  <c r="N24" i="13"/>
  <c r="G23" i="13" s="1"/>
  <c r="F23" i="13" s="1"/>
  <c r="D103" i="5"/>
  <c r="N12" i="13"/>
  <c r="G11" i="13"/>
  <c r="D18" i="2"/>
  <c r="G36" i="13" l="1"/>
  <c r="F36" i="13" s="1"/>
  <c r="D261" i="7"/>
  <c r="O263" i="7"/>
  <c r="L263" i="7"/>
  <c r="H263" i="7"/>
  <c r="G263" i="7"/>
  <c r="D263" i="7"/>
  <c r="O261" i="7"/>
  <c r="K261" i="7"/>
  <c r="I261" i="7"/>
  <c r="G261" i="7"/>
  <c r="O260" i="7"/>
  <c r="L260" i="7"/>
  <c r="K260" i="7"/>
  <c r="I260" i="7"/>
  <c r="G260" i="7"/>
  <c r="O82" i="7"/>
  <c r="K82" i="7"/>
  <c r="I82" i="7"/>
  <c r="G82" i="7"/>
  <c r="D82" i="7"/>
  <c r="O56" i="7"/>
  <c r="M56" i="7"/>
  <c r="H56" i="7"/>
  <c r="G56" i="7"/>
  <c r="D56" i="7"/>
  <c r="O376" i="7"/>
  <c r="L376" i="7"/>
  <c r="G376" i="7"/>
  <c r="D376" i="7"/>
  <c r="H376" i="7"/>
  <c r="A16" i="9" l="1"/>
  <c r="B16" i="9" l="1"/>
  <c r="O70" i="2"/>
  <c r="H70" i="2"/>
  <c r="H67" i="2"/>
  <c r="H68" i="2" s="1"/>
  <c r="H49" i="2"/>
  <c r="H47" i="2"/>
  <c r="H50" i="2" s="1"/>
  <c r="H48" i="2"/>
  <c r="J44" i="2"/>
  <c r="H44" i="2"/>
  <c r="N4" i="9"/>
  <c r="M3" i="9"/>
  <c r="M4" i="9" s="1"/>
  <c r="L3" i="9"/>
  <c r="L4" i="9" s="1"/>
  <c r="K3" i="9"/>
  <c r="K4" i="9"/>
  <c r="J3" i="9"/>
  <c r="J4" i="9" s="1"/>
  <c r="I3" i="9"/>
  <c r="I4" i="9" s="1"/>
  <c r="K33" i="5"/>
  <c r="L30" i="5"/>
  <c r="H75" i="2"/>
  <c r="O74" i="2"/>
  <c r="O73" i="2"/>
  <c r="O72" i="2"/>
  <c r="O71" i="2"/>
  <c r="O68" i="2"/>
  <c r="O67" i="2"/>
  <c r="O66" i="2"/>
  <c r="O62" i="2"/>
  <c r="O65" i="2"/>
  <c r="O64" i="2"/>
  <c r="O63" i="2"/>
  <c r="H74" i="2"/>
  <c r="H73" i="2"/>
  <c r="H72" i="2"/>
  <c r="H71" i="2"/>
  <c r="H63" i="2"/>
  <c r="H64" i="2" s="1"/>
  <c r="H65" i="2" s="1"/>
  <c r="H66" i="2" s="1"/>
  <c r="H62" i="2"/>
  <c r="H61" i="2"/>
  <c r="H60" i="2"/>
  <c r="H59" i="2"/>
  <c r="H58" i="2"/>
  <c r="I57" i="2"/>
  <c r="J57" i="2"/>
  <c r="I56" i="2"/>
  <c r="J56" i="2"/>
  <c r="I55" i="2"/>
  <c r="J55" i="2"/>
  <c r="J54" i="2"/>
  <c r="I54" i="2"/>
  <c r="J53" i="2"/>
  <c r="I53" i="2"/>
  <c r="J52" i="2"/>
  <c r="I52" i="2"/>
  <c r="B36" i="2"/>
  <c r="B52" i="2" s="1"/>
  <c r="H46" i="2"/>
  <c r="H45" i="2"/>
  <c r="H43" i="2"/>
  <c r="J43" i="2"/>
  <c r="B23" i="2"/>
  <c r="B45" i="2" s="1"/>
  <c r="A18" i="2"/>
  <c r="M416" i="7"/>
  <c r="O363" i="7"/>
  <c r="M363" i="7"/>
  <c r="K363" i="7"/>
  <c r="G363" i="7"/>
  <c r="D363" i="7"/>
  <c r="O353" i="7"/>
  <c r="N353" i="7"/>
  <c r="M353" i="7"/>
  <c r="K353" i="7"/>
  <c r="G353" i="7"/>
  <c r="D353" i="7"/>
  <c r="O337" i="7"/>
  <c r="M337" i="7"/>
  <c r="K337" i="7"/>
  <c r="G337" i="7"/>
  <c r="D335" i="7"/>
  <c r="D337" i="7"/>
  <c r="L332" i="7"/>
  <c r="O332" i="7"/>
  <c r="M332" i="7"/>
  <c r="G332" i="7"/>
  <c r="D332" i="7"/>
  <c r="M43" i="4"/>
  <c r="M42" i="4"/>
  <c r="M40" i="4"/>
  <c r="M21" i="4"/>
  <c r="M20" i="4"/>
  <c r="M19" i="4"/>
  <c r="M18" i="4"/>
  <c r="M17" i="4"/>
  <c r="M16" i="4"/>
  <c r="M15" i="4"/>
  <c r="M14" i="4"/>
  <c r="M13" i="4"/>
  <c r="M12" i="4"/>
  <c r="M11" i="4"/>
  <c r="M10" i="4"/>
  <c r="M410" i="7"/>
  <c r="M30" i="4" s="1"/>
  <c r="M400" i="7"/>
  <c r="M25" i="4" s="1"/>
  <c r="P21" i="4"/>
  <c r="P20" i="4"/>
  <c r="P19" i="4"/>
  <c r="P18" i="4"/>
  <c r="P17" i="4"/>
  <c r="P16" i="4"/>
  <c r="P15" i="4"/>
  <c r="P14" i="4"/>
  <c r="P13" i="4"/>
  <c r="P12" i="4"/>
  <c r="P11" i="4"/>
  <c r="P10" i="4"/>
  <c r="O16" i="4"/>
  <c r="N21" i="4"/>
  <c r="N19" i="4"/>
  <c r="N18" i="4"/>
  <c r="N17" i="4"/>
  <c r="N16" i="4"/>
  <c r="N15" i="4"/>
  <c r="N14" i="4"/>
  <c r="N13" i="4"/>
  <c r="N12" i="4"/>
  <c r="N11" i="4"/>
  <c r="N10" i="4"/>
  <c r="B48" i="2" l="1"/>
  <c r="B49" i="2"/>
  <c r="B47" i="2"/>
  <c r="B50" i="2" s="1"/>
  <c r="B54" i="2"/>
  <c r="B46" i="2"/>
  <c r="B56" i="2"/>
  <c r="B6" i="4"/>
  <c r="O54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35" i="5"/>
  <c r="R35" i="5" s="1"/>
  <c r="S35" i="5" s="1"/>
  <c r="L35" i="5"/>
  <c r="O36" i="5"/>
  <c r="R36" i="5" s="1"/>
  <c r="S36" i="5" s="1"/>
  <c r="O34" i="5"/>
  <c r="R34" i="5" s="1"/>
  <c r="S34" i="5" s="1"/>
  <c r="O33" i="5"/>
  <c r="R33" i="5" s="1"/>
  <c r="S33" i="5" s="1"/>
  <c r="O32" i="5"/>
  <c r="R32" i="5" s="1"/>
  <c r="S32" i="5" s="1"/>
  <c r="O31" i="5"/>
  <c r="R31" i="5" s="1"/>
  <c r="S31" i="5" s="1"/>
  <c r="O30" i="5"/>
  <c r="R30" i="5" s="1"/>
  <c r="S30" i="5" s="1"/>
  <c r="O29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6" i="5"/>
  <c r="L39" i="5"/>
  <c r="L38" i="5"/>
  <c r="L37" i="5"/>
  <c r="L34" i="5"/>
  <c r="L33" i="5"/>
  <c r="L32" i="5"/>
  <c r="L31" i="5"/>
  <c r="L29" i="5"/>
  <c r="E418" i="7"/>
  <c r="F418" i="7" s="1"/>
  <c r="D415" i="7"/>
  <c r="D413" i="7"/>
  <c r="G417" i="7"/>
  <c r="G412" i="7"/>
  <c r="G32" i="4" s="1"/>
  <c r="G408" i="7"/>
  <c r="G398" i="7"/>
  <c r="H414" i="7"/>
  <c r="K411" i="7"/>
  <c r="K409" i="7"/>
  <c r="H405" i="7"/>
  <c r="I406" i="7"/>
  <c r="L407" i="7"/>
  <c r="L403" i="7"/>
  <c r="K399" i="7"/>
  <c r="H401" i="7"/>
  <c r="I402" i="7"/>
  <c r="D2" i="4"/>
  <c r="R29" i="5" l="1"/>
  <c r="S29" i="5" s="1"/>
  <c r="K29" i="5"/>
  <c r="K31" i="5" s="1"/>
  <c r="P29" i="5" s="1"/>
  <c r="C6" i="2"/>
  <c r="D6" i="2"/>
  <c r="E6" i="2"/>
  <c r="K35" i="5" l="1"/>
  <c r="K37" i="5" s="1"/>
  <c r="M33" i="5"/>
  <c r="N33" i="5" s="1"/>
  <c r="G16" i="2" s="1"/>
  <c r="M35" i="5"/>
  <c r="N35" i="5" s="1"/>
  <c r="G18" i="2" s="1"/>
  <c r="G44" i="2" s="1"/>
  <c r="P39" i="5"/>
  <c r="Q39" i="5" s="1"/>
  <c r="F22" i="2" s="1"/>
  <c r="P43" i="5"/>
  <c r="Q43" i="5" s="1"/>
  <c r="F26" i="2" s="1"/>
  <c r="F60" i="2" s="1"/>
  <c r="P47" i="5"/>
  <c r="Q47" i="5" s="1"/>
  <c r="F30" i="2" s="1"/>
  <c r="P51" i="5"/>
  <c r="Q51" i="5" s="1"/>
  <c r="F34" i="2" s="1"/>
  <c r="P36" i="5"/>
  <c r="Q36" i="5" s="1"/>
  <c r="F19" i="2" s="1"/>
  <c r="F71" i="2" s="1"/>
  <c r="P37" i="5"/>
  <c r="Q37" i="5" s="1"/>
  <c r="F20" i="2" s="1"/>
  <c r="F74" i="2" s="1"/>
  <c r="P41" i="5"/>
  <c r="Q41" i="5" s="1"/>
  <c r="F24" i="2" s="1"/>
  <c r="P45" i="5"/>
  <c r="Q45" i="5" s="1"/>
  <c r="F28" i="2" s="1"/>
  <c r="P49" i="5"/>
  <c r="Q49" i="5" s="1"/>
  <c r="F32" i="2" s="1"/>
  <c r="P53" i="5"/>
  <c r="Q53" i="5" s="1"/>
  <c r="F36" i="2" s="1"/>
  <c r="P35" i="5"/>
  <c r="Q35" i="5" s="1"/>
  <c r="F18" i="2" s="1"/>
  <c r="F44" i="2" s="1"/>
  <c r="P30" i="5"/>
  <c r="Q30" i="5" s="1"/>
  <c r="F13" i="2" s="1"/>
  <c r="P33" i="5"/>
  <c r="Q33" i="5" s="1"/>
  <c r="F16" i="2" s="1"/>
  <c r="P42" i="5"/>
  <c r="Q42" i="5" s="1"/>
  <c r="F25" i="2" s="1"/>
  <c r="F59" i="2" s="1"/>
  <c r="P54" i="5"/>
  <c r="Q54" i="5" s="1"/>
  <c r="F37" i="2" s="1"/>
  <c r="P32" i="5"/>
  <c r="Q32" i="5" s="1"/>
  <c r="F15" i="2" s="1"/>
  <c r="P40" i="5"/>
  <c r="Q40" i="5" s="1"/>
  <c r="F23" i="2" s="1"/>
  <c r="F49" i="2" s="1"/>
  <c r="P44" i="5"/>
  <c r="Q44" i="5" s="1"/>
  <c r="F27" i="2" s="1"/>
  <c r="P48" i="5"/>
  <c r="Q48" i="5" s="1"/>
  <c r="F31" i="2" s="1"/>
  <c r="P52" i="5"/>
  <c r="Q52" i="5" s="1"/>
  <c r="F35" i="2" s="1"/>
  <c r="P31" i="5"/>
  <c r="Q31" i="5" s="1"/>
  <c r="F14" i="2" s="1"/>
  <c r="F70" i="2" s="1"/>
  <c r="P34" i="5"/>
  <c r="Q34" i="5" s="1"/>
  <c r="F17" i="2" s="1"/>
  <c r="F63" i="2" s="1"/>
  <c r="F64" i="2" s="1"/>
  <c r="F65" i="2" s="1"/>
  <c r="F66" i="2" s="1"/>
  <c r="P38" i="5"/>
  <c r="Q38" i="5" s="1"/>
  <c r="F21" i="2" s="1"/>
  <c r="P46" i="5"/>
  <c r="Q46" i="5" s="1"/>
  <c r="F29" i="2" s="1"/>
  <c r="Q29" i="5"/>
  <c r="F12" i="2" s="1"/>
  <c r="P50" i="5"/>
  <c r="Q50" i="5" s="1"/>
  <c r="F33" i="2" s="1"/>
  <c r="M46" i="5"/>
  <c r="M50" i="5"/>
  <c r="M43" i="5"/>
  <c r="M39" i="5"/>
  <c r="M34" i="5"/>
  <c r="N34" i="5" s="1"/>
  <c r="M30" i="5"/>
  <c r="N30" i="5" s="1"/>
  <c r="G13" i="2" s="1"/>
  <c r="M54" i="5"/>
  <c r="N54" i="5" s="1"/>
  <c r="G37" i="2" s="1"/>
  <c r="M45" i="5"/>
  <c r="M48" i="5"/>
  <c r="M42" i="5"/>
  <c r="M38" i="5"/>
  <c r="M29" i="5"/>
  <c r="N29" i="5" s="1"/>
  <c r="G12" i="2" s="1"/>
  <c r="M53" i="5"/>
  <c r="N53" i="5" s="1"/>
  <c r="G36" i="2" s="1"/>
  <c r="M52" i="5"/>
  <c r="M47" i="5"/>
  <c r="M41" i="5"/>
  <c r="M37" i="5"/>
  <c r="M32" i="5"/>
  <c r="N32" i="5" s="1"/>
  <c r="G15" i="2" s="1"/>
  <c r="M49" i="5"/>
  <c r="M51" i="5"/>
  <c r="M44" i="5"/>
  <c r="M40" i="5"/>
  <c r="M36" i="5"/>
  <c r="M31" i="5"/>
  <c r="N31" i="5" s="1"/>
  <c r="G14" i="2" s="1"/>
  <c r="G70" i="2" s="1"/>
  <c r="F24" i="4"/>
  <c r="E24" i="4"/>
  <c r="E34" i="4"/>
  <c r="F34" i="4"/>
  <c r="G34" i="4"/>
  <c r="L29" i="4"/>
  <c r="L28" i="4"/>
  <c r="L27" i="4"/>
  <c r="M106" i="5"/>
  <c r="R26" i="4"/>
  <c r="R24" i="4"/>
  <c r="R25" i="4"/>
  <c r="P26" i="4"/>
  <c r="P25" i="4"/>
  <c r="P24" i="4"/>
  <c r="R27" i="4" l="1"/>
  <c r="R28" i="4"/>
  <c r="G65" i="13"/>
  <c r="G25" i="13"/>
  <c r="F25" i="13" s="1"/>
  <c r="G52" i="13"/>
  <c r="G13" i="13"/>
  <c r="F13" i="13" s="1"/>
  <c r="G38" i="13"/>
  <c r="F38" i="13" s="1"/>
  <c r="G17" i="2"/>
  <c r="G63" i="2" s="1"/>
  <c r="G64" i="2" s="1"/>
  <c r="G65" i="2" s="1"/>
  <c r="G66" i="2" s="1"/>
  <c r="F67" i="2"/>
  <c r="F68" i="2" s="1"/>
  <c r="F69" i="2" s="1"/>
  <c r="G67" i="2"/>
  <c r="G68" i="2" s="1"/>
  <c r="G69" i="2" s="1"/>
  <c r="F48" i="2"/>
  <c r="F47" i="2"/>
  <c r="F50" i="2" s="1"/>
  <c r="N40" i="5"/>
  <c r="G23" i="2" s="1"/>
  <c r="G49" i="2" s="1"/>
  <c r="R40" i="5"/>
  <c r="S40" i="5" s="1"/>
  <c r="N52" i="5"/>
  <c r="G35" i="2" s="1"/>
  <c r="R52" i="5"/>
  <c r="S52" i="5" s="1"/>
  <c r="N38" i="5"/>
  <c r="G21" i="2" s="1"/>
  <c r="R38" i="5"/>
  <c r="S38" i="5" s="1"/>
  <c r="N43" i="5"/>
  <c r="G26" i="2" s="1"/>
  <c r="G60" i="2" s="1"/>
  <c r="R43" i="5"/>
  <c r="S43" i="5" s="1"/>
  <c r="N44" i="5"/>
  <c r="G27" i="2" s="1"/>
  <c r="R44" i="5"/>
  <c r="S44" i="5" s="1"/>
  <c r="N37" i="5"/>
  <c r="G20" i="2" s="1"/>
  <c r="G74" i="2" s="1"/>
  <c r="R37" i="5"/>
  <c r="S37" i="5" s="1"/>
  <c r="N42" i="5"/>
  <c r="G25" i="2" s="1"/>
  <c r="G59" i="2" s="1"/>
  <c r="R42" i="5"/>
  <c r="S42" i="5" s="1"/>
  <c r="N50" i="5"/>
  <c r="G33" i="2" s="1"/>
  <c r="R50" i="5"/>
  <c r="S50" i="5" s="1"/>
  <c r="N51" i="5"/>
  <c r="G34" i="2" s="1"/>
  <c r="R51" i="5"/>
  <c r="S51" i="5" s="1"/>
  <c r="N41" i="5"/>
  <c r="G24" i="2" s="1"/>
  <c r="G58" i="2" s="1"/>
  <c r="R41" i="5"/>
  <c r="S41" i="5" s="1"/>
  <c r="N48" i="5"/>
  <c r="G31" i="2" s="1"/>
  <c r="R48" i="5"/>
  <c r="S48" i="5" s="1"/>
  <c r="N46" i="5"/>
  <c r="G29" i="2" s="1"/>
  <c r="G62" i="2" s="1"/>
  <c r="R46" i="5"/>
  <c r="S46" i="5" s="1"/>
  <c r="N49" i="5"/>
  <c r="G32" i="2" s="1"/>
  <c r="R49" i="5"/>
  <c r="S49" i="5" s="1"/>
  <c r="N47" i="5"/>
  <c r="G30" i="2" s="1"/>
  <c r="R47" i="5"/>
  <c r="S47" i="5" s="1"/>
  <c r="N45" i="5"/>
  <c r="G28" i="2" s="1"/>
  <c r="R45" i="5"/>
  <c r="S45" i="5" s="1"/>
  <c r="N39" i="5"/>
  <c r="G22" i="2" s="1"/>
  <c r="G73" i="2" s="1"/>
  <c r="R39" i="5"/>
  <c r="S39" i="5" s="1"/>
  <c r="N36" i="5"/>
  <c r="G19" i="2" s="1"/>
  <c r="G71" i="2" s="1"/>
  <c r="F58" i="2"/>
  <c r="G61" i="2"/>
  <c r="F55" i="2"/>
  <c r="F53" i="2"/>
  <c r="F57" i="2"/>
  <c r="F43" i="2"/>
  <c r="F52" i="2"/>
  <c r="F56" i="2"/>
  <c r="F54" i="2"/>
  <c r="G57" i="2"/>
  <c r="G53" i="2"/>
  <c r="G55" i="2"/>
  <c r="F46" i="2"/>
  <c r="F45" i="2"/>
  <c r="F73" i="2"/>
  <c r="F75" i="2"/>
  <c r="F72" i="2"/>
  <c r="G54" i="2"/>
  <c r="G52" i="2"/>
  <c r="G56" i="2"/>
  <c r="F61" i="2"/>
  <c r="F62" i="2"/>
  <c r="G43" i="2"/>
  <c r="P28" i="4"/>
  <c r="B85" i="5" s="1"/>
  <c r="P27" i="4"/>
  <c r="B92" i="5" s="1"/>
  <c r="U92" i="5" s="1"/>
  <c r="N43" i="4"/>
  <c r="N42" i="4"/>
  <c r="N41" i="4"/>
  <c r="N40" i="4"/>
  <c r="N39" i="4"/>
  <c r="N38" i="4"/>
  <c r="N37" i="4"/>
  <c r="G43" i="4"/>
  <c r="G42" i="4"/>
  <c r="G38" i="4"/>
  <c r="H43" i="4"/>
  <c r="H42" i="4"/>
  <c r="H38" i="4"/>
  <c r="I43" i="4"/>
  <c r="I42" i="4"/>
  <c r="I38" i="4"/>
  <c r="J43" i="4"/>
  <c r="J42" i="4"/>
  <c r="J38" i="4"/>
  <c r="K43" i="4"/>
  <c r="K42" i="4"/>
  <c r="K39" i="4"/>
  <c r="K38" i="4"/>
  <c r="K32" i="4"/>
  <c r="K31" i="4"/>
  <c r="K30" i="4"/>
  <c r="K28" i="4"/>
  <c r="K27" i="4"/>
  <c r="K26" i="4"/>
  <c r="K25" i="4"/>
  <c r="J26" i="4"/>
  <c r="I30" i="4"/>
  <c r="I29" i="4"/>
  <c r="I28" i="4"/>
  <c r="I27" i="4"/>
  <c r="I26" i="4"/>
  <c r="I25" i="4"/>
  <c r="H33" i="4"/>
  <c r="H30" i="4"/>
  <c r="H29" i="4"/>
  <c r="H28" i="4"/>
  <c r="H27" i="4"/>
  <c r="H26" i="4"/>
  <c r="H25" i="4"/>
  <c r="G35" i="4"/>
  <c r="G31" i="4"/>
  <c r="G30" i="4"/>
  <c r="G28" i="4"/>
  <c r="G27" i="4"/>
  <c r="G25" i="4"/>
  <c r="O74" i="7"/>
  <c r="O102" i="7"/>
  <c r="O101" i="7"/>
  <c r="O108" i="7"/>
  <c r="O107" i="7"/>
  <c r="O106" i="7"/>
  <c r="O158" i="7"/>
  <c r="O156" i="7"/>
  <c r="O152" i="7"/>
  <c r="O151" i="7"/>
  <c r="O148" i="7"/>
  <c r="O145" i="7"/>
  <c r="N145" i="7"/>
  <c r="O142" i="7"/>
  <c r="O132" i="7"/>
  <c r="O131" i="7"/>
  <c r="O205" i="7"/>
  <c r="D22" i="4"/>
  <c r="F21" i="4"/>
  <c r="F20" i="4"/>
  <c r="F19" i="4"/>
  <c r="F18" i="4"/>
  <c r="F17" i="4"/>
  <c r="F16" i="4"/>
  <c r="F15" i="4"/>
  <c r="F14" i="4"/>
  <c r="F13" i="4"/>
  <c r="F12" i="4"/>
  <c r="F11" i="4"/>
  <c r="F10" i="4"/>
  <c r="E10" i="4"/>
  <c r="E11" i="4"/>
  <c r="E12" i="4"/>
  <c r="E13" i="4"/>
  <c r="E21" i="4"/>
  <c r="E20" i="4"/>
  <c r="E19" i="4"/>
  <c r="E18" i="4"/>
  <c r="E17" i="4"/>
  <c r="E16" i="4"/>
  <c r="E15" i="4"/>
  <c r="E14" i="4"/>
  <c r="H12" i="4"/>
  <c r="H11" i="4"/>
  <c r="I16" i="4"/>
  <c r="J18" i="4"/>
  <c r="J17" i="4"/>
  <c r="J16" i="4"/>
  <c r="J15" i="4"/>
  <c r="J14" i="4"/>
  <c r="J12" i="4"/>
  <c r="J11" i="4"/>
  <c r="J20" i="4"/>
  <c r="J21" i="4"/>
  <c r="K16" i="4"/>
  <c r="K15" i="4"/>
  <c r="K12" i="4"/>
  <c r="K11" i="4"/>
  <c r="L14" i="4"/>
  <c r="L19" i="4"/>
  <c r="L10" i="4"/>
  <c r="J10" i="4"/>
  <c r="I10" i="4"/>
  <c r="G41" i="7"/>
  <c r="O163" i="7"/>
  <c r="O162" i="7"/>
  <c r="K163" i="7"/>
  <c r="H163" i="7"/>
  <c r="G163" i="7"/>
  <c r="D163" i="7"/>
  <c r="K162" i="7"/>
  <c r="I162" i="7"/>
  <c r="G162" i="7"/>
  <c r="D162" i="7"/>
  <c r="O161" i="7"/>
  <c r="L161" i="7"/>
  <c r="H161" i="7"/>
  <c r="G161" i="7"/>
  <c r="D161" i="7"/>
  <c r="O160" i="7"/>
  <c r="O197" i="7"/>
  <c r="O196" i="7"/>
  <c r="O195" i="7"/>
  <c r="O194" i="7"/>
  <c r="O199" i="7"/>
  <c r="L199" i="7"/>
  <c r="I199" i="7"/>
  <c r="G199" i="7"/>
  <c r="D199" i="7"/>
  <c r="L197" i="7"/>
  <c r="K197" i="7"/>
  <c r="H197" i="7"/>
  <c r="G197" i="7"/>
  <c r="K196" i="7"/>
  <c r="I196" i="7"/>
  <c r="G196" i="7"/>
  <c r="H195" i="7"/>
  <c r="G195" i="7"/>
  <c r="D194" i="7"/>
  <c r="H194" i="7"/>
  <c r="G194" i="7"/>
  <c r="O193" i="7"/>
  <c r="K193" i="7"/>
  <c r="H193" i="7"/>
  <c r="G193" i="7"/>
  <c r="D193" i="7"/>
  <c r="O192" i="7"/>
  <c r="I192" i="7"/>
  <c r="G192" i="7"/>
  <c r="D192" i="7"/>
  <c r="O188" i="7"/>
  <c r="O187" i="7"/>
  <c r="O191" i="7"/>
  <c r="O190" i="7"/>
  <c r="L191" i="7"/>
  <c r="K191" i="7"/>
  <c r="H191" i="7"/>
  <c r="G191" i="7"/>
  <c r="L190" i="7"/>
  <c r="I190" i="7"/>
  <c r="G190" i="7"/>
  <c r="O189" i="7"/>
  <c r="L189" i="7"/>
  <c r="G189" i="7"/>
  <c r="L188" i="7"/>
  <c r="I188" i="7"/>
  <c r="H188" i="7"/>
  <c r="G188" i="7"/>
  <c r="L187" i="7"/>
  <c r="K187" i="7"/>
  <c r="G187" i="7"/>
  <c r="O186" i="7"/>
  <c r="H186" i="7"/>
  <c r="G186" i="7"/>
  <c r="O14" i="4" l="1"/>
  <c r="F52" i="13"/>
  <c r="F65" i="13"/>
  <c r="G45" i="2"/>
  <c r="G46" i="2"/>
  <c r="G48" i="2"/>
  <c r="G47" i="2"/>
  <c r="G50" i="2" s="1"/>
  <c r="G72" i="2"/>
  <c r="G75" i="2"/>
  <c r="D4" i="4"/>
  <c r="D6" i="4"/>
  <c r="D185" i="7"/>
  <c r="O331" i="7"/>
  <c r="O330" i="7"/>
  <c r="O256" i="7"/>
  <c r="O255" i="7"/>
  <c r="O362" i="7"/>
  <c r="O361" i="7"/>
  <c r="K362" i="7"/>
  <c r="I362" i="7"/>
  <c r="G362" i="7"/>
  <c r="D362" i="7"/>
  <c r="K361" i="7"/>
  <c r="H361" i="7"/>
  <c r="G360" i="7"/>
  <c r="I360" i="7"/>
  <c r="D361" i="7"/>
  <c r="G361" i="7"/>
  <c r="O360" i="7"/>
  <c r="L360" i="7"/>
  <c r="D360" i="7"/>
  <c r="O359" i="7"/>
  <c r="O358" i="7"/>
  <c r="O356" i="7"/>
  <c r="O355" i="7"/>
  <c r="N356" i="7"/>
  <c r="N355" i="7"/>
  <c r="K356" i="7"/>
  <c r="J356" i="7"/>
  <c r="I356" i="7"/>
  <c r="G356" i="7"/>
  <c r="J355" i="7"/>
  <c r="I355" i="7"/>
  <c r="G355" i="7"/>
  <c r="K359" i="7"/>
  <c r="I359" i="7"/>
  <c r="H359" i="7"/>
  <c r="G359" i="7"/>
  <c r="K358" i="7"/>
  <c r="H358" i="7"/>
  <c r="G358" i="7"/>
  <c r="O357" i="7"/>
  <c r="I357" i="7"/>
  <c r="G357" i="7"/>
  <c r="O354" i="7"/>
  <c r="N354" i="7"/>
  <c r="H354" i="7"/>
  <c r="G354" i="7"/>
  <c r="O352" i="7"/>
  <c r="N352" i="7"/>
  <c r="K352" i="7"/>
  <c r="I352" i="7"/>
  <c r="G352" i="7"/>
  <c r="D352" i="7"/>
  <c r="O377" i="7"/>
  <c r="O365" i="7"/>
  <c r="K365" i="7"/>
  <c r="H365" i="7"/>
  <c r="G365" i="7"/>
  <c r="D365" i="7"/>
  <c r="L388" i="7"/>
  <c r="H388" i="7"/>
  <c r="O387" i="7"/>
  <c r="K387" i="7"/>
  <c r="H387" i="7"/>
  <c r="G387" i="7"/>
  <c r="D387" i="7"/>
  <c r="O388" i="7"/>
  <c r="O21" i="4" s="1"/>
  <c r="G388" i="7"/>
  <c r="D388" i="7"/>
  <c r="O389" i="7"/>
  <c r="K389" i="7"/>
  <c r="G389" i="7"/>
  <c r="D389" i="7"/>
  <c r="H389" i="7"/>
  <c r="O390" i="7"/>
  <c r="N390" i="7"/>
  <c r="K390" i="7"/>
  <c r="I390" i="7"/>
  <c r="G390" i="7"/>
  <c r="D390" i="7"/>
  <c r="K377" i="7"/>
  <c r="G377" i="7"/>
  <c r="D377" i="7"/>
  <c r="O378" i="7"/>
  <c r="L378" i="7"/>
  <c r="L21" i="4" s="1"/>
  <c r="H378" i="7"/>
  <c r="H21" i="4" s="1"/>
  <c r="G378" i="7"/>
  <c r="D378" i="7"/>
  <c r="O375" i="7"/>
  <c r="D375" i="7"/>
  <c r="L375" i="7"/>
  <c r="I375" i="7"/>
  <c r="G375" i="7"/>
  <c r="O366" i="7"/>
  <c r="L366" i="7"/>
  <c r="H366" i="7"/>
  <c r="G366" i="7"/>
  <c r="D366" i="7"/>
  <c r="D364" i="7"/>
  <c r="L364" i="7"/>
  <c r="O364" i="7"/>
  <c r="O367" i="7"/>
  <c r="K367" i="7"/>
  <c r="D367" i="7"/>
  <c r="G367" i="7"/>
  <c r="O348" i="7"/>
  <c r="I348" i="7"/>
  <c r="L348" i="7"/>
  <c r="G348" i="7"/>
  <c r="D348" i="7"/>
  <c r="O347" i="7"/>
  <c r="H347" i="7"/>
  <c r="J347" i="7"/>
  <c r="I347" i="7"/>
  <c r="G347" i="7"/>
  <c r="O346" i="7"/>
  <c r="K346" i="7"/>
  <c r="I346" i="7"/>
  <c r="G346" i="7"/>
  <c r="O345" i="7"/>
  <c r="L345" i="7"/>
  <c r="G345" i="7"/>
  <c r="O344" i="7"/>
  <c r="K344" i="7"/>
  <c r="D344" i="7"/>
  <c r="I344" i="7"/>
  <c r="G344" i="7"/>
  <c r="D349" i="7"/>
  <c r="K331" i="7"/>
  <c r="D331" i="7"/>
  <c r="H331" i="7"/>
  <c r="G331" i="7"/>
  <c r="L330" i="7"/>
  <c r="K330" i="7"/>
  <c r="G330" i="7"/>
  <c r="D330" i="7"/>
  <c r="O333" i="7"/>
  <c r="I333" i="7"/>
  <c r="L333" i="7"/>
  <c r="L20" i="4" s="1"/>
  <c r="G333" i="7"/>
  <c r="D333" i="7"/>
  <c r="O329" i="7"/>
  <c r="I329" i="7"/>
  <c r="L329" i="7"/>
  <c r="G329" i="7"/>
  <c r="D329" i="7"/>
  <c r="O328" i="7"/>
  <c r="L328" i="7"/>
  <c r="H328" i="7"/>
  <c r="G328" i="7"/>
  <c r="D328" i="7"/>
  <c r="O324" i="7"/>
  <c r="L324" i="7"/>
  <c r="I324" i="7"/>
  <c r="G324" i="7"/>
  <c r="D324" i="7"/>
  <c r="O323" i="7"/>
  <c r="K323" i="7"/>
  <c r="H323" i="7"/>
  <c r="G323" i="7"/>
  <c r="D323" i="7"/>
  <c r="O322" i="7"/>
  <c r="K322" i="7"/>
  <c r="I322" i="7"/>
  <c r="G322" i="7"/>
  <c r="D322" i="7"/>
  <c r="O321" i="7"/>
  <c r="K321" i="7"/>
  <c r="J321" i="7"/>
  <c r="J19" i="4" s="1"/>
  <c r="I321" i="7"/>
  <c r="G321" i="7"/>
  <c r="O320" i="7"/>
  <c r="H320" i="7"/>
  <c r="I320" i="7"/>
  <c r="G320" i="7"/>
  <c r="O319" i="7"/>
  <c r="H319" i="7"/>
  <c r="G319" i="7"/>
  <c r="O318" i="7"/>
  <c r="K318" i="7"/>
  <c r="H318" i="7"/>
  <c r="D318" i="7"/>
  <c r="G318" i="7"/>
  <c r="O310" i="7"/>
  <c r="L310" i="7"/>
  <c r="H310" i="7"/>
  <c r="G310" i="7"/>
  <c r="D310" i="7"/>
  <c r="O302" i="7"/>
  <c r="K302" i="7"/>
  <c r="I302" i="7"/>
  <c r="G302" i="7"/>
  <c r="D302" i="7"/>
  <c r="O301" i="7"/>
  <c r="L301" i="7"/>
  <c r="K301" i="7"/>
  <c r="G301" i="7"/>
  <c r="D301" i="7"/>
  <c r="O300" i="7"/>
  <c r="K300" i="7"/>
  <c r="H300" i="7"/>
  <c r="G300" i="7"/>
  <c r="D300" i="7"/>
  <c r="O299" i="7"/>
  <c r="L299" i="7"/>
  <c r="I299" i="7"/>
  <c r="G299" i="7"/>
  <c r="D299" i="7"/>
  <c r="O298" i="7"/>
  <c r="L298" i="7"/>
  <c r="H298" i="7"/>
  <c r="G298" i="7"/>
  <c r="D298" i="7"/>
  <c r="O297" i="7"/>
  <c r="D297" i="7"/>
  <c r="K297" i="7"/>
  <c r="I297" i="7"/>
  <c r="G297" i="7"/>
  <c r="O296" i="7"/>
  <c r="K296" i="7"/>
  <c r="H296" i="7"/>
  <c r="G296" i="7"/>
  <c r="D296" i="7"/>
  <c r="O295" i="7"/>
  <c r="K295" i="7"/>
  <c r="I295" i="7"/>
  <c r="G295" i="7"/>
  <c r="D295" i="7"/>
  <c r="O294" i="7"/>
  <c r="H294" i="7"/>
  <c r="J294" i="7"/>
  <c r="I294" i="7"/>
  <c r="G294" i="7"/>
  <c r="O293" i="7"/>
  <c r="H293" i="7"/>
  <c r="I293" i="7"/>
  <c r="G293" i="7"/>
  <c r="O292" i="7"/>
  <c r="K292" i="7"/>
  <c r="G292" i="7"/>
  <c r="O291" i="7"/>
  <c r="L291" i="7"/>
  <c r="I291" i="7"/>
  <c r="G291" i="7"/>
  <c r="D291" i="7"/>
  <c r="O290" i="7"/>
  <c r="L290" i="7"/>
  <c r="I290" i="7"/>
  <c r="G290" i="7"/>
  <c r="D290" i="7"/>
  <c r="O289" i="7"/>
  <c r="L289" i="7"/>
  <c r="J289" i="7"/>
  <c r="I289" i="7"/>
  <c r="G289" i="7"/>
  <c r="O288" i="7"/>
  <c r="K288" i="7"/>
  <c r="H288" i="7"/>
  <c r="G288" i="7"/>
  <c r="O287" i="7"/>
  <c r="L287" i="7"/>
  <c r="G287" i="7"/>
  <c r="O267" i="7"/>
  <c r="L267" i="7"/>
  <c r="H267" i="7"/>
  <c r="G267" i="7"/>
  <c r="D267" i="7"/>
  <c r="O266" i="7"/>
  <c r="K266" i="7"/>
  <c r="D266" i="7"/>
  <c r="I266" i="7"/>
  <c r="G266" i="7"/>
  <c r="O265" i="7"/>
  <c r="L265" i="7"/>
  <c r="I265" i="7"/>
  <c r="G265" i="7"/>
  <c r="D265" i="7"/>
  <c r="O257" i="7"/>
  <c r="K257" i="7"/>
  <c r="H257" i="7"/>
  <c r="G257" i="7"/>
  <c r="D257" i="7"/>
  <c r="O264" i="7"/>
  <c r="K264" i="7"/>
  <c r="H264" i="7"/>
  <c r="G264" i="7"/>
  <c r="D264" i="7"/>
  <c r="O262" i="7"/>
  <c r="L262" i="7"/>
  <c r="I262" i="7"/>
  <c r="G262" i="7"/>
  <c r="D262" i="7"/>
  <c r="O259" i="7"/>
  <c r="L259" i="7"/>
  <c r="H259" i="7"/>
  <c r="G259" i="7"/>
  <c r="O258" i="7"/>
  <c r="L258" i="7"/>
  <c r="G258" i="7"/>
  <c r="L256" i="7"/>
  <c r="K256" i="7"/>
  <c r="H256" i="7"/>
  <c r="G256" i="7"/>
  <c r="O254" i="7"/>
  <c r="K254" i="7"/>
  <c r="G254" i="7"/>
  <c r="O249" i="7"/>
  <c r="K249" i="7"/>
  <c r="H249" i="7"/>
  <c r="G249" i="7"/>
  <c r="D249" i="7"/>
  <c r="O245" i="7"/>
  <c r="L245" i="7"/>
  <c r="H245" i="7"/>
  <c r="G245" i="7"/>
  <c r="D245" i="7"/>
  <c r="O244" i="7"/>
  <c r="L244" i="7"/>
  <c r="H244" i="7"/>
  <c r="G244" i="7"/>
  <c r="D244" i="7"/>
  <c r="O235" i="7"/>
  <c r="L235" i="7"/>
  <c r="I235" i="7"/>
  <c r="G235" i="7"/>
  <c r="D235" i="7"/>
  <c r="O234" i="7"/>
  <c r="K234" i="7"/>
  <c r="H234" i="7"/>
  <c r="G234" i="7"/>
  <c r="D234" i="7"/>
  <c r="O233" i="7"/>
  <c r="K233" i="7"/>
  <c r="I233" i="7"/>
  <c r="G233" i="7"/>
  <c r="D233" i="7"/>
  <c r="O232" i="7"/>
  <c r="K232" i="7"/>
  <c r="H232" i="7"/>
  <c r="G232" i="7"/>
  <c r="D232" i="7"/>
  <c r="O231" i="7"/>
  <c r="K231" i="7"/>
  <c r="I231" i="7"/>
  <c r="G231" i="7"/>
  <c r="D231" i="7"/>
  <c r="O230" i="7"/>
  <c r="L230" i="7"/>
  <c r="I230" i="7"/>
  <c r="G230" i="7"/>
  <c r="D230" i="7"/>
  <c r="O229" i="7"/>
  <c r="O15" i="4" s="1"/>
  <c r="H229" i="7"/>
  <c r="L229" i="7"/>
  <c r="G229" i="7"/>
  <c r="D229" i="7"/>
  <c r="O228" i="7"/>
  <c r="L228" i="7"/>
  <c r="J228" i="7"/>
  <c r="I228" i="7"/>
  <c r="G228" i="7"/>
  <c r="O227" i="7"/>
  <c r="L227" i="7"/>
  <c r="K227" i="7"/>
  <c r="G227" i="7"/>
  <c r="O226" i="7"/>
  <c r="H226" i="7"/>
  <c r="G226" i="7"/>
  <c r="O225" i="7"/>
  <c r="L225" i="7"/>
  <c r="K225" i="7"/>
  <c r="I225" i="7"/>
  <c r="G225" i="7"/>
  <c r="O224" i="7"/>
  <c r="L224" i="7"/>
  <c r="H224" i="7"/>
  <c r="G224" i="7"/>
  <c r="O223" i="7"/>
  <c r="L223" i="7"/>
  <c r="G223" i="7"/>
  <c r="O218" i="7"/>
  <c r="L218" i="7"/>
  <c r="I218" i="7"/>
  <c r="G218" i="7"/>
  <c r="D218" i="7"/>
  <c r="O217" i="7"/>
  <c r="L217" i="7"/>
  <c r="D217" i="7"/>
  <c r="I217" i="7"/>
  <c r="G217" i="7"/>
  <c r="O212" i="7"/>
  <c r="H212" i="7"/>
  <c r="L212" i="7"/>
  <c r="G212" i="7"/>
  <c r="D212" i="7"/>
  <c r="K205" i="7"/>
  <c r="I205" i="7"/>
  <c r="G205" i="7"/>
  <c r="D205" i="7"/>
  <c r="O201" i="7"/>
  <c r="O203" i="7"/>
  <c r="L203" i="7"/>
  <c r="I203" i="7"/>
  <c r="G203" i="7"/>
  <c r="D203" i="7"/>
  <c r="K201" i="7"/>
  <c r="H201" i="7"/>
  <c r="G201" i="7"/>
  <c r="D201" i="7"/>
  <c r="O202" i="7"/>
  <c r="L202" i="7"/>
  <c r="I202" i="7"/>
  <c r="I15" i="4" s="1"/>
  <c r="G202" i="7"/>
  <c r="D202" i="7"/>
  <c r="O200" i="7"/>
  <c r="L200" i="7"/>
  <c r="I200" i="7"/>
  <c r="G200" i="7"/>
  <c r="D200" i="7"/>
  <c r="O154" i="7"/>
  <c r="H154" i="7"/>
  <c r="K154" i="7"/>
  <c r="G154" i="7"/>
  <c r="D154" i="7"/>
  <c r="D152" i="7"/>
  <c r="K152" i="7"/>
  <c r="I152" i="7"/>
  <c r="G152" i="7"/>
  <c r="H151" i="7"/>
  <c r="J151" i="7"/>
  <c r="J13" i="4" s="1"/>
  <c r="I151" i="7"/>
  <c r="G151" i="7"/>
  <c r="O150" i="7"/>
  <c r="L150" i="7"/>
  <c r="H150" i="7"/>
  <c r="G150" i="7"/>
  <c r="O149" i="7"/>
  <c r="I149" i="7"/>
  <c r="G149" i="7"/>
  <c r="D148" i="7"/>
  <c r="L148" i="7"/>
  <c r="H148" i="7"/>
  <c r="G148" i="7"/>
  <c r="O147" i="7"/>
  <c r="I147" i="7"/>
  <c r="L147" i="7"/>
  <c r="G147" i="7"/>
  <c r="D147" i="7"/>
  <c r="O146" i="7"/>
  <c r="D146" i="7"/>
  <c r="K146" i="7"/>
  <c r="I146" i="7"/>
  <c r="G146" i="7"/>
  <c r="K145" i="7"/>
  <c r="J145" i="7"/>
  <c r="I145" i="7"/>
  <c r="G145" i="7"/>
  <c r="O144" i="7"/>
  <c r="N144" i="7"/>
  <c r="J144" i="7"/>
  <c r="I144" i="7"/>
  <c r="G144" i="7"/>
  <c r="O143" i="7"/>
  <c r="K143" i="7"/>
  <c r="G143" i="7"/>
  <c r="H142" i="7"/>
  <c r="J142" i="7"/>
  <c r="I142" i="7"/>
  <c r="G142" i="7"/>
  <c r="O141" i="7"/>
  <c r="H141" i="7"/>
  <c r="I141" i="7"/>
  <c r="G141" i="7"/>
  <c r="O140" i="7"/>
  <c r="I140" i="7"/>
  <c r="G140" i="7"/>
  <c r="H132" i="7"/>
  <c r="K132" i="7"/>
  <c r="G132" i="7"/>
  <c r="D132" i="7"/>
  <c r="L131" i="7"/>
  <c r="D131" i="7"/>
  <c r="H131" i="7"/>
  <c r="G131" i="7"/>
  <c r="O115" i="7"/>
  <c r="O114" i="7"/>
  <c r="O113" i="7"/>
  <c r="L115" i="7"/>
  <c r="H115" i="7"/>
  <c r="G115" i="7"/>
  <c r="D115" i="7"/>
  <c r="L114" i="7"/>
  <c r="I114" i="7"/>
  <c r="G114" i="7"/>
  <c r="D114" i="7"/>
  <c r="H113" i="7"/>
  <c r="G113" i="7"/>
  <c r="K113" i="7"/>
  <c r="D113" i="7"/>
  <c r="O100" i="7"/>
  <c r="K100" i="7"/>
  <c r="I100" i="7"/>
  <c r="G100" i="7"/>
  <c r="D100" i="7"/>
  <c r="O98" i="7"/>
  <c r="O97" i="7"/>
  <c r="O99" i="7"/>
  <c r="K99" i="7"/>
  <c r="I99" i="7"/>
  <c r="G99" i="7"/>
  <c r="D99" i="7"/>
  <c r="L98" i="7"/>
  <c r="K98" i="7"/>
  <c r="I98" i="7"/>
  <c r="G98" i="7"/>
  <c r="K97" i="7"/>
  <c r="H97" i="7"/>
  <c r="G97" i="7"/>
  <c r="O96" i="7"/>
  <c r="I96" i="7"/>
  <c r="G96" i="7"/>
  <c r="O95" i="7"/>
  <c r="I95" i="7"/>
  <c r="G95" i="7"/>
  <c r="D95" i="7"/>
  <c r="O94" i="7"/>
  <c r="L94" i="7"/>
  <c r="H94" i="7"/>
  <c r="G94" i="7"/>
  <c r="D94" i="7"/>
  <c r="O93" i="7"/>
  <c r="L93" i="7"/>
  <c r="I93" i="7"/>
  <c r="G93" i="7"/>
  <c r="D93" i="7"/>
  <c r="O85" i="7"/>
  <c r="I85" i="7"/>
  <c r="L85" i="7"/>
  <c r="G85" i="7"/>
  <c r="D85" i="7"/>
  <c r="O84" i="7"/>
  <c r="K84" i="7"/>
  <c r="H84" i="7"/>
  <c r="G84" i="7"/>
  <c r="D84" i="7"/>
  <c r="H74" i="7"/>
  <c r="G74" i="7"/>
  <c r="D74" i="7"/>
  <c r="L74" i="7"/>
  <c r="O73" i="7"/>
  <c r="K73" i="7"/>
  <c r="H73" i="7"/>
  <c r="G73" i="7"/>
  <c r="D73" i="7"/>
  <c r="K71" i="7"/>
  <c r="H71" i="7"/>
  <c r="G71" i="7"/>
  <c r="O72" i="7"/>
  <c r="L72" i="7"/>
  <c r="I72" i="7"/>
  <c r="G72" i="7"/>
  <c r="D72" i="7"/>
  <c r="O59" i="7"/>
  <c r="D59" i="7"/>
  <c r="K59" i="7"/>
  <c r="H59" i="7"/>
  <c r="G59" i="7"/>
  <c r="O68" i="7"/>
  <c r="D68" i="7"/>
  <c r="L68" i="7"/>
  <c r="H68" i="7"/>
  <c r="G68" i="7"/>
  <c r="O67" i="7"/>
  <c r="K67" i="7"/>
  <c r="I67" i="7"/>
  <c r="G67" i="7"/>
  <c r="D67" i="7"/>
  <c r="O66" i="7"/>
  <c r="K66" i="7"/>
  <c r="H66" i="7"/>
  <c r="D66" i="7"/>
  <c r="G66" i="7"/>
  <c r="O65" i="7"/>
  <c r="L65" i="7"/>
  <c r="I65" i="7"/>
  <c r="G65" i="7"/>
  <c r="D65" i="7"/>
  <c r="O64" i="7"/>
  <c r="O11" i="4" s="1"/>
  <c r="L64" i="7"/>
  <c r="I64" i="7"/>
  <c r="G64" i="7"/>
  <c r="D64" i="7"/>
  <c r="O57" i="7"/>
  <c r="K57" i="7"/>
  <c r="L57" i="7"/>
  <c r="G57" i="7"/>
  <c r="D57" i="7"/>
  <c r="G46" i="7"/>
  <c r="O46" i="7"/>
  <c r="L46" i="7"/>
  <c r="D46" i="7"/>
  <c r="H46" i="7"/>
  <c r="O45" i="7"/>
  <c r="K45" i="7"/>
  <c r="I45" i="7"/>
  <c r="G45" i="7"/>
  <c r="D45" i="7"/>
  <c r="O43" i="7"/>
  <c r="N43" i="7"/>
  <c r="I43" i="7"/>
  <c r="G43" i="7"/>
  <c r="D43" i="7"/>
  <c r="O42" i="7"/>
  <c r="N42" i="7"/>
  <c r="K42" i="7"/>
  <c r="I42" i="7"/>
  <c r="G42" i="7"/>
  <c r="D42" i="7"/>
  <c r="O41" i="7"/>
  <c r="D41" i="7"/>
  <c r="K41" i="7"/>
  <c r="H41" i="7"/>
  <c r="I39" i="7"/>
  <c r="O40" i="7"/>
  <c r="L40" i="7"/>
  <c r="H40" i="7"/>
  <c r="I40" i="7"/>
  <c r="G40" i="7"/>
  <c r="O38" i="7"/>
  <c r="O39" i="7"/>
  <c r="K39" i="7"/>
  <c r="G39" i="7"/>
  <c r="I38" i="7"/>
  <c r="G38" i="7"/>
  <c r="O37" i="7"/>
  <c r="K37" i="7"/>
  <c r="H37" i="7"/>
  <c r="I37" i="7"/>
  <c r="G37" i="7"/>
  <c r="O36" i="7"/>
  <c r="L36" i="7"/>
  <c r="I36" i="7"/>
  <c r="G36" i="7"/>
  <c r="O35" i="7"/>
  <c r="K35" i="7"/>
  <c r="G35" i="7"/>
  <c r="O23" i="7"/>
  <c r="D23" i="7"/>
  <c r="K23" i="7"/>
  <c r="H23" i="7"/>
  <c r="G23" i="7"/>
  <c r="O10" i="7"/>
  <c r="K10" i="7"/>
  <c r="I10" i="7"/>
  <c r="G9" i="7"/>
  <c r="G10" i="7"/>
  <c r="D10" i="7"/>
  <c r="O9" i="7"/>
  <c r="L9" i="7"/>
  <c r="I9" i="7"/>
  <c r="D9" i="7"/>
  <c r="O5" i="7"/>
  <c r="K5" i="7"/>
  <c r="H5" i="7"/>
  <c r="G5" i="7"/>
  <c r="D5" i="7"/>
  <c r="I20" i="4" l="1"/>
  <c r="O17" i="4"/>
  <c r="Q5" i="4"/>
  <c r="I2" i="2" s="1"/>
  <c r="J4" i="2" s="1"/>
  <c r="O95" i="5" l="1"/>
  <c r="L431" i="7"/>
  <c r="L37" i="4" s="1"/>
  <c r="K431" i="7"/>
  <c r="K37" i="4" s="1"/>
  <c r="Q23" i="10" l="1"/>
  <c r="P23" i="10"/>
  <c r="O23" i="10"/>
  <c r="F83" i="5"/>
  <c r="E2" i="4"/>
  <c r="H37" i="2"/>
  <c r="H36" i="2"/>
  <c r="E48" i="5"/>
  <c r="E45" i="5"/>
  <c r="E40" i="5"/>
  <c r="E29" i="5"/>
  <c r="E31" i="5" s="1"/>
  <c r="E39" i="5"/>
  <c r="E38" i="5"/>
  <c r="E34" i="5"/>
  <c r="E33" i="5"/>
  <c r="E69" i="2" l="1"/>
  <c r="E67" i="2"/>
  <c r="E68" i="2"/>
  <c r="E14" i="2"/>
  <c r="E70" i="2"/>
  <c r="H56" i="2"/>
  <c r="H54" i="2"/>
  <c r="H52" i="2"/>
  <c r="H53" i="2"/>
  <c r="H57" i="2"/>
  <c r="H55" i="2"/>
  <c r="E30" i="5"/>
  <c r="I2" i="4"/>
  <c r="B60" i="5" l="1"/>
  <c r="U63" i="5" s="1"/>
  <c r="Y27" i="5" l="1"/>
  <c r="I18" i="2" s="1"/>
  <c r="I43" i="2" s="1"/>
  <c r="S76" i="5"/>
  <c r="C2" i="4"/>
  <c r="I44" i="2" l="1"/>
  <c r="B57" i="5"/>
  <c r="B56" i="5"/>
  <c r="M18" i="5"/>
  <c r="P29" i="2" s="1"/>
  <c r="P8" i="5"/>
  <c r="P6" i="5"/>
  <c r="P17" i="2" s="1"/>
  <c r="M21" i="5"/>
  <c r="P33" i="2" s="1"/>
  <c r="P24" i="5"/>
  <c r="P35" i="2" s="1"/>
  <c r="Q14" i="5"/>
  <c r="P31" i="2" s="1"/>
  <c r="N16" i="5"/>
  <c r="M16" i="5"/>
  <c r="L15" i="5"/>
  <c r="K15" i="5"/>
  <c r="P12" i="5"/>
  <c r="O12" i="5"/>
  <c r="N12" i="5"/>
  <c r="M11" i="5"/>
  <c r="L11" i="5"/>
  <c r="K11" i="5"/>
  <c r="M7" i="5"/>
  <c r="L7" i="5"/>
  <c r="K7" i="5"/>
  <c r="P4" i="5"/>
  <c r="O4" i="5"/>
  <c r="N3" i="5"/>
  <c r="M3" i="5"/>
  <c r="E3" i="5"/>
  <c r="D3" i="5"/>
  <c r="F4" i="5"/>
  <c r="G4" i="5"/>
  <c r="E7" i="5"/>
  <c r="D7" i="5"/>
  <c r="B11" i="5"/>
  <c r="G8" i="5"/>
  <c r="F8" i="5"/>
  <c r="G12" i="5"/>
  <c r="F12" i="5"/>
  <c r="I31" i="5"/>
  <c r="I34" i="5"/>
  <c r="K17" i="2" s="1"/>
  <c r="K37" i="2"/>
  <c r="K36" i="2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K28" i="2"/>
  <c r="L28" i="2" s="1"/>
  <c r="K27" i="2"/>
  <c r="L27" i="2" s="1"/>
  <c r="K26" i="2"/>
  <c r="K25" i="2"/>
  <c r="K24" i="2"/>
  <c r="K23" i="2"/>
  <c r="K49" i="2" s="1"/>
  <c r="K22" i="2"/>
  <c r="K21" i="2"/>
  <c r="L21" i="2" s="1"/>
  <c r="K20" i="2"/>
  <c r="K19" i="2"/>
  <c r="K18" i="2"/>
  <c r="K44" i="2" s="1"/>
  <c r="K16" i="2"/>
  <c r="L16" i="2" s="1"/>
  <c r="K15" i="2"/>
  <c r="L15" i="2" s="1"/>
  <c r="K14" i="2"/>
  <c r="K70" i="2" s="1"/>
  <c r="K13" i="2"/>
  <c r="L13" i="2" s="1"/>
  <c r="K12" i="2"/>
  <c r="L12" i="2" s="1"/>
  <c r="D30" i="2"/>
  <c r="D31" i="2"/>
  <c r="D32" i="2"/>
  <c r="D33" i="2"/>
  <c r="D34" i="2"/>
  <c r="D35" i="2"/>
  <c r="D36" i="2"/>
  <c r="D37" i="2"/>
  <c r="D29" i="2"/>
  <c r="D28" i="2"/>
  <c r="D27" i="2"/>
  <c r="D26" i="2"/>
  <c r="D60" i="2" s="1"/>
  <c r="D25" i="2"/>
  <c r="D59" i="2" s="1"/>
  <c r="D24" i="2"/>
  <c r="D23" i="2"/>
  <c r="D49" i="2" s="1"/>
  <c r="D21" i="2"/>
  <c r="D20" i="2"/>
  <c r="D74" i="2" s="1"/>
  <c r="D19" i="2"/>
  <c r="D71" i="2" s="1"/>
  <c r="D44" i="2"/>
  <c r="D16" i="2"/>
  <c r="D15" i="2"/>
  <c r="D13" i="2"/>
  <c r="D12" i="2"/>
  <c r="C37" i="2"/>
  <c r="B37" i="2"/>
  <c r="C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4" i="2"/>
  <c r="B24" i="2"/>
  <c r="C23" i="2"/>
  <c r="C49" i="2" s="1"/>
  <c r="C21" i="2"/>
  <c r="B21" i="2"/>
  <c r="C20" i="2"/>
  <c r="C74" i="2" s="1"/>
  <c r="B20" i="2"/>
  <c r="B74" i="2" s="1"/>
  <c r="C19" i="2"/>
  <c r="C71" i="2" s="1"/>
  <c r="B19" i="2"/>
  <c r="C18" i="2"/>
  <c r="C44" i="2" s="1"/>
  <c r="B18" i="2"/>
  <c r="C16" i="2"/>
  <c r="B16" i="2"/>
  <c r="C15" i="2"/>
  <c r="B15" i="2"/>
  <c r="C13" i="2"/>
  <c r="B13" i="2"/>
  <c r="C12" i="2"/>
  <c r="B12" i="2"/>
  <c r="K67" i="2" l="1"/>
  <c r="K68" i="2" s="1"/>
  <c r="K69" i="2" s="1"/>
  <c r="C48" i="2"/>
  <c r="C47" i="2"/>
  <c r="C50" i="2" s="1"/>
  <c r="D48" i="2"/>
  <c r="D47" i="2"/>
  <c r="D50" i="2" s="1"/>
  <c r="K48" i="2"/>
  <c r="K47" i="2"/>
  <c r="K50" i="2" s="1"/>
  <c r="B44" i="2"/>
  <c r="B43" i="2"/>
  <c r="C58" i="2"/>
  <c r="B58" i="2"/>
  <c r="D58" i="2"/>
  <c r="B71" i="2"/>
  <c r="B61" i="2"/>
  <c r="B62" i="2"/>
  <c r="C57" i="2"/>
  <c r="C53" i="2"/>
  <c r="C55" i="2"/>
  <c r="D53" i="2"/>
  <c r="D57" i="2"/>
  <c r="D55" i="2"/>
  <c r="L25" i="2"/>
  <c r="L59" i="2" s="1"/>
  <c r="K59" i="2"/>
  <c r="L29" i="2"/>
  <c r="K61" i="2"/>
  <c r="K62" i="2"/>
  <c r="L37" i="2"/>
  <c r="K57" i="2"/>
  <c r="K53" i="2"/>
  <c r="K55" i="2"/>
  <c r="C46" i="2"/>
  <c r="C45" i="2"/>
  <c r="C61" i="2"/>
  <c r="C62" i="2"/>
  <c r="D43" i="2"/>
  <c r="D46" i="2"/>
  <c r="D45" i="2"/>
  <c r="D56" i="2"/>
  <c r="D54" i="2"/>
  <c r="D52" i="2"/>
  <c r="L18" i="2"/>
  <c r="L44" i="2" s="1"/>
  <c r="K43" i="2"/>
  <c r="L22" i="2"/>
  <c r="K73" i="2"/>
  <c r="K75" i="2"/>
  <c r="K72" i="2"/>
  <c r="L26" i="2"/>
  <c r="L60" i="2" s="1"/>
  <c r="K60" i="2"/>
  <c r="L17" i="2"/>
  <c r="L63" i="2" s="1"/>
  <c r="L64" i="2" s="1"/>
  <c r="L65" i="2" s="1"/>
  <c r="L66" i="2" s="1"/>
  <c r="K63" i="2"/>
  <c r="K64" i="2" s="1"/>
  <c r="K65" i="2" s="1"/>
  <c r="K66" i="2" s="1"/>
  <c r="C43" i="2"/>
  <c r="C54" i="2"/>
  <c r="C56" i="2"/>
  <c r="C52" i="2"/>
  <c r="L14" i="2"/>
  <c r="L70" i="2" s="1"/>
  <c r="L19" i="2"/>
  <c r="L71" i="2" s="1"/>
  <c r="K71" i="2"/>
  <c r="L23" i="2"/>
  <c r="L49" i="2" s="1"/>
  <c r="K46" i="2"/>
  <c r="K45" i="2"/>
  <c r="B55" i="2"/>
  <c r="B57" i="2"/>
  <c r="B53" i="2"/>
  <c r="D62" i="2"/>
  <c r="D61" i="2"/>
  <c r="L20" i="2"/>
  <c r="L74" i="2" s="1"/>
  <c r="K74" i="2"/>
  <c r="L24" i="2"/>
  <c r="K58" i="2"/>
  <c r="L36" i="2"/>
  <c r="K52" i="2"/>
  <c r="K54" i="2"/>
  <c r="K56" i="2"/>
  <c r="Q15" i="5"/>
  <c r="Q16" i="5"/>
  <c r="J29" i="2" s="1"/>
  <c r="Q3" i="5"/>
  <c r="P7" i="5"/>
  <c r="I8" i="5"/>
  <c r="J19" i="2" s="1"/>
  <c r="J71" i="2" s="1"/>
  <c r="Q11" i="5"/>
  <c r="I7" i="5"/>
  <c r="H3" i="5"/>
  <c r="Q4" i="5"/>
  <c r="J23" i="2" s="1"/>
  <c r="J45" i="2" s="1"/>
  <c r="Q12" i="5"/>
  <c r="J26" i="2" s="1"/>
  <c r="J60" i="2" s="1"/>
  <c r="H4" i="5"/>
  <c r="E37" i="2"/>
  <c r="E36" i="2"/>
  <c r="E35" i="2"/>
  <c r="E34" i="2"/>
  <c r="E33" i="2"/>
  <c r="E32" i="2"/>
  <c r="E31" i="2"/>
  <c r="E30" i="2"/>
  <c r="E29" i="2"/>
  <c r="E28" i="2"/>
  <c r="E27" i="2"/>
  <c r="E26" i="2"/>
  <c r="E60" i="2" s="1"/>
  <c r="E25" i="2"/>
  <c r="E59" i="2" s="1"/>
  <c r="E24" i="2"/>
  <c r="E23" i="2"/>
  <c r="E47" i="2" s="1"/>
  <c r="E22" i="2"/>
  <c r="E21" i="2"/>
  <c r="E20" i="2"/>
  <c r="E74" i="2" s="1"/>
  <c r="E19" i="2"/>
  <c r="E71" i="2" s="1"/>
  <c r="E18" i="2"/>
  <c r="E44" i="2" s="1"/>
  <c r="E17" i="2"/>
  <c r="E63" i="2" s="1"/>
  <c r="E64" i="2" s="1"/>
  <c r="E65" i="2" s="1"/>
  <c r="E66" i="2" s="1"/>
  <c r="E16" i="2"/>
  <c r="E15" i="2"/>
  <c r="E13" i="2"/>
  <c r="E12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7" i="2"/>
  <c r="A16" i="2"/>
  <c r="A15" i="2"/>
  <c r="A14" i="2"/>
  <c r="A13" i="2"/>
  <c r="A12" i="2"/>
  <c r="J46" i="2" l="1"/>
  <c r="J47" i="2"/>
  <c r="L67" i="2"/>
  <c r="L68" i="2" s="1"/>
  <c r="L69" i="2" s="1"/>
  <c r="E49" i="2"/>
  <c r="E50" i="2"/>
  <c r="L48" i="2"/>
  <c r="L47" i="2"/>
  <c r="L50" i="2" s="1"/>
  <c r="L58" i="2"/>
  <c r="E58" i="2"/>
  <c r="E43" i="2"/>
  <c r="E73" i="2"/>
  <c r="E75" i="2"/>
  <c r="E72" i="2"/>
  <c r="E45" i="2"/>
  <c r="E46" i="2"/>
  <c r="J61" i="2"/>
  <c r="J62" i="2"/>
  <c r="L72" i="2"/>
  <c r="L73" i="2"/>
  <c r="L75" i="2"/>
  <c r="L43" i="2"/>
  <c r="L62" i="2"/>
  <c r="L61" i="2"/>
  <c r="E54" i="2"/>
  <c r="E56" i="2"/>
  <c r="E52" i="2"/>
  <c r="I61" i="2"/>
  <c r="I62" i="2"/>
  <c r="L56" i="2"/>
  <c r="L54" i="2"/>
  <c r="L52" i="2"/>
  <c r="L53" i="2"/>
  <c r="L57" i="2"/>
  <c r="L55" i="2"/>
  <c r="E61" i="2"/>
  <c r="E62" i="2"/>
  <c r="E55" i="2"/>
  <c r="E57" i="2"/>
  <c r="E53" i="2"/>
  <c r="L46" i="2"/>
  <c r="L45" i="2"/>
  <c r="J12" i="2"/>
  <c r="J14" i="2"/>
  <c r="J13" i="2"/>
  <c r="J25" i="2"/>
  <c r="J59" i="2" s="1"/>
  <c r="J24" i="2"/>
  <c r="Q10" i="5"/>
  <c r="E48" i="2" l="1"/>
  <c r="J58" i="2"/>
  <c r="B75" i="5"/>
  <c r="B74" i="5"/>
  <c r="B73" i="5"/>
  <c r="B88" i="5" s="1"/>
  <c r="B72" i="5"/>
  <c r="B87" i="5" s="1"/>
  <c r="C87" i="5" s="1"/>
  <c r="B71" i="5"/>
  <c r="B70" i="5"/>
  <c r="B69" i="5"/>
  <c r="B86" i="5" s="1"/>
  <c r="S86" i="5" s="1"/>
  <c r="B68" i="5"/>
  <c r="B67" i="5"/>
  <c r="B66" i="5"/>
  <c r="B65" i="5"/>
  <c r="B84" i="5" s="1"/>
  <c r="R84" i="5" s="1"/>
  <c r="R27" i="5" s="1"/>
  <c r="B63" i="5"/>
  <c r="P20" i="2" s="1"/>
  <c r="B61" i="5"/>
  <c r="B59" i="5"/>
  <c r="T59" i="5" s="1"/>
  <c r="B58" i="5"/>
  <c r="B115" i="5" s="1"/>
  <c r="C42" i="5"/>
  <c r="C25" i="2" s="1"/>
  <c r="C59" i="2" s="1"/>
  <c r="B42" i="5"/>
  <c r="D39" i="5"/>
  <c r="D22" i="2" s="1"/>
  <c r="C39" i="5"/>
  <c r="C22" i="2" s="1"/>
  <c r="B39" i="5"/>
  <c r="B22" i="2" s="1"/>
  <c r="C34" i="5"/>
  <c r="C17" i="2" s="1"/>
  <c r="C63" i="2" s="1"/>
  <c r="C64" i="2" s="1"/>
  <c r="C65" i="2" s="1"/>
  <c r="C66" i="2" s="1"/>
  <c r="B34" i="5"/>
  <c r="B17" i="2" s="1"/>
  <c r="B63" i="2" s="1"/>
  <c r="D34" i="5"/>
  <c r="D17" i="2" s="1"/>
  <c r="D63" i="2" s="1"/>
  <c r="D64" i="2" s="1"/>
  <c r="D65" i="2" s="1"/>
  <c r="D66" i="2" s="1"/>
  <c r="D31" i="5"/>
  <c r="D14" i="2" s="1"/>
  <c r="D70" i="2" s="1"/>
  <c r="C31" i="5"/>
  <c r="C14" i="2" s="1"/>
  <c r="C70" i="2" s="1"/>
  <c r="B31" i="5"/>
  <c r="B14" i="2" s="1"/>
  <c r="B70" i="2" s="1"/>
  <c r="X115" i="5" l="1"/>
  <c r="X27" i="5" s="1"/>
  <c r="B67" i="2"/>
  <c r="C67" i="2"/>
  <c r="C68" i="2" s="1"/>
  <c r="C69" i="2" s="1"/>
  <c r="D67" i="2"/>
  <c r="D68" i="2" s="1"/>
  <c r="D69" i="2" s="1"/>
  <c r="B64" i="2"/>
  <c r="B72" i="2"/>
  <c r="B75" i="2"/>
  <c r="B73" i="2"/>
  <c r="D75" i="2"/>
  <c r="D72" i="2"/>
  <c r="D73" i="2"/>
  <c r="C75" i="2"/>
  <c r="C72" i="2"/>
  <c r="C73" i="2"/>
  <c r="I59" i="2"/>
  <c r="I60" i="2"/>
  <c r="B43" i="5"/>
  <c r="B26" i="2" s="1"/>
  <c r="B60" i="2" s="1"/>
  <c r="B25" i="2"/>
  <c r="B59" i="2" s="1"/>
  <c r="C43" i="5"/>
  <c r="C26" i="2" s="1"/>
  <c r="C60" i="2" s="1"/>
  <c r="O130" i="7"/>
  <c r="K130" i="7"/>
  <c r="I130" i="7"/>
  <c r="G130" i="7"/>
  <c r="D130" i="7"/>
  <c r="D49" i="7"/>
  <c r="G49" i="7"/>
  <c r="L49" i="7"/>
  <c r="I49" i="7"/>
  <c r="K48" i="7"/>
  <c r="H48" i="7"/>
  <c r="D48" i="7"/>
  <c r="G48" i="7"/>
  <c r="O49" i="7"/>
  <c r="O48" i="7"/>
  <c r="O47" i="7"/>
  <c r="K47" i="7"/>
  <c r="D47" i="7"/>
  <c r="G47" i="7"/>
  <c r="I47" i="7"/>
  <c r="O30" i="7"/>
  <c r="L30" i="7"/>
  <c r="I30" i="7"/>
  <c r="G30" i="7"/>
  <c r="D30" i="7"/>
  <c r="K29" i="7"/>
  <c r="H29" i="7"/>
  <c r="G29" i="7"/>
  <c r="D29" i="7"/>
  <c r="O29" i="7"/>
  <c r="O28" i="7"/>
  <c r="G28" i="7"/>
  <c r="I28" i="7"/>
  <c r="L28" i="7"/>
  <c r="D28" i="7"/>
  <c r="L11" i="7"/>
  <c r="D11" i="7"/>
  <c r="H11" i="7"/>
  <c r="G11" i="7"/>
  <c r="O11" i="7"/>
  <c r="O155" i="7"/>
  <c r="I155" i="7"/>
  <c r="G155" i="7"/>
  <c r="B65" i="2" l="1"/>
  <c r="B68" i="2"/>
  <c r="B69" i="2" s="1"/>
  <c r="H94" i="5"/>
  <c r="B62" i="5"/>
  <c r="S62" i="5" s="1"/>
  <c r="S27" i="5" s="1"/>
  <c r="B64" i="5"/>
  <c r="I72" i="2" l="1"/>
  <c r="I75" i="2"/>
  <c r="I74" i="2"/>
  <c r="I73" i="2"/>
  <c r="I12" i="2"/>
  <c r="I68" i="2"/>
  <c r="I20" i="2"/>
  <c r="I71" i="2"/>
  <c r="I70" i="2"/>
  <c r="I22" i="2"/>
  <c r="I69" i="2"/>
  <c r="I21" i="2"/>
  <c r="I13" i="2"/>
  <c r="I67" i="2"/>
  <c r="I19" i="2"/>
  <c r="I14" i="2"/>
  <c r="B66" i="2"/>
  <c r="F6" i="2"/>
  <c r="J95" i="5" l="1"/>
  <c r="O105" i="5"/>
  <c r="G103" i="5"/>
  <c r="H102" i="5"/>
  <c r="F101" i="5"/>
  <c r="E101" i="5"/>
  <c r="E27" i="5" s="1"/>
  <c r="C102" i="5"/>
  <c r="C94" i="5"/>
  <c r="D184" i="7"/>
  <c r="D183" i="7"/>
  <c r="K157" i="7"/>
  <c r="D380" i="7"/>
  <c r="O173" i="7"/>
  <c r="O172" i="7"/>
  <c r="O372" i="7"/>
  <c r="O371" i="7"/>
  <c r="O336" i="7"/>
  <c r="O335" i="7"/>
  <c r="O334" i="7"/>
  <c r="O273" i="7"/>
  <c r="O272" i="7"/>
  <c r="O271" i="7"/>
  <c r="O270" i="7"/>
  <c r="O269" i="7"/>
  <c r="O268" i="7"/>
  <c r="O239" i="7"/>
  <c r="O238" i="7"/>
  <c r="O237" i="7"/>
  <c r="O236" i="7"/>
  <c r="O220" i="7"/>
  <c r="O219" i="7"/>
  <c r="O204" i="7"/>
  <c r="O208" i="7"/>
  <c r="O206" i="7"/>
  <c r="O207" i="7"/>
  <c r="B21" i="4"/>
  <c r="B114" i="5" s="1"/>
  <c r="B20" i="4"/>
  <c r="B19" i="4"/>
  <c r="B18" i="4"/>
  <c r="B17" i="4"/>
  <c r="B16" i="4"/>
  <c r="B15" i="4"/>
  <c r="B14" i="4"/>
  <c r="B13" i="4"/>
  <c r="B12" i="4"/>
  <c r="B11" i="4"/>
  <c r="B10" i="4"/>
  <c r="N35" i="4"/>
  <c r="N34" i="4"/>
  <c r="N33" i="4"/>
  <c r="N32" i="4"/>
  <c r="N31" i="4"/>
  <c r="N30" i="4"/>
  <c r="N29" i="4"/>
  <c r="N28" i="4"/>
  <c r="N27" i="4"/>
  <c r="N26" i="4"/>
  <c r="N25" i="4"/>
  <c r="L26" i="4"/>
  <c r="I22" i="4"/>
  <c r="D41" i="4"/>
  <c r="D40" i="4"/>
  <c r="D38" i="4"/>
  <c r="D33" i="4"/>
  <c r="D32" i="4"/>
  <c r="D31" i="4"/>
  <c r="O171" i="7"/>
  <c r="O170" i="7"/>
  <c r="O169" i="7"/>
  <c r="O168" i="7"/>
  <c r="O166" i="7"/>
  <c r="O167" i="7"/>
  <c r="K166" i="7"/>
  <c r="I166" i="7"/>
  <c r="G166" i="7"/>
  <c r="D166" i="7"/>
  <c r="O165" i="7"/>
  <c r="K165" i="7"/>
  <c r="H165" i="7"/>
  <c r="G165" i="7"/>
  <c r="D165" i="7"/>
  <c r="O164" i="7"/>
  <c r="K164" i="7"/>
  <c r="I164" i="7"/>
  <c r="G164" i="7"/>
  <c r="D164" i="7"/>
  <c r="O159" i="7"/>
  <c r="L159" i="7"/>
  <c r="K159" i="7"/>
  <c r="G159" i="7"/>
  <c r="O157" i="7"/>
  <c r="H157" i="7"/>
  <c r="I157" i="7"/>
  <c r="I14" i="4" s="1"/>
  <c r="G157" i="7"/>
  <c r="O215" i="7"/>
  <c r="O214" i="7"/>
  <c r="O213" i="7"/>
  <c r="O211" i="7"/>
  <c r="K335" i="7"/>
  <c r="I335" i="7"/>
  <c r="O185" i="7"/>
  <c r="L185" i="7"/>
  <c r="I185" i="7"/>
  <c r="G185" i="7"/>
  <c r="O184" i="7"/>
  <c r="K184" i="7"/>
  <c r="I184" i="7"/>
  <c r="G184" i="7"/>
  <c r="O183" i="7"/>
  <c r="K183" i="7"/>
  <c r="I183" i="7"/>
  <c r="G183" i="7"/>
  <c r="O182" i="7"/>
  <c r="I182" i="7"/>
  <c r="L182" i="7"/>
  <c r="G182" i="7"/>
  <c r="O181" i="7"/>
  <c r="K181" i="7"/>
  <c r="H181" i="7"/>
  <c r="G181" i="7"/>
  <c r="O180" i="7"/>
  <c r="I180" i="7"/>
  <c r="G180" i="7"/>
  <c r="O179" i="7"/>
  <c r="K179" i="7"/>
  <c r="H179" i="7"/>
  <c r="G179" i="7"/>
  <c r="D179" i="7"/>
  <c r="D14" i="4" s="1"/>
  <c r="O175" i="7"/>
  <c r="O174" i="7"/>
  <c r="O176" i="7"/>
  <c r="O177" i="7"/>
  <c r="O178" i="7"/>
  <c r="K178" i="7"/>
  <c r="H178" i="7"/>
  <c r="I178" i="7"/>
  <c r="G178" i="7"/>
  <c r="L177" i="7"/>
  <c r="H177" i="7"/>
  <c r="G177" i="7"/>
  <c r="G176" i="7"/>
  <c r="L175" i="7"/>
  <c r="K175" i="7"/>
  <c r="H175" i="7"/>
  <c r="G175" i="7"/>
  <c r="L174" i="7"/>
  <c r="I174" i="7"/>
  <c r="G174" i="7"/>
  <c r="L173" i="7"/>
  <c r="G173" i="7"/>
  <c r="O222" i="7"/>
  <c r="K222" i="7"/>
  <c r="H222" i="7"/>
  <c r="G222" i="7"/>
  <c r="D222" i="7"/>
  <c r="O221" i="7"/>
  <c r="K221" i="7"/>
  <c r="I221" i="7"/>
  <c r="G221" i="7"/>
  <c r="D221" i="7"/>
  <c r="K220" i="7"/>
  <c r="I220" i="7"/>
  <c r="G220" i="7"/>
  <c r="D220" i="7"/>
  <c r="N219" i="7"/>
  <c r="L219" i="7"/>
  <c r="I219" i="7"/>
  <c r="D219" i="7"/>
  <c r="G219" i="7"/>
  <c r="K215" i="7"/>
  <c r="G215" i="7"/>
  <c r="L214" i="7"/>
  <c r="K214" i="7"/>
  <c r="H214" i="7"/>
  <c r="G214" i="7"/>
  <c r="I213" i="7"/>
  <c r="H213" i="7"/>
  <c r="G213" i="7"/>
  <c r="L211" i="7"/>
  <c r="J211" i="7"/>
  <c r="I211" i="7"/>
  <c r="G211" i="7"/>
  <c r="O210" i="7"/>
  <c r="L210" i="7"/>
  <c r="K210" i="7"/>
  <c r="G210" i="7"/>
  <c r="O209" i="7"/>
  <c r="H209" i="7"/>
  <c r="G209" i="7"/>
  <c r="O276" i="7"/>
  <c r="O275" i="7"/>
  <c r="O274" i="7"/>
  <c r="O277" i="7"/>
  <c r="O253" i="7"/>
  <c r="N253" i="7"/>
  <c r="L253" i="7"/>
  <c r="H253" i="7"/>
  <c r="G253" i="7"/>
  <c r="D253" i="7"/>
  <c r="O252" i="7"/>
  <c r="L252" i="7"/>
  <c r="I252" i="7"/>
  <c r="G252" i="7"/>
  <c r="D252" i="7"/>
  <c r="O251" i="7"/>
  <c r="L251" i="7"/>
  <c r="H251" i="7"/>
  <c r="G251" i="7"/>
  <c r="D251" i="7"/>
  <c r="O250" i="7"/>
  <c r="K250" i="7"/>
  <c r="I250" i="7"/>
  <c r="G250" i="7"/>
  <c r="D250" i="7"/>
  <c r="O248" i="7"/>
  <c r="K248" i="7"/>
  <c r="J248" i="7"/>
  <c r="I248" i="7"/>
  <c r="G248" i="7"/>
  <c r="G247" i="7"/>
  <c r="O247" i="7"/>
  <c r="L247" i="7"/>
  <c r="K247" i="7"/>
  <c r="O246" i="7"/>
  <c r="I246" i="7"/>
  <c r="G246" i="7"/>
  <c r="O243" i="7"/>
  <c r="L243" i="7"/>
  <c r="H243" i="7"/>
  <c r="G243" i="7"/>
  <c r="D243" i="7"/>
  <c r="O242" i="7"/>
  <c r="L242" i="7"/>
  <c r="K242" i="7"/>
  <c r="I242" i="7"/>
  <c r="G242" i="7"/>
  <c r="O241" i="7"/>
  <c r="L241" i="7"/>
  <c r="H241" i="7"/>
  <c r="G241" i="7"/>
  <c r="L240" i="7"/>
  <c r="G240" i="7"/>
  <c r="O278" i="7"/>
  <c r="H278" i="7"/>
  <c r="G278" i="7"/>
  <c r="O283" i="7"/>
  <c r="K283" i="7"/>
  <c r="K17" i="4" s="1"/>
  <c r="D283" i="7"/>
  <c r="H283" i="7"/>
  <c r="H17" i="4" s="1"/>
  <c r="G283" i="7"/>
  <c r="O285" i="7"/>
  <c r="L285" i="7"/>
  <c r="H285" i="7"/>
  <c r="G285" i="7"/>
  <c r="D285" i="7"/>
  <c r="O240" i="7"/>
  <c r="O286" i="7"/>
  <c r="K286" i="7"/>
  <c r="I286" i="7"/>
  <c r="G286" i="7"/>
  <c r="D286" i="7"/>
  <c r="O284" i="7"/>
  <c r="K284" i="7"/>
  <c r="D284" i="7"/>
  <c r="I284" i="7"/>
  <c r="O282" i="7"/>
  <c r="L282" i="7"/>
  <c r="I282" i="7"/>
  <c r="G282" i="7"/>
  <c r="D282" i="7"/>
  <c r="D281" i="7"/>
  <c r="O281" i="7"/>
  <c r="K281" i="7"/>
  <c r="I281" i="7"/>
  <c r="G281" i="7"/>
  <c r="O280" i="7"/>
  <c r="L280" i="7"/>
  <c r="H280" i="7"/>
  <c r="I280" i="7"/>
  <c r="G280" i="7"/>
  <c r="O279" i="7"/>
  <c r="L279" i="7"/>
  <c r="I279" i="7"/>
  <c r="G279" i="7"/>
  <c r="K277" i="7"/>
  <c r="D277" i="7"/>
  <c r="I277" i="7"/>
  <c r="G277" i="7"/>
  <c r="H276" i="7"/>
  <c r="J276" i="7"/>
  <c r="I276" i="7"/>
  <c r="G276" i="7"/>
  <c r="H275" i="7"/>
  <c r="I275" i="7"/>
  <c r="G275" i="7"/>
  <c r="K274" i="7"/>
  <c r="G274" i="7"/>
  <c r="L268" i="7"/>
  <c r="L17" i="4" s="1"/>
  <c r="I268" i="7"/>
  <c r="I17" i="4" s="1"/>
  <c r="G268" i="7"/>
  <c r="G17" i="4" s="1"/>
  <c r="D268" i="7"/>
  <c r="O317" i="7"/>
  <c r="K317" i="7"/>
  <c r="H317" i="7"/>
  <c r="G317" i="7"/>
  <c r="O316" i="7"/>
  <c r="H316" i="7"/>
  <c r="G316" i="7"/>
  <c r="O315" i="7"/>
  <c r="O18" i="4" s="1"/>
  <c r="L315" i="7"/>
  <c r="L18" i="4" s="1"/>
  <c r="I315" i="7"/>
  <c r="I18" i="4" s="1"/>
  <c r="G315" i="7"/>
  <c r="D315" i="7"/>
  <c r="O314" i="7"/>
  <c r="O19" i="4" s="1"/>
  <c r="K314" i="7"/>
  <c r="H314" i="7"/>
  <c r="H19" i="4" s="1"/>
  <c r="G314" i="7"/>
  <c r="D314" i="7"/>
  <c r="O313" i="7"/>
  <c r="L313" i="7"/>
  <c r="H313" i="7"/>
  <c r="G313" i="7"/>
  <c r="D312" i="7"/>
  <c r="D313" i="7"/>
  <c r="O312" i="7"/>
  <c r="K312" i="7"/>
  <c r="I312" i="7"/>
  <c r="I19" i="4" s="1"/>
  <c r="G312" i="7"/>
  <c r="O311" i="7"/>
  <c r="L311" i="7"/>
  <c r="I311" i="7"/>
  <c r="G311" i="7"/>
  <c r="O309" i="7"/>
  <c r="O308" i="7"/>
  <c r="O307" i="7"/>
  <c r="O306" i="7"/>
  <c r="O305" i="7"/>
  <c r="O304" i="7"/>
  <c r="O303" i="7"/>
  <c r="L303" i="7"/>
  <c r="H303" i="7"/>
  <c r="G303" i="7"/>
  <c r="D303" i="7"/>
  <c r="O343" i="7"/>
  <c r="O342" i="7"/>
  <c r="O341" i="7"/>
  <c r="O340" i="7"/>
  <c r="O349" i="7"/>
  <c r="N349" i="7"/>
  <c r="I349" i="7"/>
  <c r="L349" i="7"/>
  <c r="G349" i="7"/>
  <c r="H343" i="7"/>
  <c r="J343" i="7"/>
  <c r="I343" i="7"/>
  <c r="G343" i="7"/>
  <c r="K342" i="7"/>
  <c r="I342" i="7"/>
  <c r="G342" i="7"/>
  <c r="G341" i="7"/>
  <c r="L341" i="7"/>
  <c r="K340" i="7"/>
  <c r="H340" i="7"/>
  <c r="I340" i="7"/>
  <c r="G340" i="7"/>
  <c r="O339" i="7"/>
  <c r="K339" i="7"/>
  <c r="H339" i="7"/>
  <c r="G339" i="7"/>
  <c r="O351" i="7"/>
  <c r="N351" i="7"/>
  <c r="K351" i="7"/>
  <c r="I351" i="7"/>
  <c r="G351" i="7"/>
  <c r="D351" i="7"/>
  <c r="O350" i="7"/>
  <c r="O20" i="4" s="1"/>
  <c r="N350" i="7"/>
  <c r="N20" i="4" s="1"/>
  <c r="K350" i="7"/>
  <c r="K20" i="4" s="1"/>
  <c r="G350" i="7"/>
  <c r="G20" i="4" s="1"/>
  <c r="D350" i="7"/>
  <c r="D20" i="4" s="1"/>
  <c r="H350" i="7"/>
  <c r="H20" i="4" s="1"/>
  <c r="O338" i="7"/>
  <c r="I338" i="7"/>
  <c r="G338" i="7"/>
  <c r="O71" i="7"/>
  <c r="O70" i="7"/>
  <c r="O122" i="7"/>
  <c r="O121" i="7"/>
  <c r="O120" i="7"/>
  <c r="O119" i="7"/>
  <c r="O118" i="7"/>
  <c r="O117" i="7"/>
  <c r="O116" i="7"/>
  <c r="O81" i="7"/>
  <c r="O80" i="7"/>
  <c r="O79" i="7"/>
  <c r="O78" i="7"/>
  <c r="O77" i="7"/>
  <c r="O76" i="7"/>
  <c r="O112" i="7"/>
  <c r="O111" i="7"/>
  <c r="O105" i="7"/>
  <c r="O327" i="7"/>
  <c r="O384" i="7"/>
  <c r="N384" i="7"/>
  <c r="K384" i="7"/>
  <c r="I384" i="7"/>
  <c r="G384" i="7"/>
  <c r="D384" i="7"/>
  <c r="O382" i="7"/>
  <c r="K382" i="7"/>
  <c r="G382" i="7"/>
  <c r="D382" i="7"/>
  <c r="H382" i="7"/>
  <c r="O381" i="7"/>
  <c r="H381" i="7"/>
  <c r="L381" i="7"/>
  <c r="D381" i="7"/>
  <c r="G381" i="7"/>
  <c r="O380" i="7"/>
  <c r="K380" i="7"/>
  <c r="H380" i="7"/>
  <c r="G380" i="7"/>
  <c r="O379" i="7"/>
  <c r="D379" i="7"/>
  <c r="L379" i="7"/>
  <c r="I379" i="7"/>
  <c r="G379" i="7"/>
  <c r="O369" i="7"/>
  <c r="O370" i="7"/>
  <c r="D370" i="7"/>
  <c r="I370" i="7"/>
  <c r="L370" i="7"/>
  <c r="G370" i="7"/>
  <c r="D368" i="7"/>
  <c r="G368" i="7"/>
  <c r="G21" i="4" s="1"/>
  <c r="O368" i="7"/>
  <c r="O139" i="7"/>
  <c r="N139" i="7"/>
  <c r="H139" i="7"/>
  <c r="K139" i="7"/>
  <c r="G139" i="7"/>
  <c r="D139" i="7"/>
  <c r="O138" i="7"/>
  <c r="L138" i="7"/>
  <c r="I138" i="7"/>
  <c r="I13" i="4" s="1"/>
  <c r="G138" i="7"/>
  <c r="D138" i="7"/>
  <c r="O137" i="7"/>
  <c r="K137" i="7"/>
  <c r="D137" i="7"/>
  <c r="I137" i="7"/>
  <c r="G137" i="7"/>
  <c r="O136" i="7"/>
  <c r="L136" i="7"/>
  <c r="I136" i="7"/>
  <c r="G136" i="7"/>
  <c r="O135" i="7"/>
  <c r="K135" i="7"/>
  <c r="H135" i="7"/>
  <c r="G135" i="7"/>
  <c r="O134" i="7"/>
  <c r="K134" i="7"/>
  <c r="G134" i="7"/>
  <c r="O133" i="7"/>
  <c r="O13" i="4" s="1"/>
  <c r="L133" i="7"/>
  <c r="H133" i="7"/>
  <c r="G133" i="7"/>
  <c r="D133" i="7"/>
  <c r="O129" i="7"/>
  <c r="D129" i="7"/>
  <c r="K129" i="7"/>
  <c r="I129" i="7"/>
  <c r="G129" i="7"/>
  <c r="L128" i="7"/>
  <c r="J128" i="7"/>
  <c r="I128" i="7"/>
  <c r="G128" i="7"/>
  <c r="K127" i="7"/>
  <c r="H127" i="7"/>
  <c r="G127" i="7"/>
  <c r="O128" i="7"/>
  <c r="O127" i="7"/>
  <c r="O126" i="7"/>
  <c r="L126" i="7"/>
  <c r="G126" i="7"/>
  <c r="O125" i="7"/>
  <c r="K125" i="7"/>
  <c r="J125" i="7"/>
  <c r="I125" i="7"/>
  <c r="G125" i="7"/>
  <c r="O124" i="7"/>
  <c r="J124" i="7"/>
  <c r="I124" i="7"/>
  <c r="G124" i="7"/>
  <c r="O123" i="7"/>
  <c r="K123" i="7"/>
  <c r="G123" i="7"/>
  <c r="K112" i="7"/>
  <c r="I112" i="7"/>
  <c r="G112" i="7"/>
  <c r="D112" i="7"/>
  <c r="O110" i="7"/>
  <c r="H110" i="7"/>
  <c r="K110" i="7"/>
  <c r="G110" i="7"/>
  <c r="D110" i="7"/>
  <c r="O109" i="7"/>
  <c r="L109" i="7"/>
  <c r="D109" i="7"/>
  <c r="H109" i="7"/>
  <c r="G109" i="7"/>
  <c r="H108" i="7"/>
  <c r="J108" i="7"/>
  <c r="I108" i="7"/>
  <c r="G108" i="7"/>
  <c r="I107" i="7"/>
  <c r="H107" i="7"/>
  <c r="G107" i="7"/>
  <c r="I106" i="7"/>
  <c r="G106" i="7"/>
  <c r="L105" i="7"/>
  <c r="J105" i="7"/>
  <c r="I105" i="7"/>
  <c r="G105" i="7"/>
  <c r="O103" i="7"/>
  <c r="O104" i="7"/>
  <c r="K104" i="7"/>
  <c r="K13" i="4" s="1"/>
  <c r="H104" i="7"/>
  <c r="H13" i="4" s="1"/>
  <c r="G104" i="7"/>
  <c r="O92" i="7"/>
  <c r="N92" i="7"/>
  <c r="K92" i="7"/>
  <c r="I92" i="7"/>
  <c r="G92" i="7"/>
  <c r="D92" i="7"/>
  <c r="O91" i="7"/>
  <c r="K91" i="7"/>
  <c r="I91" i="7"/>
  <c r="G91" i="7"/>
  <c r="D91" i="7"/>
  <c r="O90" i="7"/>
  <c r="K90" i="7"/>
  <c r="H90" i="7"/>
  <c r="G90" i="7"/>
  <c r="D90" i="7"/>
  <c r="O89" i="7"/>
  <c r="L89" i="7"/>
  <c r="I89" i="7"/>
  <c r="G89" i="7"/>
  <c r="O88" i="7"/>
  <c r="K88" i="7"/>
  <c r="H88" i="7"/>
  <c r="G88" i="7"/>
  <c r="O87" i="7"/>
  <c r="G87" i="7"/>
  <c r="H86" i="7"/>
  <c r="G86" i="7"/>
  <c r="O86" i="7"/>
  <c r="L86" i="7"/>
  <c r="D86" i="7"/>
  <c r="O75" i="7"/>
  <c r="K75" i="7"/>
  <c r="H75" i="7"/>
  <c r="G75" i="7"/>
  <c r="D75" i="7"/>
  <c r="D71" i="7"/>
  <c r="O69" i="7"/>
  <c r="L69" i="7"/>
  <c r="I69" i="7"/>
  <c r="G69" i="7"/>
  <c r="D69" i="7"/>
  <c r="O63" i="7"/>
  <c r="D63" i="7"/>
  <c r="L63" i="7"/>
  <c r="H63" i="7"/>
  <c r="G63" i="7"/>
  <c r="O62" i="7"/>
  <c r="L62" i="7"/>
  <c r="I62" i="7"/>
  <c r="G62" i="7"/>
  <c r="D62" i="7"/>
  <c r="O61" i="7"/>
  <c r="K61" i="7"/>
  <c r="H61" i="7"/>
  <c r="G61" i="7"/>
  <c r="D61" i="7"/>
  <c r="K60" i="7"/>
  <c r="H60" i="7"/>
  <c r="G60" i="7"/>
  <c r="D60" i="7"/>
  <c r="O60" i="7"/>
  <c r="O55" i="7"/>
  <c r="O54" i="7"/>
  <c r="O53" i="7"/>
  <c r="O52" i="7"/>
  <c r="O50" i="7"/>
  <c r="O51" i="7"/>
  <c r="K51" i="7"/>
  <c r="H51" i="7"/>
  <c r="G51" i="7"/>
  <c r="D51" i="7"/>
  <c r="K368" i="7"/>
  <c r="K21" i="4" s="1"/>
  <c r="I368" i="7"/>
  <c r="I21" i="4" s="1"/>
  <c r="O83" i="7"/>
  <c r="O12" i="4" s="1"/>
  <c r="I83" i="7"/>
  <c r="I12" i="4" s="1"/>
  <c r="L83" i="7"/>
  <c r="L12" i="4" s="1"/>
  <c r="G83" i="7"/>
  <c r="G12" i="4" s="1"/>
  <c r="D83" i="7"/>
  <c r="D12" i="4" s="1"/>
  <c r="O216" i="7"/>
  <c r="H216" i="7"/>
  <c r="H15" i="4" s="1"/>
  <c r="L216" i="7"/>
  <c r="L15" i="4" s="1"/>
  <c r="G216" i="7"/>
  <c r="G15" i="4" s="1"/>
  <c r="D216" i="7"/>
  <c r="D15" i="4" s="1"/>
  <c r="O58" i="7"/>
  <c r="L58" i="7"/>
  <c r="L11" i="4" s="1"/>
  <c r="I58" i="7"/>
  <c r="I11" i="4" s="1"/>
  <c r="G58" i="7"/>
  <c r="G11" i="4" s="1"/>
  <c r="D58" i="7"/>
  <c r="D11" i="4" s="1"/>
  <c r="O34" i="7"/>
  <c r="K34" i="7"/>
  <c r="I34" i="7"/>
  <c r="G34" i="7"/>
  <c r="D34" i="7"/>
  <c r="O33" i="7"/>
  <c r="K33" i="7"/>
  <c r="I33" i="7"/>
  <c r="G33" i="7"/>
  <c r="D33" i="7"/>
  <c r="O32" i="7"/>
  <c r="D32" i="7"/>
  <c r="L32" i="7"/>
  <c r="H32" i="7"/>
  <c r="G32" i="7"/>
  <c r="O14" i="7"/>
  <c r="O31" i="7"/>
  <c r="L31" i="7"/>
  <c r="I31" i="7"/>
  <c r="G31" i="7"/>
  <c r="D31" i="7"/>
  <c r="O27" i="7"/>
  <c r="O10" i="4" s="1"/>
  <c r="D27" i="7"/>
  <c r="D10" i="4" s="1"/>
  <c r="K27" i="7"/>
  <c r="K10" i="4" s="1"/>
  <c r="H27" i="7"/>
  <c r="H10" i="4" s="1"/>
  <c r="G27" i="7"/>
  <c r="G10" i="4" s="1"/>
  <c r="O26" i="7"/>
  <c r="L26" i="7"/>
  <c r="K26" i="7"/>
  <c r="I26" i="7"/>
  <c r="G26" i="7"/>
  <c r="O25" i="7"/>
  <c r="J25" i="7"/>
  <c r="I25" i="7"/>
  <c r="G25" i="7"/>
  <c r="O24" i="7"/>
  <c r="H24" i="7"/>
  <c r="G24" i="7"/>
  <c r="O22" i="7"/>
  <c r="L22" i="7"/>
  <c r="H22" i="7"/>
  <c r="I22" i="7"/>
  <c r="G22" i="7"/>
  <c r="O21" i="7"/>
  <c r="K21" i="7"/>
  <c r="I21" i="7"/>
  <c r="G21" i="7"/>
  <c r="O20" i="7"/>
  <c r="I20" i="7"/>
  <c r="G20" i="7"/>
  <c r="O19" i="7"/>
  <c r="O18" i="7"/>
  <c r="O17" i="7"/>
  <c r="O16" i="7"/>
  <c r="D18" i="7"/>
  <c r="L18" i="7"/>
  <c r="H18" i="7"/>
  <c r="G18" i="7"/>
  <c r="O15" i="7"/>
  <c r="G15" i="7"/>
  <c r="I15" i="7"/>
  <c r="L15" i="7"/>
  <c r="D15" i="7"/>
  <c r="O13" i="7"/>
  <c r="L13" i="7"/>
  <c r="I13" i="7"/>
  <c r="G13" i="7"/>
  <c r="D13" i="7"/>
  <c r="O12" i="7"/>
  <c r="D12" i="7"/>
  <c r="K12" i="7"/>
  <c r="H12" i="7"/>
  <c r="G12" i="7"/>
  <c r="O8" i="7"/>
  <c r="K8" i="7"/>
  <c r="H8" i="7"/>
  <c r="I8" i="7"/>
  <c r="G8" i="7"/>
  <c r="O7" i="7"/>
  <c r="L7" i="7"/>
  <c r="I7" i="7"/>
  <c r="G7" i="7"/>
  <c r="O6" i="7"/>
  <c r="K6" i="7"/>
  <c r="G6" i="7"/>
  <c r="O4" i="7"/>
  <c r="L4" i="7"/>
  <c r="K4" i="7"/>
  <c r="I4" i="7"/>
  <c r="G4" i="7"/>
  <c r="O3" i="7"/>
  <c r="J3" i="7"/>
  <c r="I3" i="7"/>
  <c r="G3" i="7"/>
  <c r="O2" i="7"/>
  <c r="H2" i="7"/>
  <c r="G2" i="7"/>
  <c r="D14" i="7"/>
  <c r="K14" i="7"/>
  <c r="G6" i="2"/>
  <c r="J79" i="5"/>
  <c r="I79" i="5"/>
  <c r="I27" i="5" s="1"/>
  <c r="Q79" i="5"/>
  <c r="P79" i="5"/>
  <c r="P27" i="5" s="1"/>
  <c r="D79" i="5"/>
  <c r="D27" i="5" s="1"/>
  <c r="K101" i="7"/>
  <c r="G101" i="7"/>
  <c r="D101" i="7"/>
  <c r="I102" i="7"/>
  <c r="L102" i="7"/>
  <c r="G102" i="7"/>
  <c r="D102" i="7"/>
  <c r="H22" i="4"/>
  <c r="H23" i="4"/>
  <c r="H364" i="7"/>
  <c r="G364" i="7"/>
  <c r="D369" i="7"/>
  <c r="L371" i="7"/>
  <c r="L336" i="7"/>
  <c r="L309" i="7"/>
  <c r="L306" i="7"/>
  <c r="L272" i="7"/>
  <c r="L271" i="7"/>
  <c r="L239" i="7"/>
  <c r="L238" i="7"/>
  <c r="L237" i="7"/>
  <c r="L16" i="4" s="1"/>
  <c r="L206" i="7"/>
  <c r="L204" i="7"/>
  <c r="L172" i="7"/>
  <c r="L170" i="7"/>
  <c r="L120" i="7"/>
  <c r="L117" i="7"/>
  <c r="L116" i="7"/>
  <c r="L79" i="7"/>
  <c r="L76" i="7"/>
  <c r="L70" i="7"/>
  <c r="L55" i="7"/>
  <c r="L52" i="7"/>
  <c r="L50" i="7"/>
  <c r="K372" i="7"/>
  <c r="K369" i="7"/>
  <c r="K334" i="7"/>
  <c r="K308" i="7"/>
  <c r="K305" i="7"/>
  <c r="K18" i="4" s="1"/>
  <c r="K304" i="7"/>
  <c r="K273" i="7"/>
  <c r="K270" i="7"/>
  <c r="K269" i="7"/>
  <c r="K236" i="7"/>
  <c r="K208" i="7"/>
  <c r="K207" i="7"/>
  <c r="K171" i="7"/>
  <c r="K169" i="7"/>
  <c r="K167" i="7"/>
  <c r="K122" i="7"/>
  <c r="K121" i="7"/>
  <c r="K119" i="7"/>
  <c r="K118" i="7"/>
  <c r="K111" i="7"/>
  <c r="K81" i="7"/>
  <c r="K80" i="7"/>
  <c r="K78" i="7"/>
  <c r="K54" i="7"/>
  <c r="K53" i="7"/>
  <c r="I372" i="7"/>
  <c r="I371" i="7"/>
  <c r="I336" i="7"/>
  <c r="I309" i="7"/>
  <c r="I306" i="7"/>
  <c r="I304" i="7"/>
  <c r="I273" i="7"/>
  <c r="I272" i="7"/>
  <c r="I269" i="7"/>
  <c r="I238" i="7"/>
  <c r="I236" i="7"/>
  <c r="I207" i="7"/>
  <c r="I206" i="7"/>
  <c r="I172" i="7"/>
  <c r="I171" i="7"/>
  <c r="I170" i="7"/>
  <c r="I168" i="7"/>
  <c r="I121" i="7"/>
  <c r="I120" i="7"/>
  <c r="I116" i="7"/>
  <c r="I111" i="7"/>
  <c r="I81" i="7"/>
  <c r="I80" i="7"/>
  <c r="I79" i="7"/>
  <c r="I70" i="7"/>
  <c r="I54" i="7"/>
  <c r="I52" i="7"/>
  <c r="I50" i="7"/>
  <c r="H369" i="7"/>
  <c r="H334" i="7"/>
  <c r="H308" i="7"/>
  <c r="H307" i="7"/>
  <c r="H305" i="7"/>
  <c r="H18" i="4" s="1"/>
  <c r="H271" i="7"/>
  <c r="H270" i="7"/>
  <c r="H239" i="7"/>
  <c r="H237" i="7"/>
  <c r="H16" i="4" s="1"/>
  <c r="H208" i="7"/>
  <c r="H204" i="7"/>
  <c r="H169" i="7"/>
  <c r="H167" i="7"/>
  <c r="H122" i="7"/>
  <c r="H119" i="7"/>
  <c r="H117" i="7"/>
  <c r="H78" i="7"/>
  <c r="H76" i="7"/>
  <c r="H55" i="7"/>
  <c r="H53" i="7"/>
  <c r="G372" i="7"/>
  <c r="G371" i="7"/>
  <c r="G369" i="7"/>
  <c r="G336" i="7"/>
  <c r="G335" i="7"/>
  <c r="G334" i="7"/>
  <c r="G309" i="7"/>
  <c r="G308" i="7"/>
  <c r="G307" i="7"/>
  <c r="G306" i="7"/>
  <c r="G305" i="7"/>
  <c r="G304" i="7"/>
  <c r="G273" i="7"/>
  <c r="G272" i="7"/>
  <c r="G271" i="7"/>
  <c r="G270" i="7"/>
  <c r="G269" i="7"/>
  <c r="G239" i="7"/>
  <c r="G238" i="7"/>
  <c r="G237" i="7"/>
  <c r="G16" i="4" s="1"/>
  <c r="G236" i="7"/>
  <c r="G208" i="7"/>
  <c r="G207" i="7"/>
  <c r="G206" i="7"/>
  <c r="G204" i="7"/>
  <c r="G172" i="7"/>
  <c r="G171" i="7"/>
  <c r="G170" i="7"/>
  <c r="G169" i="7"/>
  <c r="G168" i="7"/>
  <c r="G167" i="7"/>
  <c r="G122" i="7"/>
  <c r="G121" i="7"/>
  <c r="G120" i="7"/>
  <c r="G119" i="7"/>
  <c r="G118" i="7"/>
  <c r="G117" i="7"/>
  <c r="G116" i="7"/>
  <c r="G111" i="7"/>
  <c r="G81" i="7"/>
  <c r="G80" i="7"/>
  <c r="G79" i="7"/>
  <c r="G78" i="7"/>
  <c r="G77" i="7"/>
  <c r="G76" i="7"/>
  <c r="G70" i="7"/>
  <c r="G55" i="7"/>
  <c r="G54" i="7"/>
  <c r="G53" i="7"/>
  <c r="G52" i="7"/>
  <c r="G50" i="7"/>
  <c r="D372" i="7"/>
  <c r="D371" i="7"/>
  <c r="D336" i="7"/>
  <c r="D306" i="7"/>
  <c r="D305" i="7"/>
  <c r="D304" i="7"/>
  <c r="D273" i="7"/>
  <c r="D272" i="7"/>
  <c r="D271" i="7"/>
  <c r="D270" i="7"/>
  <c r="D269" i="7"/>
  <c r="D239" i="7"/>
  <c r="D238" i="7"/>
  <c r="D237" i="7"/>
  <c r="D236" i="7"/>
  <c r="D208" i="7"/>
  <c r="D207" i="7"/>
  <c r="D206" i="7"/>
  <c r="D204" i="7"/>
  <c r="D172" i="7"/>
  <c r="D171" i="7"/>
  <c r="D167" i="7"/>
  <c r="D122" i="7"/>
  <c r="D121" i="7"/>
  <c r="D117" i="7"/>
  <c r="D116" i="7"/>
  <c r="D111" i="7"/>
  <c r="D81" i="7"/>
  <c r="D80" i="7"/>
  <c r="D76" i="7"/>
  <c r="D70" i="7"/>
  <c r="D55" i="7"/>
  <c r="D54" i="7"/>
  <c r="D53" i="7"/>
  <c r="D52" i="7"/>
  <c r="D50" i="7"/>
  <c r="L17" i="7"/>
  <c r="K19" i="7"/>
  <c r="I19" i="7"/>
  <c r="G19" i="7"/>
  <c r="D19" i="7"/>
  <c r="I17" i="7"/>
  <c r="G17" i="7"/>
  <c r="D17" i="7"/>
  <c r="I16" i="7"/>
  <c r="K16" i="7"/>
  <c r="G16" i="7"/>
  <c r="D16" i="7"/>
  <c r="H14" i="7"/>
  <c r="G14" i="7"/>
  <c r="G27" i="5"/>
  <c r="H82" i="5"/>
  <c r="E12" i="5"/>
  <c r="H12" i="5" s="1"/>
  <c r="I6" i="5"/>
  <c r="P21" i="2" s="1"/>
  <c r="P27" i="2"/>
  <c r="Q2" i="5"/>
  <c r="H2" i="5"/>
  <c r="P15" i="2" s="1"/>
  <c r="H10" i="5"/>
  <c r="P23" i="2" s="1"/>
  <c r="D11" i="5"/>
  <c r="C11" i="5"/>
  <c r="M2" i="4"/>
  <c r="K2" i="4"/>
  <c r="J2" i="4"/>
  <c r="M8" i="4"/>
  <c r="L8" i="4"/>
  <c r="K8" i="4"/>
  <c r="J8" i="4"/>
  <c r="I8" i="4"/>
  <c r="H8" i="4"/>
  <c r="G8" i="4"/>
  <c r="F8" i="4"/>
  <c r="E8" i="4"/>
  <c r="D8" i="4"/>
  <c r="C8" i="4"/>
  <c r="B8" i="4"/>
  <c r="J22" i="4"/>
  <c r="J23" i="4"/>
  <c r="J24" i="4"/>
  <c r="H24" i="4"/>
  <c r="G24" i="4"/>
  <c r="G22" i="4"/>
  <c r="G23" i="4"/>
  <c r="K22" i="4"/>
  <c r="L22" i="4"/>
  <c r="N25" i="1"/>
  <c r="M25" i="1"/>
  <c r="O25" i="1"/>
  <c r="M24" i="1"/>
  <c r="O23" i="1"/>
  <c r="N23" i="1"/>
  <c r="N24" i="1"/>
  <c r="M23" i="1"/>
  <c r="O24" i="1"/>
  <c r="O21" i="1"/>
  <c r="N20" i="1"/>
  <c r="M20" i="1"/>
  <c r="N18" i="1"/>
  <c r="M18" i="1"/>
  <c r="N21" i="1"/>
  <c r="M21" i="1"/>
  <c r="O20" i="1"/>
  <c r="O1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" i="1"/>
  <c r="E51" i="1"/>
  <c r="F51" i="1"/>
  <c r="E106" i="1"/>
  <c r="E105" i="1"/>
  <c r="E104" i="1"/>
  <c r="E103" i="1"/>
  <c r="F103" i="1"/>
  <c r="E102" i="1"/>
  <c r="E101" i="1"/>
  <c r="F101" i="1"/>
  <c r="E100" i="1"/>
  <c r="F100" i="1"/>
  <c r="E99" i="1"/>
  <c r="E98" i="1"/>
  <c r="F99" i="1"/>
  <c r="E97" i="1"/>
  <c r="E96" i="1"/>
  <c r="E95" i="1"/>
  <c r="F95" i="1"/>
  <c r="E94" i="1"/>
  <c r="E93" i="1"/>
  <c r="E92" i="1"/>
  <c r="E91" i="1"/>
  <c r="F91" i="1"/>
  <c r="E90" i="1"/>
  <c r="E89" i="1"/>
  <c r="F89" i="1"/>
  <c r="E88" i="1"/>
  <c r="E87" i="1"/>
  <c r="E86" i="1"/>
  <c r="F86" i="1"/>
  <c r="E85" i="1"/>
  <c r="F85" i="1"/>
  <c r="E84" i="1"/>
  <c r="E83" i="1"/>
  <c r="E82" i="1"/>
  <c r="F83" i="1"/>
  <c r="E81" i="1"/>
  <c r="E80" i="1"/>
  <c r="E79" i="1"/>
  <c r="E78" i="1"/>
  <c r="F79" i="1"/>
  <c r="E77" i="1"/>
  <c r="E76" i="1"/>
  <c r="F76" i="1"/>
  <c r="E75" i="1"/>
  <c r="E74" i="1"/>
  <c r="F74" i="1"/>
  <c r="E73" i="1"/>
  <c r="F73" i="1"/>
  <c r="E72" i="1"/>
  <c r="E71" i="1"/>
  <c r="E70" i="1"/>
  <c r="F70" i="1"/>
  <c r="E69" i="1"/>
  <c r="E68" i="1"/>
  <c r="E67" i="1"/>
  <c r="E66" i="1"/>
  <c r="F66" i="1"/>
  <c r="E65" i="1"/>
  <c r="E64" i="1"/>
  <c r="E63" i="1"/>
  <c r="F63" i="1"/>
  <c r="E62" i="1"/>
  <c r="E61" i="1"/>
  <c r="F61" i="1"/>
  <c r="E60" i="1"/>
  <c r="E59" i="1"/>
  <c r="F59" i="1"/>
  <c r="E58" i="1"/>
  <c r="E57" i="1"/>
  <c r="F57" i="1"/>
  <c r="E56" i="1"/>
  <c r="E55" i="1"/>
  <c r="F55" i="1"/>
  <c r="E54" i="1"/>
  <c r="E53" i="1"/>
  <c r="E52" i="1"/>
  <c r="E50" i="1"/>
  <c r="E49" i="1"/>
  <c r="F49" i="1"/>
  <c r="E48" i="1"/>
  <c r="E47" i="1"/>
  <c r="E46" i="1"/>
  <c r="F47" i="1"/>
  <c r="E45" i="1"/>
  <c r="F45" i="1"/>
  <c r="E44" i="1"/>
  <c r="E43" i="1"/>
  <c r="F43" i="1"/>
  <c r="E42" i="1"/>
  <c r="E41" i="1"/>
  <c r="F41" i="1"/>
  <c r="E40" i="1"/>
  <c r="E39" i="1"/>
  <c r="E38" i="1"/>
  <c r="E37" i="1"/>
  <c r="F38" i="1"/>
  <c r="E36" i="1"/>
  <c r="E35" i="1"/>
  <c r="E34" i="1"/>
  <c r="F34" i="1"/>
  <c r="E33" i="1"/>
  <c r="F33" i="1"/>
  <c r="E32" i="1"/>
  <c r="E31" i="1"/>
  <c r="F31" i="1"/>
  <c r="E30" i="1"/>
  <c r="E29" i="1"/>
  <c r="F29" i="1"/>
  <c r="E28" i="1"/>
  <c r="F28" i="1"/>
  <c r="E27" i="1"/>
  <c r="E26" i="1"/>
  <c r="F26" i="1"/>
  <c r="E25" i="1"/>
  <c r="E24" i="1"/>
  <c r="F25" i="1"/>
  <c r="E23" i="1"/>
  <c r="E22" i="1"/>
  <c r="E21" i="1"/>
  <c r="F21" i="1"/>
  <c r="E20" i="1"/>
  <c r="E19" i="1"/>
  <c r="E18" i="1"/>
  <c r="E17" i="1"/>
  <c r="F17" i="1"/>
  <c r="E16" i="1"/>
  <c r="E15" i="1"/>
  <c r="E14" i="1"/>
  <c r="F14" i="1"/>
  <c r="E13" i="1"/>
  <c r="F13" i="1"/>
  <c r="E12" i="1"/>
  <c r="E11" i="1"/>
  <c r="E10" i="1"/>
  <c r="F11" i="1"/>
  <c r="E9" i="1"/>
  <c r="F9" i="1"/>
  <c r="E8" i="1"/>
  <c r="E7" i="1"/>
  <c r="F7" i="1"/>
  <c r="F23" i="1"/>
  <c r="F96" i="1"/>
  <c r="F12" i="1"/>
  <c r="F20" i="1"/>
  <c r="F40" i="1"/>
  <c r="F65" i="1"/>
  <c r="F69" i="1"/>
  <c r="F81" i="1"/>
  <c r="F97" i="1"/>
  <c r="F46" i="1"/>
  <c r="F71" i="1"/>
  <c r="F16" i="1"/>
  <c r="F24" i="1"/>
  <c r="F32" i="1"/>
  <c r="F35" i="1"/>
  <c r="F53" i="1"/>
  <c r="F56" i="1"/>
  <c r="F77" i="1"/>
  <c r="F84" i="1"/>
  <c r="F105" i="1"/>
  <c r="F52" i="1"/>
  <c r="F106" i="1"/>
  <c r="F72" i="1"/>
  <c r="F60" i="1"/>
  <c r="F68" i="1"/>
  <c r="F80" i="1"/>
  <c r="F36" i="1"/>
  <c r="F19" i="1"/>
  <c r="F92" i="1"/>
  <c r="F62" i="1"/>
  <c r="F48" i="1"/>
  <c r="F94" i="1"/>
  <c r="F54" i="1"/>
  <c r="F15" i="1"/>
  <c r="F93" i="1"/>
  <c r="F8" i="1"/>
  <c r="F37" i="1"/>
  <c r="F75" i="1"/>
  <c r="F102" i="1"/>
  <c r="F87" i="1"/>
  <c r="F67" i="1"/>
  <c r="F42" i="1"/>
  <c r="F82" i="1"/>
  <c r="F22" i="1"/>
  <c r="F90" i="1"/>
  <c r="F39" i="1"/>
  <c r="F88" i="1"/>
  <c r="F44" i="1"/>
  <c r="F27" i="1"/>
  <c r="F104" i="1"/>
  <c r="F30" i="1"/>
  <c r="F98" i="1"/>
  <c r="F18" i="1"/>
  <c r="F64" i="1"/>
  <c r="F10" i="1"/>
  <c r="F58" i="1"/>
  <c r="F50" i="1"/>
  <c r="F78" i="1"/>
  <c r="B112" i="5" l="1"/>
  <c r="V114" i="5"/>
  <c r="B113" i="5"/>
  <c r="B89" i="5"/>
  <c r="Z89" i="5" s="1"/>
  <c r="B91" i="5"/>
  <c r="B90" i="5"/>
  <c r="J90" i="5" s="1"/>
  <c r="J27" i="5" s="1"/>
  <c r="J6" i="4"/>
  <c r="H14" i="4"/>
  <c r="L13" i="4"/>
  <c r="J4" i="4" s="1"/>
  <c r="I6" i="4" s="1"/>
  <c r="G2" i="2" s="1"/>
  <c r="H4" i="2" s="1"/>
  <c r="H7" i="2" s="1"/>
  <c r="K19" i="4"/>
  <c r="G14" i="4"/>
  <c r="G18" i="4"/>
  <c r="G19" i="4"/>
  <c r="K14" i="4"/>
  <c r="G13" i="4"/>
  <c r="D18" i="4"/>
  <c r="D21" i="4"/>
  <c r="D17" i="4"/>
  <c r="D19" i="4"/>
  <c r="D16" i="4"/>
  <c r="H4" i="4"/>
  <c r="G6" i="4" s="1"/>
  <c r="F3" i="12" s="1"/>
  <c r="D13" i="4"/>
  <c r="J20" i="2"/>
  <c r="J74" i="2" s="1"/>
  <c r="J21" i="2"/>
  <c r="J22" i="2"/>
  <c r="H11" i="5"/>
  <c r="M22" i="5"/>
  <c r="F16" i="9"/>
  <c r="I4" i="4" l="1"/>
  <c r="H6" i="4" s="1"/>
  <c r="H2" i="2" s="1"/>
  <c r="I4" i="2" s="1"/>
  <c r="I6" i="2" s="1"/>
  <c r="U113" i="5"/>
  <c r="U27" i="5" s="1"/>
  <c r="T113" i="5"/>
  <c r="T27" i="5" s="1"/>
  <c r="Z91" i="5"/>
  <c r="Z27" i="5" s="1"/>
  <c r="Q91" i="5"/>
  <c r="Q27" i="5" s="1"/>
  <c r="V27" i="5"/>
  <c r="J15" i="2"/>
  <c r="J16" i="2"/>
  <c r="J17" i="2"/>
  <c r="J63" i="2" s="1"/>
  <c r="J64" i="2" s="1"/>
  <c r="J65" i="2" s="1"/>
  <c r="J66" i="2" s="1"/>
  <c r="F13" i="12"/>
  <c r="J73" i="2"/>
  <c r="J75" i="2"/>
  <c r="J72" i="2"/>
  <c r="E4" i="4"/>
  <c r="S4" i="4" s="1"/>
  <c r="C4" i="4"/>
  <c r="C2" i="2" s="1"/>
  <c r="B4" i="4"/>
  <c r="D16" i="9" s="1"/>
  <c r="F2" i="2"/>
  <c r="G4" i="2" s="1"/>
  <c r="M6" i="4" s="1"/>
  <c r="H8" i="2"/>
  <c r="H6" i="2"/>
  <c r="N6" i="4"/>
  <c r="I63" i="2" l="1"/>
  <c r="I17" i="2"/>
  <c r="I66" i="2"/>
  <c r="I65" i="2"/>
  <c r="I15" i="2"/>
  <c r="I64" i="2"/>
  <c r="I16" i="2"/>
  <c r="L321" i="12"/>
  <c r="L548" i="12"/>
  <c r="L305" i="12"/>
  <c r="L535" i="12"/>
  <c r="L519" i="12"/>
  <c r="L505" i="12"/>
  <c r="E111" i="12"/>
  <c r="E4" i="12"/>
  <c r="L345" i="12"/>
  <c r="E89" i="12"/>
  <c r="L327" i="12"/>
  <c r="L551" i="12"/>
  <c r="L324" i="12"/>
  <c r="E2" i="12"/>
  <c r="E66" i="12"/>
  <c r="E130" i="12"/>
  <c r="E194" i="12"/>
  <c r="L444" i="12"/>
  <c r="L190" i="12"/>
  <c r="L428" i="12"/>
  <c r="L153" i="12"/>
  <c r="L423" i="12"/>
  <c r="L148" i="12"/>
  <c r="E38" i="12"/>
  <c r="E102" i="12"/>
  <c r="E166" i="12"/>
  <c r="E230" i="12"/>
  <c r="E294" i="12"/>
  <c r="E27" i="12"/>
  <c r="E112" i="12"/>
  <c r="E197" i="12"/>
  <c r="E283" i="12"/>
  <c r="L9" i="12"/>
  <c r="L73" i="12"/>
  <c r="E87" i="12"/>
  <c r="E172" i="12"/>
  <c r="E257" i="12"/>
  <c r="E342" i="12"/>
  <c r="L58" i="12"/>
  <c r="E125" i="12"/>
  <c r="E296" i="12"/>
  <c r="L79" i="12"/>
  <c r="L143" i="12"/>
  <c r="L207" i="12"/>
  <c r="E73" i="12"/>
  <c r="E244" i="12"/>
  <c r="E120" i="12"/>
  <c r="L52" i="12"/>
  <c r="L149" i="12"/>
  <c r="L234" i="12"/>
  <c r="E313" i="12"/>
  <c r="L113" i="12"/>
  <c r="L545" i="12"/>
  <c r="L316" i="12"/>
  <c r="L527" i="12"/>
  <c r="L300" i="12"/>
  <c r="L524" i="12"/>
  <c r="L295" i="12"/>
  <c r="E10" i="12"/>
  <c r="E74" i="12"/>
  <c r="E138" i="12"/>
  <c r="E202" i="12"/>
  <c r="E266" i="12"/>
  <c r="E330" i="12"/>
  <c r="E75" i="12"/>
  <c r="E160" i="12"/>
  <c r="E245" i="12"/>
  <c r="E331" i="12"/>
  <c r="L45" i="12"/>
  <c r="E49" i="12"/>
  <c r="E135" i="12"/>
  <c r="E220" i="12"/>
  <c r="E305" i="12"/>
  <c r="L30" i="12"/>
  <c r="E25" i="12"/>
  <c r="E190" i="12"/>
  <c r="E338" i="12"/>
  <c r="E171" i="12"/>
  <c r="E341" i="12"/>
  <c r="E60" i="12"/>
  <c r="E231" i="12"/>
  <c r="L38" i="12"/>
  <c r="E136" i="12"/>
  <c r="L3" i="12"/>
  <c r="L123" i="12"/>
  <c r="L39" i="12"/>
  <c r="L377" i="12"/>
  <c r="E281" i="12"/>
  <c r="L364" i="12"/>
  <c r="L110" i="12"/>
  <c r="L228" i="12"/>
  <c r="L196" i="12"/>
  <c r="L348" i="12"/>
  <c r="L516" i="12"/>
  <c r="L289" i="12"/>
  <c r="L497" i="12"/>
  <c r="L271" i="12"/>
  <c r="L495" i="12"/>
  <c r="L268" i="12"/>
  <c r="E18" i="12"/>
  <c r="E82" i="12"/>
  <c r="E146" i="12"/>
  <c r="E210" i="12"/>
  <c r="L388" i="12"/>
  <c r="L78" i="12"/>
  <c r="L369" i="12"/>
  <c r="L7" i="12"/>
  <c r="L367" i="12"/>
  <c r="E344" i="12"/>
  <c r="E54" i="12"/>
  <c r="E118" i="12"/>
  <c r="E182" i="12"/>
  <c r="E246" i="12"/>
  <c r="E310" i="12"/>
  <c r="E48" i="12"/>
  <c r="E133" i="12"/>
  <c r="E219" i="12"/>
  <c r="E304" i="12"/>
  <c r="L25" i="12"/>
  <c r="E23" i="12"/>
  <c r="E108" i="12"/>
  <c r="E193" i="12"/>
  <c r="E279" i="12"/>
  <c r="L10" i="12"/>
  <c r="L74" i="12"/>
  <c r="E168" i="12"/>
  <c r="E339" i="12"/>
  <c r="L95" i="12"/>
  <c r="L159" i="12"/>
  <c r="L223" i="12"/>
  <c r="E116" i="12"/>
  <c r="E287" i="12"/>
  <c r="E205" i="12"/>
  <c r="L85" i="12"/>
  <c r="L170" i="12"/>
  <c r="E57" i="12"/>
  <c r="L23" i="12"/>
  <c r="L134" i="12"/>
  <c r="L487" i="12"/>
  <c r="L260" i="12"/>
  <c r="L471" i="12"/>
  <c r="L238" i="12"/>
  <c r="L465" i="12"/>
  <c r="L233" i="12"/>
  <c r="E26" i="12"/>
  <c r="E90" i="12"/>
  <c r="E154" i="12"/>
  <c r="E218" i="12"/>
  <c r="E282" i="12"/>
  <c r="E11" i="12"/>
  <c r="E96" i="12"/>
  <c r="E181" i="12"/>
  <c r="E267" i="12"/>
  <c r="E349" i="12"/>
  <c r="L61" i="12"/>
  <c r="E71" i="12"/>
  <c r="E156" i="12"/>
  <c r="E241" i="12"/>
  <c r="E327" i="12"/>
  <c r="L359" i="12"/>
  <c r="L337" i="12"/>
  <c r="E242" i="12"/>
  <c r="E43" i="12"/>
  <c r="E213" i="12"/>
  <c r="L21" i="12"/>
  <c r="E103" i="12"/>
  <c r="E273" i="12"/>
  <c r="L62" i="12"/>
  <c r="E189" i="12"/>
  <c r="L43" i="12"/>
  <c r="L169" i="12"/>
  <c r="L433" i="12"/>
  <c r="L142" i="12"/>
  <c r="L420" i="12"/>
  <c r="L292" i="12"/>
  <c r="L463" i="12"/>
  <c r="L335" i="12"/>
  <c r="L84" i="12"/>
  <c r="L460" i="12"/>
  <c r="L217" i="12"/>
  <c r="L441" i="12"/>
  <c r="L185" i="12"/>
  <c r="L439" i="12"/>
  <c r="L174" i="12"/>
  <c r="E34" i="12"/>
  <c r="E98" i="12"/>
  <c r="E162" i="12"/>
  <c r="E226" i="12"/>
  <c r="L332" i="12"/>
  <c r="L540" i="12"/>
  <c r="L313" i="12"/>
  <c r="L537" i="12"/>
  <c r="L311" i="12"/>
  <c r="E6" i="12"/>
  <c r="E70" i="12"/>
  <c r="E134" i="12"/>
  <c r="E198" i="12"/>
  <c r="E262" i="12"/>
  <c r="E326" i="12"/>
  <c r="E69" i="12"/>
  <c r="E155" i="12"/>
  <c r="E240" i="12"/>
  <c r="E325" i="12"/>
  <c r="L41" i="12"/>
  <c r="E44" i="12"/>
  <c r="E129" i="12"/>
  <c r="E215" i="12"/>
  <c r="E300" i="12"/>
  <c r="L26" i="12"/>
  <c r="E40" i="12"/>
  <c r="E211" i="12"/>
  <c r="L19" i="12"/>
  <c r="L111" i="12"/>
  <c r="L175" i="12"/>
  <c r="L239" i="12"/>
  <c r="E159" i="12"/>
  <c r="E329" i="12"/>
  <c r="E291" i="12"/>
  <c r="L106" i="12"/>
  <c r="L192" i="12"/>
  <c r="E143" i="12"/>
  <c r="L64" i="12"/>
  <c r="L156" i="12"/>
  <c r="L431" i="12"/>
  <c r="L164" i="12"/>
  <c r="L412" i="12"/>
  <c r="L126" i="12"/>
  <c r="L409" i="12"/>
  <c r="L121" i="12"/>
  <c r="E42" i="12"/>
  <c r="E106" i="12"/>
  <c r="E170" i="12"/>
  <c r="E234" i="12"/>
  <c r="E298" i="12"/>
  <c r="E32" i="12"/>
  <c r="E117" i="12"/>
  <c r="E203" i="12"/>
  <c r="E288" i="12"/>
  <c r="L13" i="12"/>
  <c r="E7" i="12"/>
  <c r="E92" i="12"/>
  <c r="E177" i="12"/>
  <c r="E263" i="12"/>
  <c r="E346" i="12"/>
  <c r="E260" i="12"/>
  <c r="E62" i="12"/>
  <c r="E274" i="12"/>
  <c r="E85" i="12"/>
  <c r="E256" i="12"/>
  <c r="L53" i="12"/>
  <c r="E145" i="12"/>
  <c r="E316" i="12"/>
  <c r="E19" i="12"/>
  <c r="E243" i="12"/>
  <c r="L83" i="12"/>
  <c r="L476" i="12"/>
  <c r="L391" i="12"/>
  <c r="L60" i="12"/>
  <c r="E114" i="12"/>
  <c r="L484" i="12"/>
  <c r="E22" i="12"/>
  <c r="E278" i="12"/>
  <c r="E261" i="12"/>
  <c r="E151" i="12"/>
  <c r="E83" i="12"/>
  <c r="L191" i="12"/>
  <c r="L8" i="12"/>
  <c r="L92" i="12"/>
  <c r="L356" i="12"/>
  <c r="E58" i="12"/>
  <c r="E314" i="12"/>
  <c r="E309" i="12"/>
  <c r="E199" i="12"/>
  <c r="E126" i="12"/>
  <c r="E17" i="12"/>
  <c r="E307" i="12"/>
  <c r="L187" i="12"/>
  <c r="E84" i="12"/>
  <c r="E308" i="12"/>
  <c r="E351" i="12"/>
  <c r="L154" i="12"/>
  <c r="E100" i="12"/>
  <c r="L86" i="12"/>
  <c r="L198" i="12"/>
  <c r="L274" i="12"/>
  <c r="L338" i="12"/>
  <c r="L303" i="12"/>
  <c r="L281" i="12"/>
  <c r="E206" i="12"/>
  <c r="E16" i="12"/>
  <c r="E187" i="12"/>
  <c r="L2" i="12"/>
  <c r="E76" i="12"/>
  <c r="E247" i="12"/>
  <c r="L46" i="12"/>
  <c r="E147" i="12"/>
  <c r="L11" i="12"/>
  <c r="L131" i="12"/>
  <c r="L215" i="12"/>
  <c r="E148" i="12"/>
  <c r="E56" i="12"/>
  <c r="L72" i="12"/>
  <c r="L186" i="12"/>
  <c r="E249" i="12"/>
  <c r="L124" i="12"/>
  <c r="L225" i="12"/>
  <c r="L294" i="12"/>
  <c r="L358" i="12"/>
  <c r="L455" i="12"/>
  <c r="E30" i="12"/>
  <c r="E258" i="12"/>
  <c r="E64" i="12"/>
  <c r="E235" i="12"/>
  <c r="L37" i="12"/>
  <c r="E124" i="12"/>
  <c r="E295" i="12"/>
  <c r="L70" i="12"/>
  <c r="E221" i="12"/>
  <c r="L67" i="12"/>
  <c r="L155" i="12"/>
  <c r="L243" i="12"/>
  <c r="E223" i="12"/>
  <c r="E184" i="12"/>
  <c r="L112" i="12"/>
  <c r="L224" i="12"/>
  <c r="L12" i="12"/>
  <c r="L161" i="12"/>
  <c r="L250" i="12"/>
  <c r="L417" i="12"/>
  <c r="L396" i="12"/>
  <c r="E174" i="12"/>
  <c r="E334" i="12"/>
  <c r="E165" i="12"/>
  <c r="E336" i="12"/>
  <c r="E55" i="12"/>
  <c r="E225" i="12"/>
  <c r="L34" i="12"/>
  <c r="E115" i="12"/>
  <c r="E347" i="12"/>
  <c r="L119" i="12"/>
  <c r="L263" i="12"/>
  <c r="L407" i="12"/>
  <c r="L401" i="12"/>
  <c r="L380" i="12"/>
  <c r="E178" i="12"/>
  <c r="L257" i="12"/>
  <c r="E86" i="12"/>
  <c r="E5" i="12"/>
  <c r="E345" i="12"/>
  <c r="E236" i="12"/>
  <c r="E253" i="12"/>
  <c r="E31" i="12"/>
  <c r="L128" i="12"/>
  <c r="L177" i="12"/>
  <c r="E196" i="12"/>
  <c r="E122" i="12"/>
  <c r="E53" i="12"/>
  <c r="L29" i="12"/>
  <c r="E284" i="12"/>
  <c r="E306" i="12"/>
  <c r="E188" i="12"/>
  <c r="L103" i="12"/>
  <c r="L211" i="12"/>
  <c r="E137" i="12"/>
  <c r="E13" i="12"/>
  <c r="L63" i="12"/>
  <c r="L181" i="12"/>
  <c r="E207" i="12"/>
  <c r="L118" i="12"/>
  <c r="L220" i="12"/>
  <c r="L290" i="12"/>
  <c r="L354" i="12"/>
  <c r="L513" i="12"/>
  <c r="E14" i="12"/>
  <c r="E254" i="12"/>
  <c r="E59" i="12"/>
  <c r="E229" i="12"/>
  <c r="L33" i="12"/>
  <c r="E119" i="12"/>
  <c r="E289" i="12"/>
  <c r="L66" i="12"/>
  <c r="E200" i="12"/>
  <c r="L59" i="12"/>
  <c r="L151" i="12"/>
  <c r="L235" i="12"/>
  <c r="E212" i="12"/>
  <c r="E163" i="12"/>
  <c r="L101" i="12"/>
  <c r="L218" i="12"/>
  <c r="E352" i="12"/>
  <c r="L150" i="12"/>
  <c r="L246" i="12"/>
  <c r="L310" i="12"/>
  <c r="L374" i="12"/>
  <c r="L212" i="12"/>
  <c r="E94" i="12"/>
  <c r="E290" i="12"/>
  <c r="E107" i="12"/>
  <c r="E277" i="12"/>
  <c r="L69" i="12"/>
  <c r="E167" i="12"/>
  <c r="E337" i="12"/>
  <c r="E51" i="12"/>
  <c r="E275" i="12"/>
  <c r="L91" i="12"/>
  <c r="L179" i="12"/>
  <c r="E52" i="12"/>
  <c r="E276" i="12"/>
  <c r="E312" i="12"/>
  <c r="L138" i="12"/>
  <c r="E36" i="12"/>
  <c r="L76" i="12"/>
  <c r="L188" i="12"/>
  <c r="L266" i="12"/>
  <c r="L132" i="12"/>
  <c r="L89" i="12"/>
  <c r="E238" i="12"/>
  <c r="E37" i="12"/>
  <c r="E208" i="12"/>
  <c r="L17" i="12"/>
  <c r="E97" i="12"/>
  <c r="E268" i="12"/>
  <c r="L54" i="12"/>
  <c r="E179" i="12"/>
  <c r="L35" i="12"/>
  <c r="L139" i="12"/>
  <c r="L492" i="12"/>
  <c r="L279" i="12"/>
  <c r="L105" i="12"/>
  <c r="L48" i="12"/>
  <c r="L503" i="12"/>
  <c r="L481" i="12"/>
  <c r="E150" i="12"/>
  <c r="E91" i="12"/>
  <c r="L57" i="12"/>
  <c r="E321" i="12"/>
  <c r="L51" i="12"/>
  <c r="E201" i="12"/>
  <c r="L213" i="12"/>
  <c r="L375" i="12"/>
  <c r="L353" i="12"/>
  <c r="E186" i="12"/>
  <c r="E139" i="12"/>
  <c r="E28" i="12"/>
  <c r="L14" i="12"/>
  <c r="E128" i="12"/>
  <c r="L6" i="12"/>
  <c r="L147" i="12"/>
  <c r="L231" i="12"/>
  <c r="E191" i="12"/>
  <c r="E141" i="12"/>
  <c r="L96" i="12"/>
  <c r="L208" i="12"/>
  <c r="E335" i="12"/>
  <c r="L145" i="12"/>
  <c r="L241" i="12"/>
  <c r="L306" i="12"/>
  <c r="L370" i="12"/>
  <c r="L284" i="12"/>
  <c r="E78" i="12"/>
  <c r="E286" i="12"/>
  <c r="E101" i="12"/>
  <c r="E272" i="12"/>
  <c r="L65" i="12"/>
  <c r="E161" i="12"/>
  <c r="E332" i="12"/>
  <c r="E29" i="12"/>
  <c r="E264" i="12"/>
  <c r="L87" i="12"/>
  <c r="L171" i="12"/>
  <c r="E41" i="12"/>
  <c r="E265" i="12"/>
  <c r="E269" i="12"/>
  <c r="L133" i="12"/>
  <c r="E15" i="12"/>
  <c r="L55" i="12"/>
  <c r="L182" i="12"/>
  <c r="L262" i="12"/>
  <c r="L326" i="12"/>
  <c r="L473" i="12"/>
  <c r="L452" i="12"/>
  <c r="E158" i="12"/>
  <c r="E322" i="12"/>
  <c r="E149" i="12"/>
  <c r="E320" i="12"/>
  <c r="E39" i="12"/>
  <c r="E209" i="12"/>
  <c r="L22" i="12"/>
  <c r="E104" i="12"/>
  <c r="E328" i="12"/>
  <c r="L115" i="12"/>
  <c r="L199" i="12"/>
  <c r="E105" i="12"/>
  <c r="E340" i="12"/>
  <c r="L31" i="12"/>
  <c r="L165" i="12"/>
  <c r="E164" i="12"/>
  <c r="L102" i="12"/>
  <c r="L209" i="12"/>
  <c r="L282" i="12"/>
  <c r="L399" i="12"/>
  <c r="E46" i="12"/>
  <c r="E270" i="12"/>
  <c r="E80" i="12"/>
  <c r="E251" i="12"/>
  <c r="L49" i="12"/>
  <c r="E140" i="12"/>
  <c r="E311" i="12"/>
  <c r="E8" i="12"/>
  <c r="E232" i="12"/>
  <c r="L75" i="12"/>
  <c r="E50" i="12"/>
  <c r="E176" i="12"/>
  <c r="E35" i="12"/>
  <c r="E250" i="12"/>
  <c r="E299" i="12"/>
  <c r="E255" i="12"/>
  <c r="L44" i="12"/>
  <c r="L529" i="12"/>
  <c r="E144" i="12"/>
  <c r="L18" i="12"/>
  <c r="L195" i="12"/>
  <c r="L160" i="12"/>
  <c r="L278" i="12"/>
  <c r="E222" i="12"/>
  <c r="E81" i="12"/>
  <c r="L27" i="12"/>
  <c r="E77" i="12"/>
  <c r="L129" i="12"/>
  <c r="E110" i="12"/>
  <c r="E12" i="12"/>
  <c r="E285" i="12"/>
  <c r="L203" i="12"/>
  <c r="E127" i="12"/>
  <c r="E348" i="12"/>
  <c r="L40" i="12"/>
  <c r="L176" i="12"/>
  <c r="L32" i="12"/>
  <c r="L346" i="12"/>
  <c r="L426" i="12"/>
  <c r="L490" i="12"/>
  <c r="E24" i="12"/>
  <c r="L125" i="12"/>
  <c r="L269" i="12"/>
  <c r="L355" i="12"/>
  <c r="L440" i="12"/>
  <c r="L525" i="12"/>
  <c r="L36" i="12"/>
  <c r="L226" i="12"/>
  <c r="L320" i="12"/>
  <c r="L405" i="12"/>
  <c r="L491" i="12"/>
  <c r="L500" i="12"/>
  <c r="L329" i="12"/>
  <c r="L71" i="12"/>
  <c r="L193" i="12"/>
  <c r="L382" i="12"/>
  <c r="L446" i="12"/>
  <c r="L510" i="12"/>
  <c r="E237" i="12"/>
  <c r="L178" i="12"/>
  <c r="L296" i="12"/>
  <c r="L381" i="12"/>
  <c r="L467" i="12"/>
  <c r="L552" i="12"/>
  <c r="L109" i="12"/>
  <c r="L261" i="12"/>
  <c r="L347" i="12"/>
  <c r="L432" i="12"/>
  <c r="L517" i="12"/>
  <c r="L447" i="12"/>
  <c r="L276" i="12"/>
  <c r="E68" i="12"/>
  <c r="L214" i="12"/>
  <c r="L386" i="12"/>
  <c r="L450" i="12"/>
  <c r="L514" i="12"/>
  <c r="E280" i="12"/>
  <c r="L189" i="12"/>
  <c r="L301" i="12"/>
  <c r="L387" i="12"/>
  <c r="L472" i="12"/>
  <c r="E3" i="12"/>
  <c r="L120" i="12"/>
  <c r="L267" i="12"/>
  <c r="L352" i="12"/>
  <c r="L437" i="12"/>
  <c r="L523" i="12"/>
  <c r="L436" i="12"/>
  <c r="L265" i="12"/>
  <c r="E303" i="12"/>
  <c r="L302" i="12"/>
  <c r="L406" i="12"/>
  <c r="L470" i="12"/>
  <c r="L534" i="12"/>
  <c r="L68" i="12"/>
  <c r="L249" i="12"/>
  <c r="L273" i="12"/>
  <c r="E65" i="12"/>
  <c r="E228" i="12"/>
  <c r="E224" i="12"/>
  <c r="E72" i="12"/>
  <c r="E248" i="12"/>
  <c r="L172" i="12"/>
  <c r="L508" i="12"/>
  <c r="E315" i="12"/>
  <c r="E93" i="12"/>
  <c r="E95" i="12"/>
  <c r="E121" i="12"/>
  <c r="L342" i="12"/>
  <c r="E21" i="12"/>
  <c r="E252" i="12"/>
  <c r="L135" i="12"/>
  <c r="L80" i="12"/>
  <c r="L230" i="12"/>
  <c r="E302" i="12"/>
  <c r="E183" i="12"/>
  <c r="L99" i="12"/>
  <c r="L227" i="12"/>
  <c r="E180" i="12"/>
  <c r="E99" i="12"/>
  <c r="L90" i="12"/>
  <c r="L202" i="12"/>
  <c r="L166" i="12"/>
  <c r="L378" i="12"/>
  <c r="L442" i="12"/>
  <c r="L506" i="12"/>
  <c r="E195" i="12"/>
  <c r="L168" i="12"/>
  <c r="L291" i="12"/>
  <c r="L376" i="12"/>
  <c r="L461" i="12"/>
  <c r="L547" i="12"/>
  <c r="L98" i="12"/>
  <c r="L256" i="12"/>
  <c r="L341" i="12"/>
  <c r="L427" i="12"/>
  <c r="L512" i="12"/>
  <c r="L457" i="12"/>
  <c r="L287" i="12"/>
  <c r="E153" i="12"/>
  <c r="L270" i="12"/>
  <c r="L398" i="12"/>
  <c r="L462" i="12"/>
  <c r="L526" i="12"/>
  <c r="L24" i="12"/>
  <c r="L221" i="12"/>
  <c r="L317" i="12"/>
  <c r="L403" i="12"/>
  <c r="L488" i="12"/>
  <c r="E131" i="12"/>
  <c r="L152" i="12"/>
  <c r="L283" i="12"/>
  <c r="L368" i="12"/>
  <c r="L453" i="12"/>
  <c r="L539" i="12"/>
  <c r="L404" i="12"/>
  <c r="L222" i="12"/>
  <c r="E47" i="12"/>
  <c r="L286" i="12"/>
  <c r="L402" i="12"/>
  <c r="L466" i="12"/>
  <c r="L530" i="12"/>
  <c r="L47" i="12"/>
  <c r="L232" i="12"/>
  <c r="L323" i="12"/>
  <c r="L408" i="12"/>
  <c r="L493" i="12"/>
  <c r="E173" i="12"/>
  <c r="L162" i="12"/>
  <c r="L288" i="12"/>
  <c r="L373" i="12"/>
  <c r="L459" i="12"/>
  <c r="L544" i="12"/>
  <c r="L393" i="12"/>
  <c r="L201" i="12"/>
  <c r="E292" i="12"/>
  <c r="L334" i="12"/>
  <c r="L422" i="12"/>
  <c r="L486" i="12"/>
  <c r="L550" i="12"/>
  <c r="L114" i="12"/>
  <c r="L449" i="12"/>
  <c r="L252" i="12"/>
  <c r="L42" i="12"/>
  <c r="L16" i="12"/>
  <c r="E113" i="12"/>
  <c r="L167" i="12"/>
  <c r="L122" i="12"/>
  <c r="L258" i="12"/>
  <c r="E142" i="12"/>
  <c r="E33" i="12"/>
  <c r="E317" i="12"/>
  <c r="E319" i="12"/>
  <c r="L97" i="12"/>
  <c r="L247" i="12"/>
  <c r="E192" i="12"/>
  <c r="L50" i="12"/>
  <c r="L219" i="12"/>
  <c r="L197" i="12"/>
  <c r="L298" i="12"/>
  <c r="E123" i="12"/>
  <c r="E350" i="12"/>
  <c r="L163" i="12"/>
  <c r="E9" i="12"/>
  <c r="E233" i="12"/>
  <c r="E227" i="12"/>
  <c r="L117" i="12"/>
  <c r="L229" i="12"/>
  <c r="L254" i="12"/>
  <c r="L394" i="12"/>
  <c r="L458" i="12"/>
  <c r="L522" i="12"/>
  <c r="L4" i="12"/>
  <c r="L210" i="12"/>
  <c r="L312" i="12"/>
  <c r="L397" i="12"/>
  <c r="L483" i="12"/>
  <c r="E88" i="12"/>
  <c r="L141" i="12"/>
  <c r="L277" i="12"/>
  <c r="L363" i="12"/>
  <c r="L448" i="12"/>
  <c r="L533" i="12"/>
  <c r="L415" i="12"/>
  <c r="L244" i="12"/>
  <c r="E132" i="12"/>
  <c r="L318" i="12"/>
  <c r="L414" i="12"/>
  <c r="L478" i="12"/>
  <c r="L542" i="12"/>
  <c r="L93" i="12"/>
  <c r="L253" i="12"/>
  <c r="L339" i="12"/>
  <c r="L424" i="12"/>
  <c r="L509" i="12"/>
  <c r="E301" i="12"/>
  <c r="L194" i="12"/>
  <c r="L304" i="12"/>
  <c r="L389" i="12"/>
  <c r="L475" i="12"/>
  <c r="L532" i="12"/>
  <c r="L361" i="12"/>
  <c r="L137" i="12"/>
  <c r="E185" i="12"/>
  <c r="L330" i="12"/>
  <c r="L418" i="12"/>
  <c r="L482" i="12"/>
  <c r="L546" i="12"/>
  <c r="L104" i="12"/>
  <c r="L259" i="12"/>
  <c r="L344" i="12"/>
  <c r="L429" i="12"/>
  <c r="L515" i="12"/>
  <c r="E343" i="12"/>
  <c r="L205" i="12"/>
  <c r="L309" i="12"/>
  <c r="L395" i="12"/>
  <c r="L480" i="12"/>
  <c r="L521" i="12"/>
  <c r="L351" i="12"/>
  <c r="L116" i="12"/>
  <c r="L140" i="12"/>
  <c r="L366" i="12"/>
  <c r="L438" i="12"/>
  <c r="L502" i="12"/>
  <c r="E152" i="12"/>
  <c r="L157" i="12"/>
  <c r="E175" i="12"/>
  <c r="L322" i="12"/>
  <c r="L20" i="12"/>
  <c r="E157" i="12"/>
  <c r="E293" i="12"/>
  <c r="E297" i="12"/>
  <c r="L314" i="12"/>
  <c r="L82" i="12"/>
  <c r="L504" i="12"/>
  <c r="L384" i="12"/>
  <c r="L158" i="12"/>
  <c r="L494" i="12"/>
  <c r="L360" i="12"/>
  <c r="L237" i="12"/>
  <c r="L489" i="12"/>
  <c r="L362" i="12"/>
  <c r="L146" i="12"/>
  <c r="L536" i="12"/>
  <c r="L416" i="12"/>
  <c r="E324" i="12"/>
  <c r="L518" i="12"/>
  <c r="L264" i="12"/>
  <c r="L349" i="12"/>
  <c r="L435" i="12"/>
  <c r="L520" i="12"/>
  <c r="L15" i="12"/>
  <c r="L216" i="12"/>
  <c r="L315" i="12"/>
  <c r="L400" i="12"/>
  <c r="L485" i="12"/>
  <c r="L511" i="12"/>
  <c r="L340" i="12"/>
  <c r="L94" i="12"/>
  <c r="L107" i="12"/>
  <c r="L100" i="12"/>
  <c r="L538" i="12"/>
  <c r="L372" i="12"/>
  <c r="L56" i="12"/>
  <c r="L451" i="12"/>
  <c r="L242" i="12"/>
  <c r="L499" i="12"/>
  <c r="L293" i="12"/>
  <c r="L549" i="12"/>
  <c r="L385" i="12"/>
  <c r="L343" i="12"/>
  <c r="E318" i="12"/>
  <c r="L204" i="12"/>
  <c r="E169" i="12"/>
  <c r="E61" i="12"/>
  <c r="E333" i="12"/>
  <c r="L410" i="12"/>
  <c r="L248" i="12"/>
  <c r="E259" i="12"/>
  <c r="L469" i="12"/>
  <c r="L81" i="12"/>
  <c r="E67" i="12"/>
  <c r="L445" i="12"/>
  <c r="L325" i="12"/>
  <c r="L319" i="12"/>
  <c r="L434" i="12"/>
  <c r="L280" i="12"/>
  <c r="L77" i="12"/>
  <c r="L501" i="12"/>
  <c r="L236" i="12"/>
  <c r="E323" i="12"/>
  <c r="L285" i="12"/>
  <c r="L371" i="12"/>
  <c r="L456" i="12"/>
  <c r="L541" i="12"/>
  <c r="L88" i="12"/>
  <c r="L251" i="12"/>
  <c r="L336" i="12"/>
  <c r="L421" i="12"/>
  <c r="L507" i="12"/>
  <c r="L468" i="12"/>
  <c r="L297" i="12"/>
  <c r="E239" i="12"/>
  <c r="L240" i="12"/>
  <c r="E63" i="12"/>
  <c r="L419" i="12"/>
  <c r="L430" i="12"/>
  <c r="L496" i="12"/>
  <c r="L331" i="12"/>
  <c r="L454" i="12"/>
  <c r="L413" i="12"/>
  <c r="L173" i="12"/>
  <c r="L464" i="12"/>
  <c r="L180" i="12"/>
  <c r="E214" i="12"/>
  <c r="E20" i="12"/>
  <c r="E204" i="12"/>
  <c r="L206" i="12"/>
  <c r="E271" i="12"/>
  <c r="L183" i="12"/>
  <c r="L144" i="12"/>
  <c r="L474" i="12"/>
  <c r="L333" i="12"/>
  <c r="L184" i="12"/>
  <c r="L543" i="12"/>
  <c r="L350" i="12"/>
  <c r="L136" i="12"/>
  <c r="L531" i="12"/>
  <c r="L411" i="12"/>
  <c r="L28" i="12"/>
  <c r="L498" i="12"/>
  <c r="L365" i="12"/>
  <c r="L245" i="12"/>
  <c r="L479" i="12"/>
  <c r="L390" i="12"/>
  <c r="L200" i="12"/>
  <c r="L307" i="12"/>
  <c r="L392" i="12"/>
  <c r="L477" i="12"/>
  <c r="E45" i="12"/>
  <c r="L130" i="12"/>
  <c r="L272" i="12"/>
  <c r="L357" i="12"/>
  <c r="L443" i="12"/>
  <c r="L528" i="12"/>
  <c r="L425" i="12"/>
  <c r="L255" i="12"/>
  <c r="E217" i="12"/>
  <c r="L127" i="12"/>
  <c r="L5" i="12"/>
  <c r="E79" i="12"/>
  <c r="L299" i="12"/>
  <c r="L275" i="12"/>
  <c r="L108" i="12"/>
  <c r="E109" i="12"/>
  <c r="L308" i="12"/>
  <c r="L328" i="12"/>
  <c r="E216" i="12"/>
  <c r="L379" i="12"/>
  <c r="L383" i="12"/>
  <c r="B4" i="2"/>
  <c r="M4" i="4" s="1"/>
  <c r="F4" i="4"/>
  <c r="E6" i="4" s="1"/>
  <c r="C6" i="4"/>
  <c r="G4" i="4"/>
  <c r="F6" i="4" s="1"/>
  <c r="C16" i="9" s="1"/>
  <c r="B2" i="2"/>
  <c r="I8" i="2"/>
  <c r="O6" i="4"/>
  <c r="I7" i="2"/>
  <c r="D2" i="2"/>
  <c r="A4" i="2" l="1"/>
  <c r="L4" i="4" s="1"/>
  <c r="C347" i="12"/>
  <c r="A347" i="12" s="1"/>
  <c r="C331" i="12"/>
  <c r="A331" i="12" s="1"/>
  <c r="C315" i="12"/>
  <c r="A315" i="12" s="1"/>
  <c r="C299" i="12"/>
  <c r="A299" i="12" s="1"/>
  <c r="C283" i="12"/>
  <c r="A283" i="12" s="1"/>
  <c r="C267" i="12"/>
  <c r="A267" i="12" s="1"/>
  <c r="C251" i="12"/>
  <c r="A251" i="12" s="1"/>
  <c r="C235" i="12"/>
  <c r="A235" i="12" s="1"/>
  <c r="C219" i="12"/>
  <c r="A219" i="12" s="1"/>
  <c r="C203" i="12"/>
  <c r="A203" i="12" s="1"/>
  <c r="C187" i="12"/>
  <c r="A187" i="12" s="1"/>
  <c r="C171" i="12"/>
  <c r="A171" i="12" s="1"/>
  <c r="C155" i="12"/>
  <c r="A155" i="12" s="1"/>
  <c r="C139" i="12"/>
  <c r="A139" i="12" s="1"/>
  <c r="C123" i="12"/>
  <c r="A123" i="12" s="1"/>
  <c r="C107" i="12"/>
  <c r="A107" i="12" s="1"/>
  <c r="C91" i="12"/>
  <c r="A91" i="12" s="1"/>
  <c r="C75" i="12"/>
  <c r="A75" i="12" s="1"/>
  <c r="C59" i="12"/>
  <c r="A59" i="12" s="1"/>
  <c r="C352" i="12"/>
  <c r="A352" i="12" s="1"/>
  <c r="C336" i="12"/>
  <c r="A336" i="12" s="1"/>
  <c r="C320" i="12"/>
  <c r="A320" i="12" s="1"/>
  <c r="C304" i="12"/>
  <c r="A304" i="12" s="1"/>
  <c r="C288" i="12"/>
  <c r="A288" i="12" s="1"/>
  <c r="C272" i="12"/>
  <c r="A272" i="12" s="1"/>
  <c r="C256" i="12"/>
  <c r="A256" i="12" s="1"/>
  <c r="C240" i="12"/>
  <c r="A240" i="12" s="1"/>
  <c r="C224" i="12"/>
  <c r="A224" i="12" s="1"/>
  <c r="C208" i="12"/>
  <c r="A208" i="12" s="1"/>
  <c r="C192" i="12"/>
  <c r="A192" i="12" s="1"/>
  <c r="C176" i="12"/>
  <c r="A176" i="12" s="1"/>
  <c r="C160" i="12"/>
  <c r="A160" i="12" s="1"/>
  <c r="C144" i="12"/>
  <c r="A144" i="12" s="1"/>
  <c r="C128" i="12"/>
  <c r="A128" i="12" s="1"/>
  <c r="C112" i="12"/>
  <c r="A112" i="12" s="1"/>
  <c r="C96" i="12"/>
  <c r="A96" i="12" s="1"/>
  <c r="C80" i="12"/>
  <c r="A80" i="12" s="1"/>
  <c r="C64" i="12"/>
  <c r="A64" i="12" s="1"/>
  <c r="C48" i="12"/>
  <c r="A48" i="12" s="1"/>
  <c r="C325" i="12"/>
  <c r="A325" i="12" s="1"/>
  <c r="C293" i="12"/>
  <c r="A293" i="12" s="1"/>
  <c r="C261" i="12"/>
  <c r="A261" i="12" s="1"/>
  <c r="C229" i="12"/>
  <c r="A229" i="12" s="1"/>
  <c r="C197" i="12"/>
  <c r="A197" i="12" s="1"/>
  <c r="C165" i="12"/>
  <c r="A165" i="12" s="1"/>
  <c r="C133" i="12"/>
  <c r="A133" i="12" s="1"/>
  <c r="C101" i="12"/>
  <c r="A101" i="12" s="1"/>
  <c r="C69" i="12"/>
  <c r="A69" i="12" s="1"/>
  <c r="C41" i="12"/>
  <c r="A41" i="12" s="1"/>
  <c r="C25" i="12"/>
  <c r="A25" i="12" s="1"/>
  <c r="C9" i="12"/>
  <c r="A9" i="12" s="1"/>
  <c r="C321" i="12"/>
  <c r="A321" i="12" s="1"/>
  <c r="C257" i="12"/>
  <c r="A257" i="12" s="1"/>
  <c r="C185" i="12"/>
  <c r="A185" i="12" s="1"/>
  <c r="C121" i="12"/>
  <c r="A121" i="12" s="1"/>
  <c r="C49" i="12"/>
  <c r="A49" i="12" s="1"/>
  <c r="C15" i="12"/>
  <c r="A15" i="12" s="1"/>
  <c r="C330" i="12"/>
  <c r="A330" i="12" s="1"/>
  <c r="C298" i="12"/>
  <c r="A298" i="12" s="1"/>
  <c r="C266" i="12"/>
  <c r="A266" i="12" s="1"/>
  <c r="C234" i="12"/>
  <c r="A234" i="12" s="1"/>
  <c r="C202" i="12"/>
  <c r="A202" i="12" s="1"/>
  <c r="C170" i="12"/>
  <c r="A170" i="12" s="1"/>
  <c r="C138" i="12"/>
  <c r="A138" i="12" s="1"/>
  <c r="C106" i="12"/>
  <c r="A106" i="12" s="1"/>
  <c r="C74" i="12"/>
  <c r="A74" i="12" s="1"/>
  <c r="C44" i="12"/>
  <c r="A44" i="12" s="1"/>
  <c r="C28" i="12"/>
  <c r="A28" i="12" s="1"/>
  <c r="C12" i="12"/>
  <c r="A12" i="12" s="1"/>
  <c r="C329" i="12"/>
  <c r="A329" i="12" s="1"/>
  <c r="C265" i="12"/>
  <c r="A265" i="12" s="1"/>
  <c r="C209" i="12"/>
  <c r="A209" i="12" s="1"/>
  <c r="C145" i="12"/>
  <c r="A145" i="12" s="1"/>
  <c r="D145" i="12" s="1"/>
  <c r="C89" i="12"/>
  <c r="A89" i="12" s="1"/>
  <c r="C35" i="12"/>
  <c r="A35" i="12" s="1"/>
  <c r="C7" i="12"/>
  <c r="A7" i="12" s="1"/>
  <c r="C294" i="12"/>
  <c r="A294" i="12" s="1"/>
  <c r="D294" i="12" s="1"/>
  <c r="C166" i="12"/>
  <c r="A166" i="12" s="1"/>
  <c r="C42" i="12"/>
  <c r="A42" i="12" s="1"/>
  <c r="C254" i="12"/>
  <c r="A254" i="12" s="1"/>
  <c r="C62" i="12"/>
  <c r="A62" i="12" s="1"/>
  <c r="C246" i="12"/>
  <c r="A246" i="12" s="1"/>
  <c r="C18" i="12"/>
  <c r="A18" i="12" s="1"/>
  <c r="C78" i="12"/>
  <c r="A78" i="12" s="1"/>
  <c r="C94" i="12"/>
  <c r="A94" i="12" s="1"/>
  <c r="C343" i="12"/>
  <c r="A343" i="12" s="1"/>
  <c r="C327" i="12"/>
  <c r="A327" i="12" s="1"/>
  <c r="C311" i="12"/>
  <c r="A311" i="12" s="1"/>
  <c r="C295" i="12"/>
  <c r="A295" i="12" s="1"/>
  <c r="D295" i="12" s="1"/>
  <c r="C279" i="12"/>
  <c r="A279" i="12" s="1"/>
  <c r="C263" i="12"/>
  <c r="A263" i="12" s="1"/>
  <c r="C247" i="12"/>
  <c r="A247" i="12" s="1"/>
  <c r="C231" i="12"/>
  <c r="A231" i="12" s="1"/>
  <c r="C215" i="12"/>
  <c r="A215" i="12" s="1"/>
  <c r="C199" i="12"/>
  <c r="A199" i="12" s="1"/>
  <c r="C183" i="12"/>
  <c r="A183" i="12" s="1"/>
  <c r="C167" i="12"/>
  <c r="A167" i="12" s="1"/>
  <c r="C151" i="12"/>
  <c r="A151" i="12" s="1"/>
  <c r="C135" i="12"/>
  <c r="A135" i="12" s="1"/>
  <c r="C119" i="12"/>
  <c r="A119" i="12" s="1"/>
  <c r="C103" i="12"/>
  <c r="A103" i="12" s="1"/>
  <c r="C87" i="12"/>
  <c r="A87" i="12" s="1"/>
  <c r="C71" i="12"/>
  <c r="A71" i="12" s="1"/>
  <c r="C55" i="12"/>
  <c r="A55" i="12" s="1"/>
  <c r="C348" i="12"/>
  <c r="A348" i="12" s="1"/>
  <c r="D348" i="12" s="1"/>
  <c r="C332" i="12"/>
  <c r="A332" i="12" s="1"/>
  <c r="C316" i="12"/>
  <c r="A316" i="12" s="1"/>
  <c r="C300" i="12"/>
  <c r="A300" i="12" s="1"/>
  <c r="D300" i="12" s="1"/>
  <c r="C284" i="12"/>
  <c r="A284" i="12" s="1"/>
  <c r="D284" i="12" s="1"/>
  <c r="C268" i="12"/>
  <c r="A268" i="12" s="1"/>
  <c r="C252" i="12"/>
  <c r="A252" i="12" s="1"/>
  <c r="C236" i="12"/>
  <c r="A236" i="12" s="1"/>
  <c r="D236" i="12" s="1"/>
  <c r="C220" i="12"/>
  <c r="A220" i="12" s="1"/>
  <c r="D220" i="12" s="1"/>
  <c r="C204" i="12"/>
  <c r="A204" i="12" s="1"/>
  <c r="D204" i="12" s="1"/>
  <c r="C188" i="12"/>
  <c r="A188" i="12" s="1"/>
  <c r="C172" i="12"/>
  <c r="A172" i="12" s="1"/>
  <c r="D172" i="12" s="1"/>
  <c r="C156" i="12"/>
  <c r="A156" i="12" s="1"/>
  <c r="D156" i="12" s="1"/>
  <c r="C140" i="12"/>
  <c r="A140" i="12" s="1"/>
  <c r="D140" i="12" s="1"/>
  <c r="C124" i="12"/>
  <c r="A124" i="12" s="1"/>
  <c r="D124" i="12" s="1"/>
  <c r="C108" i="12"/>
  <c r="A108" i="12" s="1"/>
  <c r="D108" i="12" s="1"/>
  <c r="C92" i="12"/>
  <c r="A92" i="12" s="1"/>
  <c r="D92" i="12" s="1"/>
  <c r="C76" i="12"/>
  <c r="A76" i="12" s="1"/>
  <c r="D76" i="12" s="1"/>
  <c r="C60" i="12"/>
  <c r="A60" i="12" s="1"/>
  <c r="D60" i="12" s="1"/>
  <c r="C349" i="12"/>
  <c r="A349" i="12" s="1"/>
  <c r="C317" i="12"/>
  <c r="A317" i="12" s="1"/>
  <c r="C285" i="12"/>
  <c r="A285" i="12" s="1"/>
  <c r="C253" i="12"/>
  <c r="A253" i="12" s="1"/>
  <c r="D253" i="12" s="1"/>
  <c r="C221" i="12"/>
  <c r="A221" i="12" s="1"/>
  <c r="C189" i="12"/>
  <c r="A189" i="12" s="1"/>
  <c r="C157" i="12"/>
  <c r="A157" i="12" s="1"/>
  <c r="C125" i="12"/>
  <c r="A125" i="12" s="1"/>
  <c r="C93" i="12"/>
  <c r="A93" i="12" s="1"/>
  <c r="C61" i="12"/>
  <c r="A61" i="12" s="1"/>
  <c r="C37" i="12"/>
  <c r="A37" i="12" s="1"/>
  <c r="C21" i="12"/>
  <c r="A21" i="12" s="1"/>
  <c r="C5" i="12"/>
  <c r="A5" i="12" s="1"/>
  <c r="C305" i="12"/>
  <c r="A305" i="12" s="1"/>
  <c r="C241" i="12"/>
  <c r="A241" i="12" s="1"/>
  <c r="C169" i="12"/>
  <c r="A169" i="12" s="1"/>
  <c r="C97" i="12"/>
  <c r="A97" i="12" s="1"/>
  <c r="D97" i="12" s="1"/>
  <c r="C39" i="12"/>
  <c r="A39" i="12" s="1"/>
  <c r="C3" i="12"/>
  <c r="A3" i="12" s="1"/>
  <c r="C322" i="12"/>
  <c r="A322" i="12" s="1"/>
  <c r="C290" i="12"/>
  <c r="A290" i="12" s="1"/>
  <c r="C258" i="12"/>
  <c r="A258" i="12" s="1"/>
  <c r="D258" i="12" s="1"/>
  <c r="C226" i="12"/>
  <c r="A226" i="12" s="1"/>
  <c r="C194" i="12"/>
  <c r="A194" i="12" s="1"/>
  <c r="C162" i="12"/>
  <c r="A162" i="12" s="1"/>
  <c r="C130" i="12"/>
  <c r="A130" i="12" s="1"/>
  <c r="C98" i="12"/>
  <c r="A98" i="12" s="1"/>
  <c r="C66" i="12"/>
  <c r="A66" i="12" s="1"/>
  <c r="C40" i="12"/>
  <c r="A40" i="12" s="1"/>
  <c r="C24" i="12"/>
  <c r="A24" i="12" s="1"/>
  <c r="C4" i="12"/>
  <c r="A4" i="12" s="1"/>
  <c r="D4" i="12" s="1"/>
  <c r="C313" i="12"/>
  <c r="A313" i="12" s="1"/>
  <c r="C249" i="12"/>
  <c r="A249" i="12" s="1"/>
  <c r="C193" i="12"/>
  <c r="A193" i="12" s="1"/>
  <c r="C129" i="12"/>
  <c r="A129" i="12" s="1"/>
  <c r="D129" i="12" s="1"/>
  <c r="C73" i="12"/>
  <c r="A73" i="12" s="1"/>
  <c r="C27" i="12"/>
  <c r="A27" i="12" s="1"/>
  <c r="C350" i="12"/>
  <c r="A350" i="12" s="1"/>
  <c r="C262" i="12"/>
  <c r="A262" i="12" s="1"/>
  <c r="D262" i="12" s="1"/>
  <c r="C134" i="12"/>
  <c r="A134" i="12" s="1"/>
  <c r="C26" i="12"/>
  <c r="A26" i="12" s="1"/>
  <c r="C222" i="12"/>
  <c r="A222" i="12" s="1"/>
  <c r="C38" i="12"/>
  <c r="A38" i="12" s="1"/>
  <c r="D38" i="12" s="1"/>
  <c r="C182" i="12"/>
  <c r="A182" i="12" s="1"/>
  <c r="C302" i="12"/>
  <c r="A302" i="12" s="1"/>
  <c r="C30" i="12"/>
  <c r="A30" i="12" s="1"/>
  <c r="C6" i="12"/>
  <c r="A6" i="12" s="1"/>
  <c r="C339" i="12"/>
  <c r="A339" i="12" s="1"/>
  <c r="C323" i="12"/>
  <c r="A323" i="12" s="1"/>
  <c r="C307" i="12"/>
  <c r="A307" i="12" s="1"/>
  <c r="C291" i="12"/>
  <c r="A291" i="12" s="1"/>
  <c r="C275" i="12"/>
  <c r="A275" i="12" s="1"/>
  <c r="C259" i="12"/>
  <c r="A259" i="12" s="1"/>
  <c r="C243" i="12"/>
  <c r="A243" i="12" s="1"/>
  <c r="C227" i="12"/>
  <c r="A227" i="12" s="1"/>
  <c r="D227" i="12" s="1"/>
  <c r="C211" i="12"/>
  <c r="A211" i="12" s="1"/>
  <c r="C195" i="12"/>
  <c r="A195" i="12" s="1"/>
  <c r="C179" i="12"/>
  <c r="A179" i="12" s="1"/>
  <c r="C163" i="12"/>
  <c r="A163" i="12" s="1"/>
  <c r="C147" i="12"/>
  <c r="A147" i="12" s="1"/>
  <c r="C131" i="12"/>
  <c r="A131" i="12" s="1"/>
  <c r="C115" i="12"/>
  <c r="A115" i="12" s="1"/>
  <c r="C99" i="12"/>
  <c r="A99" i="12" s="1"/>
  <c r="D99" i="12" s="1"/>
  <c r="C83" i="12"/>
  <c r="A83" i="12" s="1"/>
  <c r="C67" i="12"/>
  <c r="A67" i="12" s="1"/>
  <c r="C51" i="12"/>
  <c r="A51" i="12" s="1"/>
  <c r="C344" i="12"/>
  <c r="A344" i="12" s="1"/>
  <c r="D344" i="12" s="1"/>
  <c r="C328" i="12"/>
  <c r="A328" i="12" s="1"/>
  <c r="D328" i="12" s="1"/>
  <c r="C312" i="12"/>
  <c r="A312" i="12" s="1"/>
  <c r="D312" i="12" s="1"/>
  <c r="C296" i="12"/>
  <c r="A296" i="12" s="1"/>
  <c r="D296" i="12" s="1"/>
  <c r="C280" i="12"/>
  <c r="A280" i="12" s="1"/>
  <c r="D280" i="12" s="1"/>
  <c r="C264" i="12"/>
  <c r="A264" i="12" s="1"/>
  <c r="D264" i="12" s="1"/>
  <c r="C248" i="12"/>
  <c r="A248" i="12" s="1"/>
  <c r="D248" i="12" s="1"/>
  <c r="C232" i="12"/>
  <c r="A232" i="12" s="1"/>
  <c r="D232" i="12" s="1"/>
  <c r="C216" i="12"/>
  <c r="A216" i="12" s="1"/>
  <c r="C200" i="12"/>
  <c r="A200" i="12" s="1"/>
  <c r="D200" i="12" s="1"/>
  <c r="C184" i="12"/>
  <c r="A184" i="12" s="1"/>
  <c r="D184" i="12" s="1"/>
  <c r="C168" i="12"/>
  <c r="A168" i="12" s="1"/>
  <c r="D168" i="12" s="1"/>
  <c r="C152" i="12"/>
  <c r="A152" i="12" s="1"/>
  <c r="C136" i="12"/>
  <c r="A136" i="12" s="1"/>
  <c r="D136" i="12" s="1"/>
  <c r="C120" i="12"/>
  <c r="A120" i="12" s="1"/>
  <c r="D120" i="12" s="1"/>
  <c r="C104" i="12"/>
  <c r="A104" i="12" s="1"/>
  <c r="D104" i="12" s="1"/>
  <c r="C88" i="12"/>
  <c r="A88" i="12" s="1"/>
  <c r="C72" i="12"/>
  <c r="A72" i="12" s="1"/>
  <c r="D72" i="12" s="1"/>
  <c r="C56" i="12"/>
  <c r="A56" i="12" s="1"/>
  <c r="D56" i="12" s="1"/>
  <c r="C341" i="12"/>
  <c r="A341" i="12" s="1"/>
  <c r="C309" i="12"/>
  <c r="A309" i="12" s="1"/>
  <c r="C277" i="12"/>
  <c r="A277" i="12" s="1"/>
  <c r="C245" i="12"/>
  <c r="A245" i="12" s="1"/>
  <c r="C213" i="12"/>
  <c r="A213" i="12" s="1"/>
  <c r="C181" i="12"/>
  <c r="A181" i="12" s="1"/>
  <c r="C149" i="12"/>
  <c r="A149" i="12" s="1"/>
  <c r="C117" i="12"/>
  <c r="A117" i="12" s="1"/>
  <c r="C85" i="12"/>
  <c r="A85" i="12" s="1"/>
  <c r="C53" i="12"/>
  <c r="A53" i="12" s="1"/>
  <c r="C33" i="12"/>
  <c r="A33" i="12" s="1"/>
  <c r="C17" i="12"/>
  <c r="A17" i="12" s="1"/>
  <c r="C8" i="12"/>
  <c r="A8" i="12" s="1"/>
  <c r="C289" i="12"/>
  <c r="A289" i="12" s="1"/>
  <c r="C217" i="12"/>
  <c r="A217" i="12" s="1"/>
  <c r="C153" i="12"/>
  <c r="A153" i="12" s="1"/>
  <c r="C81" i="12"/>
  <c r="A81" i="12" s="1"/>
  <c r="D81" i="12" s="1"/>
  <c r="C31" i="12"/>
  <c r="A31" i="12" s="1"/>
  <c r="C346" i="12"/>
  <c r="A346" i="12" s="1"/>
  <c r="C314" i="12"/>
  <c r="A314" i="12" s="1"/>
  <c r="C282" i="12"/>
  <c r="A282" i="12" s="1"/>
  <c r="C250" i="12"/>
  <c r="A250" i="12" s="1"/>
  <c r="C218" i="12"/>
  <c r="A218" i="12" s="1"/>
  <c r="C186" i="12"/>
  <c r="A186" i="12" s="1"/>
  <c r="C154" i="12"/>
  <c r="A154" i="12" s="1"/>
  <c r="C122" i="12"/>
  <c r="A122" i="12" s="1"/>
  <c r="C90" i="12"/>
  <c r="A90" i="12" s="1"/>
  <c r="C58" i="12"/>
  <c r="A58" i="12" s="1"/>
  <c r="C36" i="12"/>
  <c r="A36" i="12" s="1"/>
  <c r="C20" i="12"/>
  <c r="A20" i="12" s="1"/>
  <c r="C2" i="12"/>
  <c r="A2" i="12" s="1"/>
  <c r="C297" i="12"/>
  <c r="A297" i="12" s="1"/>
  <c r="C233" i="12"/>
  <c r="A233" i="12" s="1"/>
  <c r="D233" i="12" s="1"/>
  <c r="C177" i="12"/>
  <c r="A177" i="12" s="1"/>
  <c r="C113" i="12"/>
  <c r="A113" i="12" s="1"/>
  <c r="C57" i="12"/>
  <c r="A57" i="12" s="1"/>
  <c r="D57" i="12" s="1"/>
  <c r="C19" i="12"/>
  <c r="A19" i="12" s="1"/>
  <c r="C342" i="12"/>
  <c r="A342" i="12" s="1"/>
  <c r="C230" i="12"/>
  <c r="A230" i="12" s="1"/>
  <c r="C102" i="12"/>
  <c r="A102" i="12" s="1"/>
  <c r="C10" i="12"/>
  <c r="A10" i="12" s="1"/>
  <c r="C158" i="12"/>
  <c r="A158" i="12" s="1"/>
  <c r="D158" i="12" s="1"/>
  <c r="C22" i="12"/>
  <c r="A22" i="12" s="1"/>
  <c r="D22" i="12" s="1"/>
  <c r="C118" i="12"/>
  <c r="A118" i="12" s="1"/>
  <c r="D118" i="12" s="1"/>
  <c r="C206" i="12"/>
  <c r="A206" i="12" s="1"/>
  <c r="C318" i="12"/>
  <c r="A318" i="12" s="1"/>
  <c r="C278" i="12"/>
  <c r="A278" i="12" s="1"/>
  <c r="D278" i="12" s="1"/>
  <c r="C335" i="12"/>
  <c r="A335" i="12" s="1"/>
  <c r="C271" i="12"/>
  <c r="A271" i="12" s="1"/>
  <c r="C207" i="12"/>
  <c r="A207" i="12" s="1"/>
  <c r="C143" i="12"/>
  <c r="A143" i="12" s="1"/>
  <c r="C79" i="12"/>
  <c r="A79" i="12" s="1"/>
  <c r="C324" i="12"/>
  <c r="A324" i="12" s="1"/>
  <c r="C260" i="12"/>
  <c r="A260" i="12" s="1"/>
  <c r="C196" i="12"/>
  <c r="A196" i="12" s="1"/>
  <c r="C132" i="12"/>
  <c r="A132" i="12" s="1"/>
  <c r="D132" i="12" s="1"/>
  <c r="C68" i="12"/>
  <c r="A68" i="12" s="1"/>
  <c r="C269" i="12"/>
  <c r="A269" i="12" s="1"/>
  <c r="D269" i="12" s="1"/>
  <c r="C141" i="12"/>
  <c r="A141" i="12" s="1"/>
  <c r="C29" i="12"/>
  <c r="A29" i="12" s="1"/>
  <c r="D29" i="12" s="1"/>
  <c r="C201" i="12"/>
  <c r="A201" i="12" s="1"/>
  <c r="C338" i="12"/>
  <c r="A338" i="12" s="1"/>
  <c r="C210" i="12"/>
  <c r="A210" i="12" s="1"/>
  <c r="C82" i="12"/>
  <c r="A82" i="12" s="1"/>
  <c r="C345" i="12"/>
  <c r="A345" i="12" s="1"/>
  <c r="C105" i="12"/>
  <c r="A105" i="12" s="1"/>
  <c r="C198" i="12"/>
  <c r="A198" i="12" s="1"/>
  <c r="C310" i="12"/>
  <c r="A310" i="12" s="1"/>
  <c r="C214" i="12"/>
  <c r="A214" i="12" s="1"/>
  <c r="C334" i="12"/>
  <c r="A334" i="12" s="1"/>
  <c r="C110" i="12"/>
  <c r="A110" i="12" s="1"/>
  <c r="C319" i="12"/>
  <c r="A319" i="12" s="1"/>
  <c r="C255" i="12"/>
  <c r="A255" i="12" s="1"/>
  <c r="C191" i="12"/>
  <c r="A191" i="12" s="1"/>
  <c r="C127" i="12"/>
  <c r="A127" i="12" s="1"/>
  <c r="C63" i="12"/>
  <c r="A63" i="12" s="1"/>
  <c r="C308" i="12"/>
  <c r="A308" i="12" s="1"/>
  <c r="C244" i="12"/>
  <c r="A244" i="12" s="1"/>
  <c r="C180" i="12"/>
  <c r="A180" i="12" s="1"/>
  <c r="C116" i="12"/>
  <c r="A116" i="12" s="1"/>
  <c r="C52" i="12"/>
  <c r="A52" i="12" s="1"/>
  <c r="D52" i="12" s="1"/>
  <c r="C237" i="12"/>
  <c r="A237" i="12" s="1"/>
  <c r="C109" i="12"/>
  <c r="A109" i="12" s="1"/>
  <c r="C13" i="12"/>
  <c r="A13" i="12" s="1"/>
  <c r="C137" i="12"/>
  <c r="A137" i="12" s="1"/>
  <c r="C306" i="12"/>
  <c r="A306" i="12" s="1"/>
  <c r="C178" i="12"/>
  <c r="A178" i="12" s="1"/>
  <c r="C50" i="12"/>
  <c r="A50" i="12" s="1"/>
  <c r="D50" i="12" s="1"/>
  <c r="C281" i="12"/>
  <c r="A281" i="12" s="1"/>
  <c r="C43" i="12"/>
  <c r="A43" i="12" s="1"/>
  <c r="C70" i="12"/>
  <c r="A70" i="12" s="1"/>
  <c r="C54" i="12"/>
  <c r="A54" i="12" s="1"/>
  <c r="C150" i="12"/>
  <c r="A150" i="12" s="1"/>
  <c r="C270" i="12"/>
  <c r="A270" i="12" s="1"/>
  <c r="D270" i="12" s="1"/>
  <c r="C46" i="12"/>
  <c r="A46" i="12" s="1"/>
  <c r="C351" i="12"/>
  <c r="A351" i="12" s="1"/>
  <c r="C287" i="12"/>
  <c r="A287" i="12" s="1"/>
  <c r="C223" i="12"/>
  <c r="A223" i="12" s="1"/>
  <c r="C159" i="12"/>
  <c r="A159" i="12" s="1"/>
  <c r="C95" i="12"/>
  <c r="A95" i="12" s="1"/>
  <c r="C340" i="12"/>
  <c r="A340" i="12" s="1"/>
  <c r="C276" i="12"/>
  <c r="A276" i="12" s="1"/>
  <c r="C212" i="12"/>
  <c r="A212" i="12" s="1"/>
  <c r="D212" i="12" s="1"/>
  <c r="C148" i="12"/>
  <c r="A148" i="12" s="1"/>
  <c r="C84" i="12"/>
  <c r="A84" i="12" s="1"/>
  <c r="C301" i="12"/>
  <c r="A301" i="12" s="1"/>
  <c r="C173" i="12"/>
  <c r="A173" i="12" s="1"/>
  <c r="C45" i="12"/>
  <c r="A45" i="12" s="1"/>
  <c r="C273" i="12"/>
  <c r="A273" i="12" s="1"/>
  <c r="D273" i="12" s="1"/>
  <c r="C23" i="12"/>
  <c r="A23" i="12" s="1"/>
  <c r="C242" i="12"/>
  <c r="A242" i="12" s="1"/>
  <c r="C114" i="12"/>
  <c r="A114" i="12" s="1"/>
  <c r="C16" i="12"/>
  <c r="A16" i="12" s="1"/>
  <c r="D16" i="12" s="1"/>
  <c r="C161" i="12"/>
  <c r="A161" i="12" s="1"/>
  <c r="C326" i="12"/>
  <c r="A326" i="12" s="1"/>
  <c r="C126" i="12"/>
  <c r="A126" i="12" s="1"/>
  <c r="C190" i="12"/>
  <c r="A190" i="12" s="1"/>
  <c r="D190" i="12" s="1"/>
  <c r="C34" i="12"/>
  <c r="A34" i="12" s="1"/>
  <c r="C174" i="12"/>
  <c r="A174" i="12" s="1"/>
  <c r="D174" i="12" s="1"/>
  <c r="C303" i="12"/>
  <c r="A303" i="12" s="1"/>
  <c r="D303" i="12" s="1"/>
  <c r="C239" i="12"/>
  <c r="A239" i="12" s="1"/>
  <c r="C175" i="12"/>
  <c r="A175" i="12" s="1"/>
  <c r="C111" i="12"/>
  <c r="A111" i="12" s="1"/>
  <c r="C47" i="12"/>
  <c r="A47" i="12" s="1"/>
  <c r="C292" i="12"/>
  <c r="A292" i="12" s="1"/>
  <c r="C228" i="12"/>
  <c r="A228" i="12" s="1"/>
  <c r="D228" i="12" s="1"/>
  <c r="C164" i="12"/>
  <c r="A164" i="12" s="1"/>
  <c r="C100" i="12"/>
  <c r="A100" i="12" s="1"/>
  <c r="C333" i="12"/>
  <c r="A333" i="12" s="1"/>
  <c r="C205" i="12"/>
  <c r="A205" i="12" s="1"/>
  <c r="D205" i="12" s="1"/>
  <c r="C77" i="12"/>
  <c r="A77" i="12" s="1"/>
  <c r="C337" i="12"/>
  <c r="A337" i="12" s="1"/>
  <c r="C65" i="12"/>
  <c r="A65" i="12" s="1"/>
  <c r="C274" i="12"/>
  <c r="A274" i="12" s="1"/>
  <c r="C146" i="12"/>
  <c r="A146" i="12" s="1"/>
  <c r="C32" i="12"/>
  <c r="A32" i="12" s="1"/>
  <c r="C225" i="12"/>
  <c r="A225" i="12" s="1"/>
  <c r="C11" i="12"/>
  <c r="A11" i="12" s="1"/>
  <c r="C286" i="12"/>
  <c r="A286" i="12" s="1"/>
  <c r="C142" i="12"/>
  <c r="A142" i="12" s="1"/>
  <c r="C86" i="12"/>
  <c r="A86" i="12" s="1"/>
  <c r="D86" i="12" s="1"/>
  <c r="C238" i="12"/>
  <c r="A238" i="12" s="1"/>
  <c r="C14" i="12"/>
  <c r="A14" i="12" s="1"/>
  <c r="E2" i="2"/>
  <c r="D79" i="12" l="1"/>
  <c r="D111" i="12"/>
  <c r="D230" i="12"/>
  <c r="D332" i="12"/>
  <c r="D308" i="12"/>
  <c r="D125" i="12"/>
  <c r="D88" i="12"/>
  <c r="D152" i="12"/>
  <c r="D268" i="12"/>
  <c r="D238" i="12"/>
  <c r="D326" i="12"/>
  <c r="D173" i="12"/>
  <c r="D70" i="12"/>
  <c r="D109" i="12"/>
  <c r="D198" i="12"/>
  <c r="D210" i="12"/>
  <c r="D225" i="12"/>
  <c r="D252" i="12"/>
  <c r="D216" i="12"/>
  <c r="D214" i="12"/>
  <c r="D188" i="12"/>
  <c r="D255" i="12"/>
  <c r="D8" i="12"/>
  <c r="D113" i="12"/>
  <c r="D218" i="12"/>
  <c r="D322" i="12"/>
  <c r="D14" i="12"/>
  <c r="D196" i="12"/>
  <c r="D316" i="12"/>
  <c r="D68" i="12"/>
  <c r="D324" i="12"/>
  <c r="D222" i="12"/>
  <c r="D350" i="12"/>
  <c r="D11" i="12"/>
  <c r="D161" i="12"/>
  <c r="D301" i="12"/>
  <c r="D223" i="12"/>
  <c r="D306" i="12"/>
  <c r="D237" i="12"/>
  <c r="D244" i="12"/>
  <c r="D105" i="12"/>
  <c r="D260" i="12"/>
  <c r="D318" i="12"/>
  <c r="D342" i="12"/>
  <c r="D250" i="12"/>
  <c r="D31" i="12"/>
  <c r="D289" i="12"/>
  <c r="D163" i="12"/>
  <c r="D291" i="12"/>
  <c r="D6" i="12"/>
  <c r="D166" i="12"/>
  <c r="D274" i="12"/>
  <c r="D207" i="12"/>
  <c r="D98" i="12"/>
  <c r="D154" i="12"/>
  <c r="D20" i="12"/>
  <c r="D157" i="12"/>
  <c r="D285" i="12"/>
  <c r="D175" i="12"/>
  <c r="D34" i="12"/>
  <c r="D23" i="12"/>
  <c r="D276" i="12"/>
  <c r="D43" i="12"/>
  <c r="D177" i="12"/>
  <c r="D122" i="12"/>
  <c r="D241" i="12"/>
  <c r="D84" i="12"/>
  <c r="D340" i="12"/>
  <c r="D150" i="12"/>
  <c r="D137" i="12"/>
  <c r="D201" i="12"/>
  <c r="D10" i="12"/>
  <c r="D19" i="12"/>
  <c r="D36" i="12"/>
  <c r="D305" i="12"/>
  <c r="D61" i="12"/>
  <c r="D189" i="12"/>
  <c r="D317" i="12"/>
  <c r="D142" i="12"/>
  <c r="D47" i="12"/>
  <c r="D126" i="12"/>
  <c r="D114" i="12"/>
  <c r="D45" i="12"/>
  <c r="D148" i="12"/>
  <c r="D102" i="12"/>
  <c r="D314" i="12"/>
  <c r="D67" i="12"/>
  <c r="D195" i="12"/>
  <c r="D323" i="12"/>
  <c r="D49" i="12"/>
  <c r="D333" i="12"/>
  <c r="D167" i="12"/>
  <c r="D257" i="12"/>
  <c r="D32" i="12"/>
  <c r="D337" i="12"/>
  <c r="D100" i="12"/>
  <c r="D95" i="12"/>
  <c r="D351" i="12"/>
  <c r="D54" i="12"/>
  <c r="D13" i="12"/>
  <c r="D116" i="12"/>
  <c r="D63" i="12"/>
  <c r="D319" i="12"/>
  <c r="D310" i="12"/>
  <c r="D82" i="12"/>
  <c r="D297" i="12"/>
  <c r="D186" i="12"/>
  <c r="D153" i="12"/>
  <c r="D131" i="12"/>
  <c r="D259" i="12"/>
  <c r="D26" i="12"/>
  <c r="D40" i="12"/>
  <c r="D93" i="12"/>
  <c r="D221" i="12"/>
  <c r="D349" i="12"/>
  <c r="D247" i="12"/>
  <c r="D209" i="12"/>
  <c r="D321" i="12"/>
  <c r="D65" i="12"/>
  <c r="D292" i="12"/>
  <c r="D281" i="12"/>
  <c r="D345" i="12"/>
  <c r="D193" i="12"/>
  <c r="D286" i="12"/>
  <c r="D146" i="12"/>
  <c r="D77" i="12"/>
  <c r="D164" i="12"/>
  <c r="D242" i="12"/>
  <c r="D159" i="12"/>
  <c r="D178" i="12"/>
  <c r="D180" i="12"/>
  <c r="D141" i="12"/>
  <c r="D90" i="12"/>
  <c r="D217" i="12"/>
  <c r="D134" i="12"/>
  <c r="D42" i="12"/>
  <c r="D335" i="12"/>
  <c r="D58" i="12"/>
  <c r="D17" i="12"/>
  <c r="D117" i="12"/>
  <c r="D245" i="12"/>
  <c r="D302" i="12"/>
  <c r="D27" i="12"/>
  <c r="D249" i="12"/>
  <c r="D162" i="12"/>
  <c r="D290" i="12"/>
  <c r="D5" i="12"/>
  <c r="D55" i="12"/>
  <c r="D119" i="12"/>
  <c r="D183" i="12"/>
  <c r="D311" i="12"/>
  <c r="D78" i="12"/>
  <c r="D254" i="12"/>
  <c r="D7" i="12"/>
  <c r="D28" i="12"/>
  <c r="D138" i="12"/>
  <c r="D266" i="12"/>
  <c r="D69" i="12"/>
  <c r="D197" i="12"/>
  <c r="D325" i="12"/>
  <c r="D96" i="12"/>
  <c r="D160" i="12"/>
  <c r="D224" i="12"/>
  <c r="D288" i="12"/>
  <c r="D352" i="12"/>
  <c r="D107" i="12"/>
  <c r="D171" i="12"/>
  <c r="D235" i="12"/>
  <c r="D299" i="12"/>
  <c r="D46" i="12"/>
  <c r="D127" i="12"/>
  <c r="D110" i="12"/>
  <c r="D143" i="12"/>
  <c r="F6" i="12"/>
  <c r="D346" i="12"/>
  <c r="D33" i="12"/>
  <c r="D149" i="12"/>
  <c r="D277" i="12"/>
  <c r="D83" i="12"/>
  <c r="D147" i="12"/>
  <c r="D211" i="12"/>
  <c r="D275" i="12"/>
  <c r="D339" i="12"/>
  <c r="D182" i="12"/>
  <c r="D73" i="12"/>
  <c r="D313" i="12"/>
  <c r="D66" i="12"/>
  <c r="D194" i="12"/>
  <c r="D169" i="12"/>
  <c r="D21" i="12"/>
  <c r="D71" i="12"/>
  <c r="D135" i="12"/>
  <c r="D199" i="12"/>
  <c r="D263" i="12"/>
  <c r="D327" i="12"/>
  <c r="D18" i="12"/>
  <c r="D35" i="12"/>
  <c r="D265" i="12"/>
  <c r="D44" i="12"/>
  <c r="D170" i="12"/>
  <c r="D298" i="12"/>
  <c r="D121" i="12"/>
  <c r="D9" i="12"/>
  <c r="D101" i="12"/>
  <c r="D229" i="12"/>
  <c r="D48" i="12"/>
  <c r="D112" i="12"/>
  <c r="D176" i="12"/>
  <c r="D240" i="12"/>
  <c r="D304" i="12"/>
  <c r="D59" i="12"/>
  <c r="D123" i="12"/>
  <c r="D187" i="12"/>
  <c r="D251" i="12"/>
  <c r="D315" i="12"/>
  <c r="D191" i="12"/>
  <c r="D334" i="12"/>
  <c r="D338" i="12"/>
  <c r="D53" i="12"/>
  <c r="D181" i="12"/>
  <c r="D309" i="12"/>
  <c r="D226" i="12"/>
  <c r="D3" i="12"/>
  <c r="D37" i="12"/>
  <c r="D87" i="12"/>
  <c r="D151" i="12"/>
  <c r="D215" i="12"/>
  <c r="D279" i="12"/>
  <c r="D343" i="12"/>
  <c r="D246" i="12"/>
  <c r="D89" i="12"/>
  <c r="D329" i="12"/>
  <c r="D74" i="12"/>
  <c r="D202" i="12"/>
  <c r="D330" i="12"/>
  <c r="D185" i="12"/>
  <c r="D25" i="12"/>
  <c r="D133" i="12"/>
  <c r="D261" i="12"/>
  <c r="D64" i="12"/>
  <c r="D128" i="12"/>
  <c r="D192" i="12"/>
  <c r="D256" i="12"/>
  <c r="D320" i="12"/>
  <c r="D75" i="12"/>
  <c r="D139" i="12"/>
  <c r="D203" i="12"/>
  <c r="D267" i="12"/>
  <c r="D331" i="12"/>
  <c r="D239" i="12"/>
  <c r="D287" i="12"/>
  <c r="D271" i="12"/>
  <c r="D206" i="12"/>
  <c r="D282" i="12"/>
  <c r="D85" i="12"/>
  <c r="D213" i="12"/>
  <c r="D341" i="12"/>
  <c r="D51" i="12"/>
  <c r="D115" i="12"/>
  <c r="D179" i="12"/>
  <c r="D243" i="12"/>
  <c r="D307" i="12"/>
  <c r="D30" i="12"/>
  <c r="D24" i="12"/>
  <c r="D130" i="12"/>
  <c r="D39" i="12"/>
  <c r="D103" i="12"/>
  <c r="D231" i="12"/>
  <c r="D94" i="12"/>
  <c r="D62" i="12"/>
  <c r="D12" i="12"/>
  <c r="D106" i="12"/>
  <c r="D234" i="12"/>
  <c r="D15" i="12"/>
  <c r="D41" i="12"/>
  <c r="D165" i="12"/>
  <c r="D293" i="12"/>
  <c r="D80" i="12"/>
  <c r="D144" i="12"/>
  <c r="D208" i="12"/>
  <c r="D272" i="12"/>
  <c r="D336" i="12"/>
  <c r="D91" i="12"/>
  <c r="D155" i="12"/>
  <c r="D219" i="12"/>
  <c r="D283" i="12"/>
  <c r="D347" i="12"/>
  <c r="F10" i="12" l="1"/>
  <c r="F8" i="12"/>
  <c r="F11" i="13" l="1"/>
  <c r="M107" i="5"/>
  <c r="M27" i="5" s="1"/>
  <c r="E6" i="8" l="1"/>
  <c r="E40" i="2"/>
  <c r="D6" i="8"/>
  <c r="F6" i="8"/>
  <c r="B40" i="2"/>
  <c r="C27" i="5"/>
  <c r="F27" i="5"/>
  <c r="H27" i="5"/>
  <c r="C85" i="5"/>
  <c r="AD85" i="5"/>
  <c r="AE85" i="5"/>
  <c r="AD89" i="5"/>
  <c r="AE89" i="5"/>
  <c r="AD90" i="5"/>
  <c r="AE90" i="5"/>
  <c r="AD91" i="5"/>
  <c r="AE91" i="5"/>
  <c r="C93" i="5"/>
  <c r="AD93" i="5"/>
  <c r="AE93" i="5"/>
  <c r="AD94" i="5"/>
  <c r="AE94" i="5"/>
  <c r="AD95" i="5"/>
  <c r="AE95" i="5"/>
  <c r="C97" i="5"/>
  <c r="H97" i="5"/>
  <c r="AD97" i="5"/>
  <c r="AE97" i="5"/>
  <c r="C98" i="5"/>
  <c r="AD98" i="5"/>
  <c r="AE98" i="5"/>
  <c r="C99" i="5"/>
  <c r="AD99" i="5"/>
  <c r="AE99" i="5"/>
  <c r="C100" i="5"/>
  <c r="AD100" i="5"/>
  <c r="AE100" i="5"/>
  <c r="AD101" i="5"/>
  <c r="AE101" i="5"/>
  <c r="AD102" i="5"/>
  <c r="AE102" i="5"/>
  <c r="AD103" i="5"/>
  <c r="AE103" i="5"/>
  <c r="C104" i="5"/>
  <c r="AD104" i="5"/>
  <c r="AE104" i="5"/>
  <c r="F105" i="5"/>
  <c r="AD105" i="5"/>
  <c r="AE105" i="5"/>
  <c r="AD107" i="5"/>
  <c r="AE107" i="5"/>
  <c r="AD108" i="5"/>
  <c r="AE108" i="5"/>
  <c r="F109" i="5"/>
  <c r="AD109" i="5"/>
  <c r="AE109" i="5"/>
  <c r="C110" i="5"/>
  <c r="AD110" i="5"/>
  <c r="AE110" i="5"/>
  <c r="C111" i="5"/>
  <c r="AD111" i="5"/>
  <c r="AE111" i="5"/>
  <c r="AD112" i="5"/>
  <c r="AE112" i="5"/>
  <c r="C3" i="13"/>
  <c r="D3" i="13"/>
  <c r="F3" i="13"/>
  <c r="G3" i="13"/>
  <c r="H3" i="13"/>
  <c r="I3" i="13"/>
  <c r="C5" i="13"/>
  <c r="D5" i="13"/>
  <c r="F5" i="13"/>
  <c r="H5" i="13"/>
  <c r="J5" i="13"/>
  <c r="K5" i="13"/>
  <c r="L5" i="13"/>
  <c r="M5" i="13"/>
  <c r="N5" i="13"/>
  <c r="C7" i="13"/>
  <c r="D7" i="13"/>
  <c r="E7" i="13"/>
  <c r="F7" i="13"/>
  <c r="H7" i="13"/>
  <c r="I7" i="13"/>
  <c r="J7" i="13"/>
  <c r="D9" i="13"/>
  <c r="F9" i="13"/>
  <c r="H9" i="13"/>
  <c r="J9" i="13"/>
  <c r="L9" i="13"/>
  <c r="N9" i="13"/>
  <c r="D10" i="13"/>
  <c r="F10" i="13"/>
  <c r="H10" i="13"/>
  <c r="J10" i="13"/>
  <c r="L10" i="13"/>
  <c r="N10" i="13"/>
  <c r="B11" i="13"/>
  <c r="C11" i="13"/>
  <c r="D11" i="13"/>
  <c r="H11" i="13"/>
  <c r="J11" i="13"/>
  <c r="K11" i="13"/>
  <c r="L11" i="13"/>
  <c r="N11" i="13"/>
  <c r="P11" i="13"/>
  <c r="B12" i="13"/>
  <c r="C12" i="13"/>
  <c r="D12" i="13"/>
  <c r="F12" i="13"/>
  <c r="G12" i="13"/>
  <c r="H12" i="13"/>
  <c r="J12" i="13"/>
  <c r="K12" i="13"/>
  <c r="L12" i="13"/>
  <c r="P12" i="13"/>
  <c r="B13" i="13"/>
  <c r="C13" i="13"/>
  <c r="D13" i="13"/>
  <c r="H13" i="13"/>
  <c r="J13" i="13"/>
  <c r="K13" i="13"/>
  <c r="L13" i="13"/>
  <c r="N13" i="13"/>
  <c r="P13" i="13"/>
  <c r="C16" i="13"/>
  <c r="D16" i="13"/>
  <c r="E16" i="13"/>
  <c r="G16" i="13"/>
  <c r="H16" i="13"/>
  <c r="I16" i="13"/>
  <c r="C18" i="13"/>
  <c r="D18" i="13"/>
  <c r="E18" i="13"/>
  <c r="F18" i="13"/>
  <c r="L18" i="13"/>
  <c r="M18" i="13"/>
  <c r="C20" i="13"/>
  <c r="F20" i="13"/>
  <c r="G20" i="13"/>
  <c r="H20" i="13"/>
  <c r="J20" i="13"/>
  <c r="K20" i="13"/>
  <c r="L20" i="13"/>
  <c r="D22" i="13"/>
  <c r="F22" i="13"/>
  <c r="H22" i="13"/>
  <c r="J22" i="13"/>
  <c r="L22" i="13"/>
  <c r="N22" i="13"/>
  <c r="B23" i="13"/>
  <c r="C23" i="13"/>
  <c r="D23" i="13"/>
  <c r="H23" i="13"/>
  <c r="J23" i="13"/>
  <c r="K23" i="13"/>
  <c r="L23" i="13"/>
  <c r="N23" i="13"/>
  <c r="P23" i="13"/>
  <c r="B24" i="13"/>
  <c r="C24" i="13"/>
  <c r="D24" i="13"/>
  <c r="F24" i="13"/>
  <c r="G24" i="13"/>
  <c r="H24" i="13"/>
  <c r="J24" i="13"/>
  <c r="K24" i="13"/>
  <c r="L24" i="13"/>
  <c r="P24" i="13"/>
  <c r="B25" i="13"/>
  <c r="C25" i="13"/>
  <c r="D25" i="13"/>
  <c r="H25" i="13"/>
  <c r="J25" i="13"/>
  <c r="K25" i="13"/>
  <c r="L25" i="13"/>
  <c r="N25" i="13"/>
  <c r="P25" i="13"/>
  <c r="C28" i="13"/>
  <c r="D28" i="13"/>
  <c r="E28" i="13"/>
  <c r="G28" i="13"/>
  <c r="H28" i="13"/>
  <c r="I28" i="13"/>
  <c r="C30" i="13"/>
  <c r="D30" i="13"/>
  <c r="E30" i="13"/>
  <c r="F30" i="13"/>
  <c r="G30" i="13"/>
  <c r="I30" i="13"/>
  <c r="J30" i="13"/>
  <c r="K30" i="13"/>
  <c r="L30" i="13"/>
  <c r="C32" i="13"/>
  <c r="D32" i="13"/>
  <c r="E32" i="13"/>
  <c r="F32" i="13"/>
  <c r="G32" i="13"/>
  <c r="I32" i="13"/>
  <c r="J32" i="13"/>
  <c r="K32" i="13"/>
  <c r="D34" i="13"/>
  <c r="F34" i="13"/>
  <c r="H34" i="13"/>
  <c r="J34" i="13"/>
  <c r="L34" i="13"/>
  <c r="N34" i="13"/>
  <c r="D35" i="13"/>
  <c r="F35" i="13"/>
  <c r="H35" i="13"/>
  <c r="J35" i="13"/>
  <c r="L35" i="13"/>
  <c r="N35" i="13"/>
  <c r="B36" i="13"/>
  <c r="C36" i="13"/>
  <c r="D36" i="13"/>
  <c r="H36" i="13"/>
  <c r="J36" i="13"/>
  <c r="K36" i="13"/>
  <c r="L36" i="13"/>
  <c r="N36" i="13"/>
  <c r="P36" i="13"/>
  <c r="B37" i="13"/>
  <c r="C37" i="13"/>
  <c r="D37" i="13"/>
  <c r="F37" i="13"/>
  <c r="G37" i="13"/>
  <c r="H37" i="13"/>
  <c r="J37" i="13"/>
  <c r="K37" i="13"/>
  <c r="L37" i="13"/>
  <c r="P37" i="13"/>
  <c r="B38" i="13"/>
  <c r="C38" i="13"/>
  <c r="D38" i="13"/>
  <c r="H38" i="13"/>
  <c r="J38" i="13"/>
  <c r="K38" i="13"/>
  <c r="L38" i="13"/>
  <c r="N38" i="13"/>
  <c r="P38" i="13"/>
  <c r="C41" i="13"/>
  <c r="D41" i="13"/>
  <c r="F41" i="13"/>
  <c r="G41" i="13"/>
  <c r="H41" i="13"/>
  <c r="I41" i="13"/>
  <c r="J41" i="13"/>
  <c r="C43" i="13"/>
  <c r="D43" i="13"/>
  <c r="E43" i="13"/>
  <c r="F43" i="13"/>
  <c r="G43" i="13"/>
  <c r="H43" i="13"/>
  <c r="I43" i="13"/>
  <c r="K43" i="13"/>
  <c r="B45" i="13"/>
  <c r="C45" i="13"/>
  <c r="D45" i="13"/>
  <c r="E45" i="13"/>
  <c r="F45" i="13"/>
  <c r="H45" i="13"/>
  <c r="I45" i="13"/>
  <c r="J45" i="13"/>
  <c r="B47" i="13"/>
  <c r="C47" i="13"/>
  <c r="E47" i="13"/>
  <c r="F47" i="13"/>
  <c r="G47" i="13"/>
  <c r="H47" i="13"/>
  <c r="D48" i="13"/>
  <c r="F48" i="13"/>
  <c r="H48" i="13"/>
  <c r="J48" i="13"/>
  <c r="L48" i="13"/>
  <c r="N48" i="13"/>
  <c r="D49" i="13"/>
  <c r="F49" i="13"/>
  <c r="H49" i="13"/>
  <c r="J49" i="13"/>
  <c r="L49" i="13"/>
  <c r="N49" i="13"/>
  <c r="B50" i="13"/>
  <c r="C50" i="13"/>
  <c r="D50" i="13"/>
  <c r="H50" i="13"/>
  <c r="J50" i="13"/>
  <c r="K50" i="13"/>
  <c r="L50" i="13"/>
  <c r="N50" i="13"/>
  <c r="P50" i="13"/>
  <c r="B51" i="13"/>
  <c r="C51" i="13"/>
  <c r="D51" i="13"/>
  <c r="F51" i="13"/>
  <c r="G51" i="13"/>
  <c r="H51" i="13"/>
  <c r="J51" i="13"/>
  <c r="K51" i="13"/>
  <c r="L51" i="13"/>
  <c r="P51" i="13"/>
  <c r="B52" i="13"/>
  <c r="C52" i="13"/>
  <c r="D52" i="13"/>
  <c r="H52" i="13"/>
  <c r="J52" i="13"/>
  <c r="K52" i="13"/>
  <c r="L52" i="13"/>
  <c r="N52" i="13"/>
  <c r="P52" i="13"/>
  <c r="C55" i="13"/>
  <c r="D55" i="13"/>
  <c r="F55" i="13"/>
  <c r="G55" i="13"/>
  <c r="H55" i="13"/>
  <c r="I55" i="13"/>
  <c r="J55" i="13"/>
  <c r="C57" i="13"/>
  <c r="D57" i="13"/>
  <c r="E57" i="13"/>
  <c r="F57" i="13"/>
  <c r="G57" i="13"/>
  <c r="H57" i="13"/>
  <c r="J57" i="13"/>
  <c r="K57" i="13"/>
  <c r="L57" i="13"/>
  <c r="M57" i="13"/>
  <c r="C59" i="13"/>
  <c r="D59" i="13"/>
  <c r="E59" i="13"/>
  <c r="F59" i="13"/>
  <c r="G59" i="13"/>
  <c r="I59" i="13"/>
  <c r="J59" i="13"/>
  <c r="K59" i="13"/>
  <c r="L59" i="13"/>
  <c r="D61" i="13"/>
  <c r="F61" i="13"/>
  <c r="H61" i="13"/>
  <c r="J61" i="13"/>
  <c r="L61" i="13"/>
  <c r="N61" i="13"/>
  <c r="D62" i="13"/>
  <c r="F62" i="13"/>
  <c r="H62" i="13"/>
  <c r="J62" i="13"/>
  <c r="L62" i="13"/>
  <c r="N62" i="13"/>
  <c r="B63" i="13"/>
  <c r="C63" i="13"/>
  <c r="D63" i="13"/>
  <c r="H63" i="13"/>
  <c r="J63" i="13"/>
  <c r="K63" i="13"/>
  <c r="L63" i="13"/>
  <c r="N63" i="13"/>
  <c r="P63" i="13"/>
  <c r="B64" i="13"/>
  <c r="C64" i="13"/>
  <c r="D64" i="13"/>
  <c r="F64" i="13"/>
  <c r="G64" i="13"/>
  <c r="H64" i="13"/>
  <c r="J64" i="13"/>
  <c r="K64" i="13"/>
  <c r="L64" i="13"/>
  <c r="P64" i="13"/>
  <c r="B65" i="13"/>
  <c r="C65" i="13"/>
  <c r="D65" i="13"/>
  <c r="H65" i="13"/>
  <c r="J65" i="13"/>
  <c r="K65" i="13"/>
  <c r="L65" i="13"/>
  <c r="N65" i="13"/>
  <c r="P65" i="13"/>
  <c r="E16" i="9"/>
  <c r="G2" i="12"/>
  <c r="I2" i="12"/>
  <c r="J2" i="12"/>
  <c r="M2" i="12"/>
  <c r="G3" i="12"/>
  <c r="I3" i="12"/>
  <c r="J3" i="12"/>
  <c r="K3" i="12"/>
  <c r="M3" i="12"/>
  <c r="G4" i="12"/>
  <c r="I4" i="12"/>
  <c r="J4" i="12"/>
  <c r="K4" i="12"/>
  <c r="M4" i="12"/>
  <c r="G5" i="12"/>
  <c r="I5" i="12"/>
  <c r="J5" i="12"/>
  <c r="K5" i="12"/>
  <c r="M5" i="12"/>
  <c r="G6" i="12"/>
  <c r="I6" i="12"/>
  <c r="J6" i="12"/>
  <c r="K6" i="12"/>
  <c r="M6" i="12"/>
  <c r="G7" i="12"/>
  <c r="I7" i="12"/>
  <c r="J7" i="12"/>
  <c r="K7" i="12"/>
  <c r="M7" i="12"/>
  <c r="G8" i="12"/>
  <c r="I8" i="12"/>
  <c r="J8" i="12"/>
  <c r="K8" i="12"/>
  <c r="M8" i="12"/>
  <c r="G9" i="12"/>
  <c r="I9" i="12"/>
  <c r="J9" i="12"/>
  <c r="K9" i="12"/>
  <c r="M9" i="12"/>
  <c r="G10" i="12"/>
  <c r="I10" i="12"/>
  <c r="J10" i="12"/>
  <c r="K10" i="12"/>
  <c r="M10" i="12"/>
  <c r="G11" i="12"/>
  <c r="I11" i="12"/>
  <c r="J11" i="12"/>
  <c r="K11" i="12"/>
  <c r="M11" i="12"/>
  <c r="G12" i="12"/>
  <c r="I12" i="12"/>
  <c r="J12" i="12"/>
  <c r="K12" i="12"/>
  <c r="M12" i="12"/>
  <c r="G13" i="12"/>
  <c r="I13" i="12"/>
  <c r="J13" i="12"/>
  <c r="K13" i="12"/>
  <c r="M13" i="12"/>
  <c r="G14" i="12"/>
  <c r="I14" i="12"/>
  <c r="J14" i="12"/>
  <c r="K14" i="12"/>
  <c r="M14" i="12"/>
  <c r="F15" i="12"/>
  <c r="G15" i="12"/>
  <c r="I15" i="12"/>
  <c r="J15" i="12"/>
  <c r="K15" i="12"/>
  <c r="M15" i="12"/>
  <c r="G16" i="12"/>
  <c r="I16" i="12"/>
  <c r="J16" i="12"/>
  <c r="K16" i="12"/>
  <c r="M16" i="12"/>
  <c r="F17" i="12"/>
  <c r="G17" i="12"/>
  <c r="I17" i="12"/>
  <c r="J17" i="12"/>
  <c r="K17" i="12"/>
  <c r="M17" i="12"/>
  <c r="G18" i="12"/>
  <c r="I18" i="12"/>
  <c r="J18" i="12"/>
  <c r="K18" i="12"/>
  <c r="M18" i="12"/>
  <c r="F19" i="12"/>
  <c r="G19" i="12"/>
  <c r="I19" i="12"/>
  <c r="J19" i="12"/>
  <c r="K19" i="12"/>
  <c r="M19" i="12"/>
  <c r="G20" i="12"/>
  <c r="I20" i="12"/>
  <c r="J20" i="12"/>
  <c r="K20" i="12"/>
  <c r="M20" i="12"/>
  <c r="F21" i="12"/>
  <c r="G21" i="12"/>
  <c r="I21" i="12"/>
  <c r="J21" i="12"/>
  <c r="K21" i="12"/>
  <c r="M21" i="12"/>
  <c r="G22" i="12"/>
  <c r="I22" i="12"/>
  <c r="J22" i="12"/>
  <c r="K22" i="12"/>
  <c r="M22" i="12"/>
  <c r="F23" i="12"/>
  <c r="G23" i="12"/>
  <c r="I23" i="12"/>
  <c r="J23" i="12"/>
  <c r="K23" i="12"/>
  <c r="M23" i="12"/>
  <c r="G24" i="12"/>
  <c r="I24" i="12"/>
  <c r="J24" i="12"/>
  <c r="K24" i="12"/>
  <c r="M24" i="12"/>
  <c r="G25" i="12"/>
  <c r="I25" i="12"/>
  <c r="J25" i="12"/>
  <c r="K25" i="12"/>
  <c r="M25" i="12"/>
  <c r="G26" i="12"/>
  <c r="I26" i="12"/>
  <c r="J26" i="12"/>
  <c r="K26" i="12"/>
  <c r="M26" i="12"/>
  <c r="G27" i="12"/>
  <c r="I27" i="12"/>
  <c r="J27" i="12"/>
  <c r="K27" i="12"/>
  <c r="M27" i="12"/>
  <c r="G28" i="12"/>
  <c r="I28" i="12"/>
  <c r="J28" i="12"/>
  <c r="K28" i="12"/>
  <c r="M28" i="12"/>
  <c r="G29" i="12"/>
  <c r="I29" i="12"/>
  <c r="J29" i="12"/>
  <c r="K29" i="12"/>
  <c r="M29" i="12"/>
  <c r="G30" i="12"/>
  <c r="I30" i="12"/>
  <c r="J30" i="12"/>
  <c r="K30" i="12"/>
  <c r="M30" i="12"/>
  <c r="G31" i="12"/>
  <c r="I31" i="12"/>
  <c r="J31" i="12"/>
  <c r="K31" i="12"/>
  <c r="M31" i="12"/>
  <c r="G32" i="12"/>
  <c r="I32" i="12"/>
  <c r="J32" i="12"/>
  <c r="K32" i="12"/>
  <c r="M32" i="12"/>
  <c r="G33" i="12"/>
  <c r="I33" i="12"/>
  <c r="J33" i="12"/>
  <c r="K33" i="12"/>
  <c r="M33" i="12"/>
  <c r="G34" i="12"/>
  <c r="I34" i="12"/>
  <c r="J34" i="12"/>
  <c r="K34" i="12"/>
  <c r="M34" i="12"/>
  <c r="G35" i="12"/>
  <c r="I35" i="12"/>
  <c r="J35" i="12"/>
  <c r="K35" i="12"/>
  <c r="M35" i="12"/>
  <c r="G36" i="12"/>
  <c r="I36" i="12"/>
  <c r="J36" i="12"/>
  <c r="K36" i="12"/>
  <c r="M36" i="12"/>
  <c r="G37" i="12"/>
  <c r="I37" i="12"/>
  <c r="J37" i="12"/>
  <c r="K37" i="12"/>
  <c r="M37" i="12"/>
  <c r="G38" i="12"/>
  <c r="I38" i="12"/>
  <c r="J38" i="12"/>
  <c r="K38" i="12"/>
  <c r="M38" i="12"/>
  <c r="G39" i="12"/>
  <c r="I39" i="12"/>
  <c r="J39" i="12"/>
  <c r="K39" i="12"/>
  <c r="M39" i="12"/>
  <c r="G40" i="12"/>
  <c r="I40" i="12"/>
  <c r="J40" i="12"/>
  <c r="K40" i="12"/>
  <c r="M40" i="12"/>
  <c r="G41" i="12"/>
  <c r="I41" i="12"/>
  <c r="J41" i="12"/>
  <c r="K41" i="12"/>
  <c r="M41" i="12"/>
  <c r="G42" i="12"/>
  <c r="I42" i="12"/>
  <c r="J42" i="12"/>
  <c r="K42" i="12"/>
  <c r="M42" i="12"/>
  <c r="G43" i="12"/>
  <c r="I43" i="12"/>
  <c r="J43" i="12"/>
  <c r="K43" i="12"/>
  <c r="M43" i="12"/>
  <c r="G44" i="12"/>
  <c r="I44" i="12"/>
  <c r="J44" i="12"/>
  <c r="K44" i="12"/>
  <c r="M44" i="12"/>
  <c r="G45" i="12"/>
  <c r="I45" i="12"/>
  <c r="J45" i="12"/>
  <c r="K45" i="12"/>
  <c r="M45" i="12"/>
  <c r="G46" i="12"/>
  <c r="I46" i="12"/>
  <c r="J46" i="12"/>
  <c r="K46" i="12"/>
  <c r="M46" i="12"/>
  <c r="G47" i="12"/>
  <c r="I47" i="12"/>
  <c r="J47" i="12"/>
  <c r="K47" i="12"/>
  <c r="M47" i="12"/>
  <c r="G48" i="12"/>
  <c r="I48" i="12"/>
  <c r="J48" i="12"/>
  <c r="K48" i="12"/>
  <c r="M48" i="12"/>
  <c r="G49" i="12"/>
  <c r="I49" i="12"/>
  <c r="J49" i="12"/>
  <c r="K49" i="12"/>
  <c r="M49" i="12"/>
  <c r="G50" i="12"/>
  <c r="I50" i="12"/>
  <c r="J50" i="12"/>
  <c r="K50" i="12"/>
  <c r="M50" i="12"/>
  <c r="G51" i="12"/>
  <c r="I51" i="12"/>
  <c r="J51" i="12"/>
  <c r="K51" i="12"/>
  <c r="M51" i="12"/>
  <c r="G52" i="12"/>
  <c r="I52" i="12"/>
  <c r="J52" i="12"/>
  <c r="K52" i="12"/>
  <c r="M52" i="12"/>
  <c r="G53" i="12"/>
  <c r="I53" i="12"/>
  <c r="J53" i="12"/>
  <c r="K53" i="12"/>
  <c r="M53" i="12"/>
  <c r="G54" i="12"/>
  <c r="I54" i="12"/>
  <c r="J54" i="12"/>
  <c r="K54" i="12"/>
  <c r="M54" i="12"/>
  <c r="G55" i="12"/>
  <c r="I55" i="12"/>
  <c r="J55" i="12"/>
  <c r="K55" i="12"/>
  <c r="M55" i="12"/>
  <c r="G56" i="12"/>
  <c r="I56" i="12"/>
  <c r="J56" i="12"/>
  <c r="K56" i="12"/>
  <c r="M56" i="12"/>
  <c r="G57" i="12"/>
  <c r="I57" i="12"/>
  <c r="J57" i="12"/>
  <c r="K57" i="12"/>
  <c r="M57" i="12"/>
  <c r="G58" i="12"/>
  <c r="I58" i="12"/>
  <c r="J58" i="12"/>
  <c r="K58" i="12"/>
  <c r="M58" i="12"/>
  <c r="G59" i="12"/>
  <c r="I59" i="12"/>
  <c r="J59" i="12"/>
  <c r="K59" i="12"/>
  <c r="M59" i="12"/>
  <c r="G60" i="12"/>
  <c r="I60" i="12"/>
  <c r="J60" i="12"/>
  <c r="K60" i="12"/>
  <c r="M60" i="12"/>
  <c r="G61" i="12"/>
  <c r="I61" i="12"/>
  <c r="J61" i="12"/>
  <c r="K61" i="12"/>
  <c r="M61" i="12"/>
  <c r="G62" i="12"/>
  <c r="I62" i="12"/>
  <c r="J62" i="12"/>
  <c r="K62" i="12"/>
  <c r="M62" i="12"/>
  <c r="G63" i="12"/>
  <c r="I63" i="12"/>
  <c r="J63" i="12"/>
  <c r="K63" i="12"/>
  <c r="M63" i="12"/>
  <c r="G64" i="12"/>
  <c r="I64" i="12"/>
  <c r="J64" i="12"/>
  <c r="K64" i="12"/>
  <c r="M64" i="12"/>
  <c r="G65" i="12"/>
  <c r="I65" i="12"/>
  <c r="J65" i="12"/>
  <c r="K65" i="12"/>
  <c r="M65" i="12"/>
  <c r="G66" i="12"/>
  <c r="I66" i="12"/>
  <c r="J66" i="12"/>
  <c r="K66" i="12"/>
  <c r="M66" i="12"/>
  <c r="G67" i="12"/>
  <c r="I67" i="12"/>
  <c r="J67" i="12"/>
  <c r="K67" i="12"/>
  <c r="M67" i="12"/>
  <c r="G68" i="12"/>
  <c r="I68" i="12"/>
  <c r="J68" i="12"/>
  <c r="K68" i="12"/>
  <c r="M68" i="12"/>
  <c r="G69" i="12"/>
  <c r="I69" i="12"/>
  <c r="J69" i="12"/>
  <c r="K69" i="12"/>
  <c r="M69" i="12"/>
  <c r="G70" i="12"/>
  <c r="I70" i="12"/>
  <c r="J70" i="12"/>
  <c r="K70" i="12"/>
  <c r="M70" i="12"/>
  <c r="G71" i="12"/>
  <c r="I71" i="12"/>
  <c r="J71" i="12"/>
  <c r="K71" i="12"/>
  <c r="M71" i="12"/>
  <c r="G72" i="12"/>
  <c r="I72" i="12"/>
  <c r="J72" i="12"/>
  <c r="K72" i="12"/>
  <c r="M72" i="12"/>
  <c r="G73" i="12"/>
  <c r="I73" i="12"/>
  <c r="J73" i="12"/>
  <c r="K73" i="12"/>
  <c r="M73" i="12"/>
  <c r="G74" i="12"/>
  <c r="I74" i="12"/>
  <c r="J74" i="12"/>
  <c r="K74" i="12"/>
  <c r="M74" i="12"/>
  <c r="G75" i="12"/>
  <c r="I75" i="12"/>
  <c r="J75" i="12"/>
  <c r="K75" i="12"/>
  <c r="M75" i="12"/>
  <c r="G76" i="12"/>
  <c r="I76" i="12"/>
  <c r="J76" i="12"/>
  <c r="K76" i="12"/>
  <c r="M76" i="12"/>
  <c r="G77" i="12"/>
  <c r="I77" i="12"/>
  <c r="J77" i="12"/>
  <c r="K77" i="12"/>
  <c r="M77" i="12"/>
  <c r="G78" i="12"/>
  <c r="I78" i="12"/>
  <c r="J78" i="12"/>
  <c r="K78" i="12"/>
  <c r="M78" i="12"/>
  <c r="G79" i="12"/>
  <c r="I79" i="12"/>
  <c r="J79" i="12"/>
  <c r="K79" i="12"/>
  <c r="M79" i="12"/>
  <c r="G80" i="12"/>
  <c r="I80" i="12"/>
  <c r="J80" i="12"/>
  <c r="K80" i="12"/>
  <c r="M80" i="12"/>
  <c r="G81" i="12"/>
  <c r="I81" i="12"/>
  <c r="J81" i="12"/>
  <c r="K81" i="12"/>
  <c r="M81" i="12"/>
  <c r="G82" i="12"/>
  <c r="I82" i="12"/>
  <c r="J82" i="12"/>
  <c r="K82" i="12"/>
  <c r="M82" i="12"/>
  <c r="G83" i="12"/>
  <c r="I83" i="12"/>
  <c r="J83" i="12"/>
  <c r="K83" i="12"/>
  <c r="M83" i="12"/>
  <c r="G84" i="12"/>
  <c r="I84" i="12"/>
  <c r="J84" i="12"/>
  <c r="K84" i="12"/>
  <c r="M84" i="12"/>
  <c r="G85" i="12"/>
  <c r="I85" i="12"/>
  <c r="J85" i="12"/>
  <c r="K85" i="12"/>
  <c r="M85" i="12"/>
  <c r="G86" i="12"/>
  <c r="I86" i="12"/>
  <c r="J86" i="12"/>
  <c r="K86" i="12"/>
  <c r="M86" i="12"/>
  <c r="G87" i="12"/>
  <c r="I87" i="12"/>
  <c r="J87" i="12"/>
  <c r="K87" i="12"/>
  <c r="M87" i="12"/>
  <c r="G88" i="12"/>
  <c r="I88" i="12"/>
  <c r="J88" i="12"/>
  <c r="K88" i="12"/>
  <c r="M88" i="12"/>
  <c r="G89" i="12"/>
  <c r="I89" i="12"/>
  <c r="J89" i="12"/>
  <c r="K89" i="12"/>
  <c r="M89" i="12"/>
  <c r="G90" i="12"/>
  <c r="I90" i="12"/>
  <c r="J90" i="12"/>
  <c r="K90" i="12"/>
  <c r="M90" i="12"/>
  <c r="G91" i="12"/>
  <c r="I91" i="12"/>
  <c r="J91" i="12"/>
  <c r="K91" i="12"/>
  <c r="M91" i="12"/>
  <c r="G92" i="12"/>
  <c r="I92" i="12"/>
  <c r="J92" i="12"/>
  <c r="K92" i="12"/>
  <c r="M92" i="12"/>
  <c r="G93" i="12"/>
  <c r="I93" i="12"/>
  <c r="J93" i="12"/>
  <c r="K93" i="12"/>
  <c r="M93" i="12"/>
  <c r="G94" i="12"/>
  <c r="I94" i="12"/>
  <c r="J94" i="12"/>
  <c r="K94" i="12"/>
  <c r="M94" i="12"/>
  <c r="G95" i="12"/>
  <c r="I95" i="12"/>
  <c r="J95" i="12"/>
  <c r="K95" i="12"/>
  <c r="M95" i="12"/>
  <c r="G96" i="12"/>
  <c r="I96" i="12"/>
  <c r="J96" i="12"/>
  <c r="K96" i="12"/>
  <c r="M96" i="12"/>
  <c r="G97" i="12"/>
  <c r="I97" i="12"/>
  <c r="J97" i="12"/>
  <c r="K97" i="12"/>
  <c r="M97" i="12"/>
  <c r="G98" i="12"/>
  <c r="I98" i="12"/>
  <c r="J98" i="12"/>
  <c r="K98" i="12"/>
  <c r="M98" i="12"/>
  <c r="G99" i="12"/>
  <c r="I99" i="12"/>
  <c r="J99" i="12"/>
  <c r="K99" i="12"/>
  <c r="M99" i="12"/>
  <c r="G100" i="12"/>
  <c r="I100" i="12"/>
  <c r="J100" i="12"/>
  <c r="K100" i="12"/>
  <c r="M100" i="12"/>
  <c r="G101" i="12"/>
  <c r="I101" i="12"/>
  <c r="J101" i="12"/>
  <c r="K101" i="12"/>
  <c r="M101" i="12"/>
  <c r="G102" i="12"/>
  <c r="I102" i="12"/>
  <c r="J102" i="12"/>
  <c r="K102" i="12"/>
  <c r="M102" i="12"/>
  <c r="G103" i="12"/>
  <c r="I103" i="12"/>
  <c r="J103" i="12"/>
  <c r="K103" i="12"/>
  <c r="M103" i="12"/>
  <c r="G104" i="12"/>
  <c r="I104" i="12"/>
  <c r="J104" i="12"/>
  <c r="K104" i="12"/>
  <c r="M104" i="12"/>
  <c r="G105" i="12"/>
  <c r="I105" i="12"/>
  <c r="J105" i="12"/>
  <c r="K105" i="12"/>
  <c r="M105" i="12"/>
  <c r="G106" i="12"/>
  <c r="I106" i="12"/>
  <c r="J106" i="12"/>
  <c r="K106" i="12"/>
  <c r="M106" i="12"/>
  <c r="G107" i="12"/>
  <c r="I107" i="12"/>
  <c r="J107" i="12"/>
  <c r="K107" i="12"/>
  <c r="M107" i="12"/>
  <c r="G108" i="12"/>
  <c r="I108" i="12"/>
  <c r="J108" i="12"/>
  <c r="K108" i="12"/>
  <c r="M108" i="12"/>
  <c r="G109" i="12"/>
  <c r="I109" i="12"/>
  <c r="J109" i="12"/>
  <c r="K109" i="12"/>
  <c r="M109" i="12"/>
  <c r="G110" i="12"/>
  <c r="I110" i="12"/>
  <c r="J110" i="12"/>
  <c r="K110" i="12"/>
  <c r="M110" i="12"/>
  <c r="G111" i="12"/>
  <c r="I111" i="12"/>
  <c r="J111" i="12"/>
  <c r="K111" i="12"/>
  <c r="M111" i="12"/>
  <c r="G112" i="12"/>
  <c r="I112" i="12"/>
  <c r="J112" i="12"/>
  <c r="K112" i="12"/>
  <c r="M112" i="12"/>
  <c r="G113" i="12"/>
  <c r="I113" i="12"/>
  <c r="J113" i="12"/>
  <c r="K113" i="12"/>
  <c r="M113" i="12"/>
  <c r="G114" i="12"/>
  <c r="I114" i="12"/>
  <c r="J114" i="12"/>
  <c r="K114" i="12"/>
  <c r="M114" i="12"/>
  <c r="G115" i="12"/>
  <c r="I115" i="12"/>
  <c r="J115" i="12"/>
  <c r="K115" i="12"/>
  <c r="M115" i="12"/>
  <c r="G116" i="12"/>
  <c r="I116" i="12"/>
  <c r="J116" i="12"/>
  <c r="K116" i="12"/>
  <c r="M116" i="12"/>
  <c r="G117" i="12"/>
  <c r="I117" i="12"/>
  <c r="J117" i="12"/>
  <c r="K117" i="12"/>
  <c r="M117" i="12"/>
  <c r="G118" i="12"/>
  <c r="I118" i="12"/>
  <c r="J118" i="12"/>
  <c r="K118" i="12"/>
  <c r="M118" i="12"/>
  <c r="G119" i="12"/>
  <c r="I119" i="12"/>
  <c r="J119" i="12"/>
  <c r="K119" i="12"/>
  <c r="M119" i="12"/>
  <c r="G120" i="12"/>
  <c r="I120" i="12"/>
  <c r="J120" i="12"/>
  <c r="K120" i="12"/>
  <c r="M120" i="12"/>
  <c r="G121" i="12"/>
  <c r="I121" i="12"/>
  <c r="J121" i="12"/>
  <c r="K121" i="12"/>
  <c r="M121" i="12"/>
  <c r="G122" i="12"/>
  <c r="I122" i="12"/>
  <c r="J122" i="12"/>
  <c r="K122" i="12"/>
  <c r="M122" i="12"/>
  <c r="G123" i="12"/>
  <c r="I123" i="12"/>
  <c r="J123" i="12"/>
  <c r="K123" i="12"/>
  <c r="M123" i="12"/>
  <c r="G124" i="12"/>
  <c r="I124" i="12"/>
  <c r="J124" i="12"/>
  <c r="K124" i="12"/>
  <c r="M124" i="12"/>
  <c r="G125" i="12"/>
  <c r="I125" i="12"/>
  <c r="J125" i="12"/>
  <c r="K125" i="12"/>
  <c r="M125" i="12"/>
  <c r="G126" i="12"/>
  <c r="I126" i="12"/>
  <c r="J126" i="12"/>
  <c r="K126" i="12"/>
  <c r="M126" i="12"/>
  <c r="G127" i="12"/>
  <c r="I127" i="12"/>
  <c r="J127" i="12"/>
  <c r="K127" i="12"/>
  <c r="M127" i="12"/>
  <c r="G128" i="12"/>
  <c r="I128" i="12"/>
  <c r="J128" i="12"/>
  <c r="K128" i="12"/>
  <c r="M128" i="12"/>
  <c r="G129" i="12"/>
  <c r="I129" i="12"/>
  <c r="J129" i="12"/>
  <c r="K129" i="12"/>
  <c r="M129" i="12"/>
  <c r="G130" i="12"/>
  <c r="I130" i="12"/>
  <c r="J130" i="12"/>
  <c r="K130" i="12"/>
  <c r="M130" i="12"/>
  <c r="G131" i="12"/>
  <c r="I131" i="12"/>
  <c r="J131" i="12"/>
  <c r="K131" i="12"/>
  <c r="M131" i="12"/>
  <c r="G132" i="12"/>
  <c r="I132" i="12"/>
  <c r="J132" i="12"/>
  <c r="K132" i="12"/>
  <c r="M132" i="12"/>
  <c r="G133" i="12"/>
  <c r="I133" i="12"/>
  <c r="J133" i="12"/>
  <c r="K133" i="12"/>
  <c r="M133" i="12"/>
  <c r="G134" i="12"/>
  <c r="I134" i="12"/>
  <c r="J134" i="12"/>
  <c r="K134" i="12"/>
  <c r="M134" i="12"/>
  <c r="G135" i="12"/>
  <c r="I135" i="12"/>
  <c r="J135" i="12"/>
  <c r="K135" i="12"/>
  <c r="M135" i="12"/>
  <c r="G136" i="12"/>
  <c r="I136" i="12"/>
  <c r="J136" i="12"/>
  <c r="K136" i="12"/>
  <c r="M136" i="12"/>
  <c r="G137" i="12"/>
  <c r="I137" i="12"/>
  <c r="J137" i="12"/>
  <c r="K137" i="12"/>
  <c r="M137" i="12"/>
  <c r="G138" i="12"/>
  <c r="I138" i="12"/>
  <c r="J138" i="12"/>
  <c r="K138" i="12"/>
  <c r="M138" i="12"/>
  <c r="G139" i="12"/>
  <c r="I139" i="12"/>
  <c r="J139" i="12"/>
  <c r="K139" i="12"/>
  <c r="M139" i="12"/>
  <c r="G140" i="12"/>
  <c r="I140" i="12"/>
  <c r="J140" i="12"/>
  <c r="K140" i="12"/>
  <c r="M140" i="12"/>
  <c r="G141" i="12"/>
  <c r="I141" i="12"/>
  <c r="J141" i="12"/>
  <c r="K141" i="12"/>
  <c r="M141" i="12"/>
  <c r="G142" i="12"/>
  <c r="I142" i="12"/>
  <c r="J142" i="12"/>
  <c r="K142" i="12"/>
  <c r="M142" i="12"/>
  <c r="G143" i="12"/>
  <c r="I143" i="12"/>
  <c r="J143" i="12"/>
  <c r="K143" i="12"/>
  <c r="M143" i="12"/>
  <c r="G144" i="12"/>
  <c r="I144" i="12"/>
  <c r="J144" i="12"/>
  <c r="K144" i="12"/>
  <c r="M144" i="12"/>
  <c r="G145" i="12"/>
  <c r="I145" i="12"/>
  <c r="J145" i="12"/>
  <c r="K145" i="12"/>
  <c r="M145" i="12"/>
  <c r="G146" i="12"/>
  <c r="I146" i="12"/>
  <c r="J146" i="12"/>
  <c r="K146" i="12"/>
  <c r="M146" i="12"/>
  <c r="G147" i="12"/>
  <c r="I147" i="12"/>
  <c r="J147" i="12"/>
  <c r="K147" i="12"/>
  <c r="M147" i="12"/>
  <c r="G148" i="12"/>
  <c r="I148" i="12"/>
  <c r="J148" i="12"/>
  <c r="K148" i="12"/>
  <c r="M148" i="12"/>
  <c r="G149" i="12"/>
  <c r="I149" i="12"/>
  <c r="J149" i="12"/>
  <c r="K149" i="12"/>
  <c r="M149" i="12"/>
  <c r="G150" i="12"/>
  <c r="I150" i="12"/>
  <c r="J150" i="12"/>
  <c r="K150" i="12"/>
  <c r="M150" i="12"/>
  <c r="G151" i="12"/>
  <c r="I151" i="12"/>
  <c r="J151" i="12"/>
  <c r="K151" i="12"/>
  <c r="M151" i="12"/>
  <c r="G152" i="12"/>
  <c r="I152" i="12"/>
  <c r="J152" i="12"/>
  <c r="K152" i="12"/>
  <c r="M152" i="12"/>
  <c r="G153" i="12"/>
  <c r="I153" i="12"/>
  <c r="J153" i="12"/>
  <c r="K153" i="12"/>
  <c r="M153" i="12"/>
  <c r="G154" i="12"/>
  <c r="I154" i="12"/>
  <c r="J154" i="12"/>
  <c r="K154" i="12"/>
  <c r="M154" i="12"/>
  <c r="G155" i="12"/>
  <c r="I155" i="12"/>
  <c r="J155" i="12"/>
  <c r="K155" i="12"/>
  <c r="M155" i="12"/>
  <c r="G156" i="12"/>
  <c r="I156" i="12"/>
  <c r="J156" i="12"/>
  <c r="K156" i="12"/>
  <c r="M156" i="12"/>
  <c r="G157" i="12"/>
  <c r="I157" i="12"/>
  <c r="J157" i="12"/>
  <c r="K157" i="12"/>
  <c r="M157" i="12"/>
  <c r="G158" i="12"/>
  <c r="I158" i="12"/>
  <c r="J158" i="12"/>
  <c r="K158" i="12"/>
  <c r="M158" i="12"/>
  <c r="G159" i="12"/>
  <c r="I159" i="12"/>
  <c r="J159" i="12"/>
  <c r="K159" i="12"/>
  <c r="M159" i="12"/>
  <c r="G160" i="12"/>
  <c r="I160" i="12"/>
  <c r="J160" i="12"/>
  <c r="K160" i="12"/>
  <c r="M160" i="12"/>
  <c r="G161" i="12"/>
  <c r="I161" i="12"/>
  <c r="J161" i="12"/>
  <c r="K161" i="12"/>
  <c r="M161" i="12"/>
  <c r="G162" i="12"/>
  <c r="I162" i="12"/>
  <c r="J162" i="12"/>
  <c r="K162" i="12"/>
  <c r="M162" i="12"/>
  <c r="G163" i="12"/>
  <c r="I163" i="12"/>
  <c r="J163" i="12"/>
  <c r="K163" i="12"/>
  <c r="M163" i="12"/>
  <c r="G164" i="12"/>
  <c r="I164" i="12"/>
  <c r="J164" i="12"/>
  <c r="K164" i="12"/>
  <c r="M164" i="12"/>
  <c r="G165" i="12"/>
  <c r="I165" i="12"/>
  <c r="J165" i="12"/>
  <c r="K165" i="12"/>
  <c r="M165" i="12"/>
  <c r="G166" i="12"/>
  <c r="I166" i="12"/>
  <c r="J166" i="12"/>
  <c r="K166" i="12"/>
  <c r="M166" i="12"/>
  <c r="G167" i="12"/>
  <c r="I167" i="12"/>
  <c r="J167" i="12"/>
  <c r="K167" i="12"/>
  <c r="M167" i="12"/>
  <c r="G168" i="12"/>
  <c r="I168" i="12"/>
  <c r="J168" i="12"/>
  <c r="K168" i="12"/>
  <c r="M168" i="12"/>
  <c r="G169" i="12"/>
  <c r="I169" i="12"/>
  <c r="J169" i="12"/>
  <c r="K169" i="12"/>
  <c r="M169" i="12"/>
  <c r="G170" i="12"/>
  <c r="I170" i="12"/>
  <c r="J170" i="12"/>
  <c r="K170" i="12"/>
  <c r="M170" i="12"/>
  <c r="G171" i="12"/>
  <c r="I171" i="12"/>
  <c r="J171" i="12"/>
  <c r="K171" i="12"/>
  <c r="M171" i="12"/>
  <c r="G172" i="12"/>
  <c r="I172" i="12"/>
  <c r="J172" i="12"/>
  <c r="K172" i="12"/>
  <c r="M172" i="12"/>
  <c r="G173" i="12"/>
  <c r="I173" i="12"/>
  <c r="J173" i="12"/>
  <c r="K173" i="12"/>
  <c r="M173" i="12"/>
  <c r="G174" i="12"/>
  <c r="I174" i="12"/>
  <c r="J174" i="12"/>
  <c r="K174" i="12"/>
  <c r="M174" i="12"/>
  <c r="G175" i="12"/>
  <c r="I175" i="12"/>
  <c r="J175" i="12"/>
  <c r="K175" i="12"/>
  <c r="M175" i="12"/>
  <c r="G176" i="12"/>
  <c r="I176" i="12"/>
  <c r="J176" i="12"/>
  <c r="K176" i="12"/>
  <c r="M176" i="12"/>
  <c r="G177" i="12"/>
  <c r="I177" i="12"/>
  <c r="J177" i="12"/>
  <c r="K177" i="12"/>
  <c r="M177" i="12"/>
  <c r="G178" i="12"/>
  <c r="I178" i="12"/>
  <c r="J178" i="12"/>
  <c r="K178" i="12"/>
  <c r="M178" i="12"/>
  <c r="G179" i="12"/>
  <c r="I179" i="12"/>
  <c r="J179" i="12"/>
  <c r="K179" i="12"/>
  <c r="M179" i="12"/>
  <c r="G180" i="12"/>
  <c r="I180" i="12"/>
  <c r="J180" i="12"/>
  <c r="K180" i="12"/>
  <c r="M180" i="12"/>
  <c r="G181" i="12"/>
  <c r="I181" i="12"/>
  <c r="J181" i="12"/>
  <c r="K181" i="12"/>
  <c r="M181" i="12"/>
  <c r="G182" i="12"/>
  <c r="I182" i="12"/>
  <c r="J182" i="12"/>
  <c r="K182" i="12"/>
  <c r="M182" i="12"/>
  <c r="G183" i="12"/>
  <c r="I183" i="12"/>
  <c r="J183" i="12"/>
  <c r="K183" i="12"/>
  <c r="M183" i="12"/>
  <c r="G184" i="12"/>
  <c r="I184" i="12"/>
  <c r="J184" i="12"/>
  <c r="K184" i="12"/>
  <c r="M184" i="12"/>
  <c r="G185" i="12"/>
  <c r="I185" i="12"/>
  <c r="J185" i="12"/>
  <c r="K185" i="12"/>
  <c r="M185" i="12"/>
  <c r="G186" i="12"/>
  <c r="I186" i="12"/>
  <c r="J186" i="12"/>
  <c r="K186" i="12"/>
  <c r="M186" i="12"/>
  <c r="G187" i="12"/>
  <c r="I187" i="12"/>
  <c r="J187" i="12"/>
  <c r="K187" i="12"/>
  <c r="M187" i="12"/>
  <c r="G188" i="12"/>
  <c r="I188" i="12"/>
  <c r="J188" i="12"/>
  <c r="K188" i="12"/>
  <c r="M188" i="12"/>
  <c r="G189" i="12"/>
  <c r="I189" i="12"/>
  <c r="J189" i="12"/>
  <c r="K189" i="12"/>
  <c r="M189" i="12"/>
  <c r="G190" i="12"/>
  <c r="I190" i="12"/>
  <c r="J190" i="12"/>
  <c r="K190" i="12"/>
  <c r="M190" i="12"/>
  <c r="G191" i="12"/>
  <c r="I191" i="12"/>
  <c r="J191" i="12"/>
  <c r="K191" i="12"/>
  <c r="M191" i="12"/>
  <c r="G192" i="12"/>
  <c r="I192" i="12"/>
  <c r="J192" i="12"/>
  <c r="K192" i="12"/>
  <c r="M192" i="12"/>
  <c r="G193" i="12"/>
  <c r="I193" i="12"/>
  <c r="J193" i="12"/>
  <c r="K193" i="12"/>
  <c r="M193" i="12"/>
  <c r="G194" i="12"/>
  <c r="I194" i="12"/>
  <c r="J194" i="12"/>
  <c r="K194" i="12"/>
  <c r="M194" i="12"/>
  <c r="G195" i="12"/>
  <c r="I195" i="12"/>
  <c r="J195" i="12"/>
  <c r="K195" i="12"/>
  <c r="M195" i="12"/>
  <c r="G196" i="12"/>
  <c r="I196" i="12"/>
  <c r="J196" i="12"/>
  <c r="K196" i="12"/>
  <c r="M196" i="12"/>
  <c r="G197" i="12"/>
  <c r="I197" i="12"/>
  <c r="J197" i="12"/>
  <c r="K197" i="12"/>
  <c r="M197" i="12"/>
  <c r="G198" i="12"/>
  <c r="I198" i="12"/>
  <c r="J198" i="12"/>
  <c r="K198" i="12"/>
  <c r="M198" i="12"/>
  <c r="G199" i="12"/>
  <c r="I199" i="12"/>
  <c r="J199" i="12"/>
  <c r="K199" i="12"/>
  <c r="M199" i="12"/>
  <c r="G200" i="12"/>
  <c r="I200" i="12"/>
  <c r="J200" i="12"/>
  <c r="K200" i="12"/>
  <c r="M200" i="12"/>
  <c r="G201" i="12"/>
  <c r="I201" i="12"/>
  <c r="J201" i="12"/>
  <c r="K201" i="12"/>
  <c r="M201" i="12"/>
  <c r="G202" i="12"/>
  <c r="I202" i="12"/>
  <c r="J202" i="12"/>
  <c r="K202" i="12"/>
  <c r="M202" i="12"/>
  <c r="G203" i="12"/>
  <c r="I203" i="12"/>
  <c r="J203" i="12"/>
  <c r="K203" i="12"/>
  <c r="M203" i="12"/>
  <c r="G204" i="12"/>
  <c r="I204" i="12"/>
  <c r="J204" i="12"/>
  <c r="K204" i="12"/>
  <c r="M204" i="12"/>
  <c r="G205" i="12"/>
  <c r="I205" i="12"/>
  <c r="J205" i="12"/>
  <c r="K205" i="12"/>
  <c r="M205" i="12"/>
  <c r="G206" i="12"/>
  <c r="I206" i="12"/>
  <c r="J206" i="12"/>
  <c r="K206" i="12"/>
  <c r="M206" i="12"/>
  <c r="G207" i="12"/>
  <c r="I207" i="12"/>
  <c r="J207" i="12"/>
  <c r="K207" i="12"/>
  <c r="M207" i="12"/>
  <c r="G208" i="12"/>
  <c r="I208" i="12"/>
  <c r="J208" i="12"/>
  <c r="K208" i="12"/>
  <c r="M208" i="12"/>
  <c r="G209" i="12"/>
  <c r="I209" i="12"/>
  <c r="J209" i="12"/>
  <c r="K209" i="12"/>
  <c r="M209" i="12"/>
  <c r="G210" i="12"/>
  <c r="I210" i="12"/>
  <c r="J210" i="12"/>
  <c r="K210" i="12"/>
  <c r="M210" i="12"/>
  <c r="G211" i="12"/>
  <c r="I211" i="12"/>
  <c r="J211" i="12"/>
  <c r="K211" i="12"/>
  <c r="M211" i="12"/>
  <c r="G212" i="12"/>
  <c r="I212" i="12"/>
  <c r="J212" i="12"/>
  <c r="K212" i="12"/>
  <c r="M212" i="12"/>
  <c r="G213" i="12"/>
  <c r="I213" i="12"/>
  <c r="J213" i="12"/>
  <c r="K213" i="12"/>
  <c r="M213" i="12"/>
  <c r="G214" i="12"/>
  <c r="I214" i="12"/>
  <c r="J214" i="12"/>
  <c r="K214" i="12"/>
  <c r="M214" i="12"/>
  <c r="G215" i="12"/>
  <c r="I215" i="12"/>
  <c r="J215" i="12"/>
  <c r="K215" i="12"/>
  <c r="M215" i="12"/>
  <c r="G216" i="12"/>
  <c r="I216" i="12"/>
  <c r="J216" i="12"/>
  <c r="K216" i="12"/>
  <c r="M216" i="12"/>
  <c r="G217" i="12"/>
  <c r="I217" i="12"/>
  <c r="J217" i="12"/>
  <c r="K217" i="12"/>
  <c r="M217" i="12"/>
  <c r="G218" i="12"/>
  <c r="I218" i="12"/>
  <c r="J218" i="12"/>
  <c r="K218" i="12"/>
  <c r="M218" i="12"/>
  <c r="G219" i="12"/>
  <c r="I219" i="12"/>
  <c r="J219" i="12"/>
  <c r="K219" i="12"/>
  <c r="M219" i="12"/>
  <c r="G220" i="12"/>
  <c r="I220" i="12"/>
  <c r="J220" i="12"/>
  <c r="K220" i="12"/>
  <c r="M220" i="12"/>
  <c r="G221" i="12"/>
  <c r="I221" i="12"/>
  <c r="J221" i="12"/>
  <c r="K221" i="12"/>
  <c r="M221" i="12"/>
  <c r="G222" i="12"/>
  <c r="I222" i="12"/>
  <c r="J222" i="12"/>
  <c r="K222" i="12"/>
  <c r="M222" i="12"/>
  <c r="G223" i="12"/>
  <c r="I223" i="12"/>
  <c r="J223" i="12"/>
  <c r="K223" i="12"/>
  <c r="M223" i="12"/>
  <c r="G224" i="12"/>
  <c r="I224" i="12"/>
  <c r="J224" i="12"/>
  <c r="K224" i="12"/>
  <c r="M224" i="12"/>
  <c r="G225" i="12"/>
  <c r="I225" i="12"/>
  <c r="J225" i="12"/>
  <c r="K225" i="12"/>
  <c r="M225" i="12"/>
  <c r="G226" i="12"/>
  <c r="I226" i="12"/>
  <c r="J226" i="12"/>
  <c r="K226" i="12"/>
  <c r="M226" i="12"/>
  <c r="G227" i="12"/>
  <c r="I227" i="12"/>
  <c r="J227" i="12"/>
  <c r="K227" i="12"/>
  <c r="M227" i="12"/>
  <c r="G228" i="12"/>
  <c r="I228" i="12"/>
  <c r="J228" i="12"/>
  <c r="K228" i="12"/>
  <c r="M228" i="12"/>
  <c r="G229" i="12"/>
  <c r="I229" i="12"/>
  <c r="J229" i="12"/>
  <c r="K229" i="12"/>
  <c r="M229" i="12"/>
  <c r="G230" i="12"/>
  <c r="I230" i="12"/>
  <c r="J230" i="12"/>
  <c r="K230" i="12"/>
  <c r="M230" i="12"/>
  <c r="G231" i="12"/>
  <c r="I231" i="12"/>
  <c r="J231" i="12"/>
  <c r="K231" i="12"/>
  <c r="M231" i="12"/>
  <c r="G232" i="12"/>
  <c r="I232" i="12"/>
  <c r="J232" i="12"/>
  <c r="K232" i="12"/>
  <c r="M232" i="12"/>
  <c r="G233" i="12"/>
  <c r="I233" i="12"/>
  <c r="J233" i="12"/>
  <c r="K233" i="12"/>
  <c r="M233" i="12"/>
  <c r="G234" i="12"/>
  <c r="I234" i="12"/>
  <c r="J234" i="12"/>
  <c r="K234" i="12"/>
  <c r="M234" i="12"/>
  <c r="G235" i="12"/>
  <c r="I235" i="12"/>
  <c r="J235" i="12"/>
  <c r="K235" i="12"/>
  <c r="M235" i="12"/>
  <c r="G236" i="12"/>
  <c r="I236" i="12"/>
  <c r="J236" i="12"/>
  <c r="K236" i="12"/>
  <c r="M236" i="12"/>
  <c r="G237" i="12"/>
  <c r="I237" i="12"/>
  <c r="J237" i="12"/>
  <c r="K237" i="12"/>
  <c r="M237" i="12"/>
  <c r="G238" i="12"/>
  <c r="I238" i="12"/>
  <c r="J238" i="12"/>
  <c r="K238" i="12"/>
  <c r="M238" i="12"/>
  <c r="G239" i="12"/>
  <c r="I239" i="12"/>
  <c r="J239" i="12"/>
  <c r="K239" i="12"/>
  <c r="M239" i="12"/>
  <c r="G240" i="12"/>
  <c r="I240" i="12"/>
  <c r="J240" i="12"/>
  <c r="K240" i="12"/>
  <c r="M240" i="12"/>
  <c r="G241" i="12"/>
  <c r="I241" i="12"/>
  <c r="J241" i="12"/>
  <c r="K241" i="12"/>
  <c r="M241" i="12"/>
  <c r="G242" i="12"/>
  <c r="I242" i="12"/>
  <c r="J242" i="12"/>
  <c r="K242" i="12"/>
  <c r="M242" i="12"/>
  <c r="G243" i="12"/>
  <c r="I243" i="12"/>
  <c r="J243" i="12"/>
  <c r="K243" i="12"/>
  <c r="M243" i="12"/>
  <c r="G244" i="12"/>
  <c r="I244" i="12"/>
  <c r="J244" i="12"/>
  <c r="K244" i="12"/>
  <c r="M244" i="12"/>
  <c r="G245" i="12"/>
  <c r="I245" i="12"/>
  <c r="J245" i="12"/>
  <c r="K245" i="12"/>
  <c r="M245" i="12"/>
  <c r="G246" i="12"/>
  <c r="I246" i="12"/>
  <c r="J246" i="12"/>
  <c r="K246" i="12"/>
  <c r="M246" i="12"/>
  <c r="G247" i="12"/>
  <c r="I247" i="12"/>
  <c r="J247" i="12"/>
  <c r="K247" i="12"/>
  <c r="M247" i="12"/>
  <c r="G248" i="12"/>
  <c r="I248" i="12"/>
  <c r="J248" i="12"/>
  <c r="K248" i="12"/>
  <c r="M248" i="12"/>
  <c r="G249" i="12"/>
  <c r="I249" i="12"/>
  <c r="J249" i="12"/>
  <c r="K249" i="12"/>
  <c r="M249" i="12"/>
  <c r="G250" i="12"/>
  <c r="I250" i="12"/>
  <c r="J250" i="12"/>
  <c r="K250" i="12"/>
  <c r="M250" i="12"/>
  <c r="G251" i="12"/>
  <c r="I251" i="12"/>
  <c r="J251" i="12"/>
  <c r="K251" i="12"/>
  <c r="M251" i="12"/>
  <c r="G252" i="12"/>
  <c r="I252" i="12"/>
  <c r="J252" i="12"/>
  <c r="K252" i="12"/>
  <c r="M252" i="12"/>
  <c r="G253" i="12"/>
  <c r="I253" i="12"/>
  <c r="J253" i="12"/>
  <c r="K253" i="12"/>
  <c r="M253" i="12"/>
  <c r="G254" i="12"/>
  <c r="I254" i="12"/>
  <c r="J254" i="12"/>
  <c r="K254" i="12"/>
  <c r="M254" i="12"/>
  <c r="G255" i="12"/>
  <c r="I255" i="12"/>
  <c r="J255" i="12"/>
  <c r="K255" i="12"/>
  <c r="M255" i="12"/>
  <c r="G256" i="12"/>
  <c r="I256" i="12"/>
  <c r="J256" i="12"/>
  <c r="K256" i="12"/>
  <c r="M256" i="12"/>
  <c r="G257" i="12"/>
  <c r="I257" i="12"/>
  <c r="J257" i="12"/>
  <c r="K257" i="12"/>
  <c r="M257" i="12"/>
  <c r="G258" i="12"/>
  <c r="I258" i="12"/>
  <c r="J258" i="12"/>
  <c r="K258" i="12"/>
  <c r="M258" i="12"/>
  <c r="G259" i="12"/>
  <c r="I259" i="12"/>
  <c r="J259" i="12"/>
  <c r="K259" i="12"/>
  <c r="M259" i="12"/>
  <c r="G260" i="12"/>
  <c r="I260" i="12"/>
  <c r="J260" i="12"/>
  <c r="K260" i="12"/>
  <c r="M260" i="12"/>
  <c r="G261" i="12"/>
  <c r="I261" i="12"/>
  <c r="J261" i="12"/>
  <c r="K261" i="12"/>
  <c r="M261" i="12"/>
  <c r="G262" i="12"/>
  <c r="I262" i="12"/>
  <c r="J262" i="12"/>
  <c r="K262" i="12"/>
  <c r="M262" i="12"/>
  <c r="G263" i="12"/>
  <c r="I263" i="12"/>
  <c r="J263" i="12"/>
  <c r="K263" i="12"/>
  <c r="M263" i="12"/>
  <c r="G264" i="12"/>
  <c r="I264" i="12"/>
  <c r="J264" i="12"/>
  <c r="K264" i="12"/>
  <c r="M264" i="12"/>
  <c r="G265" i="12"/>
  <c r="I265" i="12"/>
  <c r="J265" i="12"/>
  <c r="K265" i="12"/>
  <c r="M265" i="12"/>
  <c r="G266" i="12"/>
  <c r="I266" i="12"/>
  <c r="J266" i="12"/>
  <c r="K266" i="12"/>
  <c r="M266" i="12"/>
  <c r="G267" i="12"/>
  <c r="I267" i="12"/>
  <c r="J267" i="12"/>
  <c r="K267" i="12"/>
  <c r="M267" i="12"/>
  <c r="G268" i="12"/>
  <c r="I268" i="12"/>
  <c r="J268" i="12"/>
  <c r="K268" i="12"/>
  <c r="M268" i="12"/>
  <c r="G269" i="12"/>
  <c r="I269" i="12"/>
  <c r="J269" i="12"/>
  <c r="K269" i="12"/>
  <c r="M269" i="12"/>
  <c r="G270" i="12"/>
  <c r="I270" i="12"/>
  <c r="J270" i="12"/>
  <c r="K270" i="12"/>
  <c r="M270" i="12"/>
  <c r="G271" i="12"/>
  <c r="I271" i="12"/>
  <c r="J271" i="12"/>
  <c r="K271" i="12"/>
  <c r="M271" i="12"/>
  <c r="G272" i="12"/>
  <c r="I272" i="12"/>
  <c r="J272" i="12"/>
  <c r="K272" i="12"/>
  <c r="M272" i="12"/>
  <c r="G273" i="12"/>
  <c r="I273" i="12"/>
  <c r="J273" i="12"/>
  <c r="K273" i="12"/>
  <c r="M273" i="12"/>
  <c r="G274" i="12"/>
  <c r="I274" i="12"/>
  <c r="J274" i="12"/>
  <c r="K274" i="12"/>
  <c r="M274" i="12"/>
  <c r="G275" i="12"/>
  <c r="I275" i="12"/>
  <c r="J275" i="12"/>
  <c r="K275" i="12"/>
  <c r="M275" i="12"/>
  <c r="G276" i="12"/>
  <c r="I276" i="12"/>
  <c r="J276" i="12"/>
  <c r="K276" i="12"/>
  <c r="M276" i="12"/>
  <c r="G277" i="12"/>
  <c r="I277" i="12"/>
  <c r="J277" i="12"/>
  <c r="K277" i="12"/>
  <c r="M277" i="12"/>
  <c r="G278" i="12"/>
  <c r="I278" i="12"/>
  <c r="J278" i="12"/>
  <c r="K278" i="12"/>
  <c r="M278" i="12"/>
  <c r="G279" i="12"/>
  <c r="I279" i="12"/>
  <c r="J279" i="12"/>
  <c r="K279" i="12"/>
  <c r="M279" i="12"/>
  <c r="G280" i="12"/>
  <c r="I280" i="12"/>
  <c r="J280" i="12"/>
  <c r="K280" i="12"/>
  <c r="M280" i="12"/>
  <c r="G281" i="12"/>
  <c r="I281" i="12"/>
  <c r="J281" i="12"/>
  <c r="K281" i="12"/>
  <c r="M281" i="12"/>
  <c r="G282" i="12"/>
  <c r="I282" i="12"/>
  <c r="J282" i="12"/>
  <c r="K282" i="12"/>
  <c r="M282" i="12"/>
  <c r="G283" i="12"/>
  <c r="I283" i="12"/>
  <c r="J283" i="12"/>
  <c r="K283" i="12"/>
  <c r="M283" i="12"/>
  <c r="G284" i="12"/>
  <c r="I284" i="12"/>
  <c r="J284" i="12"/>
  <c r="K284" i="12"/>
  <c r="M284" i="12"/>
  <c r="G285" i="12"/>
  <c r="I285" i="12"/>
  <c r="J285" i="12"/>
  <c r="K285" i="12"/>
  <c r="M285" i="12"/>
  <c r="G286" i="12"/>
  <c r="I286" i="12"/>
  <c r="J286" i="12"/>
  <c r="K286" i="12"/>
  <c r="M286" i="12"/>
  <c r="G287" i="12"/>
  <c r="I287" i="12"/>
  <c r="J287" i="12"/>
  <c r="K287" i="12"/>
  <c r="M287" i="12"/>
  <c r="G288" i="12"/>
  <c r="I288" i="12"/>
  <c r="J288" i="12"/>
  <c r="K288" i="12"/>
  <c r="M288" i="12"/>
  <c r="G289" i="12"/>
  <c r="I289" i="12"/>
  <c r="J289" i="12"/>
  <c r="K289" i="12"/>
  <c r="M289" i="12"/>
  <c r="G290" i="12"/>
  <c r="I290" i="12"/>
  <c r="J290" i="12"/>
  <c r="K290" i="12"/>
  <c r="M290" i="12"/>
  <c r="G291" i="12"/>
  <c r="I291" i="12"/>
  <c r="J291" i="12"/>
  <c r="K291" i="12"/>
  <c r="M291" i="12"/>
  <c r="G292" i="12"/>
  <c r="I292" i="12"/>
  <c r="J292" i="12"/>
  <c r="K292" i="12"/>
  <c r="M292" i="12"/>
  <c r="G293" i="12"/>
  <c r="I293" i="12"/>
  <c r="J293" i="12"/>
  <c r="K293" i="12"/>
  <c r="M293" i="12"/>
  <c r="G294" i="12"/>
  <c r="I294" i="12"/>
  <c r="J294" i="12"/>
  <c r="K294" i="12"/>
  <c r="M294" i="12"/>
  <c r="G295" i="12"/>
  <c r="I295" i="12"/>
  <c r="J295" i="12"/>
  <c r="K295" i="12"/>
  <c r="M295" i="12"/>
  <c r="G296" i="12"/>
  <c r="I296" i="12"/>
  <c r="J296" i="12"/>
  <c r="K296" i="12"/>
  <c r="M296" i="12"/>
  <c r="G297" i="12"/>
  <c r="I297" i="12"/>
  <c r="J297" i="12"/>
  <c r="K297" i="12"/>
  <c r="M297" i="12"/>
  <c r="G298" i="12"/>
  <c r="I298" i="12"/>
  <c r="J298" i="12"/>
  <c r="K298" i="12"/>
  <c r="M298" i="12"/>
  <c r="G299" i="12"/>
  <c r="I299" i="12"/>
  <c r="J299" i="12"/>
  <c r="K299" i="12"/>
  <c r="M299" i="12"/>
  <c r="G300" i="12"/>
  <c r="I300" i="12"/>
  <c r="J300" i="12"/>
  <c r="K300" i="12"/>
  <c r="M300" i="12"/>
  <c r="G301" i="12"/>
  <c r="I301" i="12"/>
  <c r="J301" i="12"/>
  <c r="K301" i="12"/>
  <c r="M301" i="12"/>
  <c r="G302" i="12"/>
  <c r="I302" i="12"/>
  <c r="J302" i="12"/>
  <c r="K302" i="12"/>
  <c r="M302" i="12"/>
  <c r="G303" i="12"/>
  <c r="I303" i="12"/>
  <c r="J303" i="12"/>
  <c r="K303" i="12"/>
  <c r="M303" i="12"/>
  <c r="G304" i="12"/>
  <c r="I304" i="12"/>
  <c r="J304" i="12"/>
  <c r="K304" i="12"/>
  <c r="M304" i="12"/>
  <c r="G305" i="12"/>
  <c r="I305" i="12"/>
  <c r="J305" i="12"/>
  <c r="K305" i="12"/>
  <c r="M305" i="12"/>
  <c r="G306" i="12"/>
  <c r="I306" i="12"/>
  <c r="J306" i="12"/>
  <c r="K306" i="12"/>
  <c r="M306" i="12"/>
  <c r="G307" i="12"/>
  <c r="I307" i="12"/>
  <c r="J307" i="12"/>
  <c r="K307" i="12"/>
  <c r="M307" i="12"/>
  <c r="G308" i="12"/>
  <c r="I308" i="12"/>
  <c r="J308" i="12"/>
  <c r="K308" i="12"/>
  <c r="M308" i="12"/>
  <c r="G309" i="12"/>
  <c r="I309" i="12"/>
  <c r="J309" i="12"/>
  <c r="K309" i="12"/>
  <c r="M309" i="12"/>
  <c r="G310" i="12"/>
  <c r="I310" i="12"/>
  <c r="J310" i="12"/>
  <c r="K310" i="12"/>
  <c r="M310" i="12"/>
  <c r="G311" i="12"/>
  <c r="I311" i="12"/>
  <c r="J311" i="12"/>
  <c r="K311" i="12"/>
  <c r="M311" i="12"/>
  <c r="G312" i="12"/>
  <c r="I312" i="12"/>
  <c r="J312" i="12"/>
  <c r="K312" i="12"/>
  <c r="M312" i="12"/>
  <c r="G313" i="12"/>
  <c r="I313" i="12"/>
  <c r="J313" i="12"/>
  <c r="K313" i="12"/>
  <c r="M313" i="12"/>
  <c r="G314" i="12"/>
  <c r="I314" i="12"/>
  <c r="J314" i="12"/>
  <c r="K314" i="12"/>
  <c r="M314" i="12"/>
  <c r="G315" i="12"/>
  <c r="I315" i="12"/>
  <c r="J315" i="12"/>
  <c r="K315" i="12"/>
  <c r="M315" i="12"/>
  <c r="G316" i="12"/>
  <c r="I316" i="12"/>
  <c r="J316" i="12"/>
  <c r="K316" i="12"/>
  <c r="M316" i="12"/>
  <c r="G317" i="12"/>
  <c r="I317" i="12"/>
  <c r="J317" i="12"/>
  <c r="K317" i="12"/>
  <c r="M317" i="12"/>
  <c r="G318" i="12"/>
  <c r="I318" i="12"/>
  <c r="J318" i="12"/>
  <c r="K318" i="12"/>
  <c r="M318" i="12"/>
  <c r="G319" i="12"/>
  <c r="I319" i="12"/>
  <c r="J319" i="12"/>
  <c r="K319" i="12"/>
  <c r="M319" i="12"/>
  <c r="G320" i="12"/>
  <c r="I320" i="12"/>
  <c r="J320" i="12"/>
  <c r="K320" i="12"/>
  <c r="M320" i="12"/>
  <c r="G321" i="12"/>
  <c r="I321" i="12"/>
  <c r="J321" i="12"/>
  <c r="K321" i="12"/>
  <c r="M321" i="12"/>
  <c r="G322" i="12"/>
  <c r="I322" i="12"/>
  <c r="J322" i="12"/>
  <c r="K322" i="12"/>
  <c r="M322" i="12"/>
  <c r="G323" i="12"/>
  <c r="I323" i="12"/>
  <c r="J323" i="12"/>
  <c r="K323" i="12"/>
  <c r="M323" i="12"/>
  <c r="G324" i="12"/>
  <c r="I324" i="12"/>
  <c r="J324" i="12"/>
  <c r="K324" i="12"/>
  <c r="M324" i="12"/>
  <c r="G325" i="12"/>
  <c r="I325" i="12"/>
  <c r="J325" i="12"/>
  <c r="K325" i="12"/>
  <c r="M325" i="12"/>
  <c r="G326" i="12"/>
  <c r="I326" i="12"/>
  <c r="J326" i="12"/>
  <c r="K326" i="12"/>
  <c r="M326" i="12"/>
  <c r="G327" i="12"/>
  <c r="I327" i="12"/>
  <c r="J327" i="12"/>
  <c r="K327" i="12"/>
  <c r="M327" i="12"/>
  <c r="G328" i="12"/>
  <c r="I328" i="12"/>
  <c r="J328" i="12"/>
  <c r="K328" i="12"/>
  <c r="M328" i="12"/>
  <c r="G329" i="12"/>
  <c r="I329" i="12"/>
  <c r="J329" i="12"/>
  <c r="K329" i="12"/>
  <c r="M329" i="12"/>
  <c r="G330" i="12"/>
  <c r="I330" i="12"/>
  <c r="J330" i="12"/>
  <c r="K330" i="12"/>
  <c r="M330" i="12"/>
  <c r="G331" i="12"/>
  <c r="I331" i="12"/>
  <c r="J331" i="12"/>
  <c r="K331" i="12"/>
  <c r="M331" i="12"/>
  <c r="G332" i="12"/>
  <c r="I332" i="12"/>
  <c r="J332" i="12"/>
  <c r="K332" i="12"/>
  <c r="M332" i="12"/>
  <c r="G333" i="12"/>
  <c r="I333" i="12"/>
  <c r="J333" i="12"/>
  <c r="K333" i="12"/>
  <c r="M333" i="12"/>
  <c r="G334" i="12"/>
  <c r="I334" i="12"/>
  <c r="J334" i="12"/>
  <c r="K334" i="12"/>
  <c r="M334" i="12"/>
  <c r="G335" i="12"/>
  <c r="I335" i="12"/>
  <c r="J335" i="12"/>
  <c r="K335" i="12"/>
  <c r="M335" i="12"/>
  <c r="G336" i="12"/>
  <c r="I336" i="12"/>
  <c r="J336" i="12"/>
  <c r="K336" i="12"/>
  <c r="M336" i="12"/>
  <c r="G337" i="12"/>
  <c r="I337" i="12"/>
  <c r="J337" i="12"/>
  <c r="K337" i="12"/>
  <c r="M337" i="12"/>
  <c r="G338" i="12"/>
  <c r="I338" i="12"/>
  <c r="J338" i="12"/>
  <c r="K338" i="12"/>
  <c r="M338" i="12"/>
  <c r="G339" i="12"/>
  <c r="I339" i="12"/>
  <c r="J339" i="12"/>
  <c r="K339" i="12"/>
  <c r="M339" i="12"/>
  <c r="G340" i="12"/>
  <c r="I340" i="12"/>
  <c r="J340" i="12"/>
  <c r="K340" i="12"/>
  <c r="M340" i="12"/>
  <c r="G341" i="12"/>
  <c r="I341" i="12"/>
  <c r="J341" i="12"/>
  <c r="K341" i="12"/>
  <c r="M341" i="12"/>
  <c r="G342" i="12"/>
  <c r="I342" i="12"/>
  <c r="J342" i="12"/>
  <c r="K342" i="12"/>
  <c r="M342" i="12"/>
  <c r="G343" i="12"/>
  <c r="I343" i="12"/>
  <c r="J343" i="12"/>
  <c r="K343" i="12"/>
  <c r="M343" i="12"/>
  <c r="G344" i="12"/>
  <c r="I344" i="12"/>
  <c r="J344" i="12"/>
  <c r="K344" i="12"/>
  <c r="M344" i="12"/>
  <c r="G345" i="12"/>
  <c r="I345" i="12"/>
  <c r="J345" i="12"/>
  <c r="K345" i="12"/>
  <c r="M345" i="12"/>
  <c r="G346" i="12"/>
  <c r="I346" i="12"/>
  <c r="J346" i="12"/>
  <c r="K346" i="12"/>
  <c r="M346" i="12"/>
  <c r="G347" i="12"/>
  <c r="I347" i="12"/>
  <c r="J347" i="12"/>
  <c r="K347" i="12"/>
  <c r="M347" i="12"/>
  <c r="G348" i="12"/>
  <c r="I348" i="12"/>
  <c r="J348" i="12"/>
  <c r="K348" i="12"/>
  <c r="M348" i="12"/>
  <c r="G349" i="12"/>
  <c r="I349" i="12"/>
  <c r="J349" i="12"/>
  <c r="K349" i="12"/>
  <c r="M349" i="12"/>
  <c r="G350" i="12"/>
  <c r="I350" i="12"/>
  <c r="J350" i="12"/>
  <c r="K350" i="12"/>
  <c r="M350" i="12"/>
  <c r="G351" i="12"/>
  <c r="I351" i="12"/>
  <c r="J351" i="12"/>
  <c r="K351" i="12"/>
  <c r="M351" i="12"/>
  <c r="G352" i="12"/>
  <c r="I352" i="12"/>
  <c r="J352" i="12"/>
  <c r="K352" i="12"/>
  <c r="M352" i="12"/>
  <c r="G353" i="12"/>
  <c r="I353" i="12"/>
  <c r="J353" i="12"/>
  <c r="K353" i="12"/>
  <c r="M353" i="12"/>
  <c r="G354" i="12"/>
  <c r="I354" i="12"/>
  <c r="J354" i="12"/>
  <c r="K354" i="12"/>
  <c r="M354" i="12"/>
  <c r="G355" i="12"/>
  <c r="I355" i="12"/>
  <c r="J355" i="12"/>
  <c r="K355" i="12"/>
  <c r="M355" i="12"/>
  <c r="G356" i="12"/>
  <c r="I356" i="12"/>
  <c r="J356" i="12"/>
  <c r="K356" i="12"/>
  <c r="M356" i="12"/>
  <c r="G357" i="12"/>
  <c r="I357" i="12"/>
  <c r="J357" i="12"/>
  <c r="K357" i="12"/>
  <c r="M357" i="12"/>
  <c r="G358" i="12"/>
  <c r="I358" i="12"/>
  <c r="J358" i="12"/>
  <c r="K358" i="12"/>
  <c r="M358" i="12"/>
  <c r="G359" i="12"/>
  <c r="I359" i="12"/>
  <c r="J359" i="12"/>
  <c r="K359" i="12"/>
  <c r="M359" i="12"/>
  <c r="G360" i="12"/>
  <c r="I360" i="12"/>
  <c r="J360" i="12"/>
  <c r="K360" i="12"/>
  <c r="M360" i="12"/>
  <c r="G361" i="12"/>
  <c r="I361" i="12"/>
  <c r="J361" i="12"/>
  <c r="K361" i="12"/>
  <c r="M361" i="12"/>
  <c r="G362" i="12"/>
  <c r="I362" i="12"/>
  <c r="J362" i="12"/>
  <c r="K362" i="12"/>
  <c r="M362" i="12"/>
  <c r="G363" i="12"/>
  <c r="I363" i="12"/>
  <c r="J363" i="12"/>
  <c r="K363" i="12"/>
  <c r="M363" i="12"/>
  <c r="G364" i="12"/>
  <c r="I364" i="12"/>
  <c r="J364" i="12"/>
  <c r="K364" i="12"/>
  <c r="M364" i="12"/>
  <c r="G365" i="12"/>
  <c r="I365" i="12"/>
  <c r="J365" i="12"/>
  <c r="K365" i="12"/>
  <c r="M365" i="12"/>
  <c r="G366" i="12"/>
  <c r="I366" i="12"/>
  <c r="J366" i="12"/>
  <c r="K366" i="12"/>
  <c r="M366" i="12"/>
  <c r="G367" i="12"/>
  <c r="I367" i="12"/>
  <c r="J367" i="12"/>
  <c r="K367" i="12"/>
  <c r="M367" i="12"/>
  <c r="G368" i="12"/>
  <c r="I368" i="12"/>
  <c r="J368" i="12"/>
  <c r="K368" i="12"/>
  <c r="M368" i="12"/>
  <c r="G369" i="12"/>
  <c r="I369" i="12"/>
  <c r="J369" i="12"/>
  <c r="K369" i="12"/>
  <c r="M369" i="12"/>
  <c r="G370" i="12"/>
  <c r="I370" i="12"/>
  <c r="J370" i="12"/>
  <c r="K370" i="12"/>
  <c r="M370" i="12"/>
  <c r="G371" i="12"/>
  <c r="I371" i="12"/>
  <c r="J371" i="12"/>
  <c r="K371" i="12"/>
  <c r="M371" i="12"/>
  <c r="G372" i="12"/>
  <c r="I372" i="12"/>
  <c r="J372" i="12"/>
  <c r="K372" i="12"/>
  <c r="M372" i="12"/>
  <c r="G373" i="12"/>
  <c r="I373" i="12"/>
  <c r="J373" i="12"/>
  <c r="K373" i="12"/>
  <c r="M373" i="12"/>
  <c r="G374" i="12"/>
  <c r="I374" i="12"/>
  <c r="J374" i="12"/>
  <c r="K374" i="12"/>
  <c r="M374" i="12"/>
  <c r="G375" i="12"/>
  <c r="I375" i="12"/>
  <c r="J375" i="12"/>
  <c r="K375" i="12"/>
  <c r="M375" i="12"/>
  <c r="G376" i="12"/>
  <c r="I376" i="12"/>
  <c r="J376" i="12"/>
  <c r="K376" i="12"/>
  <c r="M376" i="12"/>
  <c r="G377" i="12"/>
  <c r="I377" i="12"/>
  <c r="J377" i="12"/>
  <c r="K377" i="12"/>
  <c r="M377" i="12"/>
  <c r="G378" i="12"/>
  <c r="I378" i="12"/>
  <c r="J378" i="12"/>
  <c r="K378" i="12"/>
  <c r="M378" i="12"/>
  <c r="G379" i="12"/>
  <c r="I379" i="12"/>
  <c r="J379" i="12"/>
  <c r="K379" i="12"/>
  <c r="M379" i="12"/>
  <c r="G380" i="12"/>
  <c r="I380" i="12"/>
  <c r="J380" i="12"/>
  <c r="K380" i="12"/>
  <c r="M380" i="12"/>
  <c r="G381" i="12"/>
  <c r="I381" i="12"/>
  <c r="J381" i="12"/>
  <c r="K381" i="12"/>
  <c r="M381" i="12"/>
  <c r="G382" i="12"/>
  <c r="I382" i="12"/>
  <c r="J382" i="12"/>
  <c r="K382" i="12"/>
  <c r="M382" i="12"/>
  <c r="G383" i="12"/>
  <c r="I383" i="12"/>
  <c r="J383" i="12"/>
  <c r="K383" i="12"/>
  <c r="M383" i="12"/>
  <c r="G384" i="12"/>
  <c r="I384" i="12"/>
  <c r="J384" i="12"/>
  <c r="K384" i="12"/>
  <c r="M384" i="12"/>
  <c r="G385" i="12"/>
  <c r="I385" i="12"/>
  <c r="J385" i="12"/>
  <c r="K385" i="12"/>
  <c r="M385" i="12"/>
  <c r="G386" i="12"/>
  <c r="I386" i="12"/>
  <c r="J386" i="12"/>
  <c r="K386" i="12"/>
  <c r="M386" i="12"/>
  <c r="G387" i="12"/>
  <c r="I387" i="12"/>
  <c r="J387" i="12"/>
  <c r="K387" i="12"/>
  <c r="M387" i="12"/>
  <c r="G388" i="12"/>
  <c r="I388" i="12"/>
  <c r="J388" i="12"/>
  <c r="K388" i="12"/>
  <c r="M388" i="12"/>
  <c r="G389" i="12"/>
  <c r="I389" i="12"/>
  <c r="J389" i="12"/>
  <c r="K389" i="12"/>
  <c r="M389" i="12"/>
  <c r="G390" i="12"/>
  <c r="I390" i="12"/>
  <c r="J390" i="12"/>
  <c r="K390" i="12"/>
  <c r="M390" i="12"/>
  <c r="G391" i="12"/>
  <c r="I391" i="12"/>
  <c r="J391" i="12"/>
  <c r="K391" i="12"/>
  <c r="M391" i="12"/>
  <c r="G392" i="12"/>
  <c r="I392" i="12"/>
  <c r="J392" i="12"/>
  <c r="K392" i="12"/>
  <c r="M392" i="12"/>
  <c r="G393" i="12"/>
  <c r="I393" i="12"/>
  <c r="J393" i="12"/>
  <c r="K393" i="12"/>
  <c r="M393" i="12"/>
  <c r="G394" i="12"/>
  <c r="I394" i="12"/>
  <c r="J394" i="12"/>
  <c r="K394" i="12"/>
  <c r="M394" i="12"/>
  <c r="G395" i="12"/>
  <c r="I395" i="12"/>
  <c r="J395" i="12"/>
  <c r="K395" i="12"/>
  <c r="M395" i="12"/>
  <c r="G396" i="12"/>
  <c r="I396" i="12"/>
  <c r="J396" i="12"/>
  <c r="K396" i="12"/>
  <c r="M396" i="12"/>
  <c r="G397" i="12"/>
  <c r="I397" i="12"/>
  <c r="J397" i="12"/>
  <c r="K397" i="12"/>
  <c r="M397" i="12"/>
  <c r="G398" i="12"/>
  <c r="I398" i="12"/>
  <c r="J398" i="12"/>
  <c r="K398" i="12"/>
  <c r="M398" i="12"/>
  <c r="G399" i="12"/>
  <c r="I399" i="12"/>
  <c r="J399" i="12"/>
  <c r="K399" i="12"/>
  <c r="M399" i="12"/>
  <c r="G400" i="12"/>
  <c r="I400" i="12"/>
  <c r="J400" i="12"/>
  <c r="K400" i="12"/>
  <c r="M400" i="12"/>
  <c r="G401" i="12"/>
  <c r="I401" i="12"/>
  <c r="J401" i="12"/>
  <c r="K401" i="12"/>
  <c r="M401" i="12"/>
  <c r="G402" i="12"/>
  <c r="I402" i="12"/>
  <c r="J402" i="12"/>
  <c r="K402" i="12"/>
  <c r="M402" i="12"/>
  <c r="G403" i="12"/>
  <c r="I403" i="12"/>
  <c r="J403" i="12"/>
  <c r="K403" i="12"/>
  <c r="M403" i="12"/>
  <c r="G404" i="12"/>
  <c r="I404" i="12"/>
  <c r="J404" i="12"/>
  <c r="K404" i="12"/>
  <c r="M404" i="12"/>
  <c r="G405" i="12"/>
  <c r="I405" i="12"/>
  <c r="J405" i="12"/>
  <c r="K405" i="12"/>
  <c r="M405" i="12"/>
  <c r="G406" i="12"/>
  <c r="I406" i="12"/>
  <c r="J406" i="12"/>
  <c r="K406" i="12"/>
  <c r="M406" i="12"/>
  <c r="G407" i="12"/>
  <c r="I407" i="12"/>
  <c r="J407" i="12"/>
  <c r="K407" i="12"/>
  <c r="M407" i="12"/>
  <c r="G408" i="12"/>
  <c r="I408" i="12"/>
  <c r="J408" i="12"/>
  <c r="K408" i="12"/>
  <c r="M408" i="12"/>
  <c r="G409" i="12"/>
  <c r="I409" i="12"/>
  <c r="J409" i="12"/>
  <c r="K409" i="12"/>
  <c r="M409" i="12"/>
  <c r="G410" i="12"/>
  <c r="I410" i="12"/>
  <c r="J410" i="12"/>
  <c r="K410" i="12"/>
  <c r="M410" i="12"/>
  <c r="G411" i="12"/>
  <c r="I411" i="12"/>
  <c r="J411" i="12"/>
  <c r="K411" i="12"/>
  <c r="M411" i="12"/>
  <c r="G412" i="12"/>
  <c r="I412" i="12"/>
  <c r="J412" i="12"/>
  <c r="K412" i="12"/>
  <c r="M412" i="12"/>
  <c r="G413" i="12"/>
  <c r="I413" i="12"/>
  <c r="J413" i="12"/>
  <c r="K413" i="12"/>
  <c r="M413" i="12"/>
  <c r="G414" i="12"/>
  <c r="I414" i="12"/>
  <c r="J414" i="12"/>
  <c r="K414" i="12"/>
  <c r="M414" i="12"/>
  <c r="G415" i="12"/>
  <c r="I415" i="12"/>
  <c r="J415" i="12"/>
  <c r="K415" i="12"/>
  <c r="M415" i="12"/>
  <c r="G416" i="12"/>
  <c r="I416" i="12"/>
  <c r="J416" i="12"/>
  <c r="K416" i="12"/>
  <c r="M416" i="12"/>
  <c r="G417" i="12"/>
  <c r="I417" i="12"/>
  <c r="J417" i="12"/>
  <c r="K417" i="12"/>
  <c r="M417" i="12"/>
  <c r="G418" i="12"/>
  <c r="I418" i="12"/>
  <c r="J418" i="12"/>
  <c r="K418" i="12"/>
  <c r="M418" i="12"/>
  <c r="G419" i="12"/>
  <c r="I419" i="12"/>
  <c r="J419" i="12"/>
  <c r="K419" i="12"/>
  <c r="M419" i="12"/>
  <c r="G420" i="12"/>
  <c r="I420" i="12"/>
  <c r="J420" i="12"/>
  <c r="K420" i="12"/>
  <c r="M420" i="12"/>
  <c r="G421" i="12"/>
  <c r="I421" i="12"/>
  <c r="J421" i="12"/>
  <c r="K421" i="12"/>
  <c r="M421" i="12"/>
  <c r="G422" i="12"/>
  <c r="I422" i="12"/>
  <c r="J422" i="12"/>
  <c r="K422" i="12"/>
  <c r="M422" i="12"/>
  <c r="G423" i="12"/>
  <c r="I423" i="12"/>
  <c r="J423" i="12"/>
  <c r="K423" i="12"/>
  <c r="M423" i="12"/>
  <c r="G424" i="12"/>
  <c r="I424" i="12"/>
  <c r="J424" i="12"/>
  <c r="K424" i="12"/>
  <c r="M424" i="12"/>
  <c r="G425" i="12"/>
  <c r="I425" i="12"/>
  <c r="J425" i="12"/>
  <c r="K425" i="12"/>
  <c r="M425" i="12"/>
  <c r="G426" i="12"/>
  <c r="I426" i="12"/>
  <c r="J426" i="12"/>
  <c r="K426" i="12"/>
  <c r="M426" i="12"/>
  <c r="G427" i="12"/>
  <c r="I427" i="12"/>
  <c r="J427" i="12"/>
  <c r="K427" i="12"/>
  <c r="M427" i="12"/>
  <c r="G428" i="12"/>
  <c r="I428" i="12"/>
  <c r="J428" i="12"/>
  <c r="K428" i="12"/>
  <c r="M428" i="12"/>
  <c r="G429" i="12"/>
  <c r="I429" i="12"/>
  <c r="J429" i="12"/>
  <c r="K429" i="12"/>
  <c r="M429" i="12"/>
  <c r="G430" i="12"/>
  <c r="I430" i="12"/>
  <c r="J430" i="12"/>
  <c r="K430" i="12"/>
  <c r="M430" i="12"/>
  <c r="G431" i="12"/>
  <c r="I431" i="12"/>
  <c r="J431" i="12"/>
  <c r="K431" i="12"/>
  <c r="M431" i="12"/>
  <c r="G432" i="12"/>
  <c r="I432" i="12"/>
  <c r="J432" i="12"/>
  <c r="K432" i="12"/>
  <c r="M432" i="12"/>
  <c r="G433" i="12"/>
  <c r="I433" i="12"/>
  <c r="J433" i="12"/>
  <c r="K433" i="12"/>
  <c r="M433" i="12"/>
  <c r="G434" i="12"/>
  <c r="I434" i="12"/>
  <c r="J434" i="12"/>
  <c r="K434" i="12"/>
  <c r="M434" i="12"/>
  <c r="G435" i="12"/>
  <c r="I435" i="12"/>
  <c r="J435" i="12"/>
  <c r="K435" i="12"/>
  <c r="M435" i="12"/>
  <c r="G436" i="12"/>
  <c r="I436" i="12"/>
  <c r="J436" i="12"/>
  <c r="K436" i="12"/>
  <c r="M436" i="12"/>
  <c r="G437" i="12"/>
  <c r="I437" i="12"/>
  <c r="J437" i="12"/>
  <c r="K437" i="12"/>
  <c r="M437" i="12"/>
  <c r="G438" i="12"/>
  <c r="I438" i="12"/>
  <c r="J438" i="12"/>
  <c r="K438" i="12"/>
  <c r="M438" i="12"/>
  <c r="G439" i="12"/>
  <c r="I439" i="12"/>
  <c r="J439" i="12"/>
  <c r="K439" i="12"/>
  <c r="M439" i="12"/>
  <c r="G440" i="12"/>
  <c r="I440" i="12"/>
  <c r="J440" i="12"/>
  <c r="K440" i="12"/>
  <c r="M440" i="12"/>
  <c r="G441" i="12"/>
  <c r="I441" i="12"/>
  <c r="J441" i="12"/>
  <c r="K441" i="12"/>
  <c r="M441" i="12"/>
  <c r="G442" i="12"/>
  <c r="I442" i="12"/>
  <c r="J442" i="12"/>
  <c r="K442" i="12"/>
  <c r="M442" i="12"/>
  <c r="G443" i="12"/>
  <c r="I443" i="12"/>
  <c r="J443" i="12"/>
  <c r="K443" i="12"/>
  <c r="M443" i="12"/>
  <c r="G444" i="12"/>
  <c r="I444" i="12"/>
  <c r="J444" i="12"/>
  <c r="K444" i="12"/>
  <c r="M444" i="12"/>
  <c r="G445" i="12"/>
  <c r="I445" i="12"/>
  <c r="J445" i="12"/>
  <c r="K445" i="12"/>
  <c r="M445" i="12"/>
  <c r="G446" i="12"/>
  <c r="I446" i="12"/>
  <c r="J446" i="12"/>
  <c r="K446" i="12"/>
  <c r="M446" i="12"/>
  <c r="G447" i="12"/>
  <c r="I447" i="12"/>
  <c r="J447" i="12"/>
  <c r="K447" i="12"/>
  <c r="M447" i="12"/>
  <c r="G448" i="12"/>
  <c r="I448" i="12"/>
  <c r="J448" i="12"/>
  <c r="K448" i="12"/>
  <c r="M448" i="12"/>
  <c r="G449" i="12"/>
  <c r="I449" i="12"/>
  <c r="J449" i="12"/>
  <c r="K449" i="12"/>
  <c r="M449" i="12"/>
  <c r="G450" i="12"/>
  <c r="I450" i="12"/>
  <c r="J450" i="12"/>
  <c r="K450" i="12"/>
  <c r="M450" i="12"/>
  <c r="G451" i="12"/>
  <c r="I451" i="12"/>
  <c r="J451" i="12"/>
  <c r="K451" i="12"/>
  <c r="M451" i="12"/>
  <c r="G452" i="12"/>
  <c r="I452" i="12"/>
  <c r="J452" i="12"/>
  <c r="K452" i="12"/>
  <c r="M452" i="12"/>
  <c r="G453" i="12"/>
  <c r="I453" i="12"/>
  <c r="J453" i="12"/>
  <c r="K453" i="12"/>
  <c r="M453" i="12"/>
  <c r="G454" i="12"/>
  <c r="I454" i="12"/>
  <c r="J454" i="12"/>
  <c r="K454" i="12"/>
  <c r="M454" i="12"/>
  <c r="G455" i="12"/>
  <c r="I455" i="12"/>
  <c r="J455" i="12"/>
  <c r="K455" i="12"/>
  <c r="M455" i="12"/>
  <c r="G456" i="12"/>
  <c r="I456" i="12"/>
  <c r="J456" i="12"/>
  <c r="K456" i="12"/>
  <c r="M456" i="12"/>
  <c r="G457" i="12"/>
  <c r="I457" i="12"/>
  <c r="J457" i="12"/>
  <c r="K457" i="12"/>
  <c r="M457" i="12"/>
  <c r="G458" i="12"/>
  <c r="I458" i="12"/>
  <c r="J458" i="12"/>
  <c r="K458" i="12"/>
  <c r="M458" i="12"/>
  <c r="G459" i="12"/>
  <c r="I459" i="12"/>
  <c r="J459" i="12"/>
  <c r="K459" i="12"/>
  <c r="M459" i="12"/>
  <c r="G460" i="12"/>
  <c r="I460" i="12"/>
  <c r="J460" i="12"/>
  <c r="K460" i="12"/>
  <c r="M460" i="12"/>
  <c r="G461" i="12"/>
  <c r="I461" i="12"/>
  <c r="J461" i="12"/>
  <c r="K461" i="12"/>
  <c r="M461" i="12"/>
  <c r="G462" i="12"/>
  <c r="I462" i="12"/>
  <c r="J462" i="12"/>
  <c r="K462" i="12"/>
  <c r="M462" i="12"/>
  <c r="G463" i="12"/>
  <c r="I463" i="12"/>
  <c r="J463" i="12"/>
  <c r="K463" i="12"/>
  <c r="M463" i="12"/>
  <c r="G464" i="12"/>
  <c r="I464" i="12"/>
  <c r="J464" i="12"/>
  <c r="K464" i="12"/>
  <c r="M464" i="12"/>
  <c r="G465" i="12"/>
  <c r="I465" i="12"/>
  <c r="J465" i="12"/>
  <c r="K465" i="12"/>
  <c r="M465" i="12"/>
  <c r="G466" i="12"/>
  <c r="I466" i="12"/>
  <c r="J466" i="12"/>
  <c r="K466" i="12"/>
  <c r="M466" i="12"/>
  <c r="G467" i="12"/>
  <c r="I467" i="12"/>
  <c r="J467" i="12"/>
  <c r="K467" i="12"/>
  <c r="M467" i="12"/>
  <c r="G468" i="12"/>
  <c r="I468" i="12"/>
  <c r="J468" i="12"/>
  <c r="K468" i="12"/>
  <c r="M468" i="12"/>
  <c r="G469" i="12"/>
  <c r="I469" i="12"/>
  <c r="J469" i="12"/>
  <c r="K469" i="12"/>
  <c r="M469" i="12"/>
  <c r="G470" i="12"/>
  <c r="I470" i="12"/>
  <c r="J470" i="12"/>
  <c r="K470" i="12"/>
  <c r="M470" i="12"/>
  <c r="G471" i="12"/>
  <c r="I471" i="12"/>
  <c r="J471" i="12"/>
  <c r="K471" i="12"/>
  <c r="M471" i="12"/>
  <c r="G472" i="12"/>
  <c r="I472" i="12"/>
  <c r="J472" i="12"/>
  <c r="K472" i="12"/>
  <c r="M472" i="12"/>
  <c r="G473" i="12"/>
  <c r="I473" i="12"/>
  <c r="J473" i="12"/>
  <c r="K473" i="12"/>
  <c r="M473" i="12"/>
  <c r="G474" i="12"/>
  <c r="I474" i="12"/>
  <c r="J474" i="12"/>
  <c r="K474" i="12"/>
  <c r="M474" i="12"/>
  <c r="G475" i="12"/>
  <c r="I475" i="12"/>
  <c r="J475" i="12"/>
  <c r="K475" i="12"/>
  <c r="M475" i="12"/>
  <c r="G476" i="12"/>
  <c r="I476" i="12"/>
  <c r="J476" i="12"/>
  <c r="K476" i="12"/>
  <c r="M476" i="12"/>
  <c r="G477" i="12"/>
  <c r="I477" i="12"/>
  <c r="J477" i="12"/>
  <c r="K477" i="12"/>
  <c r="M477" i="12"/>
  <c r="G478" i="12"/>
  <c r="I478" i="12"/>
  <c r="J478" i="12"/>
  <c r="K478" i="12"/>
  <c r="M478" i="12"/>
  <c r="G479" i="12"/>
  <c r="I479" i="12"/>
  <c r="J479" i="12"/>
  <c r="K479" i="12"/>
  <c r="M479" i="12"/>
  <c r="G480" i="12"/>
  <c r="I480" i="12"/>
  <c r="J480" i="12"/>
  <c r="K480" i="12"/>
  <c r="M480" i="12"/>
  <c r="G481" i="12"/>
  <c r="I481" i="12"/>
  <c r="J481" i="12"/>
  <c r="K481" i="12"/>
  <c r="M481" i="12"/>
  <c r="G482" i="12"/>
  <c r="I482" i="12"/>
  <c r="J482" i="12"/>
  <c r="K482" i="12"/>
  <c r="M482" i="12"/>
  <c r="G483" i="12"/>
  <c r="I483" i="12"/>
  <c r="J483" i="12"/>
  <c r="K483" i="12"/>
  <c r="M483" i="12"/>
  <c r="G484" i="12"/>
  <c r="I484" i="12"/>
  <c r="J484" i="12"/>
  <c r="K484" i="12"/>
  <c r="M484" i="12"/>
  <c r="G485" i="12"/>
  <c r="I485" i="12"/>
  <c r="J485" i="12"/>
  <c r="K485" i="12"/>
  <c r="M485" i="12"/>
  <c r="G486" i="12"/>
  <c r="I486" i="12"/>
  <c r="J486" i="12"/>
  <c r="K486" i="12"/>
  <c r="M486" i="12"/>
  <c r="G487" i="12"/>
  <c r="I487" i="12"/>
  <c r="J487" i="12"/>
  <c r="K487" i="12"/>
  <c r="M487" i="12"/>
  <c r="G488" i="12"/>
  <c r="I488" i="12"/>
  <c r="J488" i="12"/>
  <c r="K488" i="12"/>
  <c r="M488" i="12"/>
  <c r="G489" i="12"/>
  <c r="I489" i="12"/>
  <c r="J489" i="12"/>
  <c r="K489" i="12"/>
  <c r="M489" i="12"/>
  <c r="G490" i="12"/>
  <c r="I490" i="12"/>
  <c r="J490" i="12"/>
  <c r="K490" i="12"/>
  <c r="M490" i="12"/>
  <c r="G491" i="12"/>
  <c r="I491" i="12"/>
  <c r="J491" i="12"/>
  <c r="K491" i="12"/>
  <c r="M491" i="12"/>
  <c r="G492" i="12"/>
  <c r="I492" i="12"/>
  <c r="J492" i="12"/>
  <c r="K492" i="12"/>
  <c r="M492" i="12"/>
  <c r="G493" i="12"/>
  <c r="I493" i="12"/>
  <c r="J493" i="12"/>
  <c r="K493" i="12"/>
  <c r="M493" i="12"/>
  <c r="G494" i="12"/>
  <c r="I494" i="12"/>
  <c r="J494" i="12"/>
  <c r="K494" i="12"/>
  <c r="M494" i="12"/>
  <c r="G495" i="12"/>
  <c r="I495" i="12"/>
  <c r="J495" i="12"/>
  <c r="K495" i="12"/>
  <c r="M495" i="12"/>
  <c r="G496" i="12"/>
  <c r="I496" i="12"/>
  <c r="J496" i="12"/>
  <c r="K496" i="12"/>
  <c r="M496" i="12"/>
  <c r="G497" i="12"/>
  <c r="I497" i="12"/>
  <c r="J497" i="12"/>
  <c r="K497" i="12"/>
  <c r="M497" i="12"/>
  <c r="G498" i="12"/>
  <c r="I498" i="12"/>
  <c r="J498" i="12"/>
  <c r="K498" i="12"/>
  <c r="M498" i="12"/>
  <c r="G499" i="12"/>
  <c r="I499" i="12"/>
  <c r="J499" i="12"/>
  <c r="K499" i="12"/>
  <c r="M499" i="12"/>
  <c r="G500" i="12"/>
  <c r="I500" i="12"/>
  <c r="J500" i="12"/>
  <c r="K500" i="12"/>
  <c r="M500" i="12"/>
  <c r="G501" i="12"/>
  <c r="I501" i="12"/>
  <c r="J501" i="12"/>
  <c r="K501" i="12"/>
  <c r="M501" i="12"/>
  <c r="G502" i="12"/>
  <c r="I502" i="12"/>
  <c r="J502" i="12"/>
  <c r="K502" i="12"/>
  <c r="M502" i="12"/>
  <c r="G503" i="12"/>
  <c r="I503" i="12"/>
  <c r="J503" i="12"/>
  <c r="K503" i="12"/>
  <c r="M503" i="12"/>
  <c r="G504" i="12"/>
  <c r="I504" i="12"/>
  <c r="J504" i="12"/>
  <c r="K504" i="12"/>
  <c r="M504" i="12"/>
  <c r="G505" i="12"/>
  <c r="I505" i="12"/>
  <c r="J505" i="12"/>
  <c r="K505" i="12"/>
  <c r="M505" i="12"/>
  <c r="G506" i="12"/>
  <c r="I506" i="12"/>
  <c r="J506" i="12"/>
  <c r="K506" i="12"/>
  <c r="M506" i="12"/>
  <c r="G507" i="12"/>
  <c r="I507" i="12"/>
  <c r="J507" i="12"/>
  <c r="K507" i="12"/>
  <c r="M507" i="12"/>
  <c r="G508" i="12"/>
  <c r="I508" i="12"/>
  <c r="J508" i="12"/>
  <c r="K508" i="12"/>
  <c r="M508" i="12"/>
  <c r="G509" i="12"/>
  <c r="I509" i="12"/>
  <c r="J509" i="12"/>
  <c r="K509" i="12"/>
  <c r="M509" i="12"/>
  <c r="G510" i="12"/>
  <c r="I510" i="12"/>
  <c r="J510" i="12"/>
  <c r="K510" i="12"/>
  <c r="M510" i="12"/>
  <c r="G511" i="12"/>
  <c r="I511" i="12"/>
  <c r="J511" i="12"/>
  <c r="K511" i="12"/>
  <c r="M511" i="12"/>
  <c r="G512" i="12"/>
  <c r="I512" i="12"/>
  <c r="J512" i="12"/>
  <c r="K512" i="12"/>
  <c r="M512" i="12"/>
  <c r="G513" i="12"/>
  <c r="I513" i="12"/>
  <c r="J513" i="12"/>
  <c r="K513" i="12"/>
  <c r="M513" i="12"/>
  <c r="G514" i="12"/>
  <c r="I514" i="12"/>
  <c r="J514" i="12"/>
  <c r="K514" i="12"/>
  <c r="M514" i="12"/>
  <c r="G515" i="12"/>
  <c r="I515" i="12"/>
  <c r="J515" i="12"/>
  <c r="K515" i="12"/>
  <c r="M515" i="12"/>
  <c r="G516" i="12"/>
  <c r="I516" i="12"/>
  <c r="J516" i="12"/>
  <c r="K516" i="12"/>
  <c r="M516" i="12"/>
  <c r="G517" i="12"/>
  <c r="I517" i="12"/>
  <c r="J517" i="12"/>
  <c r="K517" i="12"/>
  <c r="M517" i="12"/>
  <c r="G518" i="12"/>
  <c r="I518" i="12"/>
  <c r="J518" i="12"/>
  <c r="K518" i="12"/>
  <c r="M518" i="12"/>
  <c r="G519" i="12"/>
  <c r="I519" i="12"/>
  <c r="J519" i="12"/>
  <c r="K519" i="12"/>
  <c r="M519" i="12"/>
  <c r="G520" i="12"/>
  <c r="I520" i="12"/>
  <c r="J520" i="12"/>
  <c r="K520" i="12"/>
  <c r="M520" i="12"/>
  <c r="G521" i="12"/>
  <c r="I521" i="12"/>
  <c r="J521" i="12"/>
  <c r="K521" i="12"/>
  <c r="M521" i="12"/>
  <c r="G522" i="12"/>
  <c r="I522" i="12"/>
  <c r="J522" i="12"/>
  <c r="K522" i="12"/>
  <c r="M522" i="12"/>
  <c r="G523" i="12"/>
  <c r="I523" i="12"/>
  <c r="J523" i="12"/>
  <c r="K523" i="12"/>
  <c r="M523" i="12"/>
  <c r="G524" i="12"/>
  <c r="I524" i="12"/>
  <c r="J524" i="12"/>
  <c r="K524" i="12"/>
  <c r="M524" i="12"/>
  <c r="G525" i="12"/>
  <c r="I525" i="12"/>
  <c r="J525" i="12"/>
  <c r="K525" i="12"/>
  <c r="M525" i="12"/>
  <c r="G526" i="12"/>
  <c r="I526" i="12"/>
  <c r="J526" i="12"/>
  <c r="K526" i="12"/>
  <c r="M526" i="12"/>
  <c r="G527" i="12"/>
  <c r="I527" i="12"/>
  <c r="J527" i="12"/>
  <c r="K527" i="12"/>
  <c r="M527" i="12"/>
  <c r="G528" i="12"/>
  <c r="I528" i="12"/>
  <c r="J528" i="12"/>
  <c r="K528" i="12"/>
  <c r="M528" i="12"/>
  <c r="G529" i="12"/>
  <c r="I529" i="12"/>
  <c r="J529" i="12"/>
  <c r="K529" i="12"/>
  <c r="M529" i="12"/>
  <c r="G530" i="12"/>
  <c r="I530" i="12"/>
  <c r="J530" i="12"/>
  <c r="K530" i="12"/>
  <c r="M530" i="12"/>
  <c r="G531" i="12"/>
  <c r="I531" i="12"/>
  <c r="J531" i="12"/>
  <c r="K531" i="12"/>
  <c r="M531" i="12"/>
  <c r="G532" i="12"/>
  <c r="I532" i="12"/>
  <c r="J532" i="12"/>
  <c r="K532" i="12"/>
  <c r="M532" i="12"/>
  <c r="G533" i="12"/>
  <c r="I533" i="12"/>
  <c r="J533" i="12"/>
  <c r="K533" i="12"/>
  <c r="M533" i="12"/>
  <c r="G534" i="12"/>
  <c r="I534" i="12"/>
  <c r="J534" i="12"/>
  <c r="K534" i="12"/>
  <c r="M534" i="12"/>
  <c r="G535" i="12"/>
  <c r="I535" i="12"/>
  <c r="J535" i="12"/>
  <c r="K535" i="12"/>
  <c r="M535" i="12"/>
  <c r="G536" i="12"/>
  <c r="I536" i="12"/>
  <c r="J536" i="12"/>
  <c r="K536" i="12"/>
  <c r="M536" i="12"/>
  <c r="G537" i="12"/>
  <c r="I537" i="12"/>
  <c r="J537" i="12"/>
  <c r="K537" i="12"/>
  <c r="M537" i="12"/>
  <c r="G538" i="12"/>
  <c r="I538" i="12"/>
  <c r="J538" i="12"/>
  <c r="K538" i="12"/>
  <c r="M538" i="12"/>
  <c r="G539" i="12"/>
  <c r="I539" i="12"/>
  <c r="J539" i="12"/>
  <c r="K539" i="12"/>
  <c r="M539" i="12"/>
  <c r="G540" i="12"/>
  <c r="I540" i="12"/>
  <c r="J540" i="12"/>
  <c r="K540" i="12"/>
  <c r="M540" i="12"/>
  <c r="G541" i="12"/>
  <c r="I541" i="12"/>
  <c r="J541" i="12"/>
  <c r="K541" i="12"/>
  <c r="M541" i="12"/>
  <c r="G542" i="12"/>
  <c r="I542" i="12"/>
  <c r="J542" i="12"/>
  <c r="K542" i="12"/>
  <c r="M542" i="12"/>
  <c r="G543" i="12"/>
  <c r="I543" i="12"/>
  <c r="J543" i="12"/>
  <c r="K543" i="12"/>
  <c r="M543" i="12"/>
  <c r="G544" i="12"/>
  <c r="I544" i="12"/>
  <c r="J544" i="12"/>
  <c r="K544" i="12"/>
  <c r="M544" i="12"/>
  <c r="G545" i="12"/>
  <c r="I545" i="12"/>
  <c r="J545" i="12"/>
  <c r="K545" i="12"/>
  <c r="M545" i="12"/>
  <c r="G546" i="12"/>
  <c r="I546" i="12"/>
  <c r="J546" i="12"/>
  <c r="K546" i="12"/>
  <c r="M546" i="12"/>
  <c r="G547" i="12"/>
  <c r="I547" i="12"/>
  <c r="J547" i="12"/>
  <c r="K547" i="12"/>
  <c r="M547" i="12"/>
  <c r="G548" i="12"/>
  <c r="I548" i="12"/>
  <c r="J548" i="12"/>
  <c r="K548" i="12"/>
  <c r="M548" i="12"/>
  <c r="G549" i="12"/>
  <c r="I549" i="12"/>
  <c r="J549" i="12"/>
  <c r="K549" i="12"/>
  <c r="M549" i="12"/>
  <c r="G550" i="12"/>
  <c r="I550" i="12"/>
  <c r="J550" i="12"/>
  <c r="K550" i="12"/>
  <c r="M550" i="12"/>
  <c r="G551" i="12"/>
  <c r="I551" i="12"/>
  <c r="J551" i="12"/>
  <c r="K551" i="12"/>
  <c r="M551" i="12"/>
  <c r="G552" i="12"/>
  <c r="I552" i="12"/>
  <c r="J552" i="12"/>
  <c r="K552" i="12"/>
  <c r="M552" i="12"/>
  <c r="N4" i="4"/>
  <c r="O4" i="4"/>
  <c r="P4" i="4"/>
  <c r="L6" i="4"/>
  <c r="P6" i="4"/>
  <c r="P30" i="4"/>
  <c r="P31" i="4"/>
  <c r="P32" i="4"/>
  <c r="C4" i="2"/>
  <c r="D4" i="2"/>
  <c r="E4" i="2"/>
  <c r="F4" i="2"/>
  <c r="J6" i="2"/>
  <c r="K6" i="2"/>
  <c r="J7" i="2"/>
  <c r="K7" i="2"/>
  <c r="J8" i="2"/>
  <c r="K8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H40" i="2"/>
  <c r="K40" i="2"/>
  <c r="N40" i="2"/>
  <c r="Q40" i="2"/>
  <c r="M42" i="2"/>
  <c r="M43" i="2"/>
  <c r="N43" i="2"/>
  <c r="O43" i="2"/>
  <c r="M44" i="2"/>
  <c r="N44" i="2"/>
  <c r="O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Q63" i="2"/>
  <c r="M64" i="2"/>
  <c r="Q64" i="2"/>
  <c r="M65" i="2"/>
  <c r="Q65" i="2"/>
  <c r="M66" i="2"/>
  <c r="Q66" i="2"/>
  <c r="M67" i="2"/>
  <c r="Q67" i="2"/>
  <c r="M68" i="2"/>
  <c r="Q68" i="2"/>
  <c r="M69" i="2"/>
  <c r="Q69" i="2"/>
  <c r="M70" i="2"/>
  <c r="Q70" i="2"/>
  <c r="M71" i="2"/>
  <c r="Q71" i="2"/>
  <c r="M72" i="2"/>
  <c r="Q72" i="2"/>
  <c r="M73" i="2"/>
  <c r="Q73" i="2"/>
  <c r="M74" i="2"/>
  <c r="Q74" i="2"/>
  <c r="M75" i="2"/>
  <c r="Q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夏菲</author>
    <author>tc={E3B90C10-A06D-40C5-BEDC-65F8E598F881}</author>
    <author>tc={302C3088-2EB1-4302-9924-7CC27CBE069A}</author>
  </authors>
  <commentList>
    <comment ref="N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 xml:space="preserve">灸：
</t>
        </r>
        <r>
          <rPr>
            <sz val="9"/>
            <color indexed="81"/>
            <rFont val="細明體"/>
            <family val="3"/>
            <charset val="136"/>
          </rPr>
          <t>1.有攸需開六層奇穴
2.含弘須開十層奇穴
3.含弘無疆皆只能擇1</t>
        </r>
      </text>
    </comment>
    <comment ref="A36" authorId="1" shapeId="0" xr:uid="{E3B90C10-A06D-40C5-BEDC-65F8E598F881}">
      <text>
        <t>[對話串註解]
您的 Excel 版本可讓您讀取此對話串註解; 但若以較新的 Excel 版本開啟此檔案，將會移除對它進行的所有編輯。深入了解: https://go.microsoft.com/fwlink/?linkid=870924。
註解:
    每0.5秒一次</t>
      </text>
    </comment>
    <comment ref="A37" authorId="2" shapeId="0" xr:uid="{302C3088-2EB1-4302-9924-7CC27CBE069A}">
      <text>
        <t>[對話串註解]
您的 Excel 版本可讓您讀取此對話串註解; 但若以較新的 Excel 版本開啟此檔案，將會移除對它進行的所有編輯。深入了解: https://go.microsoft.com/fwlink/?linkid=870924。
註解:
    每2秒一次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tc={2CFBABFB-B50E-4D42-B01A-D23724965989}</author>
    <author>tc={5CABC5AE-2743-4B91-9E7E-C017C85FDF00}</author>
  </authors>
  <commentList>
    <comment ref="F3" authorId="0" shapeId="0" xr:uid="{2CFBABFB-B50E-4D42-B01A-D23724965989}">
      <text>
        <t>[對話串註解]
您的 Excel 版本可讓您讀取此對話串註解; 但若以較新的 Excel 版本開啟此檔案，將會移除對它進行的所有編輯。深入了解: https://go.microsoft.com/fwlink/?linkid=870924。
註解:
    心法加成屬性1身法=0.47</t>
      </text>
    </comment>
    <comment ref="G3" authorId="1" shapeId="0" xr:uid="{5CABC5AE-2743-4B91-9E7E-C017C85FDF00}">
      <text>
        <t>[對話串註解]
您的 Excel 版本可讓您讀取此對話串註解; 但若以較新的 Excel 版本開啟此檔案，將會移除對它進行的所有編輯。深入了解: https://go.microsoft.com/fwlink/?linkid=870924。
註解:
    共同天生1身法=0.64會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夏菲</author>
  </authors>
  <commentList>
    <comment ref="G28" authorId="0" shapeId="0" xr:uid="{9BC30510-39B5-41BC-9730-9C3629920011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僅估算</t>
        </r>
      </text>
    </comment>
    <comment ref="A85" authorId="0" shapeId="0" xr:uid="{71EE3ED1-C4DB-469A-94F2-D631FF0F5209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平砍"不可"觸發，依技能次數觸發</t>
        </r>
      </text>
    </comment>
    <comment ref="A91" authorId="0" shapeId="0" xr:uid="{3EC02A8F-F191-4954-AF92-F458A537C01C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平砍可觸發</t>
        </r>
      </text>
    </comment>
    <comment ref="A112" authorId="0" shapeId="0" xr:uid="{1632CC01-5B3C-4BEC-BE86-50103E45DAD5}">
      <text>
        <r>
          <rPr>
            <b/>
            <sz val="9"/>
            <color indexed="81"/>
            <rFont val="細明體"/>
            <family val="3"/>
            <charset val="136"/>
          </rPr>
          <t>夏菲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平砍不可觸發</t>
        </r>
      </text>
    </comment>
  </commentList>
</comments>
</file>

<file path=xl/sharedStrings.xml><?xml version="1.0" encoding="utf-8"?>
<sst xmlns="http://schemas.openxmlformats.org/spreadsheetml/2006/main" count="3099" uniqueCount="1461">
  <si>
    <t>會效：</t>
    <phoneticPr fontId="1" type="noConversion"/>
  </si>
  <si>
    <t>←請在左側填入面板會效%，例如：175%</t>
    <phoneticPr fontId="1" type="noConversion"/>
  </si>
  <si>
    <t>破防會心收益比較表</t>
    <phoneticPr fontId="1" type="noConversion"/>
  </si>
  <si>
    <t>破防%</t>
  </si>
  <si>
    <t>最終傷害</t>
  </si>
  <si>
    <t>增強倍數</t>
  </si>
  <si>
    <t>會心%</t>
    <phoneticPr fontId="1" type="noConversion"/>
  </si>
  <si>
    <t>最終傷害</t>
    <phoneticPr fontId="1" type="noConversion"/>
  </si>
  <si>
    <t>增強倍數</t>
    <phoneticPr fontId="1" type="noConversion"/>
  </si>
  <si>
    <t>肆級五彩</t>
  </si>
  <si>
    <t>伍級五彩</t>
  </si>
  <si>
    <t>陸級五彩</t>
  </si>
  <si>
    <t>鑲嵌等級</t>
  </si>
  <si>
    <t>會效%</t>
  </si>
  <si>
    <t>一層會效%</t>
    <phoneticPr fontId="1" type="noConversion"/>
  </si>
  <si>
    <t>二層會效%</t>
    <phoneticPr fontId="1" type="noConversion"/>
  </si>
  <si>
    <t>三層會效%</t>
    <phoneticPr fontId="1" type="noConversion"/>
  </si>
  <si>
    <t>表格製作：沉冤</t>
    <phoneticPr fontId="1" type="noConversion"/>
  </si>
  <si>
    <t>請注意，不同版本與不同流派以及不同團隊配置將影響面板數據，請自行調整計算。</t>
    <phoneticPr fontId="1" type="noConversion"/>
  </si>
  <si>
    <t>表格最後更新日：2019.04.19</t>
    <phoneticPr fontId="1" type="noConversion"/>
  </si>
  <si>
    <t>角色空身會效為175%</t>
    <phoneticPr fontId="1" type="noConversion"/>
  </si>
  <si>
    <t>常見會效加成來源換算(100年代)</t>
    <phoneticPr fontId="1" type="noConversion"/>
  </si>
  <si>
    <t>破防</t>
    <phoneticPr fontId="2" type="noConversion"/>
  </si>
  <si>
    <t>會心</t>
    <phoneticPr fontId="2" type="noConversion"/>
  </si>
  <si>
    <t>會效</t>
    <phoneticPr fontId="2" type="noConversion"/>
  </si>
  <si>
    <t>無雙</t>
    <phoneticPr fontId="2" type="noConversion"/>
  </si>
  <si>
    <t>命中</t>
    <phoneticPr fontId="2" type="noConversion"/>
  </si>
  <si>
    <t>英雄</t>
    <phoneticPr fontId="2" type="noConversion"/>
  </si>
  <si>
    <t>10人</t>
    <phoneticPr fontId="2" type="noConversion"/>
  </si>
  <si>
    <t>被識破率</t>
    <phoneticPr fontId="2" type="noConversion"/>
  </si>
  <si>
    <t>攻擊</t>
    <phoneticPr fontId="2" type="noConversion"/>
  </si>
  <si>
    <t>無雙需求</t>
    <phoneticPr fontId="2" type="noConversion"/>
  </si>
  <si>
    <t>命中需求</t>
    <phoneticPr fontId="2" type="noConversion"/>
  </si>
  <si>
    <t>對象</t>
    <phoneticPr fontId="2" type="noConversion"/>
  </si>
  <si>
    <t>技能係數</t>
    <phoneticPr fontId="2" type="noConversion"/>
  </si>
  <si>
    <t>技能名稱</t>
    <phoneticPr fontId="2" type="noConversion"/>
  </si>
  <si>
    <t>紀錄</t>
    <phoneticPr fontId="2" type="noConversion"/>
  </si>
  <si>
    <t>石頭</t>
    <phoneticPr fontId="2" type="noConversion"/>
  </si>
  <si>
    <t>2層會效</t>
    <phoneticPr fontId="1" type="noConversion"/>
  </si>
  <si>
    <t>3層會效</t>
    <phoneticPr fontId="1" type="noConversion"/>
  </si>
  <si>
    <t>破防適合%</t>
    <phoneticPr fontId="1" type="noConversion"/>
  </si>
  <si>
    <t>會心適合%</t>
    <phoneticPr fontId="1" type="noConversion"/>
  </si>
  <si>
    <t>會效%</t>
    <phoneticPr fontId="1" type="noConversion"/>
  </si>
  <si>
    <t>附魔</t>
    <phoneticPr fontId="2" type="noConversion"/>
  </si>
  <si>
    <t>1層會效</t>
    <phoneticPr fontId="1" type="noConversion"/>
  </si>
  <si>
    <t>0層會效</t>
    <phoneticPr fontId="1" type="noConversion"/>
  </si>
  <si>
    <t>邊際效益</t>
    <phoneticPr fontId="1" type="noConversion"/>
  </si>
  <si>
    <t>設2300裝備會破總合為66%</t>
    <phoneticPr fontId="1" type="noConversion"/>
  </si>
  <si>
    <t>破防總收</t>
    <phoneticPr fontId="1" type="noConversion"/>
  </si>
  <si>
    <t>會心總收</t>
    <phoneticPr fontId="1" type="noConversion"/>
  </si>
  <si>
    <t>綜合收益</t>
    <phoneticPr fontId="1" type="noConversion"/>
  </si>
  <si>
    <t>0層會效喝酒</t>
    <phoneticPr fontId="1" type="noConversion"/>
  </si>
  <si>
    <t>2層會效喝酒</t>
    <phoneticPr fontId="1" type="noConversion"/>
  </si>
  <si>
    <t>理論傷害</t>
    <phoneticPr fontId="2" type="noConversion"/>
  </si>
  <si>
    <t>圓桌命中</t>
    <phoneticPr fontId="2" type="noConversion"/>
  </si>
  <si>
    <t>實際命中</t>
    <phoneticPr fontId="2" type="noConversion"/>
  </si>
  <si>
    <t>吃魚</t>
    <phoneticPr fontId="2" type="noConversion"/>
  </si>
  <si>
    <t>3層會效喝酒</t>
    <phoneticPr fontId="1" type="noConversion"/>
  </si>
  <si>
    <t>控制時間</t>
    <phoneticPr fontId="2" type="noConversion"/>
  </si>
  <si>
    <t>小基傷</t>
    <phoneticPr fontId="2" type="noConversion"/>
  </si>
  <si>
    <t>大基傷</t>
    <phoneticPr fontId="2" type="noConversion"/>
  </si>
  <si>
    <t>詠唱時間</t>
    <phoneticPr fontId="2" type="noConversion"/>
  </si>
  <si>
    <t>調息時間</t>
    <phoneticPr fontId="2" type="noConversion"/>
  </si>
  <si>
    <t>配裝</t>
    <phoneticPr fontId="3" type="noConversion"/>
  </si>
  <si>
    <t>頭部</t>
  </si>
  <si>
    <t>頭部</t>
    <phoneticPr fontId="3" type="noConversion"/>
  </si>
  <si>
    <t>衣服</t>
  </si>
  <si>
    <t>衣服</t>
    <phoneticPr fontId="3" type="noConversion"/>
  </si>
  <si>
    <t>腰帶</t>
  </si>
  <si>
    <t>腰帶</t>
    <phoneticPr fontId="3" type="noConversion"/>
  </si>
  <si>
    <t>護腕</t>
  </si>
  <si>
    <t>護腕</t>
    <phoneticPr fontId="3" type="noConversion"/>
  </si>
  <si>
    <t>下裝</t>
  </si>
  <si>
    <t>下裝</t>
    <phoneticPr fontId="3" type="noConversion"/>
  </si>
  <si>
    <t>鞋子</t>
  </si>
  <si>
    <t>鞋子</t>
    <phoneticPr fontId="3" type="noConversion"/>
  </si>
  <si>
    <t>項鍊</t>
  </si>
  <si>
    <t>項鍊</t>
    <phoneticPr fontId="3" type="noConversion"/>
  </si>
  <si>
    <t>腰墜</t>
  </si>
  <si>
    <t>腰墜</t>
    <phoneticPr fontId="3" type="noConversion"/>
  </si>
  <si>
    <t>戒指</t>
  </si>
  <si>
    <t>戒指</t>
    <phoneticPr fontId="3" type="noConversion"/>
  </si>
  <si>
    <t>暗器囊</t>
  </si>
  <si>
    <t>暗器囊</t>
    <phoneticPr fontId="3" type="noConversion"/>
  </si>
  <si>
    <t>武器</t>
  </si>
  <si>
    <t>武器</t>
    <phoneticPr fontId="3" type="noConversion"/>
  </si>
  <si>
    <t>頭部附魔</t>
  </si>
  <si>
    <t>頭部附魔</t>
    <phoneticPr fontId="3" type="noConversion"/>
  </si>
  <si>
    <t>護腕附魔</t>
  </si>
  <si>
    <t>護腕附魔</t>
    <phoneticPr fontId="3" type="noConversion"/>
  </si>
  <si>
    <t>下裝附魔</t>
  </si>
  <si>
    <t>下裝附魔</t>
    <phoneticPr fontId="3" type="noConversion"/>
  </si>
  <si>
    <t>鞋子附魔</t>
  </si>
  <si>
    <t>鞋子附魔</t>
    <phoneticPr fontId="3" type="noConversion"/>
  </si>
  <si>
    <t>名稱</t>
    <phoneticPr fontId="3" type="noConversion"/>
  </si>
  <si>
    <t>戒指附魔</t>
  </si>
  <si>
    <t>戒指附魔</t>
    <phoneticPr fontId="3" type="noConversion"/>
  </si>
  <si>
    <t>暗器附魔</t>
  </si>
  <si>
    <t>暗器附魔</t>
    <phoneticPr fontId="3" type="noConversion"/>
  </si>
  <si>
    <t>武器附魔</t>
  </si>
  <si>
    <t>武器附魔</t>
    <phoneticPr fontId="3" type="noConversion"/>
  </si>
  <si>
    <t>武器熔錠</t>
    <phoneticPr fontId="3" type="noConversion"/>
  </si>
  <si>
    <t>幫會宴席</t>
    <phoneticPr fontId="3" type="noConversion"/>
  </si>
  <si>
    <t>其他宴席</t>
    <phoneticPr fontId="3" type="noConversion"/>
  </si>
  <si>
    <t>宴席</t>
    <phoneticPr fontId="3" type="noConversion"/>
  </si>
  <si>
    <t>輔助藥品</t>
    <phoneticPr fontId="3" type="noConversion"/>
  </si>
  <si>
    <t>輔助食品</t>
    <phoneticPr fontId="3" type="noConversion"/>
  </si>
  <si>
    <t>增強食品</t>
    <phoneticPr fontId="3" type="noConversion"/>
  </si>
  <si>
    <t>增強藥品</t>
    <phoneticPr fontId="3" type="noConversion"/>
  </si>
  <si>
    <t>人物數值</t>
    <phoneticPr fontId="3" type="noConversion"/>
  </si>
  <si>
    <t>攻擊力</t>
    <phoneticPr fontId="3" type="noConversion"/>
  </si>
  <si>
    <t>命中</t>
    <phoneticPr fontId="3" type="noConversion"/>
  </si>
  <si>
    <t>會心</t>
    <phoneticPr fontId="3" type="noConversion"/>
  </si>
  <si>
    <t>會心效果</t>
    <phoneticPr fontId="3" type="noConversion"/>
  </si>
  <si>
    <t>破防</t>
    <phoneticPr fontId="3" type="noConversion"/>
  </si>
  <si>
    <t>無雙</t>
    <phoneticPr fontId="3" type="noConversion"/>
  </si>
  <si>
    <t>傷害 3%</t>
    <phoneticPr fontId="3" type="noConversion"/>
  </si>
  <si>
    <t>會心 3%</t>
    <phoneticPr fontId="3" type="noConversion"/>
  </si>
  <si>
    <t>會心 2%</t>
    <phoneticPr fontId="3" type="noConversion"/>
  </si>
  <si>
    <t>傷害 4%</t>
    <phoneticPr fontId="3" type="noConversion"/>
  </si>
  <si>
    <t>傷害 5%</t>
    <phoneticPr fontId="3" type="noConversion"/>
  </si>
  <si>
    <t>CD-1</t>
    <phoneticPr fontId="3" type="noConversion"/>
  </si>
  <si>
    <t>部位</t>
    <phoneticPr fontId="3" type="noConversion"/>
  </si>
  <si>
    <t>品質分數</t>
    <phoneticPr fontId="3" type="noConversion"/>
  </si>
  <si>
    <t>出處</t>
    <phoneticPr fontId="3" type="noConversion"/>
  </si>
  <si>
    <t>裝備名稱</t>
    <phoneticPr fontId="3" type="noConversion"/>
  </si>
  <si>
    <t>外功攻擊</t>
    <phoneticPr fontId="3" type="noConversion"/>
  </si>
  <si>
    <t>基礎數值</t>
    <phoneticPr fontId="3" type="noConversion"/>
  </si>
  <si>
    <t>無雙(%)</t>
    <phoneticPr fontId="3" type="noConversion"/>
  </si>
  <si>
    <t>破防(%)</t>
    <phoneticPr fontId="3" type="noConversion"/>
  </si>
  <si>
    <t>命中(%)</t>
    <phoneticPr fontId="3" type="noConversion"/>
  </si>
  <si>
    <t>會心效果(%)</t>
    <phoneticPr fontId="3" type="noConversion"/>
  </si>
  <si>
    <t>會心(%)</t>
    <phoneticPr fontId="3" type="noConversion"/>
  </si>
  <si>
    <t>類別</t>
    <phoneticPr fontId="3" type="noConversion"/>
  </si>
  <si>
    <t>破命</t>
    <phoneticPr fontId="3" type="noConversion"/>
  </si>
  <si>
    <t>會命</t>
    <phoneticPr fontId="3" type="noConversion"/>
  </si>
  <si>
    <t>會無</t>
    <phoneticPr fontId="3" type="noConversion"/>
  </si>
  <si>
    <t>會心 4%</t>
    <phoneticPr fontId="3" type="noConversion"/>
  </si>
  <si>
    <t>許過腰帶</t>
    <phoneticPr fontId="3" type="noConversion"/>
  </si>
  <si>
    <t>命凡腰帶</t>
    <phoneticPr fontId="3" type="noConversion"/>
  </si>
  <si>
    <t>變歸腰帶</t>
    <phoneticPr fontId="3" type="noConversion"/>
  </si>
  <si>
    <t>詭義護腕</t>
    <phoneticPr fontId="3" type="noConversion"/>
  </si>
  <si>
    <t>山曉護腕</t>
    <phoneticPr fontId="3" type="noConversion"/>
  </si>
  <si>
    <t>平陵護腕</t>
    <phoneticPr fontId="3" type="noConversion"/>
  </si>
  <si>
    <t>覺語褲</t>
    <phoneticPr fontId="3" type="noConversion"/>
  </si>
  <si>
    <t>續光褲</t>
    <phoneticPr fontId="3" type="noConversion"/>
  </si>
  <si>
    <t>羅曉褲</t>
    <phoneticPr fontId="3" type="noConversion"/>
  </si>
  <si>
    <t>窮奇墜</t>
    <phoneticPr fontId="3" type="noConversion"/>
  </si>
  <si>
    <t>途寬戒</t>
    <phoneticPr fontId="3" type="noConversion"/>
  </si>
  <si>
    <t>外攻攻擊</t>
    <phoneticPr fontId="3" type="noConversion"/>
  </si>
  <si>
    <t>音虹戒</t>
    <phoneticPr fontId="3" type="noConversion"/>
  </si>
  <si>
    <t>久言戒</t>
    <phoneticPr fontId="3" type="noConversion"/>
  </si>
  <si>
    <t>備註</t>
    <phoneticPr fontId="3" type="noConversion"/>
  </si>
  <si>
    <t>仙蹤·頭·鑄（外攻）</t>
  </si>
  <si>
    <t>仙蹤·鞋·繡（外攻）</t>
  </si>
  <si>
    <t>奇穴</t>
    <phoneticPr fontId="2" type="noConversion"/>
  </si>
  <si>
    <t>第一層</t>
    <phoneticPr fontId="2" type="noConversion"/>
  </si>
  <si>
    <t>第二層</t>
    <phoneticPr fontId="2" type="noConversion"/>
  </si>
  <si>
    <t>第三層</t>
    <phoneticPr fontId="2" type="noConversion"/>
  </si>
  <si>
    <t>第四層</t>
    <phoneticPr fontId="2" type="noConversion"/>
  </si>
  <si>
    <t>第五層</t>
    <phoneticPr fontId="2" type="noConversion"/>
  </si>
  <si>
    <t>第六層</t>
    <phoneticPr fontId="2" type="noConversion"/>
  </si>
  <si>
    <t>第七層</t>
    <phoneticPr fontId="2" type="noConversion"/>
  </si>
  <si>
    <t>第八層</t>
    <phoneticPr fontId="2" type="noConversion"/>
  </si>
  <si>
    <t>第九層</t>
    <phoneticPr fontId="2" type="noConversion"/>
  </si>
  <si>
    <t>第十層</t>
    <phoneticPr fontId="2" type="noConversion"/>
  </si>
  <si>
    <t>第十一層</t>
    <phoneticPr fontId="2" type="noConversion"/>
  </si>
  <si>
    <t>第十二層</t>
    <phoneticPr fontId="2" type="noConversion"/>
  </si>
  <si>
    <t>奇穴</t>
    <phoneticPr fontId="3" type="noConversion"/>
  </si>
  <si>
    <t>第一層</t>
    <phoneticPr fontId="3" type="noConversion"/>
  </si>
  <si>
    <t>第二層</t>
    <phoneticPr fontId="3" type="noConversion"/>
  </si>
  <si>
    <t>第三層</t>
    <phoneticPr fontId="3" type="noConversion"/>
  </si>
  <si>
    <t>第四層</t>
    <phoneticPr fontId="3" type="noConversion"/>
  </si>
  <si>
    <t>第五層</t>
    <phoneticPr fontId="3" type="noConversion"/>
  </si>
  <si>
    <t>第六層</t>
    <phoneticPr fontId="3" type="noConversion"/>
  </si>
  <si>
    <t>第七層</t>
    <phoneticPr fontId="3" type="noConversion"/>
  </si>
  <si>
    <t>第八層</t>
    <phoneticPr fontId="3" type="noConversion"/>
  </si>
  <si>
    <t>第九層</t>
    <phoneticPr fontId="3" type="noConversion"/>
  </si>
  <si>
    <t>第十層</t>
    <phoneticPr fontId="3" type="noConversion"/>
  </si>
  <si>
    <t>第十一層</t>
    <phoneticPr fontId="3" type="noConversion"/>
  </si>
  <si>
    <t>第十二層</t>
    <phoneticPr fontId="3" type="noConversion"/>
  </si>
  <si>
    <t>袖氣</t>
    <phoneticPr fontId="3" type="noConversion"/>
  </si>
  <si>
    <t>撼如雷</t>
    <phoneticPr fontId="3" type="noConversion"/>
  </si>
  <si>
    <t>碎星辰</t>
    <phoneticPr fontId="3" type="noConversion"/>
  </si>
  <si>
    <t>酒中仙</t>
    <phoneticPr fontId="3" type="noConversion"/>
  </si>
  <si>
    <t>會效</t>
    <phoneticPr fontId="3" type="noConversion"/>
  </si>
  <si>
    <t>破防加成</t>
    <phoneticPr fontId="3" type="noConversion"/>
  </si>
  <si>
    <t>易傷</t>
    <phoneticPr fontId="3" type="noConversion"/>
  </si>
  <si>
    <t>無視防禦</t>
    <phoneticPr fontId="3" type="noConversion"/>
  </si>
  <si>
    <t>五彩石一</t>
  </si>
  <si>
    <t>五彩石一</t>
    <phoneticPr fontId="3" type="noConversion"/>
  </si>
  <si>
    <t>五彩石二</t>
  </si>
  <si>
    <t>五彩石二</t>
    <phoneticPr fontId="3" type="noConversion"/>
  </si>
  <si>
    <t>五彩石三</t>
  </si>
  <si>
    <t>五彩石三</t>
    <phoneticPr fontId="3" type="noConversion"/>
  </si>
  <si>
    <t>屬性</t>
    <phoneticPr fontId="3" type="noConversion"/>
  </si>
  <si>
    <t>外功攻擊</t>
  </si>
  <si>
    <t>命中等級</t>
    <phoneticPr fontId="3" type="noConversion"/>
  </si>
  <si>
    <t>無雙等級</t>
    <phoneticPr fontId="3" type="noConversion"/>
  </si>
  <si>
    <t>破防等級</t>
    <phoneticPr fontId="3" type="noConversion"/>
  </si>
  <si>
    <t>會心等級</t>
    <phoneticPr fontId="3" type="noConversion"/>
  </si>
  <si>
    <t>會心效果等級</t>
  </si>
  <si>
    <t>會心效果等級</t>
    <phoneticPr fontId="3" type="noConversion"/>
  </si>
  <si>
    <t>數值列表</t>
    <phoneticPr fontId="3" type="noConversion"/>
  </si>
  <si>
    <t>外攻破防會效加速</t>
    <phoneticPr fontId="3" type="noConversion"/>
  </si>
  <si>
    <t>外攻破防會效武傷</t>
    <phoneticPr fontId="3" type="noConversion"/>
  </si>
  <si>
    <t>武器熔錠</t>
  </si>
  <si>
    <t>仙蹤·瀑沙熔錠（外傷）</t>
  </si>
  <si>
    <t>衣服附魔</t>
    <phoneticPr fontId="3" type="noConversion"/>
  </si>
  <si>
    <t>腰帶附魔</t>
    <phoneticPr fontId="3" type="noConversion"/>
  </si>
  <si>
    <t>技能加傷</t>
    <phoneticPr fontId="2" type="noConversion"/>
  </si>
  <si>
    <t>技能加會</t>
    <phoneticPr fontId="2" type="noConversion"/>
  </si>
  <si>
    <t>你的選擇</t>
    <phoneticPr fontId="3" type="noConversion"/>
  </si>
  <si>
    <t>力道</t>
    <phoneticPr fontId="2" type="noConversion"/>
  </si>
  <si>
    <t>香梅</t>
    <phoneticPr fontId="3" type="noConversion"/>
  </si>
  <si>
    <t>持續時間(s)</t>
    <phoneticPr fontId="3" type="noConversion"/>
  </si>
  <si>
    <t>基礎攻擊</t>
    <phoneticPr fontId="2" type="noConversion"/>
  </si>
  <si>
    <t>總攻擊</t>
    <phoneticPr fontId="2" type="noConversion"/>
  </si>
  <si>
    <t>疏狂</t>
  </si>
  <si>
    <t>基礎外攻</t>
    <phoneticPr fontId="3" type="noConversion"/>
  </si>
  <si>
    <t>會心等級</t>
    <phoneticPr fontId="2" type="noConversion"/>
  </si>
  <si>
    <t>基礎攻擊</t>
    <phoneticPr fontId="3" type="noConversion"/>
  </si>
  <si>
    <t>基礎破防</t>
    <phoneticPr fontId="3" type="noConversion"/>
  </si>
  <si>
    <t>天韶件數</t>
    <phoneticPr fontId="3" type="noConversion"/>
  </si>
  <si>
    <t>外傷+10%</t>
    <phoneticPr fontId="3" type="noConversion"/>
  </si>
  <si>
    <t>燁陽晶石·暗器（外破）</t>
  </si>
  <si>
    <t>傷害</t>
    <phoneticPr fontId="3" type="noConversion"/>
  </si>
  <si>
    <t>觸發</t>
    <phoneticPr fontId="3" type="noConversion"/>
  </si>
  <si>
    <t>合計</t>
    <phoneticPr fontId="3" type="noConversion"/>
  </si>
  <si>
    <t>秘笈選擇</t>
    <phoneticPr fontId="2" type="noConversion"/>
  </si>
  <si>
    <t>DOT</t>
    <phoneticPr fontId="2" type="noConversion"/>
  </si>
  <si>
    <t>配裝數據</t>
    <phoneticPr fontId="2" type="noConversion"/>
  </si>
  <si>
    <t>最終破防</t>
    <phoneticPr fontId="3" type="noConversion"/>
  </si>
  <si>
    <t>全技能傷害</t>
    <phoneticPr fontId="3" type="noConversion"/>
  </si>
  <si>
    <t>破防值</t>
    <phoneticPr fontId="3" type="noConversion"/>
  </si>
  <si>
    <t>基礎破防</t>
    <phoneticPr fontId="2" type="noConversion"/>
  </si>
  <si>
    <t>最終破防%</t>
    <phoneticPr fontId="2" type="noConversion"/>
  </si>
  <si>
    <t>會心%</t>
    <phoneticPr fontId="2" type="noConversion"/>
  </si>
  <si>
    <t>會效%</t>
    <phoneticPr fontId="2" type="noConversion"/>
  </si>
  <si>
    <t>無雙%</t>
    <phoneticPr fontId="2" type="noConversion"/>
  </si>
  <si>
    <t>命中%</t>
    <phoneticPr fontId="2" type="noConversion"/>
  </si>
  <si>
    <t>最終破防值</t>
    <phoneticPr fontId="2" type="noConversion"/>
  </si>
  <si>
    <t>會心5%會效10%</t>
    <phoneticPr fontId="2" type="noConversion"/>
  </si>
  <si>
    <t>基礎外攻5%</t>
    <phoneticPr fontId="2" type="noConversion"/>
  </si>
  <si>
    <t>全屬性+52</t>
    <phoneticPr fontId="2" type="noConversion"/>
  </si>
  <si>
    <t>勾選核取方塊以安裝秘笈</t>
    <phoneticPr fontId="2" type="noConversion"/>
  </si>
  <si>
    <t>所有裝備皆為6階精滿</t>
    <phoneticPr fontId="3" type="noConversion"/>
  </si>
  <si>
    <t>幫會宴席</t>
  </si>
  <si>
    <t>蒸魚菜盤</t>
    <phoneticPr fontId="3" type="noConversion"/>
  </si>
  <si>
    <t>其他宴席</t>
  </si>
  <si>
    <t>煉獄水煮魚</t>
    <phoneticPr fontId="3" type="noConversion"/>
  </si>
  <si>
    <t>輔助藥品</t>
  </si>
  <si>
    <t>增強藥品</t>
  </si>
  <si>
    <t>中品玉璃散</t>
    <phoneticPr fontId="3" type="noConversion"/>
  </si>
  <si>
    <t>中品凝神散</t>
    <phoneticPr fontId="3" type="noConversion"/>
  </si>
  <si>
    <t>中品破穢散</t>
    <phoneticPr fontId="3" type="noConversion"/>
  </si>
  <si>
    <t>中品亢龍散</t>
    <phoneticPr fontId="3" type="noConversion"/>
  </si>
  <si>
    <t>上品玉璃散</t>
    <phoneticPr fontId="3" type="noConversion"/>
  </si>
  <si>
    <t>上品凝神散</t>
  </si>
  <si>
    <t>上品破穢散</t>
    <phoneticPr fontId="3" type="noConversion"/>
  </si>
  <si>
    <t>上品亢龍散</t>
    <phoneticPr fontId="3" type="noConversion"/>
  </si>
  <si>
    <t>輔助食品</t>
  </si>
  <si>
    <t>增強食品</t>
  </si>
  <si>
    <t>魚香肉絲</t>
    <phoneticPr fontId="3" type="noConversion"/>
  </si>
  <si>
    <t>毛血旺</t>
    <phoneticPr fontId="3" type="noConversion"/>
  </si>
  <si>
    <t>水煮肉片</t>
    <phoneticPr fontId="3" type="noConversion"/>
  </si>
  <si>
    <t>煎餅果子</t>
    <phoneticPr fontId="3" type="noConversion"/>
  </si>
  <si>
    <t>酸菜魚</t>
    <phoneticPr fontId="3" type="noConversion"/>
  </si>
  <si>
    <t>白肉血腸</t>
    <phoneticPr fontId="3" type="noConversion"/>
  </si>
  <si>
    <t>紅燒排骨</t>
    <phoneticPr fontId="3" type="noConversion"/>
  </si>
  <si>
    <t>太后餅</t>
    <phoneticPr fontId="3" type="noConversion"/>
  </si>
  <si>
    <t>【印象】水晶芙蓉宴</t>
    <phoneticPr fontId="3" type="noConversion"/>
  </si>
  <si>
    <t>水晶芙蓉宴</t>
    <phoneticPr fontId="3" type="noConversion"/>
  </si>
  <si>
    <t>【印象】玉笛誰家聽落梅</t>
    <phoneticPr fontId="3" type="noConversion"/>
  </si>
  <si>
    <t>玉笛誰家聽梅落</t>
    <phoneticPr fontId="3" type="noConversion"/>
  </si>
  <si>
    <t>二十四橋明月宴</t>
    <phoneticPr fontId="3" type="noConversion"/>
  </si>
  <si>
    <t>清涼月霍碎</t>
    <phoneticPr fontId="3" type="noConversion"/>
  </si>
  <si>
    <t>玉樞丹</t>
    <phoneticPr fontId="3" type="noConversion"/>
  </si>
  <si>
    <t>玉璃丹</t>
    <phoneticPr fontId="3" type="noConversion"/>
  </si>
  <si>
    <t>宴席</t>
  </si>
  <si>
    <t>無宴席</t>
    <phoneticPr fontId="3" type="noConversion"/>
  </si>
  <si>
    <t>無</t>
    <phoneticPr fontId="3" type="noConversion"/>
  </si>
  <si>
    <t>備註</t>
    <phoneticPr fontId="2" type="noConversion"/>
  </si>
  <si>
    <t>命中值</t>
    <phoneticPr fontId="3" type="noConversion"/>
  </si>
  <si>
    <t>會心值</t>
    <phoneticPr fontId="3" type="noConversion"/>
  </si>
  <si>
    <t>木樁等級</t>
    <phoneticPr fontId="3" type="noConversion"/>
  </si>
  <si>
    <t>防禦等級</t>
    <phoneticPr fontId="3" type="noConversion"/>
  </si>
  <si>
    <t>減傷率</t>
    <phoneticPr fontId="3" type="noConversion"/>
  </si>
  <si>
    <t>識破率</t>
    <phoneticPr fontId="3" type="noConversion"/>
  </si>
  <si>
    <t>挑戰</t>
  </si>
  <si>
    <t>珍．重製．染（外會效）</t>
    <phoneticPr fontId="3" type="noConversion"/>
  </si>
  <si>
    <t>仙蹤·褲·鑄（外破）</t>
  </si>
  <si>
    <t>仙蹤·腕·繡（外破）</t>
  </si>
  <si>
    <t>破無</t>
    <phoneticPr fontId="3" type="noConversion"/>
  </si>
  <si>
    <t>裝備分數</t>
    <phoneticPr fontId="3" type="noConversion"/>
  </si>
  <si>
    <t>試煉之地</t>
    <phoneticPr fontId="3" type="noConversion"/>
  </si>
  <si>
    <t>凌絕件數</t>
    <phoneticPr fontId="3" type="noConversion"/>
  </si>
  <si>
    <t>命無</t>
    <phoneticPr fontId="3" type="noConversion"/>
  </si>
  <si>
    <t>越冷</t>
    <phoneticPr fontId="3" type="noConversion"/>
  </si>
  <si>
    <t>燁陽晶石·戒指（命中）</t>
  </si>
  <si>
    <t>切糕裝</t>
    <phoneticPr fontId="3" type="noConversion"/>
  </si>
  <si>
    <t>析酈</t>
    <phoneticPr fontId="3" type="noConversion"/>
  </si>
  <si>
    <t>孱陵</t>
    <phoneticPr fontId="3" type="noConversion"/>
  </si>
  <si>
    <t>樂鄉</t>
    <phoneticPr fontId="3" type="noConversion"/>
  </si>
  <si>
    <t>報天子</t>
    <phoneticPr fontId="3" type="noConversion"/>
  </si>
  <si>
    <t>坐紫庭</t>
    <phoneticPr fontId="3" type="noConversion"/>
  </si>
  <si>
    <t>承乾坤</t>
    <phoneticPr fontId="3" type="noConversion"/>
  </si>
  <si>
    <t>聽香戒</t>
    <phoneticPr fontId="3" type="noConversion"/>
  </si>
  <si>
    <t>懷章戒</t>
    <phoneticPr fontId="3" type="noConversion"/>
  </si>
  <si>
    <t>克賊戒</t>
    <phoneticPr fontId="3" type="noConversion"/>
  </si>
  <si>
    <t>冰火島（尊敬）</t>
    <phoneticPr fontId="3" type="noConversion"/>
  </si>
  <si>
    <t>靖海盟（尊敬）</t>
    <phoneticPr fontId="3" type="noConversion"/>
  </si>
  <si>
    <t>靖海盟（崇拜）</t>
    <phoneticPr fontId="3" type="noConversion"/>
  </si>
  <si>
    <t>林邑褲</t>
    <phoneticPr fontId="3" type="noConversion"/>
  </si>
  <si>
    <t>日林褲</t>
    <phoneticPr fontId="3" type="noConversion"/>
  </si>
  <si>
    <t>扶南褲</t>
    <phoneticPr fontId="3" type="noConversion"/>
  </si>
  <si>
    <t>會會無</t>
    <phoneticPr fontId="3" type="noConversion"/>
  </si>
  <si>
    <t>會破</t>
    <phoneticPr fontId="3" type="noConversion"/>
  </si>
  <si>
    <t>會會破</t>
    <phoneticPr fontId="3" type="noConversion"/>
  </si>
  <si>
    <t>會會</t>
    <phoneticPr fontId="3" type="noConversion"/>
  </si>
  <si>
    <t>會會命</t>
    <phoneticPr fontId="3" type="noConversion"/>
  </si>
  <si>
    <t>破命無</t>
    <phoneticPr fontId="3" type="noConversion"/>
  </si>
  <si>
    <t>會破命</t>
    <phoneticPr fontId="3" type="noConversion"/>
  </si>
  <si>
    <t>會命無</t>
    <phoneticPr fontId="3" type="noConversion"/>
  </si>
  <si>
    <t>會破無</t>
    <phoneticPr fontId="3" type="noConversion"/>
  </si>
  <si>
    <t>橫海墜(4)</t>
    <phoneticPr fontId="3" type="noConversion"/>
  </si>
  <si>
    <t>無界頭飾（會命無）2200</t>
    <phoneticPr fontId="3" type="noConversion"/>
  </si>
  <si>
    <t>無界頭飾（會無）2280</t>
    <phoneticPr fontId="3" type="noConversion"/>
  </si>
  <si>
    <t>無界頭飾（會破命）2280</t>
    <phoneticPr fontId="3" type="noConversion"/>
  </si>
  <si>
    <t>無界頭飾（會命）2400</t>
    <phoneticPr fontId="3" type="noConversion"/>
  </si>
  <si>
    <t>無界頭飾（會破無）2400</t>
    <phoneticPr fontId="3" type="noConversion"/>
  </si>
  <si>
    <t>無界頭飾（會命無）2520</t>
    <phoneticPr fontId="3" type="noConversion"/>
  </si>
  <si>
    <t>無界護臂（無雙）2200</t>
    <phoneticPr fontId="3" type="noConversion"/>
  </si>
  <si>
    <t>無界護臂（破命）2200</t>
    <phoneticPr fontId="3" type="noConversion"/>
  </si>
  <si>
    <t>無界護臂（會會無）2200</t>
    <phoneticPr fontId="3" type="noConversion"/>
  </si>
  <si>
    <t>無界護臂（命中）2400</t>
    <phoneticPr fontId="3" type="noConversion"/>
  </si>
  <si>
    <t>無界護臂（會會）2400</t>
    <phoneticPr fontId="3" type="noConversion"/>
  </si>
  <si>
    <t>無界護臂（會會命）2400</t>
    <phoneticPr fontId="3" type="noConversion"/>
  </si>
  <si>
    <t>無界護臂（無雙）2520</t>
    <phoneticPr fontId="3" type="noConversion"/>
  </si>
  <si>
    <t>無界護臂（破命）2520</t>
    <phoneticPr fontId="3" type="noConversion"/>
  </si>
  <si>
    <t>無界護臂（會會無）2520</t>
    <phoneticPr fontId="3" type="noConversion"/>
  </si>
  <si>
    <t>無界褲（無雙）2400</t>
    <phoneticPr fontId="3" type="noConversion"/>
  </si>
  <si>
    <t>無界褲（會無）2520</t>
    <phoneticPr fontId="3" type="noConversion"/>
  </si>
  <si>
    <t>無界褲（破命無）2520</t>
    <phoneticPr fontId="3" type="noConversion"/>
  </si>
  <si>
    <t>無界褲（破無）2520</t>
    <phoneticPr fontId="3" type="noConversion"/>
  </si>
  <si>
    <t>無界褲（會破命）2520</t>
    <phoneticPr fontId="3" type="noConversion"/>
  </si>
  <si>
    <t>無界鞋（破防）2400</t>
    <phoneticPr fontId="3" type="noConversion"/>
  </si>
  <si>
    <t>無界鞋（命無）2400</t>
    <phoneticPr fontId="3" type="noConversion"/>
  </si>
  <si>
    <t>無界鞋（會會無）2400</t>
    <phoneticPr fontId="3" type="noConversion"/>
  </si>
  <si>
    <t>無界項鏈（無雙）2400</t>
    <phoneticPr fontId="3" type="noConversion"/>
  </si>
  <si>
    <t>無界項鏈（破無）2400</t>
    <phoneticPr fontId="3" type="noConversion"/>
  </si>
  <si>
    <t>無界項鏈（會命無）2400</t>
    <phoneticPr fontId="3" type="noConversion"/>
  </si>
  <si>
    <t>無界項鏈（命無）2520</t>
    <phoneticPr fontId="3" type="noConversion"/>
  </si>
  <si>
    <t>無界項鏈（會會命）2520</t>
    <phoneticPr fontId="3" type="noConversion"/>
  </si>
  <si>
    <t>無界腰墜（命中）2400</t>
    <phoneticPr fontId="3" type="noConversion"/>
  </si>
  <si>
    <t>無界腰墜（會破）2400</t>
    <phoneticPr fontId="3" type="noConversion"/>
  </si>
  <si>
    <t>無界腰墜（會會破）2400</t>
    <phoneticPr fontId="3" type="noConversion"/>
  </si>
  <si>
    <t>無界腰墜（會無）2520</t>
    <phoneticPr fontId="3" type="noConversion"/>
  </si>
  <si>
    <t>無界腰墜（會破無）2520</t>
    <phoneticPr fontId="3" type="noConversion"/>
  </si>
  <si>
    <t>無界囊（破命）2400</t>
    <phoneticPr fontId="3" type="noConversion"/>
  </si>
  <si>
    <t>無界囊（會破命）2400</t>
    <phoneticPr fontId="3" type="noConversion"/>
  </si>
  <si>
    <t>無界囊（無雙）2400</t>
    <phoneticPr fontId="3" type="noConversion"/>
  </si>
  <si>
    <t>無界囊（會命）2400</t>
    <phoneticPr fontId="3" type="noConversion"/>
  </si>
  <si>
    <t>無界囊（會會破）2400</t>
    <phoneticPr fontId="3" type="noConversion"/>
  </si>
  <si>
    <t>無界頭飾（破防）2200</t>
    <phoneticPr fontId="3" type="noConversion"/>
  </si>
  <si>
    <t>無界頭飾（會會）2200</t>
    <phoneticPr fontId="3" type="noConversion"/>
  </si>
  <si>
    <t>無界頭飾（命中）2280</t>
    <phoneticPr fontId="3" type="noConversion"/>
  </si>
  <si>
    <t>無界頭飾（會會）2520</t>
    <phoneticPr fontId="3" type="noConversion"/>
  </si>
  <si>
    <t>類型</t>
    <phoneticPr fontId="3" type="noConversion"/>
  </si>
  <si>
    <t>會心精簡</t>
    <phoneticPr fontId="3" type="noConversion"/>
  </si>
  <si>
    <t>會命精簡</t>
    <phoneticPr fontId="3" type="noConversion"/>
  </si>
  <si>
    <t>會破無精簡</t>
    <phoneticPr fontId="3" type="noConversion"/>
  </si>
  <si>
    <t>破命套裝</t>
    <phoneticPr fontId="3" type="noConversion"/>
  </si>
  <si>
    <t>破防精簡</t>
    <phoneticPr fontId="3" type="noConversion"/>
  </si>
  <si>
    <t>會會精簡</t>
    <phoneticPr fontId="3" type="noConversion"/>
  </si>
  <si>
    <t>會命無精簡</t>
    <phoneticPr fontId="3" type="noConversion"/>
  </si>
  <si>
    <t>命中精簡</t>
    <phoneticPr fontId="3" type="noConversion"/>
  </si>
  <si>
    <t>會無精簡</t>
    <phoneticPr fontId="3" type="noConversion"/>
  </si>
  <si>
    <t>會破命精簡</t>
    <phoneticPr fontId="3" type="noConversion"/>
  </si>
  <si>
    <t>會無套裝</t>
    <phoneticPr fontId="3" type="noConversion"/>
  </si>
  <si>
    <t>外攻半精簡</t>
    <phoneticPr fontId="3" type="noConversion"/>
  </si>
  <si>
    <t>破命半精簡</t>
    <phoneticPr fontId="3" type="noConversion"/>
  </si>
  <si>
    <t>會無半精簡</t>
    <phoneticPr fontId="3" type="noConversion"/>
  </si>
  <si>
    <t>無雙精簡</t>
    <phoneticPr fontId="3" type="noConversion"/>
  </si>
  <si>
    <t>破命精簡</t>
    <phoneticPr fontId="3" type="noConversion"/>
  </si>
  <si>
    <t>會會無精簡</t>
    <phoneticPr fontId="3" type="noConversion"/>
  </si>
  <si>
    <t>會破精簡</t>
    <phoneticPr fontId="3" type="noConversion"/>
  </si>
  <si>
    <t>會會破精簡</t>
    <phoneticPr fontId="3" type="noConversion"/>
  </si>
  <si>
    <t>會命套裝</t>
    <phoneticPr fontId="3" type="noConversion"/>
  </si>
  <si>
    <t>破無精簡</t>
    <phoneticPr fontId="3" type="noConversion"/>
  </si>
  <si>
    <t>會會命精簡</t>
    <phoneticPr fontId="3" type="noConversion"/>
  </si>
  <si>
    <t>命中半精簡</t>
    <phoneticPr fontId="3" type="noConversion"/>
  </si>
  <si>
    <t>破命無精簡</t>
    <phoneticPr fontId="3" type="noConversion"/>
  </si>
  <si>
    <t>破無套裝</t>
    <phoneticPr fontId="3" type="noConversion"/>
  </si>
  <si>
    <t>命無精簡</t>
    <phoneticPr fontId="3" type="noConversion"/>
  </si>
  <si>
    <t>破防半精簡</t>
    <phoneticPr fontId="3" type="noConversion"/>
  </si>
  <si>
    <t>會命切糕</t>
    <phoneticPr fontId="3" type="noConversion"/>
  </si>
  <si>
    <t>破命切糕</t>
    <phoneticPr fontId="3" type="noConversion"/>
  </si>
  <si>
    <t>會無切糕</t>
    <phoneticPr fontId="3" type="noConversion"/>
  </si>
  <si>
    <t>破無切糕</t>
    <phoneticPr fontId="3" type="noConversion"/>
  </si>
  <si>
    <t>蒼·安戎·繡（外破）</t>
  </si>
  <si>
    <t>蒼·安戎·紋（外破）</t>
  </si>
  <si>
    <t>蒼·安戎·紋（外攻）</t>
  </si>
  <si>
    <t>蒼·安戎·繡（外攻）</t>
  </si>
  <si>
    <t>燁陽晶石·戒指（外傷）</t>
  </si>
  <si>
    <t>仙蹤·頭·鑄（命中）</t>
  </si>
  <si>
    <t>願望清單</t>
    <phoneticPr fontId="2" type="noConversion"/>
  </si>
  <si>
    <t>預算</t>
    <phoneticPr fontId="2" type="noConversion"/>
  </si>
  <si>
    <t>順位</t>
    <phoneticPr fontId="2" type="noConversion"/>
  </si>
  <si>
    <t>基礎外攻5%外破10%</t>
    <phoneticPr fontId="2" type="noConversion"/>
  </si>
  <si>
    <t>圓桌</t>
    <phoneticPr fontId="2" type="noConversion"/>
  </si>
  <si>
    <t>實戰狀態</t>
    <phoneticPr fontId="2" type="noConversion"/>
  </si>
  <si>
    <t>衣服附魔</t>
  </si>
  <si>
    <t>腰帶附魔</t>
  </si>
  <si>
    <t>霽月．衣．染（無雙）</t>
    <phoneticPr fontId="3" type="noConversion"/>
  </si>
  <si>
    <t>霽月．腰．甲（無雙）</t>
    <phoneticPr fontId="3" type="noConversion"/>
  </si>
  <si>
    <t>出處</t>
    <phoneticPr fontId="2" type="noConversion"/>
  </si>
  <si>
    <t>英雄塵歸海·巨冥灣：無面鬼
挑戰冰火島·荒血路：沒藏呼月</t>
  </si>
  <si>
    <t>英雄塵歸海·巨冥灣：虎翼突襲</t>
  </si>
  <si>
    <t>挑戰塵歸海·巨冥灣：晏厄</t>
  </si>
  <si>
    <t>挑戰塵歸海·巨冥灣：虎翼突襲</t>
  </si>
  <si>
    <t>英雄塵歸海·巨冥灣：晏厄
挑戰冰火島·荒血路：拿雲</t>
  </si>
  <si>
    <t>英雄塵歸海·饕餮洞：黃穆
挑戰冰火島·青蓮獄：伊瑪目</t>
  </si>
  <si>
    <t>挑戰塵歸海·饕餮洞：黃穆</t>
  </si>
  <si>
    <t>英雄塵歸海·巨冥灣：孫楚珊</t>
  </si>
  <si>
    <t>英雄塵歸海·巨冥灣：邢不僵
挑戰冰火島·荒血路：鉑爾</t>
  </si>
  <si>
    <t>挑戰塵歸海·饕餮洞：黃穆
挑戰塵歸海·巨冥灣：邢不僵</t>
  </si>
  <si>
    <t>挑戰塵歸海·饕餮洞：黃穆
挑戰塵歸海·巨冥灣：孫楚珊</t>
  </si>
  <si>
    <t>挑戰塵歸海·巨冥灣：孫楚珊</t>
  </si>
  <si>
    <t>挑戰塵歸海·饕餮洞：黃穆
挑戰塵歸海·巨冥灣：無面鬼</t>
  </si>
  <si>
    <t>挑戰塵歸海·巨冥灣：邢不僵</t>
  </si>
  <si>
    <t>英雄塵歸海·巨冥灣：鬼首
挑戰冰火島·荒血路：羅納真</t>
  </si>
  <si>
    <t>挑戰塵歸海·巨冥灣：鬼首</t>
  </si>
  <si>
    <t>挑戰塵歸海·饕餮洞：黃穆
挑戰塵歸海·巨冥灣：晏厄</t>
  </si>
  <si>
    <t>英雄塵歸海·饕餮洞：黃穆</t>
  </si>
  <si>
    <t>挑戰塵歸海·饕餮洞：黃穆
挑戰塵歸海·巨冥灣：鬼首</t>
  </si>
  <si>
    <t>挑戰塵歸海·巨冥灣：無面鬼</t>
  </si>
  <si>
    <t>挑戰塵歸海·饕餮洞：關卡寶箱
挑戰塵歸海·巨冥灣：關卡寶箱</t>
  </si>
  <si>
    <t>挑戰塵歸海·巨冥灣：虎翼突襲</t>
    <phoneticPr fontId="3" type="noConversion"/>
  </si>
  <si>
    <t>迴風送客·業火護手</t>
  </si>
  <si>
    <t>仙蹤·腕·繡（會心）</t>
  </si>
  <si>
    <t>仙蹤·腕·繡（無雙）</t>
  </si>
  <si>
    <t>仙蹤·褲·鑄（會心）</t>
  </si>
  <si>
    <t>仙蹤·褲·鑄（無雙）</t>
  </si>
  <si>
    <t>仙蹤·鞋·繡（命中）</t>
  </si>
  <si>
    <t>仙蹤·鞋·繡（急速）</t>
  </si>
  <si>
    <t>仙蹤·兵·鑄（外攻）</t>
  </si>
  <si>
    <t>仙蹤·兵·鑄（外傷）</t>
  </si>
  <si>
    <t>重製·玉陽丹</t>
  </si>
  <si>
    <t>珍·滌魂丹</t>
  </si>
  <si>
    <t>重製·滌魂丹</t>
  </si>
  <si>
    <t>重製·金麟丹</t>
  </si>
  <si>
    <t>重製·桂花金棗</t>
  </si>
  <si>
    <t>重製·芋絲蒸肉糕</t>
  </si>
  <si>
    <t>切糕裝</t>
  </si>
  <si>
    <t>世界 BOSS</t>
  </si>
  <si>
    <t>挑戰冰火島·青蓮獄：伊瑪目</t>
    <phoneticPr fontId="3" type="noConversion"/>
  </si>
  <si>
    <t>挑戰塵歸海·饕餮洞：黃穆</t>
    <phoneticPr fontId="3" type="noConversion"/>
  </si>
  <si>
    <t>夜狼山寶箱 / 野人首領 / 王史涯</t>
  </si>
  <si>
    <t>呼延興平 / 渾渾噩噩的魂靈 / 伏鹿地</t>
  </si>
  <si>
    <t>挑戰冰火島·荒血路：鉑爾 / 挑戰冰火島·青蓮獄：伊瑪目</t>
  </si>
  <si>
    <t>挑戰冰火島·荒血路：拿雲 /  挑戰冰火島·青蓮獄：伊瑪目</t>
  </si>
  <si>
    <t>獲得氣勁風·斬流 / 大幅度提升自身外功破防等級(1409點) / 持續15秒。CD3分鐘。</t>
  </si>
  <si>
    <t>挑戰冰火島·荒血路：羅納真 / 挑戰冰火島·青蓮獄：伊瑪目</t>
  </si>
  <si>
    <t>英雄塵歸海·巨冥灣：鬼首 /  孫楚珊 /  晏厄</t>
  </si>
  <si>
    <t>挑戰塵歸海·巨冥灣：邢不僵 /  無面鬼</t>
  </si>
  <si>
    <t>英雄塵歸海·巨冥灣：虎翼突襲</t>
    <phoneticPr fontId="3" type="noConversion"/>
  </si>
  <si>
    <t>世界 BOSS</t>
    <phoneticPr fontId="3" type="noConversion"/>
  </si>
  <si>
    <t>疾如風時基攻5%</t>
    <phoneticPr fontId="2" type="noConversion"/>
  </si>
  <si>
    <t>忽視30%防禦</t>
    <phoneticPr fontId="2" type="noConversion"/>
  </si>
  <si>
    <t>神龍隊</t>
    <phoneticPr fontId="2" type="noConversion"/>
  </si>
  <si>
    <t>外攻5%外破20%</t>
    <phoneticPr fontId="2" type="noConversion"/>
  </si>
  <si>
    <t>外攻5%會效20%</t>
    <phoneticPr fontId="2" type="noConversion"/>
  </si>
  <si>
    <t>層數：</t>
    <phoneticPr fontId="2" type="noConversion"/>
  </si>
  <si>
    <t>激雷</t>
    <phoneticPr fontId="3" type="noConversion"/>
  </si>
  <si>
    <t>一鼓</t>
    <phoneticPr fontId="3" type="noConversion"/>
  </si>
  <si>
    <t>二鼓</t>
    <phoneticPr fontId="3" type="noConversion"/>
  </si>
  <si>
    <t>寒嘯千軍</t>
    <phoneticPr fontId="3" type="noConversion"/>
  </si>
  <si>
    <t>丐陣</t>
    <phoneticPr fontId="3" type="noConversion"/>
  </si>
  <si>
    <t>丐陣伏虎</t>
    <phoneticPr fontId="3" type="noConversion"/>
  </si>
  <si>
    <t>劍純陣</t>
    <phoneticPr fontId="3" type="noConversion"/>
  </si>
  <si>
    <t>策陣</t>
    <phoneticPr fontId="3" type="noConversion"/>
  </si>
  <si>
    <t>黃雞陣</t>
    <phoneticPr fontId="3" type="noConversion"/>
  </si>
  <si>
    <t xml:space="preserve">會心1%x </t>
    <phoneticPr fontId="2" type="noConversion"/>
  </si>
  <si>
    <t>劍純會心</t>
    <phoneticPr fontId="3" type="noConversion"/>
  </si>
  <si>
    <t>加成</t>
    <phoneticPr fontId="3" type="noConversion"/>
  </si>
  <si>
    <t>Trigger</t>
  </si>
  <si>
    <t>Trigger</t>
    <phoneticPr fontId="3" type="noConversion"/>
  </si>
  <si>
    <t>Judge</t>
    <phoneticPr fontId="3" type="noConversion"/>
  </si>
  <si>
    <t>降龍斬殺</t>
    <phoneticPr fontId="3" type="noConversion"/>
  </si>
  <si>
    <t>梅花三弄</t>
    <phoneticPr fontId="3" type="noConversion"/>
  </si>
  <si>
    <t>套裝效果10%攻 (6s)</t>
    <phoneticPr fontId="2" type="noConversion"/>
  </si>
  <si>
    <t>內外攻+40% (30s)</t>
    <phoneticPr fontId="2" type="noConversion"/>
  </si>
  <si>
    <t>內外攻+20% (30s)</t>
    <phoneticPr fontId="2" type="noConversion"/>
  </si>
  <si>
    <t>外防等級</t>
    <phoneticPr fontId="2" type="noConversion"/>
  </si>
  <si>
    <t>減免傷害</t>
    <phoneticPr fontId="2" type="noConversion"/>
  </si>
  <si>
    <t>純會精簡</t>
    <phoneticPr fontId="3" type="noConversion"/>
  </si>
  <si>
    <t>會心半精簡</t>
    <phoneticPr fontId="3" type="noConversion"/>
  </si>
  <si>
    <t>會命半精簡</t>
    <phoneticPr fontId="3" type="noConversion"/>
  </si>
  <si>
    <t>凌雪藏鋒 10人副本</t>
    <phoneticPr fontId="3" type="noConversion"/>
  </si>
  <si>
    <t>會無</t>
    <phoneticPr fontId="3" type="noConversion"/>
  </si>
  <si>
    <t>會命</t>
    <phoneticPr fontId="3" type="noConversion"/>
  </si>
  <si>
    <t>破無</t>
    <phoneticPr fontId="3" type="noConversion"/>
  </si>
  <si>
    <t>破命</t>
    <phoneticPr fontId="3" type="noConversion"/>
  </si>
  <si>
    <t>凌雪藏鋒 龍門尋寶商店</t>
    <phoneticPr fontId="3" type="noConversion"/>
  </si>
  <si>
    <t>世外蓬萊 龍門尋寶商店</t>
    <phoneticPr fontId="3" type="noConversion"/>
  </si>
  <si>
    <t>怒海爭鋒 龍門尋寶商店</t>
    <phoneticPr fontId="3" type="noConversion"/>
  </si>
  <si>
    <t>編號</t>
    <phoneticPr fontId="44" type="noConversion"/>
  </si>
  <si>
    <t>身法</t>
    <phoneticPr fontId="3" type="noConversion"/>
  </si>
  <si>
    <t>星旗</t>
  </si>
  <si>
    <t>松寒</t>
  </si>
  <si>
    <t>長絕</t>
  </si>
  <si>
    <t>秋霽</t>
  </si>
  <si>
    <t>雪覆</t>
  </si>
  <si>
    <t>忘了</t>
    <phoneticPr fontId="3" type="noConversion"/>
  </si>
  <si>
    <t>破月</t>
  </si>
  <si>
    <t>歸鴻</t>
  </si>
  <si>
    <t>濿血</t>
    <phoneticPr fontId="3" type="noConversion"/>
  </si>
  <si>
    <t>雲翳</t>
  </si>
  <si>
    <t>風骨</t>
  </si>
  <si>
    <t>長恨</t>
  </si>
  <si>
    <t>兵戈</t>
  </si>
  <si>
    <t>燕歌</t>
  </si>
  <si>
    <t>重霄</t>
  </si>
  <si>
    <t>北闕</t>
  </si>
  <si>
    <t>參辰</t>
  </si>
  <si>
    <t>嵬崖</t>
  </si>
  <si>
    <t>淵岳</t>
  </si>
  <si>
    <t>荒雲</t>
  </si>
  <si>
    <t>天塹</t>
  </si>
  <si>
    <t>鳴劍</t>
  </si>
  <si>
    <t>玄肅</t>
  </si>
  <si>
    <t>殷熾</t>
  </si>
  <si>
    <t>磐石</t>
  </si>
  <si>
    <t>龍冑</t>
  </si>
  <si>
    <t>王師</t>
  </si>
  <si>
    <t>寒山</t>
  </si>
  <si>
    <t>碧落</t>
  </si>
  <si>
    <t>折意</t>
  </si>
  <si>
    <t>百節</t>
  </si>
  <si>
    <t>吳空</t>
  </si>
  <si>
    <t>飛瓊</t>
    <phoneticPr fontId="3" type="noConversion"/>
  </si>
  <si>
    <t>橫雲意</t>
  </si>
  <si>
    <t>聞鶴</t>
  </si>
  <si>
    <t>周慎</t>
  </si>
  <si>
    <t>忘斷</t>
  </si>
  <si>
    <t>憑臨</t>
  </si>
  <si>
    <t>離樓</t>
  </si>
  <si>
    <t>徵逐</t>
  </si>
  <si>
    <t>劫燼</t>
  </si>
  <si>
    <t>疑戰</t>
  </si>
  <si>
    <t>承命</t>
  </si>
  <si>
    <t>青山共我</t>
  </si>
  <si>
    <t>寂洪荒</t>
  </si>
  <si>
    <t>斬無常</t>
  </si>
  <si>
    <t>隱風雷</t>
  </si>
  <si>
    <t>金戈回瀾</t>
  </si>
  <si>
    <t>寂洪荒(DOT)</t>
    <phoneticPr fontId="3" type="noConversion"/>
  </si>
  <si>
    <t>星垂平野(1)</t>
    <phoneticPr fontId="3" type="noConversion"/>
  </si>
  <si>
    <t>星垂平野(2)</t>
    <phoneticPr fontId="3" type="noConversion"/>
  </si>
  <si>
    <t>星垂平野(3)</t>
    <phoneticPr fontId="3" type="noConversion"/>
  </si>
  <si>
    <t>驟雨寒江</t>
  </si>
  <si>
    <t>血覆黃泉</t>
  </si>
  <si>
    <t>幽冥窺月</t>
  </si>
  <si>
    <t>鐵馬冰河</t>
  </si>
  <si>
    <t>孤風颯踏</t>
  </si>
  <si>
    <t>日月無鉤</t>
  </si>
  <si>
    <t>十方玄機</t>
  </si>
  <si>
    <t>崔嵬鬼步</t>
  </si>
  <si>
    <t>山河淵隙</t>
    <phoneticPr fontId="3" type="noConversion"/>
  </si>
  <si>
    <t>風雷之變</t>
    <phoneticPr fontId="3" type="noConversion"/>
  </si>
  <si>
    <t>亂天狼</t>
    <phoneticPr fontId="3" type="noConversion"/>
  </si>
  <si>
    <t>GCD</t>
    <phoneticPr fontId="2" type="noConversion"/>
  </si>
  <si>
    <t>凌雪本人</t>
    <phoneticPr fontId="3" type="noConversion"/>
  </si>
  <si>
    <t>隱雷鞭增傷</t>
  </si>
  <si>
    <t>隱雷鞭增傷</t>
    <phoneticPr fontId="3" type="noConversion"/>
  </si>
  <si>
    <t>周慎</t>
    <phoneticPr fontId="3" type="noConversion"/>
  </si>
  <si>
    <t>亂天狼增傷</t>
  </si>
  <si>
    <t>亂天狼增傷</t>
    <phoneticPr fontId="3" type="noConversion"/>
  </si>
  <si>
    <t>身法</t>
    <phoneticPr fontId="2" type="noConversion"/>
  </si>
  <si>
    <t>亂天狼</t>
  </si>
  <si>
    <t>會心4%</t>
    <phoneticPr fontId="3" type="noConversion"/>
  </si>
  <si>
    <t>會心3%</t>
    <phoneticPr fontId="3" type="noConversion"/>
  </si>
  <si>
    <t>星垂平野</t>
  </si>
  <si>
    <t>身法</t>
    <phoneticPr fontId="2" type="noConversion"/>
  </si>
  <si>
    <t>武傷比</t>
  </si>
  <si>
    <t>實際武傷</t>
    <phoneticPr fontId="2" type="noConversion"/>
  </si>
  <si>
    <t>小武傷</t>
    <phoneticPr fontId="3" type="noConversion"/>
  </si>
  <si>
    <t>大武傷</t>
    <phoneticPr fontId="3" type="noConversion"/>
  </si>
  <si>
    <t>平均武傷</t>
    <phoneticPr fontId="2" type="noConversion"/>
  </si>
  <si>
    <t>寂洪荒</t>
    <phoneticPr fontId="2" type="noConversion"/>
  </si>
  <si>
    <t>亂天狼</t>
    <phoneticPr fontId="2" type="noConversion"/>
  </si>
  <si>
    <t>斬無常</t>
    <phoneticPr fontId="2" type="noConversion"/>
  </si>
  <si>
    <t>隱風雷</t>
    <phoneticPr fontId="2" type="noConversion"/>
  </si>
  <si>
    <t>血覆黃泉</t>
    <phoneticPr fontId="2" type="noConversion"/>
  </si>
  <si>
    <t xml:space="preserve"> 幽冥窺月</t>
    <phoneticPr fontId="2" type="noConversion"/>
  </si>
  <si>
    <t>孤風颯踏</t>
    <phoneticPr fontId="2" type="noConversion"/>
  </si>
  <si>
    <t>十方玄機</t>
    <phoneticPr fontId="2" type="noConversion"/>
  </si>
  <si>
    <t>星垂增傷</t>
  </si>
  <si>
    <t>星垂增傷</t>
    <phoneticPr fontId="3" type="noConversion"/>
  </si>
  <si>
    <t>凌雪還在藏鋒</t>
    <phoneticPr fontId="2" type="noConversion"/>
  </si>
  <si>
    <t>斬無常</t>
    <phoneticPr fontId="3" type="noConversion"/>
  </si>
  <si>
    <t>CD-2</t>
    <phoneticPr fontId="3" type="noConversion"/>
  </si>
  <si>
    <t>格擋效果</t>
    <phoneticPr fontId="3" type="noConversion"/>
  </si>
  <si>
    <t>隱風雷</t>
    <phoneticPr fontId="3" type="noConversion"/>
  </si>
  <si>
    <t>幽冥窺月</t>
    <phoneticPr fontId="3" type="noConversion"/>
  </si>
  <si>
    <t>減傷20%持續6秒</t>
    <phoneticPr fontId="3" type="noConversion"/>
  </si>
  <si>
    <t>血覆黃泉</t>
    <phoneticPr fontId="3" type="noConversion"/>
  </si>
  <si>
    <t>距離+1</t>
    <phoneticPr fontId="3" type="noConversion"/>
  </si>
  <si>
    <t>CD-3</t>
    <phoneticPr fontId="3" type="noConversion"/>
  </si>
  <si>
    <t>減傷20%持續4秒</t>
    <phoneticPr fontId="3" type="noConversion"/>
  </si>
  <si>
    <t>CD-5</t>
    <phoneticPr fontId="3" type="noConversion"/>
  </si>
  <si>
    <t>跑速+20%</t>
    <phoneticPr fontId="3" type="noConversion"/>
  </si>
  <si>
    <t>範圍+3</t>
    <phoneticPr fontId="3" type="noConversion"/>
  </si>
  <si>
    <t>範圍+5</t>
    <phoneticPr fontId="3" type="noConversion"/>
  </si>
  <si>
    <t>回復2%氣血內力</t>
    <phoneticPr fontId="3" type="noConversion"/>
  </si>
  <si>
    <t>無須運功</t>
    <phoneticPr fontId="3" type="noConversion"/>
  </si>
  <si>
    <t>禁輕功</t>
    <phoneticPr fontId="3" type="noConversion"/>
  </si>
  <si>
    <t>耗內-15%</t>
    <phoneticPr fontId="3" type="noConversion"/>
  </si>
  <si>
    <t>武傷比</t>
    <phoneticPr fontId="2" type="noConversion"/>
  </si>
  <si>
    <t>　　合計</t>
    <phoneticPr fontId="3" type="noConversion"/>
  </si>
  <si>
    <t>　　雙持</t>
    <phoneticPr fontId="3" type="noConversion"/>
  </si>
  <si>
    <t>６－１２尺</t>
    <phoneticPr fontId="3" type="noConversion"/>
  </si>
  <si>
    <t>隱雷鞭傷害+30%</t>
    <phoneticPr fontId="2" type="noConversion"/>
  </si>
  <si>
    <t>目標靜止</t>
    <phoneticPr fontId="3" type="noConversion"/>
  </si>
  <si>
    <t>百節</t>
    <phoneticPr fontId="3" type="noConversion"/>
  </si>
  <si>
    <t>“驟雨寒江"調息時間降低10秒，不再附帶控制效果，對目標造成133-143(+0.4937)額外傷害，若目標被自身鏈結且目標血量低於50%，則附帶雙倍傷害。</t>
    <phoneticPr fontId="2" type="noConversion"/>
  </si>
  <si>
    <t>忘斷</t>
    <phoneticPr fontId="3" type="noConversion"/>
  </si>
  <si>
    <t>徵逐</t>
    <phoneticPr fontId="3" type="noConversion"/>
  </si>
  <si>
    <t>寂洪荒增傷</t>
  </si>
  <si>
    <t>寂洪荒增傷</t>
    <phoneticPr fontId="3" type="noConversion"/>
  </si>
  <si>
    <t>斷水刃增傷</t>
    <phoneticPr fontId="3" type="noConversion"/>
  </si>
  <si>
    <t>DOT</t>
    <phoneticPr fontId="3" type="noConversion"/>
  </si>
  <si>
    <t>青壁</t>
    <phoneticPr fontId="3" type="noConversion"/>
  </si>
  <si>
    <t>層楹</t>
    <phoneticPr fontId="3" type="noConversion"/>
  </si>
  <si>
    <t>隱雷鞭+5%*</t>
    <phoneticPr fontId="2" type="noConversion"/>
  </si>
  <si>
    <t>亂天狼傷害+15%</t>
    <phoneticPr fontId="2" type="noConversion"/>
  </si>
  <si>
    <t>當前版本</t>
    <phoneticPr fontId="1" type="noConversion"/>
  </si>
  <si>
    <t>會心1%</t>
    <phoneticPr fontId="1" type="noConversion"/>
  </si>
  <si>
    <t>破防1%</t>
    <phoneticPr fontId="1" type="noConversion"/>
  </si>
  <si>
    <t>命中1%</t>
    <phoneticPr fontId="1" type="noConversion"/>
  </si>
  <si>
    <t>無雙1%</t>
    <phoneticPr fontId="1" type="noConversion"/>
  </si>
  <si>
    <t>洪荒+10%</t>
    <phoneticPr fontId="3" type="noConversion"/>
  </si>
  <si>
    <t>提高10%攻擊(10s)</t>
    <phoneticPr fontId="2" type="noConversion"/>
  </si>
  <si>
    <t>會心10%威脅-50%</t>
    <phoneticPr fontId="2" type="noConversion"/>
  </si>
  <si>
    <t>秘笈</t>
    <phoneticPr fontId="6" type="noConversion"/>
  </si>
  <si>
    <t>都是傷害優先</t>
    <phoneticPr fontId="6" type="noConversion"/>
  </si>
  <si>
    <t>無視目標防禦5%會效+15%</t>
    <phoneticPr fontId="2" type="noConversion"/>
  </si>
  <si>
    <t>會3%命3%會效15%</t>
    <phoneticPr fontId="2" type="noConversion"/>
  </si>
  <si>
    <t>會心5%</t>
    <phoneticPr fontId="2" type="noConversion"/>
  </si>
  <si>
    <t>破防10%會效8%</t>
    <phoneticPr fontId="2" type="noConversion"/>
  </si>
  <si>
    <t>破防200點x</t>
  </si>
  <si>
    <t>版本</t>
    <phoneticPr fontId="6" type="noConversion"/>
  </si>
  <si>
    <t>BUFF破會和</t>
    <phoneticPr fontId="6" type="noConversion"/>
  </si>
  <si>
    <t>m</t>
    <phoneticPr fontId="44" type="noConversion"/>
  </si>
  <si>
    <t>BUFF會效</t>
    <phoneticPr fontId="6" type="noConversion"/>
  </si>
  <si>
    <t>會心</t>
    <phoneticPr fontId="44" type="noConversion"/>
  </si>
  <si>
    <t>斜率</t>
    <phoneticPr fontId="44" type="noConversion"/>
  </si>
  <si>
    <t>倍數</t>
    <phoneticPr fontId="44" type="noConversion"/>
  </si>
  <si>
    <t>當前BUFF</t>
    <phoneticPr fontId="44" type="noConversion"/>
  </si>
  <si>
    <t>最優</t>
    <phoneticPr fontId="44" type="noConversion"/>
  </si>
  <si>
    <t>BUFF會心</t>
    <phoneticPr fontId="44" type="noConversion"/>
  </si>
  <si>
    <t>Buff倍數</t>
    <phoneticPr fontId="44" type="noConversion"/>
  </si>
  <si>
    <t>總增強倍數</t>
    <phoneticPr fontId="44" type="noConversion"/>
  </si>
  <si>
    <t>BUFF後會效</t>
    <phoneticPr fontId="44" type="noConversion"/>
  </si>
  <si>
    <t>Buff斜率</t>
    <phoneticPr fontId="44" type="noConversion"/>
  </si>
  <si>
    <t>基礎破防%</t>
  </si>
  <si>
    <t>基礎破防</t>
    <phoneticPr fontId="44" type="noConversion"/>
  </si>
  <si>
    <t>身法</t>
    <phoneticPr fontId="6" type="noConversion"/>
  </si>
  <si>
    <t>墨隱冠</t>
  </si>
  <si>
    <t>破命</t>
    <phoneticPr fontId="3" type="noConversion"/>
  </si>
  <si>
    <t>大俠之路</t>
    <phoneticPr fontId="3" type="noConversion"/>
  </si>
  <si>
    <t>素棲冠</t>
    <phoneticPr fontId="3" type="noConversion"/>
  </si>
  <si>
    <t>會無</t>
    <phoneticPr fontId="3" type="noConversion"/>
  </si>
  <si>
    <t>知微通玄·釋魂帽</t>
    <phoneticPr fontId="3" type="noConversion"/>
  </si>
  <si>
    <t>尋蹤覓寶·無時帽</t>
    <phoneticPr fontId="3" type="noConversion"/>
  </si>
  <si>
    <t>紫書冠</t>
  </si>
  <si>
    <t>會命</t>
    <phoneticPr fontId="3" type="noConversion"/>
  </si>
  <si>
    <t>秋瀾冠</t>
    <phoneticPr fontId="3" type="noConversion"/>
  </si>
  <si>
    <t>天韶·藏雪帽</t>
    <phoneticPr fontId="3" type="noConversion"/>
  </si>
  <si>
    <t>迴風送客·紫月冠</t>
    <phoneticPr fontId="3" type="noConversion"/>
  </si>
  <si>
    <t>刻己帽</t>
    <phoneticPr fontId="3" type="noConversion"/>
  </si>
  <si>
    <t>遠仕冠</t>
    <phoneticPr fontId="3" type="noConversion"/>
  </si>
  <si>
    <t>玄風冠</t>
    <phoneticPr fontId="3" type="noConversion"/>
  </si>
  <si>
    <t>寒夜冠</t>
    <phoneticPr fontId="3" type="noConversion"/>
  </si>
  <si>
    <t>心凌帽</t>
    <phoneticPr fontId="3" type="noConversion"/>
  </si>
  <si>
    <t>江貢兌換</t>
    <phoneticPr fontId="3" type="noConversion"/>
  </si>
  <si>
    <t>凌絕·風破帽</t>
    <phoneticPr fontId="3" type="noConversion"/>
  </si>
  <si>
    <t>海傾勢回·波澹冠</t>
    <phoneticPr fontId="3" type="noConversion"/>
  </si>
  <si>
    <t>知微通玄·數墨帽</t>
    <phoneticPr fontId="3" type="noConversion"/>
  </si>
  <si>
    <t>尋蹤覓寶·欺風帽</t>
    <phoneticPr fontId="3" type="noConversion"/>
  </si>
  <si>
    <t>伐樗冠</t>
    <phoneticPr fontId="3" type="noConversion"/>
  </si>
  <si>
    <t>獨南帽</t>
    <phoneticPr fontId="3" type="noConversion"/>
  </si>
  <si>
    <t>聽瀾冠</t>
    <phoneticPr fontId="3" type="noConversion"/>
  </si>
  <si>
    <t>茲櫟冠</t>
    <phoneticPr fontId="3" type="noConversion"/>
  </si>
  <si>
    <t>無界頭飾（命中）2670</t>
    <phoneticPr fontId="3" type="noConversion"/>
  </si>
  <si>
    <t>無界頭飾（會無）2670</t>
    <phoneticPr fontId="3" type="noConversion"/>
  </si>
  <si>
    <t>無界頭飾（會破命）2670</t>
    <phoneticPr fontId="3" type="noConversion"/>
  </si>
  <si>
    <t>無界頭飾（會破無）2670</t>
    <phoneticPr fontId="3" type="noConversion"/>
  </si>
  <si>
    <t>曉天．點殷冠</t>
    <phoneticPr fontId="3" type="noConversion"/>
  </si>
  <si>
    <t>暗雨冠</t>
    <phoneticPr fontId="3" type="noConversion"/>
  </si>
  <si>
    <t>重喬冠</t>
    <phoneticPr fontId="3" type="noConversion"/>
  </si>
  <si>
    <t>宿寂冠</t>
    <phoneticPr fontId="3" type="noConversion"/>
  </si>
  <si>
    <t>破命套裝</t>
    <phoneticPr fontId="3" type="noConversion"/>
  </si>
  <si>
    <t>無界頭飾（會命）2820</t>
    <phoneticPr fontId="3" type="noConversion"/>
  </si>
  <si>
    <t>無界頭飾（會）2820</t>
    <phoneticPr fontId="3" type="noConversion"/>
  </si>
  <si>
    <t>英雄敖龍島：鐵黎</t>
    <phoneticPr fontId="3" type="noConversion"/>
  </si>
  <si>
    <t>素棲衣</t>
    <phoneticPr fontId="3" type="noConversion"/>
  </si>
  <si>
    <t>破無</t>
    <phoneticPr fontId="3" type="noConversion"/>
  </si>
  <si>
    <t>紫書衣</t>
    <phoneticPr fontId="3" type="noConversion"/>
  </si>
  <si>
    <t>紋溯衣</t>
    <phoneticPr fontId="3" type="noConversion"/>
  </si>
  <si>
    <t>秋瀾衣</t>
    <phoneticPr fontId="3" type="noConversion"/>
  </si>
  <si>
    <t>天韶·藏雪衣</t>
    <phoneticPr fontId="3" type="noConversion"/>
  </si>
  <si>
    <t>迴風送客·癲蠱衣</t>
    <phoneticPr fontId="3" type="noConversion"/>
  </si>
  <si>
    <t>刻己衫</t>
    <phoneticPr fontId="3" type="noConversion"/>
  </si>
  <si>
    <t>玄風衣</t>
    <phoneticPr fontId="3" type="noConversion"/>
  </si>
  <si>
    <t>斷月衫</t>
    <phoneticPr fontId="3" type="noConversion"/>
  </si>
  <si>
    <t>寒夜衣</t>
    <phoneticPr fontId="3" type="noConversion"/>
  </si>
  <si>
    <t>刻己帶</t>
  </si>
  <si>
    <t>刻己袖</t>
  </si>
  <si>
    <t>刻己褲</t>
  </si>
  <si>
    <t>刻己靴</t>
  </si>
  <si>
    <t>刻己鏈</t>
  </si>
  <si>
    <t>刻己墜</t>
  </si>
  <si>
    <t>刻己戒</t>
  </si>
  <si>
    <t>斷月袖</t>
  </si>
  <si>
    <t>斷月褲</t>
  </si>
  <si>
    <t>斷月鞋</t>
  </si>
  <si>
    <t>斷月鏈</t>
  </si>
  <si>
    <t>斷月墜</t>
  </si>
  <si>
    <t>斷月戒</t>
  </si>
  <si>
    <t>伐樗衣</t>
  </si>
  <si>
    <t>伐樗帶</t>
  </si>
  <si>
    <t>伐樗護手</t>
  </si>
  <si>
    <t>伐樗鏈</t>
  </si>
  <si>
    <t>伐樗墜</t>
  </si>
  <si>
    <t>伐樗指環</t>
  </si>
  <si>
    <t>玄風帶</t>
  </si>
  <si>
    <t>玄風袖</t>
  </si>
  <si>
    <t>玄風鏈</t>
  </si>
  <si>
    <t>玄風佩</t>
  </si>
  <si>
    <t>玄風指環</t>
  </si>
  <si>
    <t>寒夜腰帶</t>
  </si>
  <si>
    <t>寒夜纏</t>
  </si>
  <si>
    <t>寒夜褲</t>
  </si>
  <si>
    <t>守成衣</t>
  </si>
  <si>
    <t>守成護手</t>
  </si>
  <si>
    <t>守成褲</t>
  </si>
  <si>
    <t>守成靴</t>
  </si>
  <si>
    <t>守成項飾</t>
  </si>
  <si>
    <t>守成墜</t>
  </si>
  <si>
    <t>守成戒</t>
  </si>
  <si>
    <t>守成囊</t>
  </si>
  <si>
    <t>獨南腰帶</t>
  </si>
  <si>
    <t>獨南褲</t>
  </si>
  <si>
    <t>獨南靴</t>
  </si>
  <si>
    <t>獨南墜</t>
  </si>
  <si>
    <t>獨南戒</t>
  </si>
  <si>
    <t>聽瀾衫</t>
  </si>
  <si>
    <t>聽瀾纏腰</t>
  </si>
  <si>
    <t>聽瀾護手</t>
  </si>
  <si>
    <t>聽瀾裳</t>
  </si>
  <si>
    <t>聽瀾靴</t>
  </si>
  <si>
    <t>聽瀾項飾</t>
  </si>
  <si>
    <t>聽瀾佩</t>
  </si>
  <si>
    <t>聽瀾指環</t>
  </si>
  <si>
    <t>聽瀾囊</t>
  </si>
  <si>
    <t>心凌衫</t>
    <phoneticPr fontId="3" type="noConversion"/>
  </si>
  <si>
    <t>命無</t>
    <phoneticPr fontId="3" type="noConversion"/>
  </si>
  <si>
    <t>凌絕·風破衣</t>
    <phoneticPr fontId="3" type="noConversion"/>
  </si>
  <si>
    <t>海傾勢回·華景衣</t>
    <phoneticPr fontId="3" type="noConversion"/>
  </si>
  <si>
    <t>茲櫟衣</t>
    <phoneticPr fontId="3" type="noConversion"/>
  </si>
  <si>
    <t>茲櫟袖</t>
  </si>
  <si>
    <t>茲櫟褲</t>
  </si>
  <si>
    <t>曉天．點殷衣</t>
    <phoneticPr fontId="3" type="noConversion"/>
  </si>
  <si>
    <t>暗雨衫</t>
    <phoneticPr fontId="3" type="noConversion"/>
  </si>
  <si>
    <t>重喬衫</t>
    <phoneticPr fontId="3" type="noConversion"/>
  </si>
  <si>
    <t>息偃衣</t>
    <phoneticPr fontId="3" type="noConversion"/>
  </si>
  <si>
    <t>英雄敖龍島：陳徽</t>
    <phoneticPr fontId="3" type="noConversion"/>
  </si>
  <si>
    <t>英雄敖龍島：藤原武裔</t>
    <phoneticPr fontId="3" type="noConversion"/>
  </si>
  <si>
    <t>素棲腰帶</t>
    <phoneticPr fontId="3" type="noConversion"/>
  </si>
  <si>
    <t>迴風送客·葬海腰帶</t>
    <phoneticPr fontId="3" type="noConversion"/>
  </si>
  <si>
    <t>知微通玄·釋魂帶</t>
  </si>
  <si>
    <t>知微通玄·釋魂袖</t>
  </si>
  <si>
    <t>知微通玄·釋魂褲</t>
  </si>
  <si>
    <t>迴風送客·紫月褲</t>
  </si>
  <si>
    <t>天韶·藏雪腰帶</t>
    <phoneticPr fontId="3" type="noConversion"/>
  </si>
  <si>
    <t>紋潮腰帶</t>
    <phoneticPr fontId="3" type="noConversion"/>
  </si>
  <si>
    <t>紫書護腰</t>
    <phoneticPr fontId="3" type="noConversion"/>
  </si>
  <si>
    <t>遠仕帶</t>
    <phoneticPr fontId="3" type="noConversion"/>
  </si>
  <si>
    <t>凌絕·風破腰帶</t>
    <phoneticPr fontId="3" type="noConversion"/>
  </si>
  <si>
    <t>海傾勢回·定潮腰帶</t>
  </si>
  <si>
    <t>知微通玄·數墨帶</t>
  </si>
  <si>
    <t>知微通玄·數墨袖</t>
  </si>
  <si>
    <t>曉天．點殷腰帶</t>
    <phoneticPr fontId="3" type="noConversion"/>
  </si>
  <si>
    <t>重喬帶</t>
    <phoneticPr fontId="3" type="noConversion"/>
  </si>
  <si>
    <t>輕檐腰帶</t>
    <phoneticPr fontId="3" type="noConversion"/>
  </si>
  <si>
    <t>歲溫腰帶</t>
    <phoneticPr fontId="3" type="noConversion"/>
  </si>
  <si>
    <t>涉機腰帶</t>
    <phoneticPr fontId="3" type="noConversion"/>
  </si>
  <si>
    <t>藏燭腰帶</t>
    <phoneticPr fontId="3" type="noConversion"/>
  </si>
  <si>
    <t>宿寂腰帶</t>
    <phoneticPr fontId="3" type="noConversion"/>
  </si>
  <si>
    <t>會心</t>
    <phoneticPr fontId="3" type="noConversion"/>
  </si>
  <si>
    <t>純會精簡</t>
    <phoneticPr fontId="3" type="noConversion"/>
  </si>
  <si>
    <t>英雄敖龍島：源思弦、藤原武裔</t>
    <phoneticPr fontId="3" type="noConversion"/>
  </si>
  <si>
    <t>破命精簡</t>
    <phoneticPr fontId="3" type="noConversion"/>
  </si>
  <si>
    <t>暗雨纏腰</t>
    <phoneticPr fontId="3" type="noConversion"/>
  </si>
  <si>
    <t xml:space="preserve"> </t>
    <phoneticPr fontId="3" type="noConversion"/>
  </si>
  <si>
    <t>尋蹤覓寶·無時袖</t>
    <phoneticPr fontId="3" type="noConversion"/>
  </si>
  <si>
    <t>紋潮護手</t>
    <phoneticPr fontId="3" type="noConversion"/>
  </si>
  <si>
    <t>紫書護腕</t>
    <phoneticPr fontId="3" type="noConversion"/>
  </si>
  <si>
    <t>秋瀾袖</t>
    <phoneticPr fontId="3" type="noConversion"/>
  </si>
  <si>
    <t>凌絕·風破護手</t>
    <phoneticPr fontId="3" type="noConversion"/>
  </si>
  <si>
    <t>海傾勢回·鱗浪護手</t>
    <phoneticPr fontId="3" type="noConversion"/>
  </si>
  <si>
    <t>尋蹤覓寶·欺風袖</t>
    <phoneticPr fontId="3" type="noConversion"/>
  </si>
  <si>
    <t>無界護臂（會）2670</t>
    <phoneticPr fontId="3" type="noConversion"/>
  </si>
  <si>
    <t>無界護臂（會破）2670</t>
    <phoneticPr fontId="3" type="noConversion"/>
  </si>
  <si>
    <t>無界護臂（會會破）2670</t>
    <phoneticPr fontId="3" type="noConversion"/>
  </si>
  <si>
    <t>無界護臂（命中）2820</t>
    <phoneticPr fontId="3" type="noConversion"/>
  </si>
  <si>
    <t>無界護臂（會會）2820</t>
    <phoneticPr fontId="3" type="noConversion"/>
  </si>
  <si>
    <t>無界護臂（會會命）2820</t>
    <phoneticPr fontId="3" type="noConversion"/>
  </si>
  <si>
    <t>重喬護手</t>
    <phoneticPr fontId="3" type="noConversion"/>
  </si>
  <si>
    <t>英雄敖龍島：鐵黎、陳徽</t>
    <phoneticPr fontId="3" type="noConversion"/>
  </si>
  <si>
    <t>息偃護手</t>
  </si>
  <si>
    <t>竊星護腕</t>
    <phoneticPr fontId="3" type="noConversion"/>
  </si>
  <si>
    <t>落崖護腕</t>
    <phoneticPr fontId="3" type="noConversion"/>
  </si>
  <si>
    <t>暗雨護手</t>
    <phoneticPr fontId="3" type="noConversion"/>
  </si>
  <si>
    <t>宿寂袖</t>
    <phoneticPr fontId="3" type="noConversion"/>
  </si>
  <si>
    <t>遷陘護腕</t>
  </si>
  <si>
    <t>英雄敖龍島：鐵黎、藤原武裔、陳徽</t>
    <phoneticPr fontId="3" type="noConversion"/>
  </si>
  <si>
    <t>素棲褲</t>
    <phoneticPr fontId="3" type="noConversion"/>
  </si>
  <si>
    <t>紫書褲</t>
    <phoneticPr fontId="3" type="noConversion"/>
  </si>
  <si>
    <t>素棲靴</t>
  </si>
  <si>
    <t>尋蹤覓寶·無時靴</t>
    <phoneticPr fontId="3" type="noConversion"/>
  </si>
  <si>
    <t>紫書履</t>
  </si>
  <si>
    <t>回風送客．炎火鞋</t>
    <phoneticPr fontId="3" type="noConversion"/>
  </si>
  <si>
    <t>鞋子</t>
    <phoneticPr fontId="3" type="noConversion"/>
  </si>
  <si>
    <t>天韶·藏雪靴</t>
    <phoneticPr fontId="3" type="noConversion"/>
  </si>
  <si>
    <t>遠仕靴</t>
    <phoneticPr fontId="3" type="noConversion"/>
  </si>
  <si>
    <t>心凌靴</t>
  </si>
  <si>
    <t>無界鞋（會破）2520</t>
    <phoneticPr fontId="3" type="noConversion"/>
  </si>
  <si>
    <t>無界鞋（破命無）2520</t>
    <phoneticPr fontId="3" type="noConversion"/>
  </si>
  <si>
    <t>無界鞋（命中）2520</t>
    <phoneticPr fontId="3" type="noConversion"/>
  </si>
  <si>
    <t>凌絕·風破靴</t>
    <phoneticPr fontId="3" type="noConversion"/>
  </si>
  <si>
    <t>海傾勢回·鱗浪鞋</t>
    <phoneticPr fontId="3" type="noConversion"/>
  </si>
  <si>
    <t>尋蹤覓寶·欺風靴</t>
    <phoneticPr fontId="3" type="noConversion"/>
  </si>
  <si>
    <t>無界鞋（無雙）2670</t>
    <phoneticPr fontId="3" type="noConversion"/>
  </si>
  <si>
    <t>無界鞋（破無）2670</t>
    <phoneticPr fontId="3" type="noConversion"/>
  </si>
  <si>
    <t>破無精簡</t>
    <phoneticPr fontId="3" type="noConversion"/>
  </si>
  <si>
    <t>無界鞋（會命無）2670</t>
    <phoneticPr fontId="3" type="noConversion"/>
  </si>
  <si>
    <t>會命無精簡</t>
    <phoneticPr fontId="3" type="noConversion"/>
  </si>
  <si>
    <t>純破精簡</t>
    <phoneticPr fontId="3" type="noConversion"/>
  </si>
  <si>
    <t>無界鞋（破防）2820</t>
    <phoneticPr fontId="3" type="noConversion"/>
  </si>
  <si>
    <t>無界鞋（命無）2820</t>
    <phoneticPr fontId="3" type="noConversion"/>
  </si>
  <si>
    <t>命無精簡</t>
    <phoneticPr fontId="3" type="noConversion"/>
  </si>
  <si>
    <t>無界鞋（會會無）2820</t>
    <phoneticPr fontId="3" type="noConversion"/>
  </si>
  <si>
    <t>會會無精簡</t>
    <phoneticPr fontId="3" type="noConversion"/>
  </si>
  <si>
    <t>曉天·點殷靴</t>
    <phoneticPr fontId="3" type="noConversion"/>
  </si>
  <si>
    <t>破無套裝</t>
    <phoneticPr fontId="3" type="noConversion"/>
  </si>
  <si>
    <t>息偃靴</t>
    <phoneticPr fontId="3" type="noConversion"/>
  </si>
  <si>
    <t>暗雨靴</t>
    <phoneticPr fontId="3" type="noConversion"/>
  </si>
  <si>
    <t>宿寂靴</t>
    <phoneticPr fontId="3" type="noConversion"/>
  </si>
  <si>
    <t>破命切糕</t>
    <phoneticPr fontId="3" type="noConversion"/>
  </si>
  <si>
    <t>秋瀾鏈</t>
  </si>
  <si>
    <t>紋溯鏈</t>
    <phoneticPr fontId="3" type="noConversion"/>
  </si>
  <si>
    <t>紫書鏈</t>
    <phoneticPr fontId="3" type="noConversion"/>
  </si>
  <si>
    <t>心凌鏈</t>
  </si>
  <si>
    <t>爭鋒護頸(2)</t>
    <phoneticPr fontId="3" type="noConversion"/>
  </si>
  <si>
    <t>東海三家聯軍（敬重）</t>
    <phoneticPr fontId="3" type="noConversion"/>
  </si>
  <si>
    <t>墟落護頸</t>
    <phoneticPr fontId="3" type="noConversion"/>
  </si>
  <si>
    <t>南溟船隊（親密）</t>
    <phoneticPr fontId="3" type="noConversion"/>
  </si>
  <si>
    <t>無界項鍊（命中）2670</t>
    <phoneticPr fontId="3" type="noConversion"/>
  </si>
  <si>
    <t>無界項鍊（會命）2670</t>
    <phoneticPr fontId="3" type="noConversion"/>
  </si>
  <si>
    <t>無界項鍊（破命無）2670</t>
    <phoneticPr fontId="3" type="noConversion"/>
  </si>
  <si>
    <t>爭鋒護頸(3)</t>
  </si>
  <si>
    <t>南溟船隊（敬重）</t>
    <phoneticPr fontId="3" type="noConversion"/>
  </si>
  <si>
    <t>無界項鍊（無雙）2820</t>
    <phoneticPr fontId="3" type="noConversion"/>
  </si>
  <si>
    <t>無界項鍊（破無）2820</t>
    <phoneticPr fontId="3" type="noConversion"/>
  </si>
  <si>
    <t>息偃項飾</t>
  </si>
  <si>
    <t>墟落護頸(4)</t>
    <phoneticPr fontId="3" type="noConversion"/>
  </si>
  <si>
    <t>南溟船隊（尊敬）</t>
    <phoneticPr fontId="3" type="noConversion"/>
  </si>
  <si>
    <t>墟落護頸(3)</t>
    <phoneticPr fontId="3" type="noConversion"/>
  </si>
  <si>
    <t>爭鋒護頸(4)</t>
  </si>
  <si>
    <t>爭鋒墜(4)</t>
  </si>
  <si>
    <t>爭鋒墜</t>
  </si>
  <si>
    <t>秋瀾墜</t>
  </si>
  <si>
    <t>紋溯墜</t>
    <phoneticPr fontId="3" type="noConversion"/>
  </si>
  <si>
    <t>紫書墜</t>
    <phoneticPr fontId="3" type="noConversion"/>
  </si>
  <si>
    <t>面面相覷</t>
    <phoneticPr fontId="3" type="noConversion"/>
  </si>
  <si>
    <t>薔薇列島（尊敬）</t>
    <phoneticPr fontId="3" type="noConversion"/>
  </si>
  <si>
    <t>南銘船隊（敬重）</t>
    <phoneticPr fontId="3" type="noConversion"/>
  </si>
  <si>
    <t>無界腰墜（命中）2820</t>
    <phoneticPr fontId="3" type="noConversion"/>
  </si>
  <si>
    <t>無界腰墜（會會無）2670</t>
    <phoneticPr fontId="3" type="noConversion"/>
  </si>
  <si>
    <t>無界腰墜（破命）2670</t>
    <phoneticPr fontId="3" type="noConversion"/>
  </si>
  <si>
    <t>無界腰墜（無雙）2670</t>
    <phoneticPr fontId="3" type="noConversion"/>
  </si>
  <si>
    <t>無界腰墜（攻會破）2820</t>
    <phoneticPr fontId="3" type="noConversion"/>
  </si>
  <si>
    <t>無界腰墜（會會破）2820</t>
    <phoneticPr fontId="3" type="noConversion"/>
  </si>
  <si>
    <t>暗雨佩</t>
    <phoneticPr fontId="3" type="noConversion"/>
  </si>
  <si>
    <t>重喬墜</t>
    <phoneticPr fontId="3" type="noConversion"/>
  </si>
  <si>
    <t>息偃墜</t>
    <phoneticPr fontId="3" type="noConversion"/>
  </si>
  <si>
    <t>絕垠</t>
    <phoneticPr fontId="3" type="noConversion"/>
  </si>
  <si>
    <t>英雄敖龍島：藤原武裔、陳徽</t>
    <phoneticPr fontId="3" type="noConversion"/>
  </si>
  <si>
    <t>南銘船隊（尊敬）</t>
    <phoneticPr fontId="3" type="noConversion"/>
  </si>
  <si>
    <t>墟落墜（4）</t>
    <phoneticPr fontId="3" type="noConversion"/>
  </si>
  <si>
    <t>墟落墜（3）</t>
    <phoneticPr fontId="3" type="noConversion"/>
  </si>
  <si>
    <t>秋瀾戒</t>
    <phoneticPr fontId="3" type="noConversion"/>
  </si>
  <si>
    <t>素棲戒</t>
  </si>
  <si>
    <t>紫書指環</t>
  </si>
  <si>
    <t>遠仕指環</t>
    <phoneticPr fontId="3" type="noConversion"/>
  </si>
  <si>
    <t>秋聲結</t>
    <phoneticPr fontId="3" type="noConversion"/>
  </si>
  <si>
    <t>溯鯉指環</t>
    <phoneticPr fontId="3" type="noConversion"/>
  </si>
  <si>
    <t>朽沉戒</t>
  </si>
  <si>
    <t>奔流戒</t>
  </si>
  <si>
    <t>會破精簡</t>
    <phoneticPr fontId="3" type="noConversion"/>
  </si>
  <si>
    <t>越庭戒</t>
  </si>
  <si>
    <t>會會命精簡</t>
    <phoneticPr fontId="3" type="noConversion"/>
  </si>
  <si>
    <t>暗雨指環</t>
    <phoneticPr fontId="3" type="noConversion"/>
  </si>
  <si>
    <t>重喬指環</t>
    <phoneticPr fontId="3" type="noConversion"/>
  </si>
  <si>
    <t>息偃戒</t>
  </si>
  <si>
    <t>灼衣戒</t>
    <phoneticPr fontId="3" type="noConversion"/>
  </si>
  <si>
    <t>英雄敖龍島：方有崖、騶吾、藤原武裔</t>
    <phoneticPr fontId="3" type="noConversion"/>
  </si>
  <si>
    <t>秋瀾囊</t>
  </si>
  <si>
    <t>阿房</t>
    <phoneticPr fontId="3" type="noConversion"/>
  </si>
  <si>
    <t>迴風送客·荒嶼囊</t>
  </si>
  <si>
    <t>素棲囊</t>
  </si>
  <si>
    <t>紋溯囊</t>
    <phoneticPr fontId="3" type="noConversion"/>
  </si>
  <si>
    <t>求賢</t>
    <phoneticPr fontId="3" type="noConversion"/>
  </si>
  <si>
    <t>遠仕箭囊</t>
    <phoneticPr fontId="3" type="noConversion"/>
  </si>
  <si>
    <t>逍行</t>
    <phoneticPr fontId="3" type="noConversion"/>
  </si>
  <si>
    <t>心凌囊</t>
    <phoneticPr fontId="3" type="noConversion"/>
  </si>
  <si>
    <t>無界囊（無雙）2520</t>
    <phoneticPr fontId="3" type="noConversion"/>
  </si>
  <si>
    <t>無雙精簡</t>
    <phoneticPr fontId="3" type="noConversion"/>
  </si>
  <si>
    <t>無界囊（會命）2520</t>
    <phoneticPr fontId="3" type="noConversion"/>
  </si>
  <si>
    <t>會命精簡</t>
    <phoneticPr fontId="3" type="noConversion"/>
  </si>
  <si>
    <t>無界囊（會破命）2520</t>
    <phoneticPr fontId="3" type="noConversion"/>
  </si>
  <si>
    <t>會破命精簡</t>
    <phoneticPr fontId="3" type="noConversion"/>
  </si>
  <si>
    <t>息偃囊</t>
    <phoneticPr fontId="3" type="noConversion"/>
  </si>
  <si>
    <t>海傾勢回·流澤囊</t>
    <phoneticPr fontId="3" type="noConversion"/>
  </si>
  <si>
    <t>平莒</t>
    <phoneticPr fontId="3" type="noConversion"/>
  </si>
  <si>
    <t>獨南囊</t>
    <phoneticPr fontId="3" type="noConversion"/>
  </si>
  <si>
    <t>無界囊（破防）2670</t>
    <phoneticPr fontId="3" type="noConversion"/>
  </si>
  <si>
    <t>無界囊（會）2820</t>
    <phoneticPr fontId="3" type="noConversion"/>
  </si>
  <si>
    <t>無界囊（破命）2820</t>
    <phoneticPr fontId="3" type="noConversion"/>
  </si>
  <si>
    <t>無界囊（會破命）2820</t>
    <phoneticPr fontId="3" type="noConversion"/>
  </si>
  <si>
    <t>蓬舟</t>
    <phoneticPr fontId="3" type="noConversion"/>
  </si>
  <si>
    <t>暗雨囊</t>
    <phoneticPr fontId="3" type="noConversion"/>
  </si>
  <si>
    <t>白首太玄</t>
    <phoneticPr fontId="3" type="noConversion"/>
  </si>
  <si>
    <t>尋蹤覓寶·寒水</t>
    <phoneticPr fontId="3" type="noConversion"/>
  </si>
  <si>
    <t>迴風送客·雷冥鏈刃</t>
    <phoneticPr fontId="3" type="noConversion"/>
  </si>
  <si>
    <t>滄江歲晚</t>
  </si>
  <si>
    <t>恣游鏈刃</t>
    <phoneticPr fontId="3" type="noConversion"/>
  </si>
  <si>
    <t>晚煙秋瑟</t>
    <phoneticPr fontId="3" type="noConversion"/>
  </si>
  <si>
    <t>啼月鏈刃</t>
    <phoneticPr fontId="3" type="noConversion"/>
  </si>
  <si>
    <t>楚天征鴻</t>
    <phoneticPr fontId="3" type="noConversion"/>
  </si>
  <si>
    <t>心雪鏈刃</t>
    <phoneticPr fontId="3" type="noConversion"/>
  </si>
  <si>
    <t>海傾勢回·寒夜鋒</t>
    <phoneticPr fontId="3" type="noConversion"/>
  </si>
  <si>
    <t>月江</t>
    <phoneticPr fontId="3" type="noConversion"/>
  </si>
  <si>
    <t>攜壺</t>
    <phoneticPr fontId="3" type="noConversion"/>
  </si>
  <si>
    <t>尋蹤覓寶·凡念</t>
    <phoneticPr fontId="3" type="noConversion"/>
  </si>
  <si>
    <t>萬劫浩茫</t>
    <phoneticPr fontId="3" type="noConversion"/>
  </si>
  <si>
    <t>陌上塵</t>
    <phoneticPr fontId="3" type="noConversion"/>
  </si>
  <si>
    <t>穹意鏈刃</t>
    <phoneticPr fontId="3" type="noConversion"/>
  </si>
  <si>
    <t>潛蛟</t>
    <phoneticPr fontId="3" type="noConversion"/>
  </si>
  <si>
    <t>歸川</t>
    <phoneticPr fontId="3" type="noConversion"/>
  </si>
  <si>
    <t>醒別酒</t>
    <phoneticPr fontId="3" type="noConversion"/>
  </si>
  <si>
    <t>幽墨鏈刃</t>
    <phoneticPr fontId="3" type="noConversion"/>
  </si>
  <si>
    <t>會命切糕</t>
    <phoneticPr fontId="3" type="noConversion"/>
  </si>
  <si>
    <t>小武傷</t>
    <phoneticPr fontId="3" type="noConversion"/>
  </si>
  <si>
    <t>大武傷</t>
    <phoneticPr fontId="3" type="noConversion"/>
  </si>
  <si>
    <t>武器</t>
    <phoneticPr fontId="3" type="noConversion"/>
  </si>
  <si>
    <t>皎玉墀</t>
    <phoneticPr fontId="3" type="noConversion"/>
  </si>
  <si>
    <t>燁陽晶石·暗器（身法）</t>
    <phoneticPr fontId="3" type="noConversion"/>
  </si>
  <si>
    <t>燁陽晶石·戒指（身法）</t>
    <phoneticPr fontId="3" type="noConversion"/>
  </si>
  <si>
    <t>仙蹤·兵·鑄（武傷）</t>
    <phoneticPr fontId="3" type="noConversion"/>
  </si>
  <si>
    <t>凌風囊</t>
    <phoneticPr fontId="3" type="noConversion"/>
  </si>
  <si>
    <t>無界囊（會會）2670</t>
    <phoneticPr fontId="3" type="noConversion"/>
  </si>
  <si>
    <t>無界囊（會會命）2670</t>
    <phoneticPr fontId="3" type="noConversion"/>
  </si>
  <si>
    <t>會會精簡</t>
    <phoneticPr fontId="3" type="noConversion"/>
  </si>
  <si>
    <t>無界褲（破）2670</t>
    <phoneticPr fontId="3" type="noConversion"/>
  </si>
  <si>
    <t>無界褲（會）2520</t>
    <phoneticPr fontId="3" type="noConversion"/>
  </si>
  <si>
    <t>無界項鏈（會）2520</t>
    <phoneticPr fontId="3" type="noConversion"/>
  </si>
  <si>
    <t>無界腰墜（破）2520</t>
    <phoneticPr fontId="3" type="noConversion"/>
  </si>
  <si>
    <t>無界囊（會）2400</t>
    <phoneticPr fontId="3" type="noConversion"/>
  </si>
  <si>
    <t>無界頭飾（破）2520</t>
    <phoneticPr fontId="3" type="noConversion"/>
  </si>
  <si>
    <t>無界頭飾（會）2400</t>
    <phoneticPr fontId="3" type="noConversion"/>
  </si>
  <si>
    <t>無界褲（命無）2670</t>
    <phoneticPr fontId="3" type="noConversion"/>
  </si>
  <si>
    <t>無界褲（會破無）2670</t>
    <phoneticPr fontId="3" type="noConversion"/>
  </si>
  <si>
    <t>無界褲（會無）2820</t>
    <phoneticPr fontId="3" type="noConversion"/>
  </si>
  <si>
    <t>無界褲（破命無）2820</t>
    <phoneticPr fontId="3" type="noConversion"/>
  </si>
  <si>
    <t>暗雨裳</t>
    <phoneticPr fontId="3" type="noConversion"/>
  </si>
  <si>
    <t>息偃褲</t>
    <phoneticPr fontId="3" type="noConversion"/>
  </si>
  <si>
    <t>飛景褲</t>
    <phoneticPr fontId="3" type="noConversion"/>
  </si>
  <si>
    <t>無骨褲</t>
    <phoneticPr fontId="3" type="noConversion"/>
  </si>
  <si>
    <t>問秋褲</t>
    <phoneticPr fontId="3" type="noConversion"/>
  </si>
  <si>
    <t>浮舟褲</t>
    <phoneticPr fontId="3" type="noConversion"/>
  </si>
  <si>
    <t>宿寂褲</t>
    <phoneticPr fontId="3" type="noConversion"/>
  </si>
  <si>
    <t>破命</t>
    <phoneticPr fontId="3" type="noConversion"/>
  </si>
  <si>
    <t>破防</t>
    <phoneticPr fontId="3" type="noConversion"/>
  </si>
  <si>
    <t>純破精簡</t>
    <phoneticPr fontId="3" type="noConversion"/>
  </si>
  <si>
    <t>英雄敖龍島：鐵黎、藤原武裔</t>
    <phoneticPr fontId="3" type="noConversion"/>
  </si>
  <si>
    <t>會命</t>
    <phoneticPr fontId="3" type="noConversion"/>
  </si>
  <si>
    <t>會命精簡</t>
    <phoneticPr fontId="3" type="noConversion"/>
  </si>
  <si>
    <t>破命無精簡</t>
    <phoneticPr fontId="3" type="noConversion"/>
  </si>
  <si>
    <t>會無切糕</t>
    <phoneticPr fontId="3" type="noConversion"/>
  </si>
  <si>
    <t>無雙精簡</t>
    <phoneticPr fontId="3" type="noConversion"/>
  </si>
  <si>
    <t>破命精簡</t>
    <phoneticPr fontId="3" type="noConversion"/>
  </si>
  <si>
    <t>會會無精簡</t>
    <phoneticPr fontId="3" type="noConversion"/>
  </si>
  <si>
    <t>會無</t>
    <phoneticPr fontId="3" type="noConversion"/>
  </si>
  <si>
    <t>命中精簡</t>
    <phoneticPr fontId="3" type="noConversion"/>
  </si>
  <si>
    <t>攻會破精簡</t>
    <phoneticPr fontId="3" type="noConversion"/>
  </si>
  <si>
    <t>會會破精簡</t>
    <phoneticPr fontId="3" type="noConversion"/>
  </si>
  <si>
    <t>命無</t>
    <phoneticPr fontId="3" type="noConversion"/>
  </si>
  <si>
    <t>破無精簡</t>
    <phoneticPr fontId="3" type="noConversion"/>
  </si>
  <si>
    <t>命無精簡</t>
    <phoneticPr fontId="3" type="noConversion"/>
  </si>
  <si>
    <t>會破無精簡</t>
    <phoneticPr fontId="3" type="noConversion"/>
  </si>
  <si>
    <t>會無精簡</t>
    <phoneticPr fontId="3" type="noConversion"/>
  </si>
  <si>
    <t>無界褲（無雙）2820</t>
    <phoneticPr fontId="3" type="noConversion"/>
  </si>
  <si>
    <t>破無</t>
    <phoneticPr fontId="3" type="noConversion"/>
  </si>
  <si>
    <t>秋瀾褲</t>
    <phoneticPr fontId="3" type="noConversion"/>
  </si>
  <si>
    <t>遠仕下裳</t>
    <phoneticPr fontId="3" type="noConversion"/>
  </si>
  <si>
    <t>會破命精簡</t>
    <phoneticPr fontId="3" type="noConversion"/>
  </si>
  <si>
    <t>純會精簡</t>
    <phoneticPr fontId="3" type="noConversion"/>
  </si>
  <si>
    <t>仙蹤·頭·繡（急速）</t>
    <phoneticPr fontId="3" type="noConversion"/>
  </si>
  <si>
    <t>小武傷</t>
    <phoneticPr fontId="2" type="noConversion"/>
  </si>
  <si>
    <t>大武傷</t>
    <phoneticPr fontId="2" type="noConversion"/>
  </si>
  <si>
    <t>武器傷害</t>
    <phoneticPr fontId="3" type="noConversion"/>
  </si>
  <si>
    <t>宿寂衣</t>
    <phoneticPr fontId="3" type="noConversion"/>
  </si>
  <si>
    <t>茲櫟靴</t>
    <phoneticPr fontId="3" type="noConversion"/>
  </si>
  <si>
    <t>茲櫟腰帶</t>
    <phoneticPr fontId="3" type="noConversion"/>
  </si>
  <si>
    <t>寒夜靴</t>
    <phoneticPr fontId="3" type="noConversion"/>
  </si>
  <si>
    <t>會破精簡</t>
    <phoneticPr fontId="3" type="noConversion"/>
  </si>
  <si>
    <t>會會精簡</t>
    <phoneticPr fontId="3" type="noConversion"/>
  </si>
  <si>
    <t>會會命精簡</t>
    <phoneticPr fontId="3" type="noConversion"/>
  </si>
  <si>
    <t>中元節活動</t>
    <phoneticPr fontId="3" type="noConversion"/>
  </si>
  <si>
    <t>世界 BOSS（無法獲得）</t>
    <phoneticPr fontId="3" type="noConversion"/>
  </si>
  <si>
    <t>怒海爭鋒先行活動（無法獲得）</t>
    <phoneticPr fontId="3" type="noConversion"/>
  </si>
  <si>
    <t>世界 BOSS</t>
    <phoneticPr fontId="3" type="noConversion"/>
  </si>
  <si>
    <t>方士</t>
    <phoneticPr fontId="3" type="noConversion"/>
  </si>
  <si>
    <t>凌雪藏鋒 龍門尋寶商店 / 飛沙令*1485</t>
    <phoneticPr fontId="3" type="noConversion"/>
  </si>
  <si>
    <t>凌雪藏鋒 龍門尋寶商店/ 飛沙令*1335</t>
    <phoneticPr fontId="3" type="noConversion"/>
  </si>
  <si>
    <t>俠義值*65300  /  曉天牌</t>
    <phoneticPr fontId="3" type="noConversion"/>
  </si>
  <si>
    <t>俠義值*58800 / 曉天牌</t>
    <phoneticPr fontId="3" type="noConversion"/>
  </si>
  <si>
    <t>俠義值*45800 / 曉天牌</t>
    <phoneticPr fontId="3" type="noConversion"/>
  </si>
  <si>
    <t>俠義值*45700 / 曉天牌</t>
    <phoneticPr fontId="3" type="noConversion"/>
  </si>
  <si>
    <t>無界褲（會破命）2200</t>
    <phoneticPr fontId="3" type="noConversion"/>
  </si>
  <si>
    <t>無界褲（破無）2200</t>
    <phoneticPr fontId="3" type="noConversion"/>
  </si>
  <si>
    <t>無界褲（會）2200</t>
    <phoneticPr fontId="3" type="noConversion"/>
  </si>
  <si>
    <t>無界褲（破）2280</t>
    <phoneticPr fontId="3" type="noConversion"/>
  </si>
  <si>
    <t>無界褲（命無）2280</t>
    <phoneticPr fontId="3" type="noConversion"/>
  </si>
  <si>
    <t>無界褲（會破無）2280</t>
    <phoneticPr fontId="3" type="noConversion"/>
  </si>
  <si>
    <t>無界護臂（會心）2280</t>
    <phoneticPr fontId="3" type="noConversion"/>
  </si>
  <si>
    <t>無界護臂（會破）2280</t>
    <phoneticPr fontId="3" type="noConversion"/>
  </si>
  <si>
    <t>無界護臂（會會破）2280</t>
    <phoneticPr fontId="3" type="noConversion"/>
  </si>
  <si>
    <t>挑戰塵歸海·巨冥灣：邢不僵</t>
    <phoneticPr fontId="3" type="noConversion"/>
  </si>
  <si>
    <t>尋蹤覓寶·相命袖</t>
    <phoneticPr fontId="3" type="noConversion"/>
  </si>
  <si>
    <t>肅風袖</t>
    <phoneticPr fontId="3" type="noConversion"/>
  </si>
  <si>
    <t>英雄冰火島·荒血路：康疑</t>
    <phoneticPr fontId="3" type="noConversion"/>
  </si>
  <si>
    <t>英雄塵歸海·巨冥灣：孫楚珊／
挑戰冰火島·荒血路：康疑</t>
    <phoneticPr fontId="3" type="noConversion"/>
  </si>
  <si>
    <t>英雄塵歸海·巨冥灣：虎翼突襲／挑戰冰火島·青蓮獄：伊瑪目</t>
    <phoneticPr fontId="3" type="noConversion"/>
  </si>
  <si>
    <t>挑戰冰火島·青蓮獄：伊瑪目／挑戰冰火島·荒血路：康疑</t>
    <phoneticPr fontId="3" type="noConversion"/>
  </si>
  <si>
    <t>25人普通敖龍島：鐵黎／
挑戰塵歸海·饕餮洞：黃穆</t>
    <phoneticPr fontId="3" type="noConversion"/>
  </si>
  <si>
    <t>英雄塵歸海·巨冥灣：虎翼突襲</t>
    <phoneticPr fontId="3" type="noConversion"/>
  </si>
  <si>
    <t>挑戰冰火島·青蓮獄：伊瑪目／挑戰冰火島·荒血路：沒藏呼月</t>
    <phoneticPr fontId="3" type="noConversion"/>
  </si>
  <si>
    <t>英雄塵歸海·饕餮洞：黃穆</t>
    <phoneticPr fontId="3" type="noConversion"/>
  </si>
  <si>
    <t>英雄敖龍島：藤原武裔</t>
    <phoneticPr fontId="3" type="noConversion"/>
  </si>
  <si>
    <t>弄潮鏈(4)</t>
    <phoneticPr fontId="3" type="noConversion"/>
  </si>
  <si>
    <t>冰火島（尊敬）</t>
    <phoneticPr fontId="3" type="noConversion"/>
  </si>
  <si>
    <t>英雄塵歸海·巨冥灣：虎翼突襲／挑戰冰火島·荒血路：康疑</t>
    <phoneticPr fontId="3" type="noConversion"/>
  </si>
  <si>
    <t>英雄塵歸海·巨冥灣：邢不僵／
挑戰冰火島·荒血路：鉑爾</t>
    <phoneticPr fontId="3" type="noConversion"/>
  </si>
  <si>
    <t>英雄敖龍島：源思弦、藤原武裔</t>
    <phoneticPr fontId="3" type="noConversion"/>
  </si>
  <si>
    <t>遠仕墜</t>
  </si>
  <si>
    <t>25人普通敖龍島：藤原武裔</t>
    <phoneticPr fontId="3" type="noConversion"/>
  </si>
  <si>
    <t>英雄敖龍島：方有崖、騶吾</t>
    <phoneticPr fontId="3" type="noConversion"/>
  </si>
  <si>
    <t>關卡寶箱</t>
    <phoneticPr fontId="3" type="noConversion"/>
  </si>
  <si>
    <t>英雄塵歸海·巨冥灣：無面鬼
挑戰冰火島·荒血路：沒藏呼月</t>
    <phoneticPr fontId="3" type="noConversion"/>
  </si>
  <si>
    <t>25人普通敖龍島：源思弦</t>
    <phoneticPr fontId="3" type="noConversion"/>
  </si>
  <si>
    <t>英雄敖龍島：鐵黎</t>
    <phoneticPr fontId="3" type="noConversion"/>
  </si>
  <si>
    <t>英雄敖龍島：關卡寶箱</t>
    <phoneticPr fontId="3" type="noConversion"/>
  </si>
  <si>
    <t>英雄塵歸海·巨冥灣: 邢不僵, 無面鬼, 黃穆
挑戰冰火島·荒血路：沒藏呼月, 拿雲, 康疑, 羅納真, 鉑爾</t>
    <phoneticPr fontId="3" type="noConversion"/>
  </si>
  <si>
    <t>英雄敖龍島：鐵黎、方有崖、陳徽、騶吾、源思弦、藤原武裔</t>
    <phoneticPr fontId="3" type="noConversion"/>
  </si>
  <si>
    <t>賀朝歡</t>
    <phoneticPr fontId="3" type="noConversion"/>
  </si>
  <si>
    <t>曉天件數</t>
    <phoneticPr fontId="2" type="noConversion"/>
  </si>
  <si>
    <t>曉天·點殷護手</t>
    <phoneticPr fontId="3" type="noConversion"/>
  </si>
  <si>
    <t>天韶·藏雪護手</t>
    <phoneticPr fontId="3" type="noConversion"/>
  </si>
  <si>
    <t>寒夜</t>
    <phoneticPr fontId="2" type="noConversion"/>
  </si>
  <si>
    <t>茲櫟</t>
  </si>
  <si>
    <t>宿寂</t>
  </si>
  <si>
    <t>切糕</t>
    <phoneticPr fontId="2" type="noConversion"/>
  </si>
  <si>
    <t>會心</t>
    <phoneticPr fontId="2" type="noConversion"/>
  </si>
  <si>
    <t>無雙</t>
    <phoneticPr fontId="2" type="noConversion"/>
  </si>
  <si>
    <t>水斬流+20攻擊</t>
    <phoneticPr fontId="2" type="noConversion"/>
  </si>
  <si>
    <t>霽月．腰．甲（無雙）</t>
  </si>
  <si>
    <t>雜碎湯</t>
    <phoneticPr fontId="3" type="noConversion"/>
  </si>
  <si>
    <t>重製·五侯鯖</t>
    <phoneticPr fontId="3" type="noConversion"/>
  </si>
  <si>
    <t>雜錦魚球粥</t>
    <phoneticPr fontId="3" type="noConversion"/>
  </si>
  <si>
    <t>上品輕身丹</t>
    <phoneticPr fontId="3" type="noConversion"/>
  </si>
  <si>
    <t>中品輕身丹</t>
    <phoneticPr fontId="3" type="noConversion"/>
  </si>
  <si>
    <t>輕身丹</t>
    <phoneticPr fontId="3" type="noConversion"/>
  </si>
  <si>
    <t>破防等級</t>
  </si>
  <si>
    <t>版本</t>
    <phoneticPr fontId="6" type="noConversion"/>
  </si>
  <si>
    <t>怒海</t>
    <phoneticPr fontId="6" type="noConversion"/>
  </si>
  <si>
    <t>凌雪</t>
    <phoneticPr fontId="6" type="noConversion"/>
  </si>
  <si>
    <t>推薦破(185)</t>
    <phoneticPr fontId="6" type="noConversion"/>
  </si>
  <si>
    <t>推薦會(185)</t>
    <phoneticPr fontId="6" type="noConversion"/>
  </si>
  <si>
    <t>推薦破(190)</t>
    <phoneticPr fontId="6" type="noConversion"/>
  </si>
  <si>
    <t>推薦會(190)</t>
    <phoneticPr fontId="6" type="noConversion"/>
  </si>
  <si>
    <t>外功攻擊值</t>
    <phoneticPr fontId="3" type="noConversion"/>
  </si>
  <si>
    <t>套裝外攻效果</t>
    <phoneticPr fontId="3" type="noConversion"/>
  </si>
  <si>
    <t>套裝寂洪荒</t>
    <phoneticPr fontId="3" type="noConversion"/>
  </si>
  <si>
    <t>Level</t>
    <phoneticPr fontId="2" type="noConversion"/>
  </si>
  <si>
    <t>無視後減傷率</t>
    <phoneticPr fontId="3" type="noConversion"/>
  </si>
  <si>
    <t>ATK</t>
    <phoneticPr fontId="2" type="noConversion"/>
  </si>
  <si>
    <t>面板破防</t>
    <phoneticPr fontId="44" type="noConversion"/>
  </si>
  <si>
    <t>Buff會</t>
    <phoneticPr fontId="44" type="noConversion"/>
  </si>
  <si>
    <t>面板最佳破防</t>
    <phoneticPr fontId="44" type="noConversion"/>
  </si>
  <si>
    <t>面板最佳會心</t>
    <phoneticPr fontId="44" type="noConversion"/>
  </si>
  <si>
    <t>基破*BUFF</t>
    <phoneticPr fontId="44" type="noConversion"/>
  </si>
  <si>
    <t>BUFF破防</t>
    <phoneticPr fontId="44" type="noConversion"/>
  </si>
  <si>
    <t>相對會心</t>
    <phoneticPr fontId="44" type="noConversion"/>
  </si>
  <si>
    <t>加速</t>
    <phoneticPr fontId="3" type="noConversion"/>
  </si>
  <si>
    <t>怒海爭鋒 龍門尋寶商店 飛沙令*890</t>
    <phoneticPr fontId="3" type="noConversion"/>
  </si>
  <si>
    <t>凌雪藏鋒 龍門尋寶商店 飛沙令*890</t>
    <phoneticPr fontId="3" type="noConversion"/>
  </si>
  <si>
    <t>凌雪藏鋒 龍門尋寶商店 飛沙令*1790</t>
    <phoneticPr fontId="3" type="noConversion"/>
  </si>
  <si>
    <t>凌雪藏鋒 龍門尋寶商店 飛沙令*1040</t>
    <phoneticPr fontId="3" type="noConversion"/>
  </si>
  <si>
    <t>怒海爭鋒 龍門尋寶商店 飛沙令*1040</t>
    <phoneticPr fontId="3" type="noConversion"/>
  </si>
  <si>
    <t>怒海爭鋒 龍門尋寶商店 飛沙令*1485</t>
    <phoneticPr fontId="3" type="noConversion"/>
  </si>
  <si>
    <t>俠義值*12800 / 凌絕牌（挑巨1）</t>
    <phoneticPr fontId="3" type="noConversion"/>
  </si>
  <si>
    <t>天韶牌（挑荒5 / 英饕）</t>
    <phoneticPr fontId="3" type="noConversion"/>
  </si>
  <si>
    <t>俠義值*18300  /  凌絕牌（挑巨6）</t>
    <phoneticPr fontId="3" type="noConversion"/>
  </si>
  <si>
    <t>俠義值*16500 / 凌絕牌（挑巨5）</t>
    <phoneticPr fontId="3" type="noConversion"/>
  </si>
  <si>
    <t>天韶牌（挑荒4/英巨6）</t>
    <phoneticPr fontId="3" type="noConversion"/>
  </si>
  <si>
    <t>怒海爭鋒 龍門尋寶商店 飛沙令*1335</t>
    <phoneticPr fontId="3" type="noConversion"/>
  </si>
  <si>
    <t>天韶牌（挑荒2 / 英巨4）</t>
    <phoneticPr fontId="3" type="noConversion"/>
  </si>
  <si>
    <t>俠義值*12800 / 凌絕牌（挑巨3）</t>
    <phoneticPr fontId="3" type="noConversion"/>
  </si>
  <si>
    <t>天韶牌（挑荒1 / 英巨3）</t>
    <phoneticPr fontId="3" type="noConversion"/>
  </si>
  <si>
    <t>天韶牌（挑荒3 / 英巨4）</t>
    <phoneticPr fontId="3" type="noConversion"/>
  </si>
  <si>
    <t>俠義值*12800 / 凌絕牌（挑巨4）</t>
    <phoneticPr fontId="3" type="noConversion"/>
  </si>
  <si>
    <t>紫附魔(通常)</t>
    <phoneticPr fontId="6" type="noConversion"/>
  </si>
  <si>
    <t>攻擊</t>
    <phoneticPr fontId="6" type="noConversion"/>
  </si>
  <si>
    <t>身法</t>
    <phoneticPr fontId="6" type="noConversion"/>
  </si>
  <si>
    <t>武傷</t>
    <phoneticPr fontId="6" type="noConversion"/>
  </si>
  <si>
    <t>主流附魔</t>
    <phoneticPr fontId="6" type="noConversion"/>
  </si>
  <si>
    <t>加速</t>
    <phoneticPr fontId="6" type="noConversion"/>
  </si>
  <si>
    <t>一段</t>
    <phoneticPr fontId="6" type="noConversion"/>
  </si>
  <si>
    <t>二段</t>
    <phoneticPr fontId="6" type="noConversion"/>
  </si>
  <si>
    <t>三段</t>
    <phoneticPr fontId="6" type="noConversion"/>
  </si>
  <si>
    <t>GCD幀數</t>
    <phoneticPr fontId="3" type="noConversion"/>
  </si>
  <si>
    <t>讀條幀數</t>
    <phoneticPr fontId="3" type="noConversion"/>
  </si>
  <si>
    <t>加速1%</t>
    <phoneticPr fontId="6" type="noConversion"/>
  </si>
  <si>
    <t>當前加速值</t>
    <phoneticPr fontId="3" type="noConversion"/>
  </si>
  <si>
    <t>當前加速率</t>
    <phoneticPr fontId="3" type="noConversion"/>
  </si>
  <si>
    <t>加速後幀</t>
    <phoneticPr fontId="3" type="noConversion"/>
  </si>
  <si>
    <t>加速GCD</t>
    <phoneticPr fontId="3" type="noConversion"/>
  </si>
  <si>
    <t>每幀</t>
    <phoneticPr fontId="6" type="noConversion"/>
  </si>
  <si>
    <t>加速讀條</t>
    <phoneticPr fontId="3" type="noConversion"/>
  </si>
  <si>
    <t>加速</t>
    <phoneticPr fontId="3" type="noConversion"/>
  </si>
  <si>
    <t>紫書囊</t>
    <phoneticPr fontId="3" type="noConversion"/>
  </si>
  <si>
    <t>速無</t>
    <phoneticPr fontId="3" type="noConversion"/>
  </si>
  <si>
    <t>故塵</t>
    <phoneticPr fontId="3" type="noConversion"/>
  </si>
  <si>
    <t>速命</t>
    <phoneticPr fontId="3" type="noConversion"/>
  </si>
  <si>
    <t>英雄塵歸海·巨冥灣：孫楚珊
挑戰冰火島·荒血路：康疑</t>
    <phoneticPr fontId="3" type="noConversion"/>
  </si>
  <si>
    <t>伐樗箭囊</t>
  </si>
  <si>
    <t>挑戰塵歸海·巨冥灣：孫楚珊</t>
    <phoneticPr fontId="3" type="noConversion"/>
  </si>
  <si>
    <t>重喬箭囊</t>
    <phoneticPr fontId="3" type="noConversion"/>
  </si>
  <si>
    <t>英雄敖龍島：鐵黎、陳徽</t>
    <phoneticPr fontId="3" type="noConversion"/>
  </si>
  <si>
    <t>燁陽晶石·暗器（加速）</t>
    <phoneticPr fontId="3" type="noConversion"/>
  </si>
  <si>
    <t>血覆黃泉</t>
    <phoneticPr fontId="44" type="noConversion"/>
  </si>
  <si>
    <t>幽冥窺月</t>
    <phoneticPr fontId="44" type="noConversion"/>
  </si>
  <si>
    <t>青山共我</t>
    <phoneticPr fontId="44" type="noConversion"/>
  </si>
  <si>
    <t>日月吳鉤</t>
    <phoneticPr fontId="44" type="noConversion"/>
  </si>
  <si>
    <t>寂洪荒</t>
    <phoneticPr fontId="44" type="noConversion"/>
  </si>
  <si>
    <t>亂天狼</t>
    <phoneticPr fontId="44" type="noConversion"/>
  </si>
  <si>
    <t>金戈回瀾</t>
    <phoneticPr fontId="44" type="noConversion"/>
  </si>
  <si>
    <t>星垂平野</t>
    <phoneticPr fontId="44" type="noConversion"/>
  </si>
  <si>
    <t>合計</t>
    <phoneticPr fontId="44" type="noConversion"/>
  </si>
  <si>
    <t>北闕3星</t>
    <phoneticPr fontId="44" type="noConversion"/>
  </si>
  <si>
    <t>北闕2星</t>
    <phoneticPr fontId="44" type="noConversion"/>
  </si>
  <si>
    <t>DPS</t>
    <phoneticPr fontId="44" type="noConversion"/>
  </si>
  <si>
    <t>效果</t>
    <phoneticPr fontId="3" type="noConversion"/>
  </si>
  <si>
    <t>單HIT山河</t>
    <phoneticPr fontId="2" type="noConversion"/>
  </si>
  <si>
    <t>單HIT風雷</t>
    <phoneticPr fontId="2" type="noConversion"/>
  </si>
  <si>
    <t>無徵逐山河</t>
    <phoneticPr fontId="2" type="noConversion"/>
  </si>
  <si>
    <t>無徵逐風雷</t>
    <phoneticPr fontId="2" type="noConversion"/>
  </si>
  <si>
    <t>無忘斷山河</t>
    <phoneticPr fontId="2" type="noConversion"/>
  </si>
  <si>
    <t>無忘斷風雷</t>
    <phoneticPr fontId="2" type="noConversion"/>
  </si>
  <si>
    <t>徵逐防禦減免</t>
    <phoneticPr fontId="2" type="noConversion"/>
  </si>
  <si>
    <t>無忘斷攻擊加成</t>
    <phoneticPr fontId="2" type="noConversion"/>
  </si>
  <si>
    <t>有忘斷攻擊加成</t>
    <phoneticPr fontId="2" type="noConversion"/>
  </si>
  <si>
    <t>無徵逐防禦減免</t>
    <phoneticPr fontId="2" type="noConversion"/>
  </si>
  <si>
    <t>無忘斷攻擊</t>
    <phoneticPr fontId="2" type="noConversion"/>
  </si>
  <si>
    <t>有忘斷攻擊</t>
    <phoneticPr fontId="2" type="noConversion"/>
  </si>
  <si>
    <t>啥都沒星垂1</t>
    <phoneticPr fontId="2" type="noConversion"/>
  </si>
  <si>
    <t>啥都沒星垂2</t>
    <phoneticPr fontId="2" type="noConversion"/>
  </si>
  <si>
    <t>啥都沒星垂3</t>
    <phoneticPr fontId="2" type="noConversion"/>
  </si>
  <si>
    <t>啥都沒收鏈</t>
    <phoneticPr fontId="2" type="noConversion"/>
  </si>
  <si>
    <t>滿幽冥窺月</t>
    <phoneticPr fontId="2" type="noConversion"/>
  </si>
  <si>
    <t>百節1寂</t>
    <phoneticPr fontId="2" type="noConversion"/>
  </si>
  <si>
    <t>百節2寂</t>
    <phoneticPr fontId="2" type="noConversion"/>
  </si>
  <si>
    <t>百節3寂</t>
    <phoneticPr fontId="2" type="noConversion"/>
  </si>
  <si>
    <t>百節0寂</t>
    <phoneticPr fontId="2" type="noConversion"/>
  </si>
  <si>
    <t>百節3斬</t>
    <phoneticPr fontId="2" type="noConversion"/>
  </si>
  <si>
    <t>百節0隱</t>
    <phoneticPr fontId="2" type="noConversion"/>
  </si>
  <si>
    <t>百節3隱</t>
    <phoneticPr fontId="2" type="noConversion"/>
  </si>
  <si>
    <t>單鏈隱</t>
    <phoneticPr fontId="2" type="noConversion"/>
  </si>
  <si>
    <t>沒卡距離隱</t>
    <phoneticPr fontId="2" type="noConversion"/>
  </si>
  <si>
    <t>參辰</t>
    <phoneticPr fontId="2" type="noConversion"/>
  </si>
  <si>
    <t>滿BUFF青山</t>
    <phoneticPr fontId="2" type="noConversion"/>
  </si>
  <si>
    <t>斬無常</t>
    <phoneticPr fontId="44" type="noConversion"/>
  </si>
  <si>
    <t>加速後時間</t>
    <phoneticPr fontId="3" type="noConversion"/>
  </si>
  <si>
    <t>0.5秒幀</t>
    <phoneticPr fontId="3" type="noConversion"/>
  </si>
  <si>
    <t>當前的0.5秒為幾幀</t>
    <phoneticPr fontId="3" type="noConversion"/>
  </si>
  <si>
    <t>星垂平野3</t>
    <phoneticPr fontId="44" type="noConversion"/>
  </si>
  <si>
    <t>星垂平野2</t>
    <phoneticPr fontId="44" type="noConversion"/>
  </si>
  <si>
    <t>寂洪荒4</t>
    <phoneticPr fontId="44" type="noConversion"/>
  </si>
  <si>
    <t>寂洪荒2</t>
    <phoneticPr fontId="44" type="noConversion"/>
  </si>
  <si>
    <t>寂洪荒3</t>
    <phoneticPr fontId="44" type="noConversion"/>
  </si>
  <si>
    <t>寂洪荒1</t>
    <phoneticPr fontId="44" type="noConversion"/>
  </si>
  <si>
    <t>循環耗時</t>
    <phoneticPr fontId="44" type="noConversion"/>
  </si>
  <si>
    <t>2鍵宏可解決</t>
    <phoneticPr fontId="44" type="noConversion"/>
  </si>
  <si>
    <t>2鍵宏+手動收鏈可解決</t>
    <phoneticPr fontId="44" type="noConversion"/>
  </si>
  <si>
    <t>最大加速幀</t>
    <phoneticPr fontId="3" type="noConversion"/>
  </si>
  <si>
    <t>最大加速秒</t>
    <phoneticPr fontId="3" type="noConversion"/>
  </si>
  <si>
    <t>內存值</t>
    <phoneticPr fontId="6" type="noConversion"/>
  </si>
  <si>
    <t>四段</t>
    <phoneticPr fontId="6" type="noConversion"/>
  </si>
  <si>
    <t>ms</t>
    <phoneticPr fontId="6" type="noConversion"/>
  </si>
  <si>
    <t>五段</t>
    <phoneticPr fontId="6" type="noConversion"/>
  </si>
  <si>
    <t>六段(滿)</t>
    <phoneticPr fontId="6" type="noConversion"/>
  </si>
  <si>
    <t>如果相鄰兩跳DOT間隔時間為a秒，DOT總持續時間為y秒，剩餘時間為x秒，那麼刷新該DOT時，DOT會被刷新至y-a+mod(x,a)秒。</t>
    <phoneticPr fontId="6" type="noConversion"/>
  </si>
  <si>
    <t>寂DOT</t>
    <phoneticPr fontId="2" type="noConversion"/>
  </si>
  <si>
    <t>無忘斷寂DOT</t>
    <phoneticPr fontId="2" type="noConversion"/>
  </si>
  <si>
    <t>DOT傷害</t>
    <phoneticPr fontId="44" type="noConversion"/>
  </si>
  <si>
    <t>隱風雷</t>
    <phoneticPr fontId="44" type="noConversion"/>
  </si>
  <si>
    <t>爆發</t>
    <phoneticPr fontId="44" type="noConversion"/>
  </si>
  <si>
    <t>10秒</t>
    <phoneticPr fontId="44" type="noConversion"/>
  </si>
  <si>
    <t>8.5秒</t>
    <phoneticPr fontId="44" type="noConversion"/>
  </si>
  <si>
    <t>11.5秒</t>
    <phoneticPr fontId="44" type="noConversion"/>
  </si>
  <si>
    <t>循環2</t>
    <phoneticPr fontId="44" type="noConversion"/>
  </si>
  <si>
    <t>循環1</t>
    <phoneticPr fontId="44" type="noConversion"/>
  </si>
  <si>
    <t>13秒</t>
    <phoneticPr fontId="44" type="noConversion"/>
  </si>
  <si>
    <t>20秒</t>
    <phoneticPr fontId="44" type="noConversion"/>
  </si>
  <si>
    <t>基本北闕</t>
    <phoneticPr fontId="2" type="noConversion"/>
  </si>
  <si>
    <t>DPS</t>
    <phoneticPr fontId="3" type="noConversion"/>
  </si>
  <si>
    <t>啥都沒金戈CD</t>
    <phoneticPr fontId="2" type="noConversion"/>
  </si>
  <si>
    <t>滿BUFF金戈CD</t>
    <phoneticPr fontId="2" type="noConversion"/>
  </si>
  <si>
    <t>無忘斷金戈CD</t>
    <phoneticPr fontId="2" type="noConversion"/>
  </si>
  <si>
    <t>金戈會心，亂天狼CD-2</t>
    <phoneticPr fontId="44" type="noConversion"/>
  </si>
  <si>
    <t>金戈CD，亂天狼會心</t>
    <phoneticPr fontId="44" type="noConversion"/>
  </si>
  <si>
    <t>參辰4寂</t>
    <phoneticPr fontId="44" type="noConversion"/>
  </si>
  <si>
    <t>參辰3寂</t>
    <phoneticPr fontId="44" type="noConversion"/>
  </si>
  <si>
    <t>參辰4寂</t>
    <phoneticPr fontId="2" type="noConversion"/>
  </si>
  <si>
    <t>滿BUFF金戈會心</t>
    <phoneticPr fontId="2" type="noConversion"/>
  </si>
  <si>
    <t>無忘斷金戈會心</t>
    <phoneticPr fontId="2" type="noConversion"/>
  </si>
  <si>
    <t>啥都沒金戈會心</t>
    <phoneticPr fontId="2" type="noConversion"/>
  </si>
  <si>
    <t>百節3亂CD-2</t>
    <phoneticPr fontId="2" type="noConversion"/>
  </si>
  <si>
    <t>百節2亂CD-2</t>
    <phoneticPr fontId="2" type="noConversion"/>
  </si>
  <si>
    <t>百節3亂會心</t>
    <phoneticPr fontId="2" type="noConversion"/>
  </si>
  <si>
    <t>攻擊頻率</t>
    <phoneticPr fontId="6" type="noConversion"/>
  </si>
  <si>
    <t>普攻次數</t>
    <phoneticPr fontId="44" type="noConversion"/>
  </si>
  <si>
    <t>普通攻擊</t>
    <phoneticPr fontId="2" type="noConversion"/>
  </si>
  <si>
    <t>普攻傷害</t>
    <phoneticPr fontId="44" type="noConversion"/>
  </si>
  <si>
    <t>循環時間</t>
    <phoneticPr fontId="44" type="noConversion"/>
  </si>
  <si>
    <t>5分鐘</t>
    <phoneticPr fontId="44" type="noConversion"/>
  </si>
  <si>
    <t>11次</t>
    <phoneticPr fontId="44" type="noConversion"/>
  </si>
  <si>
    <t>普攻次數</t>
    <phoneticPr fontId="44" type="noConversion"/>
  </si>
  <si>
    <t>普攻傷害</t>
    <phoneticPr fontId="44" type="noConversion"/>
  </si>
  <si>
    <t>循環時間</t>
    <phoneticPr fontId="44" type="noConversion"/>
  </si>
  <si>
    <t>百節</t>
    <phoneticPr fontId="2" type="noConversion"/>
  </si>
  <si>
    <t>3-百節</t>
    <phoneticPr fontId="2" type="noConversion"/>
  </si>
  <si>
    <t>*2</t>
    <phoneticPr fontId="2" type="noConversion"/>
  </si>
  <si>
    <t>*3</t>
    <phoneticPr fontId="2" type="noConversion"/>
  </si>
  <si>
    <t>配裝配秘笈用↑</t>
    <phoneticPr fontId="2" type="noConversion"/>
  </si>
  <si>
    <t>計算DPS用↓（自身BUFF固定）</t>
    <phoneticPr fontId="2" type="noConversion"/>
  </si>
  <si>
    <t>BUFF將會從＂傷害計算＂中提取</t>
    <phoneticPr fontId="44" type="noConversion"/>
  </si>
  <si>
    <t>破防攻擊會效</t>
    <phoneticPr fontId="6" type="noConversion"/>
  </si>
  <si>
    <t>五彩</t>
    <phoneticPr fontId="6" type="noConversion"/>
  </si>
  <si>
    <t>破防會效攻擊</t>
    <phoneticPr fontId="6" type="noConversion"/>
  </si>
  <si>
    <t>卡距離跟寂２亂容易失誤，敖龍老６專屬</t>
    <phoneticPr fontId="44" type="noConversion"/>
  </si>
  <si>
    <t>屬性</t>
    <phoneticPr fontId="6" type="noConversion"/>
  </si>
  <si>
    <t>會效&gt;攻擊&gt;無雙&gt;&gt;命中&gt;破防&gt;會心</t>
    <phoneticPr fontId="6" type="noConversion"/>
  </si>
  <si>
    <t>全身品質：</t>
    <phoneticPr fontId="44" type="noConversion"/>
  </si>
  <si>
    <t>畢業品質</t>
    <phoneticPr fontId="6" type="noConversion"/>
  </si>
  <si>
    <t>基破+會心</t>
    <phoneticPr fontId="6" type="noConversion"/>
  </si>
  <si>
    <t>劍純陣185</t>
    <phoneticPr fontId="6" type="noConversion"/>
  </si>
  <si>
    <t>凌曉綠竹劍·刀功</t>
    <phoneticPr fontId="3" type="noConversion"/>
  </si>
  <si>
    <t>破無</t>
    <phoneticPr fontId="3" type="noConversion"/>
  </si>
  <si>
    <t>冬至活動 囍*400</t>
    <phoneticPr fontId="3" type="noConversion"/>
  </si>
  <si>
    <t>凌曉御廚上衣·刀功</t>
    <phoneticPr fontId="3" type="noConversion"/>
  </si>
  <si>
    <t>冬至活動 囍*200</t>
    <phoneticPr fontId="3" type="noConversion"/>
  </si>
  <si>
    <t>凌曉御廚腰帶·刀功</t>
  </si>
  <si>
    <t>會命</t>
    <phoneticPr fontId="3" type="noConversion"/>
  </si>
  <si>
    <t>敖龍島 10人 任務</t>
    <phoneticPr fontId="3" type="noConversion"/>
  </si>
  <si>
    <t>無界項鍊（會命無）2820</t>
    <phoneticPr fontId="3" type="noConversion"/>
  </si>
  <si>
    <t>會命無精簡</t>
    <phoneticPr fontId="3" type="noConversion"/>
  </si>
  <si>
    <t>暗雨項飾</t>
  </si>
  <si>
    <t>重喬鏈</t>
  </si>
  <si>
    <t>DOT</t>
    <phoneticPr fontId="44" type="noConversion"/>
  </si>
  <si>
    <t>亂天狼</t>
    <phoneticPr fontId="44" type="noConversion"/>
  </si>
  <si>
    <t>8.5~9秒</t>
    <phoneticPr fontId="44" type="noConversion"/>
  </si>
  <si>
    <t>10~10.5秒</t>
    <phoneticPr fontId="44" type="noConversion"/>
  </si>
  <si>
    <t>11.5~12.5秒</t>
    <phoneticPr fontId="44" type="noConversion"/>
  </si>
  <si>
    <t>青山共我</t>
    <phoneticPr fontId="44" type="noConversion"/>
  </si>
  <si>
    <t>星垂平野</t>
    <phoneticPr fontId="44" type="noConversion"/>
  </si>
  <si>
    <t>幽冥窺月</t>
    <phoneticPr fontId="44" type="noConversion"/>
  </si>
  <si>
    <t>隱風雷</t>
    <phoneticPr fontId="44" type="noConversion"/>
  </si>
  <si>
    <t>合計</t>
    <phoneticPr fontId="44" type="noConversion"/>
  </si>
  <si>
    <t>普攻次數</t>
    <phoneticPr fontId="44" type="noConversion"/>
  </si>
  <si>
    <t>DPS</t>
    <phoneticPr fontId="44" type="noConversion"/>
  </si>
  <si>
    <t>時間</t>
    <phoneticPr fontId="44" type="noConversion"/>
  </si>
  <si>
    <t>金戈雙CD，亂天狼雙CD</t>
    <phoneticPr fontId="44" type="noConversion"/>
  </si>
  <si>
    <t>DOT</t>
    <phoneticPr fontId="44" type="noConversion"/>
  </si>
  <si>
    <t>循環算法</t>
    <phoneticPr fontId="44" type="noConversion"/>
  </si>
  <si>
    <t>輸入會效：</t>
    <phoneticPr fontId="44" type="noConversion"/>
  </si>
  <si>
    <t>裝備會效</t>
    <phoneticPr fontId="44" type="noConversion"/>
  </si>
  <si>
    <t>↑編輯往右→</t>
    <phoneticPr fontId="44" type="noConversion"/>
  </si>
  <si>
    <t>金戈會心，亂天狼雙CD</t>
    <phoneticPr fontId="44" type="noConversion"/>
  </si>
  <si>
    <t>百節3亂CD-3</t>
    <phoneticPr fontId="2" type="noConversion"/>
  </si>
  <si>
    <t>雙金戈北闕</t>
    <phoneticPr fontId="44" type="noConversion"/>
  </si>
  <si>
    <t>打斷，收鏈不夠快就會亂循環</t>
    <phoneticPr fontId="44" type="noConversion"/>
  </si>
  <si>
    <t>參辰3寂打斷</t>
    <phoneticPr fontId="2" type="noConversion"/>
  </si>
  <si>
    <t>時間越長打越高，移動BOSS容易失誤</t>
    <phoneticPr fontId="44" type="noConversion"/>
  </si>
  <si>
    <t>選擇「依據配裝器」時會採用個人配裝會效與身法計算</t>
    <phoneticPr fontId="44" type="noConversion"/>
  </si>
  <si>
    <t>遷陘護腕</t>
    <phoneticPr fontId="2" type="noConversion"/>
  </si>
  <si>
    <t>DPS</t>
    <phoneticPr fontId="2" type="noConversion"/>
  </si>
  <si>
    <t>遷陘護腕+會無戒+破命戒囊+2600會命褲</t>
    <phoneticPr fontId="2" type="noConversion"/>
  </si>
  <si>
    <t>遷陘護腕+會無戒+2600破命戒褲囊</t>
    <phoneticPr fontId="2" type="noConversion"/>
  </si>
  <si>
    <t>遷陘護腕+會無戒+破命戒囊+2900會命精簡褲(問秋褲)</t>
    <phoneticPr fontId="2" type="noConversion"/>
  </si>
  <si>
    <t>遷陘護腕+2900會效戒+破命戒囊+2900會命精簡褲(問秋褲)</t>
    <phoneticPr fontId="2" type="noConversion"/>
  </si>
  <si>
    <t>無雙命中滿時的最佳破會比</t>
    <phoneticPr fontId="44" type="noConversion"/>
  </si>
  <si>
    <t>遷陘護腕+會無戒+破命戒囊+2900破命褲</t>
    <phoneticPr fontId="2" type="noConversion"/>
  </si>
  <si>
    <t>2600破無手+會無戒+2600破命褲</t>
    <phoneticPr fontId="2" type="noConversion"/>
  </si>
  <si>
    <t>田螺陣</t>
    <phoneticPr fontId="3" type="noConversion"/>
  </si>
  <si>
    <t>田螺耗能時</t>
    <phoneticPr fontId="3" type="noConversion"/>
  </si>
  <si>
    <t>彈飛敵方彈道1個技能後，使自身下一個斷水刃招式傷害提高20%，最多疊加5層。</t>
    <phoneticPr fontId="2" type="noConversion"/>
  </si>
  <si>
    <t>傲血戰意 - 東方邡</t>
    <phoneticPr fontId="2" type="noConversion"/>
  </si>
  <si>
    <t>曉天．點殷衣</t>
  </si>
  <si>
    <t>曉天·點殷靴</t>
  </si>
  <si>
    <t>珍·鴛鴦雞</t>
    <phoneticPr fontId="3" type="noConversion"/>
  </si>
  <si>
    <t>內外攻擊+30%(20s)</t>
    <phoneticPr fontId="2" type="noConversion"/>
  </si>
  <si>
    <t>內外攻擊+20%(8s)</t>
    <phoneticPr fontId="2" type="noConversion"/>
  </si>
  <si>
    <t>內外攻+20%(15s)</t>
    <phoneticPr fontId="2" type="noConversion"/>
  </si>
  <si>
    <t>外攻+30%(12s)</t>
    <phoneticPr fontId="2" type="noConversion"/>
  </si>
  <si>
    <r>
      <t>外攻20%破防20</t>
    </r>
    <r>
      <rPr>
        <b/>
        <sz val="12"/>
        <color indexed="8"/>
        <rFont val="王漢宗特黑體繁"/>
        <family val="3"/>
        <charset val="136"/>
      </rPr>
      <t>%</t>
    </r>
    <r>
      <rPr>
        <b/>
        <sz val="12"/>
        <color theme="1"/>
        <rFont val="王漢宗特黑體繁"/>
        <family val="3"/>
        <charset val="136"/>
      </rPr>
      <t>(6s)</t>
    </r>
    <phoneticPr fontId="2" type="noConversion"/>
  </si>
  <si>
    <t>周慎</t>
    <phoneticPr fontId="3" type="noConversion"/>
  </si>
  <si>
    <t>捨身弘法</t>
    <phoneticPr fontId="3" type="noConversion"/>
  </si>
  <si>
    <t>朝聖言</t>
    <phoneticPr fontId="3" type="noConversion"/>
  </si>
  <si>
    <t>大橙武</t>
    <phoneticPr fontId="3" type="noConversion"/>
  </si>
  <si>
    <t>臨淵(2240)</t>
    <phoneticPr fontId="3" type="noConversion"/>
  </si>
  <si>
    <t>臨淵(2350)</t>
    <phoneticPr fontId="3" type="noConversion"/>
  </si>
  <si>
    <t>臨淵(2130)</t>
    <phoneticPr fontId="3" type="noConversion"/>
  </si>
  <si>
    <t>臨淵(2040)</t>
    <phoneticPr fontId="3" type="noConversion"/>
  </si>
  <si>
    <t>臨淵(1950)</t>
    <phoneticPr fontId="3" type="noConversion"/>
  </si>
  <si>
    <t>文葬(1980)</t>
    <phoneticPr fontId="3" type="noConversion"/>
  </si>
  <si>
    <t>文葬(2120)</t>
    <phoneticPr fontId="3" type="noConversion"/>
  </si>
  <si>
    <t>文葬(2260)</t>
    <phoneticPr fontId="3" type="noConversion"/>
  </si>
  <si>
    <t>寂洪荒會心+5%</t>
    <phoneticPr fontId="3" type="noConversion"/>
  </si>
  <si>
    <t>夜渡遼</t>
    <phoneticPr fontId="3" type="noConversion"/>
  </si>
  <si>
    <t>破命</t>
    <phoneticPr fontId="3" type="noConversion"/>
  </si>
  <si>
    <t>龍門飛劍</t>
    <phoneticPr fontId="3" type="noConversion"/>
  </si>
  <si>
    <t>獲得隨時間增長的風沙護盾效果，5秒後達到最大吸收量。護盾結束後或再次使用武器將對前方矩形範圍內目標造成傷害（傷害值取決於風沙護盾吸收的傷害），同時擊飛範圍內的非玩家目標。</t>
    <phoneticPr fontId="3" type="noConversion"/>
  </si>
  <si>
    <t>破無水特</t>
    <phoneticPr fontId="3" type="noConversion"/>
  </si>
  <si>
    <t>使用後獲得風‧斬鐵(外功破防提高1831)效果，持續15秒，CD3分鐘。不可與該類其他氣勁並存。</t>
    <phoneticPr fontId="3" type="noConversion"/>
  </si>
  <si>
    <t>命中後有一定機率獲得雷·銳刃(外功攻擊提高395 / 全會心等級提高378)效果，持續15秒，內置CD1分鐘。不可與該類其他氣勁並存。</t>
    <phoneticPr fontId="3" type="noConversion"/>
  </si>
  <si>
    <t>命中後獲得水·斬流(外功攻擊提高20)效果，可疊加10層。不可與該類其他氣勁並存。</t>
    <phoneticPr fontId="3" type="noConversion"/>
  </si>
  <si>
    <t>水斬流</t>
    <phoneticPr fontId="3" type="noConversion"/>
  </si>
  <si>
    <t>風斬鐵</t>
    <phoneticPr fontId="3" type="noConversion"/>
  </si>
  <si>
    <t>雷銳刃</t>
    <phoneticPr fontId="3" type="noConversion"/>
  </si>
  <si>
    <t>涵蓋率</t>
    <phoneticPr fontId="3" type="noConversion"/>
  </si>
  <si>
    <t>橙武特效</t>
    <phoneticPr fontId="3" type="noConversion"/>
  </si>
  <si>
    <t>觸發率</t>
    <phoneticPr fontId="3" type="noConversion"/>
  </si>
  <si>
    <t>星垂平野傷害+5%，寂洪荒傷害+5%，特效觸發後寂洪荒、金戈回瀾6秒內無調息時間，內置30秒CD</t>
    <phoneticPr fontId="3" type="noConversion"/>
  </si>
  <si>
    <t>技能次數</t>
    <phoneticPr fontId="44" type="noConversion"/>
  </si>
  <si>
    <t>內置CD</t>
    <phoneticPr fontId="3" type="noConversion"/>
  </si>
  <si>
    <t>策陣憾如雷</t>
    <phoneticPr fontId="3" type="noConversion"/>
  </si>
  <si>
    <t>每秒次數(技能)</t>
    <phoneticPr fontId="44" type="noConversion"/>
  </si>
  <si>
    <t>每秒次數(含普)</t>
    <phoneticPr fontId="44" type="noConversion"/>
  </si>
  <si>
    <t>依據配裝器</t>
  </si>
  <si>
    <t>勾選後</t>
    <phoneticPr fontId="2" type="noConversion"/>
  </si>
  <si>
    <t>↓↓↓</t>
    <phoneticPr fontId="2" type="noConversion"/>
  </si>
  <si>
    <t>小橙武(2260)</t>
    <phoneticPr fontId="3" type="noConversion"/>
  </si>
  <si>
    <t>單技能模式</t>
    <phoneticPr fontId="3" type="noConversion"/>
  </si>
  <si>
    <t>套用涵蓋率</t>
    <phoneticPr fontId="3" type="noConversion"/>
  </si>
  <si>
    <t>單技能傷害</t>
    <phoneticPr fontId="2" type="noConversion"/>
  </si>
  <si>
    <t>只顯示</t>
    <phoneticPr fontId="2" type="noConversion"/>
  </si>
  <si>
    <t>想看DPS</t>
    <phoneticPr fontId="2" type="noConversion"/>
  </si>
  <si>
    <t>請保持未勾</t>
    <phoneticPr fontId="2" type="noConversion"/>
  </si>
  <si>
    <t>金戈增傷</t>
    <phoneticPr fontId="3" type="noConversion"/>
  </si>
  <si>
    <t>寂洪荒增傷</t>
    <phoneticPr fontId="3" type="noConversion"/>
  </si>
  <si>
    <t>寂洪荒會心</t>
    <phoneticPr fontId="3" type="noConversion"/>
  </si>
  <si>
    <t>文葬(2420)</t>
    <phoneticPr fontId="3" type="noConversion"/>
  </si>
  <si>
    <t>曉天．點殷腰帶</t>
  </si>
  <si>
    <t>曉天．點殷冠</t>
  </si>
  <si>
    <t>會無雷特</t>
    <phoneticPr fontId="3" type="noConversion"/>
  </si>
  <si>
    <t>破無風特</t>
    <phoneticPr fontId="3" type="noConversion"/>
  </si>
  <si>
    <t>會無風特</t>
    <phoneticPr fontId="3" type="noConversion"/>
  </si>
  <si>
    <t>命中後有一定機率獲得雷·銳刃(外功攻擊提高395 / 全會心等級提高378)效果，持續15秒，內置CD1分鐘。不可與該類其他氣勁並存。</t>
    <phoneticPr fontId="2" type="noConversion"/>
  </si>
  <si>
    <t>使用後獲得風‧斬鐵(外功破防提高1831)效果，持續15秒，CD3分鐘。不可與該類其他氣勁並存。</t>
    <phoneticPr fontId="2" type="noConversion"/>
  </si>
  <si>
    <t>飛景褲</t>
  </si>
  <si>
    <t>重喬墜</t>
  </si>
  <si>
    <t>小橙武1</t>
    <phoneticPr fontId="3" type="noConversion"/>
  </si>
  <si>
    <t>小橙武2</t>
    <phoneticPr fontId="3" type="noConversion"/>
  </si>
  <si>
    <t>吃</t>
    <phoneticPr fontId="2" type="noConversion"/>
  </si>
  <si>
    <t>除捨身外</t>
    <phoneticPr fontId="2" type="noConversion"/>
  </si>
  <si>
    <t>雙會手.雙會戒指.身法純破褲.破命腰.會無暗器戒指.小CW1980.雙會附魔</t>
    <phoneticPr fontId="2" type="noConversion"/>
  </si>
  <si>
    <t>會無手.會無+破命戒.身法純破褲.破命腰.會無暗器.小CW1980.雙會附魔</t>
    <phoneticPr fontId="2" type="noConversion"/>
  </si>
  <si>
    <t>會無手.會無+破命戒.身法純破褲.破命腰.會無暗器.小CW2420.雙會附魔</t>
    <phoneticPr fontId="2" type="noConversion"/>
  </si>
  <si>
    <t>會無手.會無+破命戒.精簡純破褲.破命腰.會無暗器.小CW2420.雙會附魔</t>
    <phoneticPr fontId="2" type="noConversion"/>
  </si>
  <si>
    <t>會無手.會無+破命戒.精簡純破褲.特腰.會無暗器.小CW2420.雙會附魔</t>
    <phoneticPr fontId="2" type="noConversion"/>
  </si>
  <si>
    <t>雙會手.會無+破命戒.精簡純破褲.特腰.會無暗器.小CW2420.雙會附魔</t>
    <phoneticPr fontId="2" type="noConversion"/>
  </si>
  <si>
    <t>雙會手.雙會+會無戒指.身法純破褲.特腰.會無暗器.小CW2420.雙會附魔</t>
    <phoneticPr fontId="2" type="noConversion"/>
  </si>
  <si>
    <t>雙會手.雙會+會無戒指.身法純破褲.特腰.會無暗器.小CW1980.雙會附魔</t>
    <phoneticPr fontId="2" type="noConversion"/>
  </si>
  <si>
    <t>絕垠</t>
    <phoneticPr fontId="2" type="noConversion"/>
  </si>
  <si>
    <t>雙會手.會無+雙會戒.精簡純破褲.特腰.會無暗器.小CW2420.雙會附魔</t>
    <phoneticPr fontId="2" type="noConversion"/>
  </si>
  <si>
    <t>無骨褲/飛景褲</t>
    <phoneticPr fontId="2" type="noConversion"/>
  </si>
  <si>
    <t>5W/40W</t>
    <phoneticPr fontId="2" type="noConversion"/>
  </si>
  <si>
    <t>50W</t>
    <phoneticPr fontId="2" type="noConversion"/>
  </si>
  <si>
    <t>20W</t>
    <phoneticPr fontId="2" type="noConversion"/>
  </si>
  <si>
    <t>文葬</t>
    <phoneticPr fontId="2" type="noConversion"/>
  </si>
  <si>
    <t>小橙武(44天=2900)</t>
    <phoneticPr fontId="3" type="noConversion"/>
  </si>
  <si>
    <t>小橙武(83天&gt;2900)</t>
    <phoneticPr fontId="3" type="noConversion"/>
  </si>
  <si>
    <t>2/3 任務</t>
    <phoneticPr fontId="2" type="noConversion"/>
  </si>
  <si>
    <t>2/7 獲得(1700≒2300)</t>
    <phoneticPr fontId="2" type="noConversion"/>
  </si>
  <si>
    <t>2/23 升級(1840≒2600)</t>
    <phoneticPr fontId="2" type="noConversion"/>
  </si>
  <si>
    <t>3/18 升級(1980≒2900)</t>
    <phoneticPr fontId="2" type="noConversion"/>
  </si>
  <si>
    <t>4/26 升級(2120&gt;2900)</t>
    <phoneticPr fontId="2" type="noConversion"/>
  </si>
  <si>
    <t>6/20 升級(2260&gt;3200)</t>
    <phoneticPr fontId="2" type="noConversion"/>
  </si>
  <si>
    <t>文葬(1840)</t>
    <phoneticPr fontId="3" type="noConversion"/>
  </si>
  <si>
    <t>文葬(1700)</t>
    <phoneticPr fontId="3" type="noConversion"/>
  </si>
  <si>
    <t>小橙武(20天=2600)</t>
    <phoneticPr fontId="3" type="noConversion"/>
  </si>
  <si>
    <t>小橙武(4天=2300)</t>
    <phoneticPr fontId="3" type="noConversion"/>
  </si>
  <si>
    <t>小橙武(138天&gt;3200)</t>
    <phoneticPr fontId="3" type="noConversion"/>
  </si>
  <si>
    <t>小橙武(209天&gt;3500)</t>
    <phoneticPr fontId="3" type="noConversion"/>
  </si>
  <si>
    <t>橙武升級(英雄敖龍島)</t>
    <phoneticPr fontId="3" type="noConversion"/>
  </si>
  <si>
    <t>橙武升級(挑戰饕餮洞)</t>
    <phoneticPr fontId="3" type="noConversion"/>
  </si>
  <si>
    <t>橙武製作(歸墟玄晶+蜃海隕鐵*200)</t>
    <phoneticPr fontId="3" type="noConversion"/>
  </si>
  <si>
    <t>橙武升級(挑戰巨冥灣)</t>
    <phoneticPr fontId="3" type="noConversion"/>
  </si>
  <si>
    <t>橙武升級(普通敖龍島)</t>
    <phoneticPr fontId="3" type="noConversion"/>
  </si>
  <si>
    <t>秋霽</t>
    <phoneticPr fontId="3" type="noConversion"/>
  </si>
  <si>
    <t>對非俠士目標+20%傷害</t>
    <phoneticPr fontId="2" type="noConversion"/>
  </si>
  <si>
    <t>非俠士目標</t>
    <phoneticPr fontId="3" type="noConversion"/>
  </si>
  <si>
    <t>對非俠士目標+20%傷害</t>
    <phoneticPr fontId="2" type="noConversion"/>
  </si>
  <si>
    <t>無</t>
  </si>
  <si>
    <t>無宴席</t>
  </si>
  <si>
    <t>無</t>
    <phoneticPr fontId="3" type="noConversion"/>
  </si>
  <si>
    <t>打怪增傷</t>
    <phoneticPr fontId="3" type="noConversion"/>
  </si>
  <si>
    <t>宮行江湖·逐風冠</t>
    <phoneticPr fontId="3" type="noConversion"/>
  </si>
  <si>
    <t>會命</t>
    <phoneticPr fontId="3" type="noConversion"/>
  </si>
  <si>
    <t>浪客箋*15400</t>
    <phoneticPr fontId="3" type="noConversion"/>
  </si>
  <si>
    <t>宮行江湖·逐風下裳</t>
    <phoneticPr fontId="3" type="noConversion"/>
  </si>
  <si>
    <t>破無</t>
    <phoneticPr fontId="3" type="noConversion"/>
  </si>
  <si>
    <t>浪客箋*17100</t>
    <phoneticPr fontId="3" type="noConversion"/>
  </si>
  <si>
    <t>宮行江湖·逐風護手</t>
    <phoneticPr fontId="3" type="noConversion"/>
  </si>
  <si>
    <t>破命</t>
    <phoneticPr fontId="3" type="noConversion"/>
  </si>
  <si>
    <t>浪客箋*11900</t>
    <phoneticPr fontId="3" type="noConversion"/>
  </si>
  <si>
    <r>
      <t>宮行江湖·</t>
    </r>
    <r>
      <rPr>
        <sz val="12"/>
        <rFont val="Microsoft JhengHei UI"/>
        <family val="3"/>
        <charset val="136"/>
      </rPr>
      <t>逐風戒</t>
    </r>
    <phoneticPr fontId="3" type="noConversion"/>
  </si>
  <si>
    <t>浪客箋*8500</t>
    <phoneticPr fontId="3" type="noConversion"/>
  </si>
  <si>
    <t>無視目標20%外防(10s)</t>
    <phoneticPr fontId="2" type="noConversion"/>
  </si>
  <si>
    <t>墟落護頸(4)</t>
  </si>
  <si>
    <t>宮行江湖·逐風戒</t>
  </si>
  <si>
    <t>文葬(2420)</t>
  </si>
  <si>
    <t>息偃囊</t>
  </si>
  <si>
    <t>蒸魚菜盤</t>
  </si>
  <si>
    <t>霽月．衣．染（無雙）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</si>
</sst>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76" formatCode="0.0000"/>
    <numFmt numFmtId="177" formatCode="0.00_ "/>
    <numFmt numFmtId="178" formatCode="0_ "/>
    <numFmt numFmtId="179" formatCode="0.00_);[Red]\(0.00\)"/>
    <numFmt numFmtId="180" formatCode="0_);[Red]\(0\)"/>
    <numFmt numFmtId="181" formatCode="#,##0_);[Red]\(#,##0\)"/>
    <numFmt numFmtId="182" formatCode="#,##0.00_);[Red]\(#,##0.00\)"/>
    <numFmt numFmtId="183" formatCode="0.0_ "/>
    <numFmt numFmtId="184" formatCode="#,##0_ "/>
    <numFmt numFmtId="185" formatCode="0.0000_ "/>
    <numFmt numFmtId="186" formatCode="_-* #,##0_-;\-* #,##0_-;_-* &quot;-&quot;??_-;_-@_-"/>
    <numFmt numFmtId="187" formatCode="0.000%"/>
    <numFmt numFmtId="188" formatCode="0.0_);[Red]\(0.0\)"/>
    <numFmt numFmtId="189" formatCode="0.000"/>
  </numFmts>
  <fonts count="5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王漢宗特黑體繁"/>
      <family val="3"/>
      <charset val="136"/>
    </font>
    <font>
      <sz val="12"/>
      <name val="蒙纳盈富体"/>
      <family val="3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name val="王漢宗特黑體繁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b/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sz val="12"/>
      <name val="蒙纳盈富体"/>
      <family val="3"/>
      <charset val="136"/>
    </font>
    <font>
      <b/>
      <sz val="12"/>
      <color indexed="8"/>
      <name val="王漢宗特黑體繁"/>
      <family val="3"/>
      <charset val="136"/>
    </font>
    <font>
      <sz val="12"/>
      <name val="蒙纳盈富体"/>
      <family val="3"/>
      <charset val="136"/>
    </font>
    <font>
      <sz val="12"/>
      <name val="王漢宗特黑體繁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王漢宗特黑體繁"/>
      <family val="3"/>
      <charset val="136"/>
    </font>
    <font>
      <sz val="12"/>
      <color theme="1"/>
      <name val="王漢宗特黑體繁"/>
      <family val="3"/>
      <charset val="136"/>
    </font>
    <font>
      <sz val="12"/>
      <color theme="1"/>
      <name val="蒙纳盈富体"/>
      <family val="3"/>
      <charset val="136"/>
    </font>
    <font>
      <b/>
      <sz val="12"/>
      <color theme="1"/>
      <name val="蒙纳盈富体"/>
      <family val="3"/>
      <charset val="136"/>
    </font>
    <font>
      <sz val="12"/>
      <color rgb="FFFF0000"/>
      <name val="蒙纳盈富体"/>
      <family val="3"/>
      <charset val="136"/>
    </font>
    <font>
      <sz val="12"/>
      <color rgb="FFFF0000"/>
      <name val="王漢宗特黑體繁"/>
      <family val="3"/>
      <charset val="136"/>
    </font>
    <font>
      <i/>
      <sz val="12"/>
      <color theme="1"/>
      <name val="王漢宗特黑體繁"/>
      <family val="3"/>
      <charset val="136"/>
    </font>
    <font>
      <sz val="12"/>
      <color theme="1" tint="4.9989318521683403E-2"/>
      <name val="王漢宗特黑體繁"/>
      <family val="3"/>
      <charset val="136"/>
    </font>
    <font>
      <sz val="12"/>
      <color rgb="FF7030A0"/>
      <name val="蒙纳盈富体"/>
      <family val="3"/>
      <charset val="136"/>
    </font>
    <font>
      <sz val="12"/>
      <color theme="7" tint="-0.249977111117893"/>
      <name val="蒙纳盈富体"/>
      <family val="3"/>
      <charset val="136"/>
    </font>
    <font>
      <sz val="12"/>
      <color theme="9"/>
      <name val="蒙纳盈富体"/>
      <family val="3"/>
      <charset val="136"/>
    </font>
    <font>
      <b/>
      <sz val="12"/>
      <color theme="0"/>
      <name val="蒙纳盈富体"/>
      <family val="3"/>
      <charset val="136"/>
    </font>
    <font>
      <sz val="12"/>
      <color theme="4" tint="-0.249977111117893"/>
      <name val="蒙纳盈富体"/>
      <family val="3"/>
      <charset val="136"/>
    </font>
    <font>
      <sz val="12"/>
      <color theme="5"/>
      <name val="蒙纳盈富体"/>
      <family val="3"/>
      <charset val="136"/>
    </font>
    <font>
      <sz val="12"/>
      <color theme="0"/>
      <name val="蒙纳盈富体"/>
      <family val="3"/>
      <charset val="136"/>
    </font>
    <font>
      <sz val="12"/>
      <color theme="0"/>
      <name val="王漢宗特黑體繁"/>
      <family val="3"/>
      <charset val="136"/>
    </font>
    <font>
      <sz val="12"/>
      <color theme="3" tint="0.79998168889431442"/>
      <name val="王漢宗特黑體繁"/>
      <family val="3"/>
      <charset val="136"/>
    </font>
    <font>
      <sz val="12"/>
      <color theme="7" tint="0.59999389629810485"/>
      <name val="王漢宗特黑體繁"/>
      <family val="3"/>
      <charset val="136"/>
    </font>
    <font>
      <b/>
      <sz val="12"/>
      <color theme="4" tint="0.79998168889431442"/>
      <name val="王漢宗特黑體繁"/>
      <family val="3"/>
      <charset val="136"/>
    </font>
    <font>
      <sz val="9"/>
      <name val="新細明體"/>
      <family val="1"/>
      <charset val="136"/>
      <scheme val="minor"/>
    </font>
    <font>
      <sz val="9"/>
      <color rgb="FF000000"/>
      <name val="Microsoft JhengHei UI"/>
      <family val="2"/>
      <charset val="136"/>
    </font>
    <font>
      <b/>
      <sz val="12"/>
      <color theme="0"/>
      <name val="王漢宗特黑體繁"/>
      <family val="3"/>
      <charset val="136"/>
    </font>
    <font>
      <i/>
      <sz val="12"/>
      <name val="王漢宗特黑體繁"/>
      <family val="3"/>
      <charset val="136"/>
    </font>
    <font>
      <sz val="12"/>
      <color theme="1"/>
      <name val="Microsoft JhengHei"/>
      <family val="3"/>
      <charset val="136"/>
    </font>
    <font>
      <sz val="12"/>
      <color theme="0"/>
      <name val="HanWangHeiHeavy"/>
      <family val="3"/>
      <charset val="136"/>
    </font>
    <font>
      <sz val="12"/>
      <color theme="1"/>
      <name val="HanWangHeiHeavy"/>
      <family val="3"/>
      <charset val="136"/>
    </font>
    <font>
      <sz val="12"/>
      <color theme="0"/>
      <name val="王漢宗特黑體繁"/>
      <family val="3"/>
      <charset val="136"/>
    </font>
    <font>
      <sz val="12"/>
      <color theme="1"/>
      <name val="HanWangHeiHeavy"/>
      <family val="3"/>
    </font>
    <font>
      <sz val="12"/>
      <name val="蒙纳盈富体"/>
      <family val="1"/>
      <charset val="136"/>
    </font>
    <font>
      <sz val="12"/>
      <color rgb="FFC00000"/>
      <name val="蒙纳盈富体"/>
      <family val="3"/>
      <charset val="136"/>
    </font>
    <font>
      <sz val="12"/>
      <color rgb="FFFFC000"/>
      <name val="蒙纳盈富体"/>
      <family val="3"/>
      <charset val="136"/>
    </font>
    <font>
      <sz val="12"/>
      <color theme="8" tint="-0.499984740745262"/>
      <name val="蒙纳盈富体"/>
      <family val="3"/>
      <charset val="136"/>
    </font>
    <font>
      <sz val="12"/>
      <name val="Microsoft JhengHei UI"/>
      <family val="3"/>
      <charset val="136"/>
    </font>
  </fonts>
  <fills count="5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EC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7B7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AC6C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7D9CE"/>
        <bgColor indexed="64"/>
      </patternFill>
    </fill>
    <fill>
      <patternFill patternType="solid">
        <fgColor rgb="FFC3EBC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1B9B9"/>
        <bgColor indexed="64"/>
      </patternFill>
    </fill>
    <fill>
      <patternFill patternType="solid">
        <fgColor rgb="FFEFE6F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23838"/>
        <bgColor indexed="64"/>
      </patternFill>
    </fill>
    <fill>
      <patternFill patternType="solid">
        <fgColor rgb="FFCB6767"/>
        <bgColor indexed="64"/>
      </patternFill>
    </fill>
    <fill>
      <patternFill patternType="solid">
        <fgColor rgb="FFDC9898"/>
        <bgColor indexed="64"/>
      </patternFill>
    </fill>
    <fill>
      <patternFill patternType="solid">
        <fgColor rgb="FFE5BDB1"/>
        <bgColor indexed="64"/>
      </patternFill>
    </fill>
    <fill>
      <patternFill patternType="solid">
        <fgColor rgb="FF8C3030"/>
        <bgColor indexed="64"/>
      </patternFill>
    </fill>
    <fill>
      <patternFill patternType="solid">
        <fgColor rgb="FFF0D9C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4E4E"/>
        <bgColor indexed="64"/>
      </patternFill>
    </fill>
    <fill>
      <patternFill patternType="solid">
        <fgColor rgb="FFFED8CE"/>
        <bgColor indexed="64"/>
      </patternFill>
    </fill>
    <fill>
      <patternFill patternType="solid">
        <fgColor rgb="FF8A1414"/>
        <bgColor indexed="64"/>
      </patternFill>
    </fill>
    <fill>
      <patternFill patternType="solid">
        <fgColor rgb="FFF5BEB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rgb="FF9A1E1E"/>
      </left>
      <right style="thin">
        <color rgb="FF9A1E1E"/>
      </right>
      <top style="thin">
        <color rgb="FF9A1E1E"/>
      </top>
      <bottom style="thin">
        <color rgb="FF9A1E1E"/>
      </bottom>
      <diagonal/>
    </border>
    <border>
      <left style="thin">
        <color rgb="FF9A1E1E"/>
      </left>
      <right style="thin">
        <color rgb="FF9A1E1E"/>
      </right>
      <top style="thin">
        <color rgb="FF9A1E1E"/>
      </top>
      <bottom/>
      <diagonal/>
    </border>
    <border>
      <left style="thin">
        <color rgb="FFE57B7B"/>
      </left>
      <right style="thin">
        <color rgb="FFE57B7B"/>
      </right>
      <top style="thin">
        <color rgb="FFE57B7B"/>
      </top>
      <bottom style="thin">
        <color rgb="FFE57B7B"/>
      </bottom>
      <diagonal/>
    </border>
    <border>
      <left style="double">
        <color indexed="64"/>
      </left>
      <right style="double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double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9" tint="0.79998168889431442"/>
      </top>
      <bottom style="medium">
        <color indexed="64"/>
      </bottom>
      <diagonal/>
    </border>
    <border>
      <left style="medium">
        <color theme="1"/>
      </left>
      <right/>
      <top style="medium">
        <color theme="9" tint="0.79998168889431442"/>
      </top>
      <bottom style="medium">
        <color theme="9" tint="0.79998168889431442"/>
      </bottom>
      <diagonal/>
    </border>
    <border>
      <left style="medium">
        <color theme="1"/>
      </left>
      <right/>
      <top style="medium">
        <color theme="9" tint="0.79998168889431442"/>
      </top>
      <bottom/>
      <diagonal/>
    </border>
    <border>
      <left style="medium">
        <color theme="1"/>
      </left>
      <right/>
      <top style="medium">
        <color theme="9" tint="0.79998168889431442"/>
      </top>
      <bottom style="medium">
        <color theme="1"/>
      </bottom>
      <diagonal/>
    </border>
    <border>
      <left/>
      <right style="medium">
        <color theme="1"/>
      </right>
      <top style="medium">
        <color theme="9" tint="0.79998168889431442"/>
      </top>
      <bottom/>
      <diagonal/>
    </border>
    <border>
      <left/>
      <right style="medium">
        <color theme="1"/>
      </right>
      <top style="medium">
        <color theme="9" tint="0.79998168889431442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theme="9" tint="0.79998168889431442"/>
      </bottom>
      <diagonal/>
    </border>
    <border>
      <left/>
      <right style="medium">
        <color theme="1"/>
      </right>
      <top style="medium">
        <color theme="9" tint="0.79998168889431442"/>
      </top>
      <bottom style="medium">
        <color theme="9" tint="0.79998168889431442"/>
      </bottom>
      <diagonal/>
    </border>
    <border>
      <left style="medium">
        <color theme="1"/>
      </left>
      <right/>
      <top style="medium">
        <color theme="9" tint="0.79998168889431442"/>
      </top>
      <bottom style="thin">
        <color theme="0"/>
      </bottom>
      <diagonal/>
    </border>
    <border>
      <left/>
      <right style="medium">
        <color theme="1"/>
      </right>
      <top style="medium">
        <color theme="9" tint="0.79998168889431442"/>
      </top>
      <bottom style="thin">
        <color theme="0"/>
      </bottom>
      <diagonal/>
    </border>
    <border>
      <left style="medium">
        <color theme="1"/>
      </left>
      <right/>
      <top/>
      <bottom style="medium">
        <color theme="9" tint="0.79998168889431442"/>
      </bottom>
      <diagonal/>
    </border>
    <border>
      <left style="medium">
        <color theme="1"/>
      </left>
      <right/>
      <top style="medium">
        <color indexed="64"/>
      </top>
      <bottom style="medium">
        <color theme="9" tint="0.79998168889431442"/>
      </bottom>
      <diagonal/>
    </border>
    <border>
      <left/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medium">
        <color theme="1" tint="0.14999847407452621"/>
      </left>
      <right style="medium">
        <color theme="1" tint="0.14999847407452621"/>
      </right>
      <top/>
      <bottom/>
      <diagonal/>
    </border>
    <border>
      <left/>
      <right style="medium">
        <color theme="1" tint="0.14999847407452621"/>
      </right>
      <top/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/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9" tint="0.79998168889431442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79998168889431442"/>
      </top>
      <bottom/>
      <diagonal/>
    </border>
    <border>
      <left/>
      <right style="medium">
        <color indexed="64"/>
      </right>
      <top style="medium">
        <color theme="9" tint="0.79998168889431442"/>
      </top>
      <bottom style="medium">
        <color theme="9" tint="0.7999816888943144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9" tint="0.79998168889431442"/>
      </top>
      <bottom style="medium">
        <color theme="9" tint="0.79998168889431442"/>
      </bottom>
      <diagonal/>
    </border>
    <border>
      <left/>
      <right/>
      <top style="medium">
        <color indexed="64"/>
      </top>
      <bottom style="medium">
        <color theme="9" tint="0.79998168889431442"/>
      </bottom>
      <diagonal/>
    </border>
    <border>
      <left/>
      <right style="medium">
        <color indexed="64"/>
      </right>
      <top style="medium">
        <color theme="9" tint="0.7999816888943144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</borders>
  <cellStyleXfs count="4">
    <xf numFmtId="0" fontId="0" fillId="0" borderId="0">
      <alignment vertical="center"/>
    </xf>
    <xf numFmtId="0" fontId="24" fillId="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621">
    <xf numFmtId="0" fontId="0" fillId="0" borderId="0" xfId="0">
      <alignment vertical="center"/>
    </xf>
    <xf numFmtId="0" fontId="25" fillId="3" borderId="0" xfId="0" applyFont="1" applyFill="1" applyAlignment="1">
      <alignment horizontal="center" vertical="center"/>
    </xf>
    <xf numFmtId="178" fontId="25" fillId="3" borderId="0" xfId="0" applyNumberFormat="1" applyFont="1" applyFill="1">
      <alignment vertical="center"/>
    </xf>
    <xf numFmtId="10" fontId="25" fillId="3" borderId="0" xfId="0" applyNumberFormat="1" applyFont="1" applyFill="1" applyAlignment="1">
      <alignment horizontal="center" vertical="center"/>
    </xf>
    <xf numFmtId="177" fontId="25" fillId="3" borderId="0" xfId="0" applyNumberFormat="1" applyFont="1" applyFill="1" applyAlignment="1">
      <alignment horizontal="center" vertical="center"/>
    </xf>
    <xf numFmtId="0" fontId="25" fillId="3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178" fontId="26" fillId="0" borderId="0" xfId="0" applyNumberFormat="1" applyFont="1">
      <alignment vertical="center"/>
    </xf>
    <xf numFmtId="10" fontId="26" fillId="0" borderId="0" xfId="0" applyNumberFormat="1" applyFont="1">
      <alignment vertical="center"/>
    </xf>
    <xf numFmtId="181" fontId="26" fillId="0" borderId="0" xfId="0" applyNumberFormat="1" applyFont="1">
      <alignment vertical="center"/>
    </xf>
    <xf numFmtId="177" fontId="26" fillId="0" borderId="0" xfId="0" applyNumberFormat="1" applyFont="1">
      <alignment vertical="center"/>
    </xf>
    <xf numFmtId="179" fontId="26" fillId="0" borderId="0" xfId="0" applyNumberFormat="1" applyFont="1">
      <alignment vertical="center"/>
    </xf>
    <xf numFmtId="180" fontId="26" fillId="0" borderId="0" xfId="0" applyNumberFormat="1" applyFont="1">
      <alignment vertical="center"/>
    </xf>
    <xf numFmtId="0" fontId="26" fillId="0" borderId="0" xfId="0" applyFont="1">
      <alignment vertical="center"/>
    </xf>
    <xf numFmtId="182" fontId="26" fillId="0" borderId="0" xfId="0" applyNumberFormat="1" applyFont="1">
      <alignment vertical="center"/>
    </xf>
    <xf numFmtId="183" fontId="26" fillId="0" borderId="0" xfId="0" applyNumberFormat="1" applyFont="1">
      <alignment vertical="center"/>
    </xf>
    <xf numFmtId="0" fontId="27" fillId="5" borderId="0" xfId="0" applyFont="1" applyFill="1">
      <alignment vertical="center"/>
    </xf>
    <xf numFmtId="0" fontId="27" fillId="0" borderId="0" xfId="0" applyFont="1">
      <alignment vertical="center"/>
    </xf>
    <xf numFmtId="0" fontId="27" fillId="6" borderId="0" xfId="0" applyFont="1" applyFill="1">
      <alignment vertical="center"/>
    </xf>
    <xf numFmtId="0" fontId="28" fillId="6" borderId="0" xfId="0" applyFont="1" applyFill="1" applyAlignment="1">
      <alignment horizontal="center" vertical="center"/>
    </xf>
    <xf numFmtId="0" fontId="27" fillId="0" borderId="0" xfId="0" applyFont="1">
      <alignment vertical="center"/>
    </xf>
    <xf numFmtId="9" fontId="27" fillId="2" borderId="2" xfId="1" applyNumberFormat="1" applyFont="1" applyBorder="1">
      <alignment vertical="center"/>
    </xf>
    <xf numFmtId="0" fontId="28" fillId="0" borderId="0" xfId="0" applyFont="1">
      <alignment vertical="center"/>
    </xf>
    <xf numFmtId="0" fontId="28" fillId="0" borderId="3" xfId="0" applyFont="1" applyBorder="1">
      <alignment vertical="center"/>
    </xf>
    <xf numFmtId="0" fontId="28" fillId="0" borderId="0" xfId="0" applyFont="1" applyBorder="1">
      <alignment vertical="center"/>
    </xf>
    <xf numFmtId="9" fontId="27" fillId="0" borderId="0" xfId="0" applyNumberFormat="1" applyFont="1">
      <alignment vertical="center"/>
    </xf>
    <xf numFmtId="0" fontId="27" fillId="0" borderId="3" xfId="0" applyFont="1" applyBorder="1">
      <alignment vertical="center"/>
    </xf>
    <xf numFmtId="9" fontId="27" fillId="0" borderId="0" xfId="0" applyNumberFormat="1" applyFont="1" applyBorder="1">
      <alignment vertical="center"/>
    </xf>
    <xf numFmtId="176" fontId="27" fillId="0" borderId="3" xfId="0" applyNumberFormat="1" applyFont="1" applyBorder="1">
      <alignment vertical="center"/>
    </xf>
    <xf numFmtId="176" fontId="27" fillId="0" borderId="0" xfId="0" applyNumberFormat="1" applyFont="1">
      <alignment vertical="center"/>
    </xf>
    <xf numFmtId="0" fontId="27" fillId="0" borderId="4" xfId="0" applyFont="1" applyBorder="1">
      <alignment vertical="center"/>
    </xf>
    <xf numFmtId="2" fontId="27" fillId="0" borderId="4" xfId="0" applyNumberFormat="1" applyFont="1" applyBorder="1">
      <alignment vertical="center"/>
    </xf>
    <xf numFmtId="2" fontId="27" fillId="0" borderId="0" xfId="0" applyNumberFormat="1" applyFont="1">
      <alignment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9" fontId="29" fillId="0" borderId="0" xfId="0" applyNumberFormat="1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10" fontId="26" fillId="0" borderId="0" xfId="0" applyNumberFormat="1" applyFont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6" fillId="7" borderId="0" xfId="0" applyFont="1" applyFill="1">
      <alignment vertical="center"/>
    </xf>
    <xf numFmtId="0" fontId="27" fillId="0" borderId="0" xfId="0" applyFont="1">
      <alignment vertical="center"/>
    </xf>
    <xf numFmtId="0" fontId="26" fillId="8" borderId="0" xfId="0" applyFont="1" applyFill="1">
      <alignment vertical="center"/>
    </xf>
    <xf numFmtId="179" fontId="26" fillId="0" borderId="0" xfId="0" applyNumberFormat="1" applyFont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85" fontId="25" fillId="3" borderId="0" xfId="0" applyNumberFormat="1" applyFont="1" applyFill="1" applyAlignment="1">
      <alignment horizontal="center" vertical="center"/>
    </xf>
    <xf numFmtId="9" fontId="26" fillId="0" borderId="0" xfId="3" applyFont="1">
      <alignment vertical="center"/>
    </xf>
    <xf numFmtId="10" fontId="27" fillId="0" borderId="0" xfId="3" applyNumberFormat="1" applyFont="1">
      <alignment vertical="center"/>
    </xf>
    <xf numFmtId="0" fontId="26" fillId="6" borderId="0" xfId="0" applyFont="1" applyFill="1" applyAlignment="1">
      <alignment horizontal="center" vertical="center"/>
    </xf>
    <xf numFmtId="180" fontId="26" fillId="0" borderId="0" xfId="0" applyNumberFormat="1" applyFont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9" fontId="26" fillId="0" borderId="0" xfId="3" applyFont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178" fontId="26" fillId="10" borderId="5" xfId="0" applyNumberFormat="1" applyFont="1" applyFill="1" applyBorder="1" applyAlignment="1">
      <alignment horizontal="center" vertical="center"/>
    </xf>
    <xf numFmtId="177" fontId="26" fillId="10" borderId="5" xfId="0" applyNumberFormat="1" applyFont="1" applyFill="1" applyBorder="1" applyAlignment="1">
      <alignment horizontal="center" vertical="center"/>
    </xf>
    <xf numFmtId="10" fontId="26" fillId="10" borderId="5" xfId="0" applyNumberFormat="1" applyFont="1" applyFill="1" applyBorder="1" applyAlignment="1">
      <alignment horizontal="center" vertical="center"/>
    </xf>
    <xf numFmtId="182" fontId="26" fillId="10" borderId="5" xfId="0" applyNumberFormat="1" applyFont="1" applyFill="1" applyBorder="1" applyAlignment="1">
      <alignment horizontal="center" vertical="center"/>
    </xf>
    <xf numFmtId="179" fontId="26" fillId="10" borderId="5" xfId="0" applyNumberFormat="1" applyFont="1" applyFill="1" applyBorder="1" applyAlignment="1">
      <alignment horizontal="center" vertical="center"/>
    </xf>
    <xf numFmtId="0" fontId="26" fillId="10" borderId="0" xfId="0" applyFont="1" applyFill="1">
      <alignment vertical="center"/>
    </xf>
    <xf numFmtId="0" fontId="26" fillId="6" borderId="4" xfId="0" applyFont="1" applyFill="1" applyBorder="1" applyAlignment="1">
      <alignment horizontal="center" vertical="center"/>
    </xf>
    <xf numFmtId="178" fontId="26" fillId="6" borderId="4" xfId="0" applyNumberFormat="1" applyFont="1" applyFill="1" applyBorder="1" applyAlignment="1">
      <alignment horizontal="center" vertical="center"/>
    </xf>
    <xf numFmtId="10" fontId="26" fillId="6" borderId="4" xfId="0" applyNumberFormat="1" applyFont="1" applyFill="1" applyBorder="1" applyAlignment="1">
      <alignment horizontal="center" vertical="center"/>
    </xf>
    <xf numFmtId="182" fontId="26" fillId="6" borderId="4" xfId="0" applyNumberFormat="1" applyFont="1" applyFill="1" applyBorder="1" applyAlignment="1">
      <alignment horizontal="center" vertical="center"/>
    </xf>
    <xf numFmtId="10" fontId="25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25" fillId="11" borderId="0" xfId="0" applyFont="1" applyFill="1">
      <alignment vertical="center"/>
    </xf>
    <xf numFmtId="180" fontId="26" fillId="11" borderId="0" xfId="0" applyNumberFormat="1" applyFont="1" applyFill="1">
      <alignment vertical="center"/>
    </xf>
    <xf numFmtId="0" fontId="26" fillId="11" borderId="0" xfId="0" applyFont="1" applyFill="1">
      <alignment vertical="center"/>
    </xf>
    <xf numFmtId="10" fontId="26" fillId="8" borderId="0" xfId="0" applyNumberFormat="1" applyFont="1" applyFill="1" applyAlignment="1">
      <alignment horizontal="center" vertical="center"/>
    </xf>
    <xf numFmtId="0" fontId="26" fillId="8" borderId="0" xfId="0" applyFont="1" applyFill="1" applyBorder="1">
      <alignment vertical="center"/>
    </xf>
    <xf numFmtId="9" fontId="26" fillId="8" borderId="0" xfId="0" applyNumberFormat="1" applyFont="1" applyFill="1" applyBorder="1">
      <alignment vertical="center"/>
    </xf>
    <xf numFmtId="0" fontId="26" fillId="0" borderId="8" xfId="0" applyFont="1" applyBorder="1" applyAlignment="1">
      <alignment horizontal="center" vertical="center"/>
    </xf>
    <xf numFmtId="178" fontId="26" fillId="0" borderId="8" xfId="0" applyNumberFormat="1" applyFont="1" applyBorder="1" applyAlignment="1">
      <alignment horizontal="center" vertical="center"/>
    </xf>
    <xf numFmtId="180" fontId="26" fillId="0" borderId="8" xfId="0" applyNumberFormat="1" applyFont="1" applyBorder="1" applyAlignment="1">
      <alignment horizontal="center" vertical="center"/>
    </xf>
    <xf numFmtId="184" fontId="26" fillId="0" borderId="8" xfId="0" applyNumberFormat="1" applyFont="1" applyBorder="1" applyAlignment="1">
      <alignment horizontal="center" vertical="center"/>
    </xf>
    <xf numFmtId="10" fontId="26" fillId="0" borderId="8" xfId="3" applyNumberFormat="1" applyFont="1" applyBorder="1" applyAlignment="1">
      <alignment horizontal="center" vertical="center"/>
    </xf>
    <xf numFmtId="10" fontId="26" fillId="0" borderId="8" xfId="0" applyNumberFormat="1" applyFont="1" applyBorder="1" applyAlignment="1">
      <alignment horizontal="center" vertical="center"/>
    </xf>
    <xf numFmtId="0" fontId="25" fillId="9" borderId="9" xfId="0" applyFont="1" applyFill="1" applyBorder="1" applyAlignment="1">
      <alignment horizontal="center" vertical="center"/>
    </xf>
    <xf numFmtId="0" fontId="25" fillId="9" borderId="10" xfId="0" applyFont="1" applyFill="1" applyBorder="1" applyAlignment="1">
      <alignment horizontal="center" vertical="center"/>
    </xf>
    <xf numFmtId="178" fontId="25" fillId="9" borderId="10" xfId="0" applyNumberFormat="1" applyFont="1" applyFill="1" applyBorder="1" applyAlignment="1">
      <alignment horizontal="center" vertical="center"/>
    </xf>
    <xf numFmtId="10" fontId="25" fillId="9" borderId="10" xfId="0" applyNumberFormat="1" applyFont="1" applyFill="1" applyBorder="1" applyAlignment="1">
      <alignment horizontal="center" vertical="center"/>
    </xf>
    <xf numFmtId="10" fontId="25" fillId="9" borderId="11" xfId="0" applyNumberFormat="1" applyFont="1" applyFill="1" applyBorder="1" applyAlignment="1">
      <alignment horizontal="center" vertical="center"/>
    </xf>
    <xf numFmtId="178" fontId="4" fillId="9" borderId="12" xfId="0" applyNumberFormat="1" applyFont="1" applyFill="1" applyBorder="1" applyAlignment="1">
      <alignment horizontal="center" vertical="center"/>
    </xf>
    <xf numFmtId="178" fontId="4" fillId="9" borderId="13" xfId="0" applyNumberFormat="1" applyFont="1" applyFill="1" applyBorder="1" applyAlignment="1">
      <alignment horizontal="center" vertical="center"/>
    </xf>
    <xf numFmtId="10" fontId="4" fillId="9" borderId="13" xfId="3" applyNumberFormat="1" applyFont="1" applyFill="1" applyBorder="1" applyAlignment="1">
      <alignment horizontal="center" vertical="center"/>
    </xf>
    <xf numFmtId="10" fontId="4" fillId="9" borderId="13" xfId="0" applyNumberFormat="1" applyFont="1" applyFill="1" applyBorder="1" applyAlignment="1">
      <alignment horizontal="center" vertical="center"/>
    </xf>
    <xf numFmtId="0" fontId="26" fillId="12" borderId="0" xfId="0" applyFont="1" applyFill="1" applyAlignment="1">
      <alignment vertical="center"/>
    </xf>
    <xf numFmtId="10" fontId="4" fillId="12" borderId="0" xfId="0" applyNumberFormat="1" applyFont="1" applyFill="1" applyAlignment="1">
      <alignment horizontal="center" vertical="center"/>
    </xf>
    <xf numFmtId="180" fontId="26" fillId="12" borderId="0" xfId="0" applyNumberFormat="1" applyFont="1" applyFill="1">
      <alignment vertical="center"/>
    </xf>
    <xf numFmtId="0" fontId="26" fillId="1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80" fontId="25" fillId="9" borderId="13" xfId="3" applyNumberFormat="1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0" borderId="0" xfId="0" applyFont="1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10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181" fontId="27" fillId="0" borderId="0" xfId="0" applyNumberFormat="1" applyFont="1">
      <alignment vertical="center"/>
    </xf>
    <xf numFmtId="10" fontId="10" fillId="0" borderId="0" xfId="0" applyNumberFormat="1" applyFont="1">
      <alignment vertical="center"/>
    </xf>
    <xf numFmtId="181" fontId="10" fillId="0" borderId="0" xfId="0" applyNumberFormat="1" applyFont="1">
      <alignment vertical="center"/>
    </xf>
    <xf numFmtId="10" fontId="29" fillId="0" borderId="0" xfId="0" applyNumberFormat="1" applyFont="1">
      <alignment vertical="center"/>
    </xf>
    <xf numFmtId="181" fontId="29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79" fontId="29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26" fillId="0" borderId="0" xfId="0" applyFont="1" applyAlignment="1">
      <alignment horizontal="center" vertical="center"/>
    </xf>
    <xf numFmtId="10" fontId="26" fillId="0" borderId="0" xfId="3" applyNumberFormat="1" applyFont="1">
      <alignment vertical="center"/>
    </xf>
    <xf numFmtId="10" fontId="26" fillId="0" borderId="0" xfId="0" applyNumberFormat="1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10" fontId="11" fillId="0" borderId="0" xfId="0" applyNumberFormat="1" applyFont="1">
      <alignment vertical="center"/>
    </xf>
    <xf numFmtId="10" fontId="29" fillId="0" borderId="0" xfId="0" applyNumberFormat="1" applyFont="1">
      <alignment vertical="center"/>
    </xf>
    <xf numFmtId="10" fontId="33" fillId="0" borderId="0" xfId="0" applyNumberFormat="1" applyFont="1">
      <alignment vertical="center"/>
    </xf>
    <xf numFmtId="0" fontId="29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28" fillId="6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>
      <alignment vertical="center"/>
    </xf>
    <xf numFmtId="0" fontId="26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7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28" fillId="13" borderId="0" xfId="0" applyFont="1" applyFill="1" applyAlignment="1">
      <alignment horizontal="center" vertical="center"/>
    </xf>
    <xf numFmtId="0" fontId="28" fillId="14" borderId="0" xfId="0" applyFont="1" applyFill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 wrapText="1"/>
    </xf>
    <xf numFmtId="178" fontId="16" fillId="0" borderId="0" xfId="0" applyNumberFormat="1" applyFont="1">
      <alignment vertical="center"/>
    </xf>
    <xf numFmtId="178" fontId="16" fillId="0" borderId="0" xfId="0" applyNumberFormat="1" applyFont="1" applyAlignment="1">
      <alignment horizontal="center" vertical="center"/>
    </xf>
    <xf numFmtId="10" fontId="16" fillId="0" borderId="0" xfId="0" applyNumberFormat="1" applyFont="1">
      <alignment vertical="center"/>
    </xf>
    <xf numFmtId="181" fontId="16" fillId="0" borderId="0" xfId="0" applyNumberFormat="1" applyFont="1">
      <alignment vertical="center"/>
    </xf>
    <xf numFmtId="0" fontId="16" fillId="6" borderId="0" xfId="0" applyFont="1" applyFill="1">
      <alignment vertical="center"/>
    </xf>
    <xf numFmtId="0" fontId="29" fillId="6" borderId="0" xfId="0" applyFont="1" applyFill="1">
      <alignment vertical="center"/>
    </xf>
    <xf numFmtId="0" fontId="27" fillId="19" borderId="0" xfId="0" applyFont="1" applyFill="1" applyAlignment="1">
      <alignment horizontal="center" vertical="center"/>
    </xf>
    <xf numFmtId="178" fontId="28" fillId="19" borderId="0" xfId="0" applyNumberFormat="1" applyFont="1" applyFill="1" applyAlignment="1">
      <alignment horizontal="center" vertical="center"/>
    </xf>
    <xf numFmtId="10" fontId="28" fillId="19" borderId="0" xfId="0" applyNumberFormat="1" applyFont="1" applyFill="1" applyAlignment="1">
      <alignment horizontal="center" vertical="center"/>
    </xf>
    <xf numFmtId="181" fontId="28" fillId="19" borderId="0" xfId="0" applyNumberFormat="1" applyFont="1" applyFill="1" applyAlignment="1">
      <alignment horizontal="center" vertical="center"/>
    </xf>
    <xf numFmtId="0" fontId="27" fillId="19" borderId="0" xfId="0" applyFont="1" applyFill="1">
      <alignment vertical="center"/>
    </xf>
    <xf numFmtId="179" fontId="25" fillId="3" borderId="0" xfId="0" applyNumberFormat="1" applyFont="1" applyFill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186" fontId="27" fillId="0" borderId="0" xfId="2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10" fontId="18" fillId="0" borderId="0" xfId="0" applyNumberFormat="1" applyFont="1">
      <alignment vertical="center"/>
    </xf>
    <xf numFmtId="181" fontId="27" fillId="0" borderId="0" xfId="0" applyNumberFormat="1" applyFont="1">
      <alignment vertical="center"/>
    </xf>
    <xf numFmtId="0" fontId="38" fillId="0" borderId="0" xfId="0" applyFont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12" borderId="0" xfId="0" applyFont="1" applyFill="1">
      <alignment vertical="center"/>
    </xf>
    <xf numFmtId="0" fontId="26" fillId="12" borderId="0" xfId="0" applyFont="1" applyFill="1">
      <alignment vertical="center"/>
    </xf>
    <xf numFmtId="0" fontId="4" fillId="12" borderId="0" xfId="0" applyFont="1" applyFill="1" applyAlignment="1">
      <alignment horizontal="center" vertical="center"/>
    </xf>
    <xf numFmtId="182" fontId="25" fillId="3" borderId="0" xfId="0" applyNumberFormat="1" applyFont="1" applyFill="1" applyAlignment="1">
      <alignment horizontal="center" vertical="center"/>
    </xf>
    <xf numFmtId="0" fontId="26" fillId="20" borderId="0" xfId="0" applyFont="1" applyFill="1">
      <alignment vertical="center"/>
    </xf>
    <xf numFmtId="0" fontId="26" fillId="21" borderId="0" xfId="0" applyFont="1" applyFill="1">
      <alignment vertical="center"/>
    </xf>
    <xf numFmtId="0" fontId="26" fillId="21" borderId="0" xfId="0" applyFont="1" applyFill="1" applyAlignment="1">
      <alignment horizontal="center" vertical="center"/>
    </xf>
    <xf numFmtId="0" fontId="26" fillId="21" borderId="0" xfId="0" applyFont="1" applyFill="1" applyAlignment="1">
      <alignment horizontal="right" vertical="center"/>
    </xf>
    <xf numFmtId="180" fontId="26" fillId="20" borderId="0" xfId="0" applyNumberFormat="1" applyFont="1" applyFill="1">
      <alignment vertical="center"/>
    </xf>
    <xf numFmtId="0" fontId="40" fillId="22" borderId="2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10" borderId="21" xfId="0" applyFont="1" applyFill="1" applyBorder="1">
      <alignment vertical="center"/>
    </xf>
    <xf numFmtId="0" fontId="26" fillId="10" borderId="22" xfId="0" applyFont="1" applyFill="1" applyBorder="1" applyAlignment="1">
      <alignment horizontal="center" vertical="center"/>
    </xf>
    <xf numFmtId="0" fontId="26" fillId="10" borderId="23" xfId="0" applyFont="1" applyFill="1" applyBorder="1" applyAlignment="1">
      <alignment horizontal="center" vertical="center"/>
    </xf>
    <xf numFmtId="9" fontId="26" fillId="0" borderId="0" xfId="3" applyFont="1" applyBorder="1" applyAlignment="1">
      <alignment horizontal="center" vertical="center"/>
    </xf>
    <xf numFmtId="9" fontId="26" fillId="0" borderId="25" xfId="3" applyFont="1" applyBorder="1" applyAlignment="1">
      <alignment horizontal="center" vertical="center"/>
    </xf>
    <xf numFmtId="0" fontId="26" fillId="0" borderId="0" xfId="0" applyFont="1" applyBorder="1">
      <alignment vertical="center"/>
    </xf>
    <xf numFmtId="0" fontId="26" fillId="0" borderId="25" xfId="0" applyFont="1" applyBorder="1">
      <alignment vertical="center"/>
    </xf>
    <xf numFmtId="180" fontId="26" fillId="0" borderId="0" xfId="0" applyNumberFormat="1" applyFont="1" applyBorder="1" applyAlignment="1">
      <alignment horizontal="center" vertical="center"/>
    </xf>
    <xf numFmtId="9" fontId="26" fillId="0" borderId="0" xfId="0" applyNumberFormat="1" applyFont="1" applyBorder="1" applyAlignment="1">
      <alignment horizontal="center" vertical="center"/>
    </xf>
    <xf numFmtId="180" fontId="26" fillId="0" borderId="0" xfId="0" applyNumberFormat="1" applyFont="1" applyBorder="1">
      <alignment vertical="center"/>
    </xf>
    <xf numFmtId="0" fontId="26" fillId="11" borderId="27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26" fillId="10" borderId="29" xfId="0" applyFont="1" applyFill="1" applyBorder="1" applyAlignment="1">
      <alignment horizontal="center" vertical="center"/>
    </xf>
    <xf numFmtId="0" fontId="40" fillId="23" borderId="28" xfId="0" applyFont="1" applyFill="1" applyBorder="1" applyAlignment="1">
      <alignment horizontal="center" vertical="center"/>
    </xf>
    <xf numFmtId="180" fontId="40" fillId="23" borderId="28" xfId="0" applyNumberFormat="1" applyFont="1" applyFill="1" applyBorder="1" applyAlignment="1">
      <alignment horizontal="center" vertical="center"/>
    </xf>
    <xf numFmtId="180" fontId="40" fillId="22" borderId="20" xfId="0" applyNumberFormat="1" applyFont="1" applyFill="1" applyBorder="1" applyAlignment="1">
      <alignment horizontal="center" vertical="center"/>
    </xf>
    <xf numFmtId="0" fontId="40" fillId="22" borderId="20" xfId="0" applyFont="1" applyFill="1" applyBorder="1">
      <alignment vertical="center"/>
    </xf>
    <xf numFmtId="10" fontId="26" fillId="5" borderId="20" xfId="0" applyNumberFormat="1" applyFont="1" applyFill="1" applyBorder="1">
      <alignment vertical="center"/>
    </xf>
    <xf numFmtId="177" fontId="26" fillId="5" borderId="20" xfId="0" applyNumberFormat="1" applyFont="1" applyFill="1" applyBorder="1">
      <alignment vertical="center"/>
    </xf>
    <xf numFmtId="9" fontId="26" fillId="5" borderId="20" xfId="3" applyFont="1" applyFill="1" applyBorder="1">
      <alignment vertical="center"/>
    </xf>
    <xf numFmtId="179" fontId="26" fillId="5" borderId="20" xfId="0" applyNumberFormat="1" applyFont="1" applyFill="1" applyBorder="1">
      <alignment vertical="center"/>
    </xf>
    <xf numFmtId="178" fontId="26" fillId="5" borderId="20" xfId="0" applyNumberFormat="1" applyFont="1" applyFill="1" applyBorder="1">
      <alignment vertical="center"/>
    </xf>
    <xf numFmtId="0" fontId="26" fillId="5" borderId="20" xfId="0" applyFont="1" applyFill="1" applyBorder="1" applyAlignment="1">
      <alignment horizontal="center" vertical="center"/>
    </xf>
    <xf numFmtId="10" fontId="26" fillId="5" borderId="20" xfId="3" applyNumberFormat="1" applyFont="1" applyFill="1" applyBorder="1">
      <alignment vertical="center"/>
    </xf>
    <xf numFmtId="0" fontId="26" fillId="5" borderId="20" xfId="0" applyFont="1" applyFill="1" applyBorder="1">
      <alignment vertical="center"/>
    </xf>
    <xf numFmtId="0" fontId="26" fillId="11" borderId="30" xfId="0" applyFont="1" applyFill="1" applyBorder="1" applyAlignment="1">
      <alignment horizontal="center" vertical="center"/>
    </xf>
    <xf numFmtId="0" fontId="26" fillId="20" borderId="31" xfId="0" applyFont="1" applyFill="1" applyBorder="1" applyAlignment="1">
      <alignment horizontal="center" vertical="center"/>
    </xf>
    <xf numFmtId="0" fontId="26" fillId="20" borderId="32" xfId="0" applyFont="1" applyFill="1" applyBorder="1" applyAlignment="1">
      <alignment horizontal="center" vertical="center"/>
    </xf>
    <xf numFmtId="0" fontId="26" fillId="24" borderId="33" xfId="0" applyFont="1" applyFill="1" applyBorder="1" applyAlignment="1">
      <alignment horizontal="center" vertical="center"/>
    </xf>
    <xf numFmtId="178" fontId="26" fillId="0" borderId="0" xfId="0" applyNumberFormat="1" applyFont="1" applyBorder="1" applyAlignment="1">
      <alignment horizontal="center" vertical="center"/>
    </xf>
    <xf numFmtId="177" fontId="26" fillId="0" borderId="0" xfId="0" applyNumberFormat="1" applyFont="1" applyBorder="1" applyAlignment="1">
      <alignment horizontal="center" vertical="center"/>
    </xf>
    <xf numFmtId="10" fontId="26" fillId="0" borderId="0" xfId="0" applyNumberFormat="1" applyFont="1" applyBorder="1" applyAlignment="1">
      <alignment horizontal="center" vertical="center"/>
    </xf>
    <xf numFmtId="0" fontId="26" fillId="25" borderId="0" xfId="0" applyFont="1" applyFill="1" applyBorder="1" applyAlignment="1">
      <alignment horizontal="center" vertical="center"/>
    </xf>
    <xf numFmtId="0" fontId="26" fillId="20" borderId="31" xfId="0" applyFont="1" applyFill="1" applyBorder="1" applyAlignment="1">
      <alignment horizontal="center" vertical="center"/>
    </xf>
    <xf numFmtId="9" fontId="26" fillId="20" borderId="31" xfId="0" applyNumberFormat="1" applyFont="1" applyFill="1" applyBorder="1" applyAlignment="1">
      <alignment horizontal="center" vertical="center"/>
    </xf>
    <xf numFmtId="0" fontId="26" fillId="26" borderId="0" xfId="0" applyFont="1" applyFill="1">
      <alignment vertical="center"/>
    </xf>
    <xf numFmtId="180" fontId="26" fillId="27" borderId="0" xfId="0" applyNumberFormat="1" applyFont="1" applyFill="1">
      <alignment vertical="center"/>
    </xf>
    <xf numFmtId="0" fontId="26" fillId="27" borderId="0" xfId="0" applyFont="1" applyFill="1" applyBorder="1" applyAlignment="1">
      <alignment horizontal="center" vertical="center"/>
    </xf>
    <xf numFmtId="10" fontId="27" fillId="0" borderId="51" xfId="3" applyNumberFormat="1" applyFont="1" applyBorder="1">
      <alignment vertical="center"/>
    </xf>
    <xf numFmtId="0" fontId="27" fillId="0" borderId="51" xfId="0" applyFont="1" applyBorder="1">
      <alignment vertical="center"/>
    </xf>
    <xf numFmtId="0" fontId="26" fillId="9" borderId="52" xfId="0" applyFont="1" applyFill="1" applyBorder="1" applyAlignment="1">
      <alignment horizontal="center" vertical="center"/>
    </xf>
    <xf numFmtId="0" fontId="26" fillId="9" borderId="53" xfId="0" applyFont="1" applyFill="1" applyBorder="1" applyAlignment="1">
      <alignment horizontal="center" vertical="center"/>
    </xf>
    <xf numFmtId="178" fontId="26" fillId="9" borderId="53" xfId="0" applyNumberFormat="1" applyFont="1" applyFill="1" applyBorder="1" applyAlignment="1">
      <alignment horizontal="center" vertical="center"/>
    </xf>
    <xf numFmtId="10" fontId="26" fillId="9" borderId="53" xfId="0" applyNumberFormat="1" applyFont="1" applyFill="1" applyBorder="1" applyAlignment="1">
      <alignment horizontal="center" vertical="center"/>
    </xf>
    <xf numFmtId="10" fontId="26" fillId="9" borderId="54" xfId="0" applyNumberFormat="1" applyFont="1" applyFill="1" applyBorder="1" applyAlignment="1">
      <alignment horizontal="center" vertical="center"/>
    </xf>
    <xf numFmtId="0" fontId="27" fillId="0" borderId="55" xfId="0" applyFont="1" applyBorder="1">
      <alignment vertical="center"/>
    </xf>
    <xf numFmtId="0" fontId="27" fillId="0" borderId="56" xfId="0" applyFont="1" applyBorder="1">
      <alignment vertical="center"/>
    </xf>
    <xf numFmtId="10" fontId="27" fillId="0" borderId="57" xfId="0" applyNumberFormat="1" applyFont="1" applyBorder="1">
      <alignment vertical="center"/>
    </xf>
    <xf numFmtId="10" fontId="26" fillId="9" borderId="0" xfId="0" applyNumberFormat="1" applyFont="1" applyFill="1" applyBorder="1" applyAlignment="1">
      <alignment horizontal="center" vertical="center"/>
    </xf>
    <xf numFmtId="10" fontId="26" fillId="9" borderId="58" xfId="0" applyNumberFormat="1" applyFont="1" applyFill="1" applyBorder="1" applyAlignment="1">
      <alignment horizontal="center" vertical="center"/>
    </xf>
    <xf numFmtId="0" fontId="27" fillId="6" borderId="60" xfId="0" applyFont="1" applyFill="1" applyBorder="1" applyAlignment="1">
      <alignment horizontal="center" vertical="center"/>
    </xf>
    <xf numFmtId="0" fontId="27" fillId="6" borderId="61" xfId="0" applyFont="1" applyFill="1" applyBorder="1" applyAlignment="1">
      <alignment horizontal="center" vertical="center"/>
    </xf>
    <xf numFmtId="180" fontId="27" fillId="0" borderId="0" xfId="3" applyNumberFormat="1" applyFont="1" applyBorder="1">
      <alignment vertical="center"/>
    </xf>
    <xf numFmtId="0" fontId="27" fillId="0" borderId="59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0" fontId="27" fillId="0" borderId="0" xfId="3" applyNumberFormat="1" applyFont="1" applyBorder="1">
      <alignment vertical="center"/>
    </xf>
    <xf numFmtId="0" fontId="39" fillId="23" borderId="0" xfId="0" applyFont="1" applyFill="1">
      <alignment vertical="center"/>
    </xf>
    <xf numFmtId="10" fontId="27" fillId="0" borderId="0" xfId="0" applyNumberFormat="1" applyFont="1" applyBorder="1">
      <alignment vertical="center"/>
    </xf>
    <xf numFmtId="10" fontId="27" fillId="0" borderId="62" xfId="0" applyNumberFormat="1" applyFont="1" applyBorder="1">
      <alignment vertical="center"/>
    </xf>
    <xf numFmtId="10" fontId="27" fillId="0" borderId="63" xfId="0" applyNumberFormat="1" applyFont="1" applyBorder="1">
      <alignment vertical="center"/>
    </xf>
    <xf numFmtId="0" fontId="27" fillId="28" borderId="0" xfId="0" applyFont="1" applyFill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 vertical="center"/>
    </xf>
    <xf numFmtId="0" fontId="27" fillId="0" borderId="16" xfId="0" applyFont="1" applyBorder="1">
      <alignment vertical="center"/>
    </xf>
    <xf numFmtId="0" fontId="27" fillId="29" borderId="0" xfId="0" applyFont="1" applyFill="1" applyBorder="1" applyAlignment="1">
      <alignment horizontal="center" vertical="center"/>
    </xf>
    <xf numFmtId="181" fontId="27" fillId="0" borderId="0" xfId="0" applyNumberFormat="1" applyFont="1" applyBorder="1">
      <alignment vertical="center"/>
    </xf>
    <xf numFmtId="0" fontId="27" fillId="30" borderId="0" xfId="0" applyFont="1" applyFill="1" applyBorder="1" applyAlignment="1">
      <alignment horizontal="center" vertical="center"/>
    </xf>
    <xf numFmtId="0" fontId="27" fillId="0" borderId="0" xfId="0" applyFont="1" applyBorder="1" applyProtection="1">
      <alignment vertical="center"/>
    </xf>
    <xf numFmtId="0" fontId="27" fillId="12" borderId="0" xfId="0" applyFont="1" applyFill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/>
    </xf>
    <xf numFmtId="0" fontId="27" fillId="12" borderId="0" xfId="0" applyFont="1" applyFill="1" applyBorder="1">
      <alignment vertical="center"/>
    </xf>
    <xf numFmtId="0" fontId="39" fillId="23" borderId="18" xfId="0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horizontal="center" vertical="center"/>
    </xf>
    <xf numFmtId="0" fontId="27" fillId="12" borderId="64" xfId="0" applyFont="1" applyFill="1" applyBorder="1" applyAlignment="1">
      <alignment horizontal="center" vertical="center"/>
    </xf>
    <xf numFmtId="0" fontId="27" fillId="12" borderId="65" xfId="0" applyFont="1" applyFill="1" applyBorder="1" applyAlignment="1">
      <alignment horizontal="center" vertical="center"/>
    </xf>
    <xf numFmtId="0" fontId="29" fillId="0" borderId="0" xfId="0" applyFont="1" applyFill="1">
      <alignment vertical="center"/>
    </xf>
    <xf numFmtId="10" fontId="29" fillId="0" borderId="0" xfId="0" applyNumberFormat="1" applyFont="1" applyFill="1">
      <alignment vertical="center"/>
    </xf>
    <xf numFmtId="181" fontId="29" fillId="0" borderId="0" xfId="0" applyNumberFormat="1" applyFont="1" applyFill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9" fontId="26" fillId="0" borderId="0" xfId="3" applyFont="1" applyFill="1" applyBorder="1">
      <alignment vertical="center"/>
    </xf>
    <xf numFmtId="178" fontId="26" fillId="0" borderId="0" xfId="0" applyNumberFormat="1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179" fontId="26" fillId="0" borderId="0" xfId="0" applyNumberFormat="1" applyFont="1" applyFill="1" applyBorder="1">
      <alignment vertical="center"/>
    </xf>
    <xf numFmtId="10" fontId="26" fillId="0" borderId="0" xfId="3" applyNumberFormat="1" applyFont="1" applyFill="1" applyBorder="1">
      <alignment vertical="center"/>
    </xf>
    <xf numFmtId="0" fontId="26" fillId="0" borderId="0" xfId="0" applyFont="1" applyFill="1" applyBorder="1">
      <alignment vertical="center"/>
    </xf>
    <xf numFmtId="180" fontId="26" fillId="0" borderId="0" xfId="0" applyNumberFormat="1" applyFont="1" applyFill="1">
      <alignment vertical="center"/>
    </xf>
    <xf numFmtId="177" fontId="26" fillId="0" borderId="0" xfId="0" applyNumberFormat="1" applyFont="1" applyFill="1" applyAlignment="1">
      <alignment horizontal="right" vertical="center"/>
    </xf>
    <xf numFmtId="183" fontId="26" fillId="0" borderId="0" xfId="0" applyNumberFormat="1" applyFont="1" applyFill="1">
      <alignment vertical="center"/>
    </xf>
    <xf numFmtId="179" fontId="26" fillId="0" borderId="0" xfId="0" applyNumberFormat="1" applyFont="1" applyFill="1">
      <alignment vertical="center"/>
    </xf>
    <xf numFmtId="9" fontId="26" fillId="0" borderId="0" xfId="0" applyNumberFormat="1" applyFont="1" applyFill="1">
      <alignment vertical="center"/>
    </xf>
    <xf numFmtId="0" fontId="26" fillId="0" borderId="0" xfId="0" applyFont="1" applyFill="1">
      <alignment vertical="center"/>
    </xf>
    <xf numFmtId="177" fontId="26" fillId="0" borderId="0" xfId="0" applyNumberFormat="1" applyFont="1" applyFill="1">
      <alignment vertical="center"/>
    </xf>
    <xf numFmtId="0" fontId="25" fillId="3" borderId="6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7" borderId="38" xfId="0" applyFont="1" applyFill="1" applyBorder="1" applyAlignment="1">
      <alignment horizontal="center" vertical="center"/>
    </xf>
    <xf numFmtId="178" fontId="25" fillId="7" borderId="34" xfId="0" applyNumberFormat="1" applyFont="1" applyFill="1" applyBorder="1" applyAlignment="1">
      <alignment horizontal="center" vertical="center"/>
    </xf>
    <xf numFmtId="0" fontId="25" fillId="7" borderId="34" xfId="0" applyFont="1" applyFill="1" applyBorder="1" applyAlignment="1">
      <alignment horizontal="center" vertical="center"/>
    </xf>
    <xf numFmtId="177" fontId="25" fillId="7" borderId="34" xfId="0" applyNumberFormat="1" applyFont="1" applyFill="1" applyBorder="1" applyAlignment="1">
      <alignment horizontal="center" vertical="center"/>
    </xf>
    <xf numFmtId="10" fontId="25" fillId="7" borderId="34" xfId="0" applyNumberFormat="1" applyFont="1" applyFill="1" applyBorder="1" applyAlignment="1">
      <alignment horizontal="center" vertical="center"/>
    </xf>
    <xf numFmtId="9" fontId="25" fillId="7" borderId="34" xfId="0" applyNumberFormat="1" applyFont="1" applyFill="1" applyBorder="1" applyAlignment="1">
      <alignment horizontal="center" vertical="center"/>
    </xf>
    <xf numFmtId="9" fontId="26" fillId="7" borderId="0" xfId="3" applyFont="1" applyFill="1" applyBorder="1">
      <alignment vertical="center"/>
    </xf>
    <xf numFmtId="10" fontId="26" fillId="7" borderId="0" xfId="0" applyNumberFormat="1" applyFont="1" applyFill="1" applyBorder="1">
      <alignment vertical="center"/>
    </xf>
    <xf numFmtId="178" fontId="26" fillId="7" borderId="0" xfId="0" applyNumberFormat="1" applyFont="1" applyFill="1" applyBorder="1">
      <alignment vertical="center"/>
    </xf>
    <xf numFmtId="0" fontId="26" fillId="7" borderId="0" xfId="0" applyFont="1" applyFill="1" applyBorder="1" applyAlignment="1">
      <alignment horizontal="center" vertical="center"/>
    </xf>
    <xf numFmtId="179" fontId="26" fillId="7" borderId="0" xfId="0" applyNumberFormat="1" applyFont="1" applyFill="1" applyBorder="1">
      <alignment vertical="center"/>
    </xf>
    <xf numFmtId="10" fontId="26" fillId="7" borderId="0" xfId="3" applyNumberFormat="1" applyFont="1" applyFill="1" applyBorder="1">
      <alignment vertical="center"/>
    </xf>
    <xf numFmtId="0" fontId="26" fillId="7" borderId="0" xfId="0" applyFont="1" applyFill="1" applyBorder="1">
      <alignment vertical="center"/>
    </xf>
    <xf numFmtId="0" fontId="27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15" fillId="34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34" borderId="0" xfId="0" applyFont="1" applyFill="1" applyAlignment="1">
      <alignment horizontal="center" vertical="center"/>
    </xf>
    <xf numFmtId="0" fontId="46" fillId="35" borderId="38" xfId="0" applyFont="1" applyFill="1" applyBorder="1" applyAlignment="1">
      <alignment horizontal="center" vertical="center"/>
    </xf>
    <xf numFmtId="178" fontId="46" fillId="35" borderId="34" xfId="0" applyNumberFormat="1" applyFont="1" applyFill="1" applyBorder="1" applyAlignment="1">
      <alignment horizontal="center" vertical="center"/>
    </xf>
    <xf numFmtId="0" fontId="46" fillId="35" borderId="34" xfId="0" applyFont="1" applyFill="1" applyBorder="1" applyAlignment="1">
      <alignment horizontal="center" vertical="center"/>
    </xf>
    <xf numFmtId="177" fontId="46" fillId="35" borderId="34" xfId="0" applyNumberFormat="1" applyFont="1" applyFill="1" applyBorder="1" applyAlignment="1">
      <alignment horizontal="center" vertical="center"/>
    </xf>
    <xf numFmtId="10" fontId="46" fillId="35" borderId="34" xfId="0" applyNumberFormat="1" applyFont="1" applyFill="1" applyBorder="1" applyAlignment="1">
      <alignment horizontal="center" vertical="center"/>
    </xf>
    <xf numFmtId="182" fontId="46" fillId="35" borderId="34" xfId="0" applyNumberFormat="1" applyFont="1" applyFill="1" applyBorder="1" applyAlignment="1">
      <alignment horizontal="center" vertical="center"/>
    </xf>
    <xf numFmtId="10" fontId="40" fillId="35" borderId="35" xfId="0" applyNumberFormat="1" applyFont="1" applyFill="1" applyBorder="1" applyAlignment="1">
      <alignment horizontal="center" vertical="center"/>
    </xf>
    <xf numFmtId="0" fontId="40" fillId="35" borderId="36" xfId="0" applyFont="1" applyFill="1" applyBorder="1" applyAlignment="1">
      <alignment horizontal="center" vertical="center"/>
    </xf>
    <xf numFmtId="0" fontId="40" fillId="35" borderId="36" xfId="0" applyFont="1" applyFill="1" applyBorder="1">
      <alignment vertical="center"/>
    </xf>
    <xf numFmtId="0" fontId="46" fillId="35" borderId="36" xfId="0" applyFont="1" applyFill="1" applyBorder="1" applyAlignment="1">
      <alignment vertical="center"/>
    </xf>
    <xf numFmtId="0" fontId="46" fillId="35" borderId="37" xfId="0" applyFont="1" applyFill="1" applyBorder="1" applyAlignment="1">
      <alignment vertical="center"/>
    </xf>
    <xf numFmtId="0" fontId="46" fillId="35" borderId="15" xfId="0" applyFont="1" applyFill="1" applyBorder="1" applyAlignment="1">
      <alignment vertical="center"/>
    </xf>
    <xf numFmtId="0" fontId="46" fillId="35" borderId="7" xfId="0" applyFont="1" applyFill="1" applyBorder="1" applyAlignment="1">
      <alignment vertical="center"/>
    </xf>
    <xf numFmtId="0" fontId="31" fillId="36" borderId="0" xfId="0" applyFont="1" applyFill="1">
      <alignment vertical="center"/>
    </xf>
    <xf numFmtId="0" fontId="25" fillId="37" borderId="6" xfId="0" applyFont="1" applyFill="1" applyBorder="1" applyAlignment="1">
      <alignment horizontal="center" vertical="center"/>
    </xf>
    <xf numFmtId="0" fontId="4" fillId="37" borderId="0" xfId="0" applyFont="1" applyFill="1" applyAlignment="1">
      <alignment horizontal="center" vertical="center"/>
    </xf>
    <xf numFmtId="0" fontId="26" fillId="37" borderId="0" xfId="0" applyFont="1" applyFill="1" applyAlignment="1">
      <alignment horizontal="center" vertical="center"/>
    </xf>
    <xf numFmtId="0" fontId="26" fillId="37" borderId="0" xfId="0" applyFont="1" applyFill="1">
      <alignment vertical="center"/>
    </xf>
    <xf numFmtId="10" fontId="26" fillId="37" borderId="0" xfId="0" applyNumberFormat="1" applyFont="1" applyFill="1" applyAlignment="1">
      <alignment horizontal="center" vertical="center"/>
    </xf>
    <xf numFmtId="0" fontId="30" fillId="38" borderId="0" xfId="0" applyFont="1" applyFill="1">
      <alignment vertical="center"/>
    </xf>
    <xf numFmtId="0" fontId="26" fillId="38" borderId="0" xfId="0" applyFont="1" applyFill="1">
      <alignment vertical="center"/>
    </xf>
    <xf numFmtId="10" fontId="40" fillId="35" borderId="0" xfId="0" applyNumberFormat="1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6" fillId="35" borderId="0" xfId="0" applyFont="1" applyFill="1">
      <alignment vertical="center"/>
    </xf>
    <xf numFmtId="0" fontId="27" fillId="36" borderId="9" xfId="0" applyFont="1" applyFill="1" applyBorder="1" applyAlignment="1">
      <alignment horizontal="center" vertical="center"/>
    </xf>
    <xf numFmtId="0" fontId="27" fillId="36" borderId="10" xfId="0" applyFont="1" applyFill="1" applyBorder="1" applyAlignment="1">
      <alignment horizontal="center" vertical="center"/>
    </xf>
    <xf numFmtId="0" fontId="27" fillId="36" borderId="10" xfId="0" applyFont="1" applyFill="1" applyBorder="1">
      <alignment vertical="center"/>
    </xf>
    <xf numFmtId="0" fontId="27" fillId="36" borderId="11" xfId="0" applyFont="1" applyFill="1" applyBorder="1">
      <alignment vertical="center"/>
    </xf>
    <xf numFmtId="0" fontId="27" fillId="36" borderId="0" xfId="0" applyFont="1" applyFill="1">
      <alignment vertical="center"/>
    </xf>
    <xf numFmtId="0" fontId="26" fillId="36" borderId="24" xfId="0" applyFont="1" applyFill="1" applyBorder="1" applyAlignment="1">
      <alignment horizontal="center" vertical="center"/>
    </xf>
    <xf numFmtId="0" fontId="26" fillId="36" borderId="40" xfId="0" applyFont="1" applyFill="1" applyBorder="1" applyAlignment="1">
      <alignment horizontal="center" vertical="center"/>
    </xf>
    <xf numFmtId="0" fontId="26" fillId="36" borderId="39" xfId="0" applyFont="1" applyFill="1" applyBorder="1" applyAlignment="1">
      <alignment horizontal="center" vertical="center"/>
    </xf>
    <xf numFmtId="0" fontId="26" fillId="36" borderId="41" xfId="0" applyFont="1" applyFill="1" applyBorder="1" applyAlignment="1">
      <alignment horizontal="center" vertical="center"/>
    </xf>
    <xf numFmtId="0" fontId="26" fillId="36" borderId="42" xfId="0" applyFont="1" applyFill="1" applyBorder="1" applyAlignment="1">
      <alignment horizontal="center" vertical="center"/>
    </xf>
    <xf numFmtId="0" fontId="26" fillId="36" borderId="21" xfId="0" applyFont="1" applyFill="1" applyBorder="1" applyAlignment="1">
      <alignment horizontal="center" vertical="center"/>
    </xf>
    <xf numFmtId="9" fontId="26" fillId="36" borderId="43" xfId="3" applyFont="1" applyFill="1" applyBorder="1" applyAlignment="1">
      <alignment horizontal="center" vertical="center"/>
    </xf>
    <xf numFmtId="9" fontId="26" fillId="36" borderId="44" xfId="3" applyFont="1" applyFill="1" applyBorder="1" applyAlignment="1">
      <alignment horizontal="center" vertical="center"/>
    </xf>
    <xf numFmtId="0" fontId="26" fillId="36" borderId="45" xfId="0" applyFont="1" applyFill="1" applyBorder="1" applyAlignment="1">
      <alignment horizontal="center" vertical="center"/>
    </xf>
    <xf numFmtId="9" fontId="26" fillId="36" borderId="46" xfId="3" applyFont="1" applyFill="1" applyBorder="1" applyAlignment="1">
      <alignment horizontal="center" vertical="center"/>
    </xf>
    <xf numFmtId="9" fontId="26" fillId="36" borderId="26" xfId="3" applyFont="1" applyFill="1" applyBorder="1" applyAlignment="1">
      <alignment horizontal="center" vertical="center"/>
    </xf>
    <xf numFmtId="0" fontId="26" fillId="36" borderId="50" xfId="0" applyFont="1" applyFill="1" applyBorder="1" applyAlignment="1">
      <alignment horizontal="center" vertical="center"/>
    </xf>
    <xf numFmtId="0" fontId="26" fillId="36" borderId="49" xfId="0" applyFont="1" applyFill="1" applyBorder="1" applyAlignment="1">
      <alignment horizontal="center" vertical="center"/>
    </xf>
    <xf numFmtId="0" fontId="26" fillId="36" borderId="47" xfId="0" applyFont="1" applyFill="1" applyBorder="1" applyAlignment="1">
      <alignment horizontal="center" vertical="center"/>
    </xf>
    <xf numFmtId="9" fontId="26" fillId="36" borderId="48" xfId="3" applyFont="1" applyFill="1" applyBorder="1" applyAlignment="1">
      <alignment horizontal="center" vertical="center"/>
    </xf>
    <xf numFmtId="9" fontId="26" fillId="36" borderId="21" xfId="3" applyFont="1" applyFill="1" applyBorder="1" applyAlignment="1">
      <alignment horizontal="center" vertical="center"/>
    </xf>
    <xf numFmtId="9" fontId="26" fillId="36" borderId="44" xfId="0" applyNumberFormat="1" applyFont="1" applyFill="1" applyBorder="1" applyAlignment="1">
      <alignment horizontal="center" vertical="center"/>
    </xf>
    <xf numFmtId="9" fontId="26" fillId="36" borderId="46" xfId="0" applyNumberFormat="1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80" fontId="40" fillId="35" borderId="2" xfId="0" applyNumberFormat="1" applyFont="1" applyFill="1" applyBorder="1" applyAlignment="1">
      <alignment horizontal="center" vertical="center"/>
    </xf>
    <xf numFmtId="0" fontId="40" fillId="35" borderId="0" xfId="0" applyFont="1" applyFill="1">
      <alignment vertical="center"/>
    </xf>
    <xf numFmtId="0" fontId="4" fillId="36" borderId="0" xfId="0" applyFont="1" applyFill="1" applyAlignment="1">
      <alignment horizontal="center" vertical="center"/>
    </xf>
    <xf numFmtId="180" fontId="26" fillId="0" borderId="68" xfId="0" applyNumberFormat="1" applyFont="1" applyFill="1" applyBorder="1">
      <alignment vertical="center"/>
    </xf>
    <xf numFmtId="177" fontId="26" fillId="0" borderId="68" xfId="0" applyNumberFormat="1" applyFont="1" applyFill="1" applyBorder="1" applyAlignment="1">
      <alignment horizontal="right" vertical="center"/>
    </xf>
    <xf numFmtId="183" fontId="26" fillId="0" borderId="68" xfId="0" applyNumberFormat="1" applyFont="1" applyFill="1" applyBorder="1">
      <alignment vertical="center"/>
    </xf>
    <xf numFmtId="179" fontId="26" fillId="0" borderId="68" xfId="0" applyNumberFormat="1" applyFont="1" applyFill="1" applyBorder="1">
      <alignment vertical="center"/>
    </xf>
    <xf numFmtId="9" fontId="26" fillId="0" borderId="68" xfId="3" applyFont="1" applyFill="1" applyBorder="1">
      <alignment vertical="center"/>
    </xf>
    <xf numFmtId="9" fontId="26" fillId="0" borderId="68" xfId="0" applyNumberFormat="1" applyFont="1" applyFill="1" applyBorder="1">
      <alignment vertical="center"/>
    </xf>
    <xf numFmtId="179" fontId="4" fillId="9" borderId="14" xfId="0" applyNumberFormat="1" applyFont="1" applyFill="1" applyBorder="1" applyAlignment="1">
      <alignment horizontal="center" vertical="center"/>
    </xf>
    <xf numFmtId="0" fontId="40" fillId="35" borderId="0" xfId="0" applyFont="1" applyFill="1" applyAlignment="1">
      <alignment horizontal="center" vertical="center"/>
    </xf>
    <xf numFmtId="0" fontId="40" fillId="35" borderId="0" xfId="0" applyFont="1" applyFill="1" applyAlignment="1">
      <alignment horizontal="right" vertical="center"/>
    </xf>
    <xf numFmtId="10" fontId="40" fillId="35" borderId="0" xfId="0" applyNumberFormat="1" applyFont="1" applyFill="1" applyAlignment="1">
      <alignment horizontal="right" vertical="center"/>
    </xf>
    <xf numFmtId="179" fontId="32" fillId="37" borderId="0" xfId="0" applyNumberFormat="1" applyFont="1" applyFill="1" applyAlignment="1">
      <alignment horizontal="center" vertical="center"/>
    </xf>
    <xf numFmtId="179" fontId="25" fillId="40" borderId="0" xfId="0" applyNumberFormat="1" applyFont="1" applyFill="1" applyAlignment="1">
      <alignment horizontal="center" vertical="center"/>
    </xf>
    <xf numFmtId="179" fontId="4" fillId="37" borderId="0" xfId="0" applyNumberFormat="1" applyFont="1" applyFill="1" applyAlignment="1">
      <alignment horizontal="center" vertical="center"/>
    </xf>
    <xf numFmtId="0" fontId="25" fillId="40" borderId="0" xfId="0" applyFont="1" applyFill="1">
      <alignment vertical="center"/>
    </xf>
    <xf numFmtId="179" fontId="26" fillId="40" borderId="0" xfId="0" applyNumberFormat="1" applyFont="1" applyFill="1">
      <alignment vertical="center"/>
    </xf>
    <xf numFmtId="179" fontId="26" fillId="37" borderId="0" xfId="0" applyNumberFormat="1" applyFont="1" applyFill="1">
      <alignment vertical="center"/>
    </xf>
    <xf numFmtId="184" fontId="26" fillId="40" borderId="0" xfId="0" applyNumberFormat="1" applyFont="1" applyFill="1">
      <alignment vertical="center"/>
    </xf>
    <xf numFmtId="184" fontId="26" fillId="37" borderId="0" xfId="0" applyNumberFormat="1" applyFont="1" applyFill="1">
      <alignment vertical="center"/>
    </xf>
    <xf numFmtId="184" fontId="40" fillId="41" borderId="0" xfId="0" applyNumberFormat="1" applyFont="1" applyFill="1">
      <alignment vertical="center"/>
    </xf>
    <xf numFmtId="184" fontId="40" fillId="39" borderId="0" xfId="0" applyNumberFormat="1" applyFont="1" applyFill="1">
      <alignment vertical="center"/>
    </xf>
    <xf numFmtId="184" fontId="26" fillId="42" borderId="0" xfId="0" applyNumberFormat="1" applyFont="1" applyFill="1">
      <alignment vertical="center"/>
    </xf>
    <xf numFmtId="184" fontId="26" fillId="25" borderId="0" xfId="0" applyNumberFormat="1" applyFont="1" applyFill="1">
      <alignment vertical="center"/>
    </xf>
    <xf numFmtId="0" fontId="26" fillId="0" borderId="13" xfId="0" applyFont="1" applyBorder="1">
      <alignment vertical="center"/>
    </xf>
    <xf numFmtId="0" fontId="26" fillId="0" borderId="10" xfId="0" applyFont="1" applyBorder="1">
      <alignment vertical="center"/>
    </xf>
    <xf numFmtId="9" fontId="26" fillId="36" borderId="25" xfId="0" applyNumberFormat="1" applyFont="1" applyFill="1" applyBorder="1" applyAlignment="1">
      <alignment horizontal="center" vertical="center"/>
    </xf>
    <xf numFmtId="0" fontId="26" fillId="36" borderId="17" xfId="0" applyFont="1" applyFill="1" applyBorder="1" applyAlignment="1">
      <alignment horizontal="center" vertical="center"/>
    </xf>
    <xf numFmtId="0" fontId="26" fillId="36" borderId="71" xfId="0" applyFont="1" applyFill="1" applyBorder="1" applyAlignment="1">
      <alignment horizontal="center" vertical="center"/>
    </xf>
    <xf numFmtId="0" fontId="26" fillId="36" borderId="16" xfId="0" applyFont="1" applyFill="1" applyBorder="1" applyAlignment="1">
      <alignment horizontal="center" vertical="center"/>
    </xf>
    <xf numFmtId="0" fontId="26" fillId="36" borderId="72" xfId="0" applyFont="1" applyFill="1" applyBorder="1" applyAlignment="1">
      <alignment horizontal="center" vertical="center"/>
    </xf>
    <xf numFmtId="9" fontId="26" fillId="36" borderId="73" xfId="3" applyFont="1" applyFill="1" applyBorder="1" applyAlignment="1">
      <alignment horizontal="center" vertical="center"/>
    </xf>
    <xf numFmtId="9" fontId="26" fillId="0" borderId="13" xfId="3" applyFont="1" applyBorder="1" applyAlignment="1">
      <alignment horizontal="center" vertical="center"/>
    </xf>
    <xf numFmtId="9" fontId="26" fillId="36" borderId="14" xfId="3" applyFont="1" applyFill="1" applyBorder="1" applyAlignment="1">
      <alignment horizontal="center" vertical="center"/>
    </xf>
    <xf numFmtId="0" fontId="40" fillId="35" borderId="74" xfId="0" applyFont="1" applyFill="1" applyBorder="1" applyAlignment="1">
      <alignment horizontal="center" vertical="center"/>
    </xf>
    <xf numFmtId="0" fontId="40" fillId="35" borderId="74" xfId="0" applyFont="1" applyFill="1" applyBorder="1" applyAlignment="1">
      <alignment vertical="center"/>
    </xf>
    <xf numFmtId="0" fontId="40" fillId="35" borderId="11" xfId="0" applyFont="1" applyFill="1" applyBorder="1" applyAlignment="1">
      <alignment horizontal="center" vertical="center"/>
    </xf>
    <xf numFmtId="0" fontId="4" fillId="37" borderId="0" xfId="0" applyFont="1" applyFill="1" applyBorder="1" applyAlignment="1">
      <alignment vertical="center"/>
    </xf>
    <xf numFmtId="0" fontId="47" fillId="36" borderId="0" xfId="0" applyFont="1" applyFill="1">
      <alignment vertical="center"/>
    </xf>
    <xf numFmtId="0" fontId="47" fillId="36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6" borderId="76" xfId="0" applyFont="1" applyFill="1" applyBorder="1" applyAlignment="1">
      <alignment horizontal="center" vertical="center"/>
    </xf>
    <xf numFmtId="9" fontId="26" fillId="36" borderId="73" xfId="0" applyNumberFormat="1" applyFont="1" applyFill="1" applyBorder="1" applyAlignment="1">
      <alignment horizontal="center" vertical="center"/>
    </xf>
    <xf numFmtId="9" fontId="26" fillId="0" borderId="13" xfId="0" applyNumberFormat="1" applyFont="1" applyBorder="1" applyAlignment="1">
      <alignment horizontal="center" vertical="center"/>
    </xf>
    <xf numFmtId="9" fontId="26" fillId="36" borderId="77" xfId="0" applyNumberFormat="1" applyFont="1" applyFill="1" applyBorder="1" applyAlignment="1">
      <alignment horizontal="center" vertical="center"/>
    </xf>
    <xf numFmtId="9" fontId="4" fillId="0" borderId="0" xfId="0" applyNumberFormat="1" applyFont="1">
      <alignment vertical="center"/>
    </xf>
    <xf numFmtId="9" fontId="4" fillId="0" borderId="0" xfId="3" applyFont="1">
      <alignment vertical="center"/>
    </xf>
    <xf numFmtId="9" fontId="26" fillId="36" borderId="75" xfId="3" applyFont="1" applyFill="1" applyBorder="1" applyAlignment="1">
      <alignment horizontal="center" vertical="center"/>
    </xf>
    <xf numFmtId="0" fontId="27" fillId="0" borderId="2" xfId="0" applyFont="1" applyBorder="1">
      <alignment vertical="center"/>
    </xf>
    <xf numFmtId="179" fontId="25" fillId="37" borderId="0" xfId="0" applyNumberFormat="1" applyFont="1" applyFill="1" applyAlignment="1">
      <alignment vertical="center"/>
    </xf>
    <xf numFmtId="180" fontId="25" fillId="37" borderId="0" xfId="0" applyNumberFormat="1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48" fillId="0" borderId="0" xfId="0" applyFont="1">
      <alignment vertical="center"/>
    </xf>
    <xf numFmtId="0" fontId="50" fillId="20" borderId="31" xfId="0" applyFont="1" applyFill="1" applyBorder="1" applyAlignment="1">
      <alignment horizontal="center" vertical="center"/>
    </xf>
    <xf numFmtId="0" fontId="51" fillId="23" borderId="28" xfId="0" applyFont="1" applyFill="1" applyBorder="1" applyAlignment="1">
      <alignment horizontal="center" vertical="center"/>
    </xf>
    <xf numFmtId="0" fontId="49" fillId="22" borderId="20" xfId="0" applyFont="1" applyFill="1" applyBorder="1" applyAlignment="1">
      <alignment horizontal="center" vertical="center"/>
    </xf>
    <xf numFmtId="0" fontId="26" fillId="0" borderId="0" xfId="0" applyNumberFormat="1" applyFont="1">
      <alignment vertical="center"/>
    </xf>
    <xf numFmtId="0" fontId="39" fillId="23" borderId="18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79" fontId="52" fillId="37" borderId="0" xfId="0" applyNumberFormat="1" applyFont="1" applyFill="1" applyAlignment="1">
      <alignment vertical="center"/>
    </xf>
    <xf numFmtId="0" fontId="26" fillId="0" borderId="8" xfId="0" applyNumberFormat="1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5" fillId="0" borderId="0" xfId="0" applyFont="1" applyBorder="1">
      <alignment vertical="center"/>
    </xf>
    <xf numFmtId="181" fontId="29" fillId="0" borderId="0" xfId="0" applyNumberFormat="1" applyFont="1" applyBorder="1">
      <alignment vertical="center"/>
    </xf>
    <xf numFmtId="0" fontId="53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6" fillId="26" borderId="0" xfId="0" applyFont="1" applyFill="1" applyAlignment="1">
      <alignment horizontal="center" vertical="center"/>
    </xf>
    <xf numFmtId="0" fontId="27" fillId="0" borderId="0" xfId="0" applyFont="1">
      <alignment vertical="center"/>
    </xf>
    <xf numFmtId="10" fontId="27" fillId="0" borderId="0" xfId="0" applyNumberFormat="1" applyFont="1">
      <alignment vertical="center"/>
    </xf>
    <xf numFmtId="0" fontId="27" fillId="0" borderId="0" xfId="0" applyFont="1">
      <alignment vertical="center"/>
    </xf>
    <xf numFmtId="0" fontId="26" fillId="26" borderId="0" xfId="0" applyFont="1" applyFill="1" applyAlignment="1">
      <alignment vertical="center"/>
    </xf>
    <xf numFmtId="10" fontId="39" fillId="32" borderId="0" xfId="3" applyNumberFormat="1" applyFont="1" applyFill="1" applyAlignment="1">
      <alignment horizontal="center" vertical="center"/>
    </xf>
    <xf numFmtId="0" fontId="27" fillId="0" borderId="0" xfId="3" applyNumberFormat="1" applyFont="1">
      <alignment vertical="center"/>
    </xf>
    <xf numFmtId="0" fontId="27" fillId="0" borderId="0" xfId="3" applyNumberFormat="1" applyFont="1" applyAlignment="1">
      <alignment horizontal="center" vertical="center"/>
    </xf>
    <xf numFmtId="10" fontId="27" fillId="0" borderId="0" xfId="3" applyNumberFormat="1" applyFont="1" applyAlignment="1">
      <alignment horizontal="center" vertical="center"/>
    </xf>
    <xf numFmtId="10" fontId="27" fillId="37" borderId="0" xfId="3" applyNumberFormat="1" applyFont="1" applyFill="1" applyAlignment="1">
      <alignment horizontal="center" vertical="center"/>
    </xf>
    <xf numFmtId="10" fontId="27" fillId="12" borderId="0" xfId="3" applyNumberFormat="1" applyFont="1" applyFill="1" applyAlignment="1">
      <alignment horizontal="center" vertical="center"/>
    </xf>
    <xf numFmtId="10" fontId="27" fillId="44" borderId="0" xfId="3" applyNumberFormat="1" applyFont="1" applyFill="1" applyAlignment="1">
      <alignment horizontal="center" vertical="center"/>
    </xf>
    <xf numFmtId="10" fontId="27" fillId="43" borderId="0" xfId="3" applyNumberFormat="1" applyFont="1" applyFill="1" applyAlignment="1">
      <alignment horizontal="center" vertical="center"/>
    </xf>
    <xf numFmtId="10" fontId="27" fillId="31" borderId="0" xfId="3" applyNumberFormat="1" applyFont="1" applyFill="1" applyAlignment="1">
      <alignment horizontal="center" vertical="center"/>
    </xf>
    <xf numFmtId="187" fontId="27" fillId="31" borderId="0" xfId="3" applyNumberFormat="1" applyFont="1" applyFill="1" applyAlignment="1">
      <alignment horizontal="center" vertical="center"/>
    </xf>
    <xf numFmtId="10" fontId="27" fillId="39" borderId="0" xfId="3" applyNumberFormat="1" applyFont="1" applyFill="1" applyAlignment="1">
      <alignment horizontal="center" vertical="center"/>
    </xf>
    <xf numFmtId="0" fontId="27" fillId="0" borderId="0" xfId="0" applyFont="1">
      <alignment vertical="center"/>
    </xf>
    <xf numFmtId="0" fontId="27" fillId="0" borderId="0" xfId="0" applyFont="1" applyBorder="1" applyAlignment="1">
      <alignment horizontal="center" vertical="center"/>
    </xf>
    <xf numFmtId="0" fontId="39" fillId="23" borderId="18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28" fillId="28" borderId="0" xfId="0" applyFont="1" applyFill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27" fillId="37" borderId="17" xfId="0" applyFont="1" applyFill="1" applyBorder="1" applyAlignment="1">
      <alignment horizontal="center" vertical="center"/>
    </xf>
    <xf numFmtId="0" fontId="27" fillId="42" borderId="0" xfId="0" applyFont="1" applyFill="1" applyAlignment="1">
      <alignment horizontal="center" vertical="center"/>
    </xf>
    <xf numFmtId="0" fontId="27" fillId="42" borderId="0" xfId="0" applyFont="1" applyFill="1" applyBorder="1" applyAlignment="1">
      <alignment horizontal="center" vertical="center"/>
    </xf>
    <xf numFmtId="180" fontId="26" fillId="37" borderId="0" xfId="0" applyNumberFormat="1" applyFont="1" applyFill="1" applyAlignment="1">
      <alignment horizontal="center" vertical="center"/>
    </xf>
    <xf numFmtId="0" fontId="26" fillId="5" borderId="20" xfId="3" applyNumberFormat="1" applyFont="1" applyFill="1" applyBorder="1">
      <alignment vertical="center"/>
    </xf>
    <xf numFmtId="0" fontId="27" fillId="0" borderId="0" xfId="0" applyFont="1">
      <alignment vertical="center"/>
    </xf>
    <xf numFmtId="0" fontId="27" fillId="0" borderId="0" xfId="0" applyFont="1">
      <alignment vertical="center"/>
    </xf>
    <xf numFmtId="9" fontId="0" fillId="0" borderId="0" xfId="3" applyFont="1">
      <alignment vertical="center"/>
    </xf>
    <xf numFmtId="0" fontId="43" fillId="32" borderId="0" xfId="0" applyFont="1" applyFill="1" applyAlignment="1">
      <alignment horizontal="center" vertical="center"/>
    </xf>
    <xf numFmtId="0" fontId="39" fillId="23" borderId="18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0" fontId="27" fillId="45" borderId="0" xfId="3" applyNumberFormat="1" applyFont="1" applyFill="1">
      <alignment vertical="center"/>
    </xf>
    <xf numFmtId="0" fontId="39" fillId="2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6" fillId="0" borderId="0" xfId="0" applyNumberFormat="1" applyFont="1" applyFill="1" applyBorder="1">
      <alignment vertical="center"/>
    </xf>
    <xf numFmtId="0" fontId="26" fillId="0" borderId="0" xfId="3" applyNumberFormat="1" applyFont="1" applyFill="1" applyBorder="1">
      <alignment vertical="center"/>
    </xf>
    <xf numFmtId="0" fontId="27" fillId="0" borderId="0" xfId="0" applyFont="1">
      <alignment vertical="center"/>
    </xf>
    <xf numFmtId="0" fontId="15" fillId="46" borderId="0" xfId="0" applyFont="1" applyFill="1" applyAlignment="1">
      <alignment horizontal="center" vertical="center"/>
    </xf>
    <xf numFmtId="43" fontId="27" fillId="0" borderId="0" xfId="2" applyNumberFormat="1" applyFont="1" applyAlignment="1">
      <alignment horizontal="left" vertical="center" indent="2"/>
    </xf>
    <xf numFmtId="186" fontId="27" fillId="0" borderId="0" xfId="0" applyNumberFormat="1" applyFont="1">
      <alignment vertical="center"/>
    </xf>
    <xf numFmtId="0" fontId="26" fillId="0" borderId="0" xfId="3" applyNumberFormat="1" applyFont="1">
      <alignment vertical="center"/>
    </xf>
    <xf numFmtId="9" fontId="4" fillId="36" borderId="0" xfId="0" applyNumberFormat="1" applyFont="1" applyFill="1">
      <alignment vertical="center"/>
    </xf>
    <xf numFmtId="0" fontId="4" fillId="36" borderId="0" xfId="0" applyNumberFormat="1" applyFont="1" applyFill="1">
      <alignment vertical="center"/>
    </xf>
    <xf numFmtId="188" fontId="26" fillId="0" borderId="0" xfId="3" applyNumberFormat="1" applyFont="1">
      <alignment vertical="center"/>
    </xf>
    <xf numFmtId="189" fontId="26" fillId="0" borderId="0" xfId="3" applyNumberFormat="1" applyFont="1" applyFill="1" applyBorder="1">
      <alignment vertical="center"/>
    </xf>
    <xf numFmtId="186" fontId="27" fillId="0" borderId="0" xfId="2" applyNumberFormat="1" applyFont="1" applyAlignment="1">
      <alignment horizontal="center" vertical="center"/>
    </xf>
    <xf numFmtId="0" fontId="27" fillId="47" borderId="0" xfId="0" applyFont="1" applyFill="1" applyAlignment="1">
      <alignment horizontal="center" vertical="center"/>
    </xf>
    <xf numFmtId="186" fontId="27" fillId="47" borderId="0" xfId="2" applyNumberFormat="1" applyFont="1" applyFill="1" applyAlignment="1">
      <alignment horizontal="center" vertical="center"/>
    </xf>
    <xf numFmtId="186" fontId="27" fillId="6" borderId="0" xfId="2" applyNumberFormat="1" applyFont="1" applyFill="1" applyAlignment="1">
      <alignment horizontal="center" vertical="center"/>
    </xf>
    <xf numFmtId="186" fontId="27" fillId="0" borderId="0" xfId="0" applyNumberFormat="1" applyFont="1" applyAlignment="1">
      <alignment horizontal="center" vertical="center"/>
    </xf>
    <xf numFmtId="0" fontId="27" fillId="47" borderId="0" xfId="0" applyFont="1" applyFill="1">
      <alignment vertical="center"/>
    </xf>
    <xf numFmtId="0" fontId="27" fillId="48" borderId="0" xfId="0" applyFont="1" applyFill="1">
      <alignment vertical="center"/>
    </xf>
    <xf numFmtId="186" fontId="27" fillId="48" borderId="0" xfId="2" applyNumberFormat="1" applyFont="1" applyFill="1" applyAlignment="1">
      <alignment horizontal="left" vertical="center"/>
    </xf>
    <xf numFmtId="0" fontId="39" fillId="49" borderId="0" xfId="0" applyFont="1" applyFill="1">
      <alignment vertical="center"/>
    </xf>
    <xf numFmtId="181" fontId="5" fillId="0" borderId="0" xfId="0" applyNumberFormat="1" applyFont="1" applyBorder="1">
      <alignment vertical="center"/>
    </xf>
    <xf numFmtId="10" fontId="27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79" fontId="26" fillId="37" borderId="0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6" fontId="27" fillId="47" borderId="0" xfId="2" applyNumberFormat="1" applyFont="1" applyFill="1" applyAlignment="1">
      <alignment horizontal="left" vertical="center"/>
    </xf>
    <xf numFmtId="186" fontId="27" fillId="47" borderId="0" xfId="0" applyNumberFormat="1" applyFont="1" applyFill="1" applyAlignment="1">
      <alignment horizontal="left" vertical="center"/>
    </xf>
    <xf numFmtId="0" fontId="27" fillId="47" borderId="0" xfId="0" applyFont="1" applyFill="1" applyAlignment="1">
      <alignment horizontal="left" vertical="center"/>
    </xf>
    <xf numFmtId="0" fontId="27" fillId="43" borderId="0" xfId="3" applyNumberFormat="1" applyFont="1" applyFill="1" applyAlignment="1">
      <alignment horizontal="center" vertical="center"/>
    </xf>
    <xf numFmtId="9" fontId="27" fillId="43" borderId="0" xfId="3" applyNumberFormat="1" applyFont="1" applyFill="1" applyAlignment="1">
      <alignment horizontal="center" vertical="center"/>
    </xf>
    <xf numFmtId="0" fontId="27" fillId="34" borderId="0" xfId="0" applyFont="1" applyFill="1">
      <alignment vertical="center"/>
    </xf>
    <xf numFmtId="186" fontId="27" fillId="34" borderId="0" xfId="2" applyNumberFormat="1" applyFont="1" applyFill="1">
      <alignment vertical="center"/>
    </xf>
    <xf numFmtId="186" fontId="27" fillId="34" borderId="0" xfId="2" applyNumberFormat="1" applyFont="1" applyFill="1" applyAlignment="1">
      <alignment horizontal="center" vertical="center"/>
    </xf>
    <xf numFmtId="37" fontId="27" fillId="34" borderId="0" xfId="0" applyNumberFormat="1" applyFont="1" applyFill="1">
      <alignment vertical="center"/>
    </xf>
    <xf numFmtId="0" fontId="27" fillId="34" borderId="0" xfId="0" applyFont="1" applyFill="1" applyAlignment="1">
      <alignment horizontal="center" vertical="center"/>
    </xf>
    <xf numFmtId="0" fontId="27" fillId="34" borderId="0" xfId="0" applyFont="1" applyFill="1" applyAlignment="1">
      <alignment horizontal="right" vertical="center"/>
    </xf>
    <xf numFmtId="186" fontId="27" fillId="34" borderId="0" xfId="2" applyNumberFormat="1" applyFont="1" applyFill="1" applyAlignment="1">
      <alignment horizontal="left" vertical="center"/>
    </xf>
    <xf numFmtId="0" fontId="27" fillId="45" borderId="0" xfId="0" applyFont="1" applyFill="1">
      <alignment vertical="center"/>
    </xf>
    <xf numFmtId="186" fontId="27" fillId="45" borderId="0" xfId="2" applyNumberFormat="1" applyFont="1" applyFill="1">
      <alignment vertical="center"/>
    </xf>
    <xf numFmtId="186" fontId="27" fillId="45" borderId="0" xfId="2" applyNumberFormat="1" applyFont="1" applyFill="1" applyAlignment="1">
      <alignment horizontal="center" vertical="center"/>
    </xf>
    <xf numFmtId="37" fontId="27" fillId="45" borderId="0" xfId="0" applyNumberFormat="1" applyFont="1" applyFill="1">
      <alignment vertical="center"/>
    </xf>
    <xf numFmtId="0" fontId="27" fillId="45" borderId="0" xfId="0" applyFont="1" applyFill="1" applyAlignment="1">
      <alignment horizontal="center" vertical="center"/>
    </xf>
    <xf numFmtId="0" fontId="27" fillId="45" borderId="0" xfId="0" applyFont="1" applyFill="1" applyAlignment="1">
      <alignment horizontal="right" vertical="center"/>
    </xf>
    <xf numFmtId="186" fontId="27" fillId="45" borderId="0" xfId="2" applyNumberFormat="1" applyFont="1" applyFill="1" applyAlignment="1">
      <alignment horizontal="left" vertical="center"/>
    </xf>
    <xf numFmtId="0" fontId="27" fillId="50" borderId="0" xfId="0" applyFont="1" applyFill="1" applyAlignment="1">
      <alignment horizontal="left" vertical="center"/>
    </xf>
    <xf numFmtId="186" fontId="27" fillId="36" borderId="0" xfId="2" applyNumberFormat="1" applyFont="1" applyFill="1" applyAlignment="1">
      <alignment horizontal="left" vertical="center"/>
    </xf>
    <xf numFmtId="186" fontId="27" fillId="36" borderId="0" xfId="0" applyNumberFormat="1" applyFont="1" applyFill="1" applyAlignment="1">
      <alignment horizontal="left" vertical="center"/>
    </xf>
    <xf numFmtId="0" fontId="27" fillId="36" borderId="0" xfId="0" applyFont="1" applyFill="1" applyAlignment="1">
      <alignment horizontal="left" vertical="center"/>
    </xf>
    <xf numFmtId="186" fontId="27" fillId="48" borderId="0" xfId="0" applyNumberFormat="1" applyFont="1" applyFill="1" applyAlignment="1">
      <alignment horizontal="left" vertical="center"/>
    </xf>
    <xf numFmtId="0" fontId="27" fillId="48" borderId="0" xfId="0" applyFont="1" applyFill="1" applyAlignment="1">
      <alignment horizontal="left" vertical="center"/>
    </xf>
    <xf numFmtId="43" fontId="27" fillId="48" borderId="0" xfId="2" applyNumberFormat="1" applyFont="1" applyFill="1" applyAlignment="1">
      <alignment horizontal="left" vertical="center"/>
    </xf>
    <xf numFmtId="0" fontId="27" fillId="51" borderId="0" xfId="0" applyFont="1" applyFill="1">
      <alignment vertical="center"/>
    </xf>
    <xf numFmtId="186" fontId="27" fillId="51" borderId="0" xfId="2" applyNumberFormat="1" applyFont="1" applyFill="1" applyAlignment="1">
      <alignment horizontal="center" vertical="center"/>
    </xf>
    <xf numFmtId="186" fontId="27" fillId="51" borderId="0" xfId="2" applyNumberFormat="1" applyFont="1" applyFill="1">
      <alignment vertical="center"/>
    </xf>
    <xf numFmtId="37" fontId="27" fillId="51" borderId="0" xfId="0" applyNumberFormat="1" applyFont="1" applyFill="1">
      <alignment vertical="center"/>
    </xf>
    <xf numFmtId="0" fontId="27" fillId="51" borderId="0" xfId="0" applyFont="1" applyFill="1" applyAlignment="1">
      <alignment horizontal="center" vertical="center"/>
    </xf>
    <xf numFmtId="0" fontId="27" fillId="51" borderId="0" xfId="0" applyFont="1" applyFill="1" applyAlignment="1">
      <alignment horizontal="right" vertical="center"/>
    </xf>
    <xf numFmtId="186" fontId="27" fillId="51" borderId="0" xfId="2" applyNumberFormat="1" applyFont="1" applyFill="1" applyAlignment="1">
      <alignment horizontal="left" vertical="center"/>
    </xf>
    <xf numFmtId="0" fontId="26" fillId="52" borderId="0" xfId="0" applyFont="1" applyFill="1">
      <alignment vertical="center"/>
    </xf>
    <xf numFmtId="0" fontId="40" fillId="22" borderId="20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26" fillId="0" borderId="0" xfId="0" applyNumberFormat="1" applyFont="1">
      <alignment vertical="center"/>
    </xf>
    <xf numFmtId="186" fontId="27" fillId="50" borderId="0" xfId="0" applyNumberFormat="1" applyFont="1" applyFill="1" applyAlignment="1">
      <alignment horizontal="left" vertical="center"/>
    </xf>
    <xf numFmtId="43" fontId="27" fillId="50" borderId="0" xfId="0" applyNumberFormat="1" applyFont="1" applyFill="1" applyAlignment="1">
      <alignment horizontal="left" vertical="center"/>
    </xf>
    <xf numFmtId="0" fontId="40" fillId="22" borderId="20" xfId="0" applyFont="1" applyFill="1" applyBorder="1" applyAlignment="1">
      <alignment horizontal="center" vertical="center"/>
    </xf>
    <xf numFmtId="182" fontId="42" fillId="53" borderId="0" xfId="0" applyNumberFormat="1" applyFont="1" applyFill="1" applyBorder="1" applyAlignment="1">
      <alignment vertical="center"/>
    </xf>
    <xf numFmtId="182" fontId="4" fillId="53" borderId="0" xfId="0" applyNumberFormat="1" applyFont="1" applyFill="1" applyBorder="1" applyAlignment="1">
      <alignment horizontal="center" vertical="center"/>
    </xf>
    <xf numFmtId="182" fontId="4" fillId="53" borderId="79" xfId="0" applyNumberFormat="1" applyFont="1" applyFill="1" applyBorder="1" applyAlignment="1">
      <alignment horizontal="center" vertical="center"/>
    </xf>
    <xf numFmtId="0" fontId="26" fillId="53" borderId="0" xfId="0" applyFont="1" applyFill="1" applyBorder="1" applyAlignment="1">
      <alignment horizontal="center" vertical="center"/>
    </xf>
    <xf numFmtId="0" fontId="26" fillId="53" borderId="0" xfId="0" applyFont="1" applyFill="1" applyAlignment="1">
      <alignment horizontal="center" vertical="center"/>
    </xf>
    <xf numFmtId="9" fontId="26" fillId="53" borderId="0" xfId="3" applyFont="1" applyFill="1" applyAlignment="1">
      <alignment horizontal="center" vertical="center"/>
    </xf>
    <xf numFmtId="10" fontId="26" fillId="53" borderId="0" xfId="0" applyNumberFormat="1" applyFont="1" applyFill="1" applyAlignment="1">
      <alignment horizontal="center" vertical="center"/>
    </xf>
    <xf numFmtId="9" fontId="26" fillId="53" borderId="0" xfId="0" applyNumberFormat="1" applyFont="1" applyFill="1" applyAlignment="1">
      <alignment horizontal="center" vertical="center"/>
    </xf>
    <xf numFmtId="180" fontId="26" fillId="53" borderId="0" xfId="0" applyNumberFormat="1" applyFont="1" applyFill="1" applyAlignment="1">
      <alignment horizontal="center" vertical="center"/>
    </xf>
    <xf numFmtId="9" fontId="26" fillId="53" borderId="0" xfId="3" applyFont="1" applyFill="1">
      <alignment vertical="center"/>
    </xf>
    <xf numFmtId="0" fontId="26" fillId="53" borderId="0" xfId="0" applyFont="1" applyFill="1">
      <alignment vertical="center"/>
    </xf>
    <xf numFmtId="0" fontId="27" fillId="0" borderId="0" xfId="0" applyFont="1">
      <alignment vertical="center"/>
    </xf>
    <xf numFmtId="10" fontId="18" fillId="6" borderId="0" xfId="0" applyNumberFormat="1" applyFont="1" applyFill="1">
      <alignment vertical="center"/>
    </xf>
    <xf numFmtId="10" fontId="16" fillId="6" borderId="0" xfId="0" applyNumberFormat="1" applyFont="1" applyFill="1">
      <alignment vertical="center"/>
    </xf>
    <xf numFmtId="181" fontId="27" fillId="6" borderId="0" xfId="0" applyNumberFormat="1" applyFont="1" applyFill="1">
      <alignment vertical="center"/>
    </xf>
    <xf numFmtId="10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27" fillId="0" borderId="0" xfId="0" applyFont="1">
      <alignment vertical="center"/>
    </xf>
    <xf numFmtId="0" fontId="27" fillId="0" borderId="0" xfId="0" applyFont="1">
      <alignment vertical="center"/>
    </xf>
    <xf numFmtId="0" fontId="26" fillId="24" borderId="0" xfId="0" applyFont="1" applyFill="1" applyBorder="1" applyAlignment="1">
      <alignment horizontal="center" vertical="center"/>
    </xf>
    <xf numFmtId="179" fontId="40" fillId="39" borderId="0" xfId="0" applyNumberFormat="1" applyFont="1" applyFill="1" applyAlignment="1">
      <alignment horizontal="center" vertical="center"/>
    </xf>
    <xf numFmtId="179" fontId="32" fillId="37" borderId="0" xfId="0" applyNumberFormat="1" applyFont="1" applyFill="1" applyAlignment="1">
      <alignment horizontal="center" vertical="center"/>
    </xf>
    <xf numFmtId="182" fontId="42" fillId="6" borderId="19" xfId="0" applyNumberFormat="1" applyFont="1" applyFill="1" applyBorder="1" applyAlignment="1">
      <alignment horizontal="center" vertical="center"/>
    </xf>
    <xf numFmtId="182" fontId="42" fillId="6" borderId="0" xfId="0" applyNumberFormat="1" applyFont="1" applyFill="1" applyBorder="1" applyAlignment="1">
      <alignment horizontal="center" vertical="center"/>
    </xf>
    <xf numFmtId="10" fontId="40" fillId="0" borderId="19" xfId="0" applyNumberFormat="1" applyFont="1" applyBorder="1" applyAlignment="1">
      <alignment horizontal="center" vertical="center"/>
    </xf>
    <xf numFmtId="10" fontId="40" fillId="0" borderId="0" xfId="0" applyNumberFormat="1" applyFont="1" applyBorder="1" applyAlignment="1">
      <alignment horizontal="center" vertical="center"/>
    </xf>
    <xf numFmtId="9" fontId="41" fillId="9" borderId="17" xfId="0" applyNumberFormat="1" applyFont="1" applyFill="1" applyBorder="1" applyAlignment="1">
      <alignment horizontal="center" vertical="center"/>
    </xf>
    <xf numFmtId="9" fontId="41" fillId="9" borderId="0" xfId="0" applyNumberFormat="1" applyFont="1" applyFill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40" fillId="31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27" borderId="0" xfId="0" applyFont="1" applyFill="1" applyAlignment="1">
      <alignment horizontal="center" vertical="center"/>
    </xf>
    <xf numFmtId="0" fontId="26" fillId="52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4" fillId="25" borderId="0" xfId="0" applyFont="1" applyFill="1" applyBorder="1" applyAlignment="1">
      <alignment horizontal="center" vertical="center"/>
    </xf>
    <xf numFmtId="10" fontId="4" fillId="11" borderId="0" xfId="0" applyNumberFormat="1" applyFont="1" applyFill="1" applyAlignment="1">
      <alignment horizontal="center" vertical="center"/>
    </xf>
    <xf numFmtId="179" fontId="26" fillId="40" borderId="0" xfId="0" applyNumberFormat="1" applyFont="1" applyFill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25" fillId="40" borderId="0" xfId="0" applyFont="1" applyFill="1" applyAlignment="1">
      <alignment horizontal="center" vertical="center"/>
    </xf>
    <xf numFmtId="180" fontId="26" fillId="12" borderId="0" xfId="0" applyNumberFormat="1" applyFont="1" applyFill="1" applyAlignment="1">
      <alignment horizontal="center" vertical="center"/>
    </xf>
    <xf numFmtId="179" fontId="26" fillId="37" borderId="0" xfId="0" applyNumberFormat="1" applyFont="1" applyFill="1" applyAlignment="1">
      <alignment horizontal="center" vertical="center"/>
    </xf>
    <xf numFmtId="0" fontId="4" fillId="37" borderId="69" xfId="0" applyFont="1" applyFill="1" applyBorder="1" applyAlignment="1">
      <alignment horizontal="center" vertical="center"/>
    </xf>
    <xf numFmtId="0" fontId="4" fillId="37" borderId="0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43" fillId="32" borderId="0" xfId="0" applyFont="1" applyFill="1" applyAlignment="1">
      <alignment horizontal="center" vertical="center"/>
    </xf>
    <xf numFmtId="179" fontId="25" fillId="40" borderId="0" xfId="0" applyNumberFormat="1" applyFont="1" applyFill="1" applyAlignment="1">
      <alignment horizontal="center" vertical="center"/>
    </xf>
    <xf numFmtId="179" fontId="26" fillId="37" borderId="0" xfId="0" applyNumberFormat="1" applyFont="1" applyFill="1" applyBorder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0" fontId="26" fillId="9" borderId="63" xfId="0" applyNumberFormat="1" applyFont="1" applyFill="1" applyBorder="1" applyAlignment="1">
      <alignment horizontal="center" vertical="center"/>
    </xf>
    <xf numFmtId="10" fontId="26" fillId="9" borderId="58" xfId="0" applyNumberFormat="1" applyFont="1" applyFill="1" applyBorder="1" applyAlignment="1">
      <alignment horizontal="center" vertical="center"/>
    </xf>
    <xf numFmtId="0" fontId="26" fillId="8" borderId="78" xfId="0" applyNumberFormat="1" applyFont="1" applyFill="1" applyBorder="1" applyAlignment="1">
      <alignment horizontal="center" vertical="center"/>
    </xf>
    <xf numFmtId="0" fontId="26" fillId="8" borderId="70" xfId="0" applyNumberFormat="1" applyFont="1" applyFill="1" applyBorder="1" applyAlignment="1">
      <alignment horizontal="center" vertical="center"/>
    </xf>
    <xf numFmtId="0" fontId="27" fillId="6" borderId="62" xfId="0" applyFont="1" applyFill="1" applyBorder="1" applyAlignment="1">
      <alignment horizontal="center" vertical="center"/>
    </xf>
    <xf numFmtId="0" fontId="27" fillId="6" borderId="66" xfId="0" applyFont="1" applyFill="1" applyBorder="1" applyAlignment="1">
      <alignment horizontal="center" vertical="center"/>
    </xf>
    <xf numFmtId="0" fontId="27" fillId="9" borderId="67" xfId="0" applyFont="1" applyFill="1" applyBorder="1" applyAlignment="1">
      <alignment horizontal="center" vertical="center"/>
    </xf>
    <xf numFmtId="0" fontId="27" fillId="9" borderId="59" xfId="0" applyFont="1" applyFill="1" applyBorder="1" applyAlignment="1">
      <alignment horizontal="center" vertical="center"/>
    </xf>
    <xf numFmtId="0" fontId="39" fillId="23" borderId="18" xfId="0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/>
    </xf>
    <xf numFmtId="0" fontId="27" fillId="20" borderId="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/>
    </xf>
    <xf numFmtId="179" fontId="52" fillId="37" borderId="0" xfId="0" applyNumberFormat="1" applyFont="1" applyFill="1" applyAlignment="1">
      <alignment horizontal="center" vertical="center"/>
    </xf>
    <xf numFmtId="186" fontId="27" fillId="0" borderId="0" xfId="2" applyNumberFormat="1" applyFont="1" applyBorder="1" applyAlignment="1">
      <alignment horizontal="center" vertical="center"/>
    </xf>
    <xf numFmtId="0" fontId="40" fillId="22" borderId="81" xfId="0" applyFont="1" applyFill="1" applyBorder="1" applyAlignment="1">
      <alignment horizontal="center" vertical="center"/>
    </xf>
    <xf numFmtId="0" fontId="40" fillId="22" borderId="82" xfId="0" applyFont="1" applyFill="1" applyBorder="1" applyAlignment="1">
      <alignment horizontal="center" vertical="center"/>
    </xf>
    <xf numFmtId="0" fontId="26" fillId="10" borderId="80" xfId="0" applyFont="1" applyFill="1" applyBorder="1" applyAlignment="1">
      <alignment horizontal="center" vertical="center"/>
    </xf>
    <xf numFmtId="0" fontId="26" fillId="10" borderId="36" xfId="0" applyFont="1" applyFill="1" applyBorder="1" applyAlignment="1">
      <alignment horizontal="center" vertical="center"/>
    </xf>
    <xf numFmtId="0" fontId="26" fillId="10" borderId="37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</cellXfs>
  <cellStyles count="4">
    <cellStyle name="20% - 輔色3" xfId="1" builtinId="38"/>
    <cellStyle name="一般" xfId="0" builtinId="0"/>
    <cellStyle name="千分位" xfId="2" builtinId="3"/>
    <cellStyle name="百分比" xfId="3" builtinId="5"/>
  </cellStyles>
  <dxfs count="200"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rgb="FF7030A0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rgb="FFCB6767"/>
      </font>
    </dxf>
    <dxf>
      <font>
        <color rgb="FFC24E4E"/>
      </font>
    </dxf>
    <dxf>
      <font>
        <color rgb="FFA23838"/>
      </font>
    </dxf>
    <dxf>
      <font>
        <color rgb="FF8A1414"/>
      </font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indexed="65"/>
        </patternFill>
      </fill>
    </dxf>
    <dxf>
      <font>
        <color theme="5" tint="-0.499984740745262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E1E1FF"/>
        </patternFill>
      </fill>
    </dxf>
    <dxf>
      <font>
        <color rgb="FFA23838"/>
      </font>
      <fill>
        <patternFill patternType="solid">
          <bgColor rgb="FFFED8CE"/>
        </patternFill>
      </fill>
      <border>
        <left/>
        <right/>
        <top/>
        <bottom/>
      </border>
    </dxf>
    <dxf>
      <font>
        <color rgb="FF8A1414"/>
      </font>
      <fill>
        <patternFill>
          <bgColor rgb="FFFAD1CE"/>
        </patternFill>
      </fill>
    </dxf>
    <dxf>
      <font>
        <color rgb="FF7030A0"/>
      </font>
      <fill>
        <patternFill>
          <bgColor rgb="FFE1E1FF"/>
        </patternFill>
      </fill>
    </dxf>
    <dxf>
      <font>
        <color rgb="FFCB6767"/>
      </font>
      <fill>
        <patternFill>
          <bgColor rgb="FFFEE7DA"/>
        </patternFill>
      </fill>
    </dxf>
    <dxf>
      <font>
        <color rgb="FF8A1414"/>
      </font>
      <fill>
        <patternFill>
          <bgColor rgb="FFF5BEB5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b val="0"/>
        <i/>
        <color rgb="FFFF000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 val="0"/>
        <color theme="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2" defaultPivotStyle="PivotStyleLight16"/>
  <colors>
    <mruColors>
      <color rgb="FFC24E4E"/>
      <color rgb="FFDC9898"/>
      <color rgb="FFFED8CE"/>
      <color rgb="FFFAD1CE"/>
      <color rgb="FFF5BEB5"/>
      <color rgb="FFCB6767"/>
      <color rgb="FF8A1414"/>
      <color rgb="FFF99D9D"/>
      <color rgb="FFA23838"/>
      <color rgb="FF8C3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BUFF!$O$86" lockText="1" noThreeD="1"/>
</file>

<file path=xl/ctrlProps/ctrlProp10.xml><?xml version="1.0" encoding="utf-8"?>
<formControlPr xmlns="http://schemas.microsoft.com/office/spreadsheetml/2009/9/main" objectType="CheckBox" fmlaLink="BUFF!$B$93" lockText="1" noThreeD="1"/>
</file>

<file path=xl/ctrlProps/ctrlProp11.xml><?xml version="1.0" encoding="utf-8"?>
<formControlPr xmlns="http://schemas.microsoft.com/office/spreadsheetml/2009/9/main" objectType="CheckBox" fmlaLink="BUFF!$B$94" lockText="1" noThreeD="1"/>
</file>

<file path=xl/ctrlProps/ctrlProp12.xml><?xml version="1.0" encoding="utf-8"?>
<formControlPr xmlns="http://schemas.microsoft.com/office/spreadsheetml/2009/9/main" objectType="CheckBox" fmlaLink="BUFF!$B$95" lockText="1" noThreeD="1"/>
</file>

<file path=xl/ctrlProps/ctrlProp13.xml><?xml version="1.0" encoding="utf-8"?>
<formControlPr xmlns="http://schemas.microsoft.com/office/spreadsheetml/2009/9/main" objectType="CheckBox" checked="Checked" fmlaLink="BUFF!B76" lockText="1" noThreeD="1"/>
</file>

<file path=xl/ctrlProps/ctrlProp14.xml><?xml version="1.0" encoding="utf-8"?>
<formControlPr xmlns="http://schemas.microsoft.com/office/spreadsheetml/2009/9/main" objectType="CheckBox" fmlaLink="BUFF!$B$97" lockText="1" noThreeD="1"/>
</file>

<file path=xl/ctrlProps/ctrlProp15.xml><?xml version="1.0" encoding="utf-8"?>
<formControlPr xmlns="http://schemas.microsoft.com/office/spreadsheetml/2009/9/main" objectType="CheckBox" fmlaLink="BUFF!$B$98" lockText="1" noThreeD="1"/>
</file>

<file path=xl/ctrlProps/ctrlProp16.xml><?xml version="1.0" encoding="utf-8"?>
<formControlPr xmlns="http://schemas.microsoft.com/office/spreadsheetml/2009/9/main" objectType="CheckBox" fmlaLink="BUFF!$B$99" lockText="1" noThreeD="1"/>
</file>

<file path=xl/ctrlProps/ctrlProp17.xml><?xml version="1.0" encoding="utf-8"?>
<formControlPr xmlns="http://schemas.microsoft.com/office/spreadsheetml/2009/9/main" objectType="CheckBox" fmlaLink="BUFF!$B$100" lockText="1" noThreeD="1"/>
</file>

<file path=xl/ctrlProps/ctrlProp18.xml><?xml version="1.0" encoding="utf-8"?>
<formControlPr xmlns="http://schemas.microsoft.com/office/spreadsheetml/2009/9/main" objectType="CheckBox" fmlaLink="BUFF!$B$102" lockText="1" noThreeD="1"/>
</file>

<file path=xl/ctrlProps/ctrlProp19.xml><?xml version="1.0" encoding="utf-8"?>
<formControlPr xmlns="http://schemas.microsoft.com/office/spreadsheetml/2009/9/main" objectType="CheckBox" checked="Checked" fmlaLink="BUFF!$B$101" lockText="1" noThreeD="1"/>
</file>

<file path=xl/ctrlProps/ctrlProp2.xml><?xml version="1.0" encoding="utf-8"?>
<formControlPr xmlns="http://schemas.microsoft.com/office/spreadsheetml/2009/9/main" objectType="CheckBox" checked="Checked" fmlaLink="BUFF!$O$85" lockText="1" noThreeD="1"/>
</file>

<file path=xl/ctrlProps/ctrlProp20.xml><?xml version="1.0" encoding="utf-8"?>
<formControlPr xmlns="http://schemas.microsoft.com/office/spreadsheetml/2009/9/main" objectType="CheckBox" fmlaLink="BUFF!$B$103" lockText="1" noThreeD="1"/>
</file>

<file path=xl/ctrlProps/ctrlProp21.xml><?xml version="1.0" encoding="utf-8"?>
<formControlPr xmlns="http://schemas.microsoft.com/office/spreadsheetml/2009/9/main" objectType="CheckBox" fmlaLink="BUFF!$B$104" lockText="1" noThreeD="1"/>
</file>

<file path=xl/ctrlProps/ctrlProp22.xml><?xml version="1.0" encoding="utf-8"?>
<formControlPr xmlns="http://schemas.microsoft.com/office/spreadsheetml/2009/9/main" objectType="CheckBox" checked="Checked" fmlaLink="BUFF!$B$105" lockText="1" noThreeD="1"/>
</file>

<file path=xl/ctrlProps/ctrlProp23.xml><?xml version="1.0" encoding="utf-8"?>
<formControlPr xmlns="http://schemas.microsoft.com/office/spreadsheetml/2009/9/main" objectType="CheckBox" fmlaLink="BUFF!$B$107" lockText="1" noThreeD="1"/>
</file>

<file path=xl/ctrlProps/ctrlProp24.xml><?xml version="1.0" encoding="utf-8"?>
<formControlPr xmlns="http://schemas.microsoft.com/office/spreadsheetml/2009/9/main" objectType="CheckBox" fmlaLink="BUFF!$B$2" lockText="1" noThreeD="1"/>
</file>

<file path=xl/ctrlProps/ctrlProp25.xml><?xml version="1.0" encoding="utf-8"?>
<formControlPr xmlns="http://schemas.microsoft.com/office/spreadsheetml/2009/9/main" objectType="CheckBox" checked="Checked" fmlaLink="BUFF!$C$2" lockText="1" noThreeD="1"/>
</file>

<file path=xl/ctrlProps/ctrlProp26.xml><?xml version="1.0" encoding="utf-8"?>
<formControlPr xmlns="http://schemas.microsoft.com/office/spreadsheetml/2009/9/main" objectType="CheckBox" checked="Checked" fmlaLink="BUFF!$D$2" lockText="1" noThreeD="1"/>
</file>

<file path=xl/ctrlProps/ctrlProp27.xml><?xml version="1.0" encoding="utf-8"?>
<formControlPr xmlns="http://schemas.microsoft.com/office/spreadsheetml/2009/9/main" objectType="CheckBox" checked="Checked" fmlaLink="BUFF!$E$2" lockText="1" noThreeD="1"/>
</file>

<file path=xl/ctrlProps/ctrlProp28.xml><?xml version="1.0" encoding="utf-8"?>
<formControlPr xmlns="http://schemas.microsoft.com/office/spreadsheetml/2009/9/main" objectType="CheckBox" checked="Checked" fmlaLink="BUFF!$F$2" lockText="1" noThreeD="1"/>
</file>

<file path=xl/ctrlProps/ctrlProp29.xml><?xml version="1.0" encoding="utf-8"?>
<formControlPr xmlns="http://schemas.microsoft.com/office/spreadsheetml/2009/9/main" objectType="CheckBox" fmlaLink="BUFF!$G$2" lockText="1" noThreeD="1"/>
</file>

<file path=xl/ctrlProps/ctrlProp3.xml><?xml version="1.0" encoding="utf-8"?>
<formControlPr xmlns="http://schemas.microsoft.com/office/spreadsheetml/2009/9/main" objectType="CheckBox" checked="Checked" fmlaLink="BUFF!$O$87" lockText="1" noThreeD="1"/>
</file>

<file path=xl/ctrlProps/ctrlProp30.xml><?xml version="1.0" encoding="utf-8"?>
<formControlPr xmlns="http://schemas.microsoft.com/office/spreadsheetml/2009/9/main" objectType="CheckBox" checked="Checked" fmlaLink="BUFF!$N$6" lockText="1" noThreeD="1"/>
</file>

<file path=xl/ctrlProps/ctrlProp31.xml><?xml version="1.0" encoding="utf-8"?>
<formControlPr xmlns="http://schemas.microsoft.com/office/spreadsheetml/2009/9/main" objectType="CheckBox" fmlaLink="BUFF!$O$6" lockText="1" noThreeD="1"/>
</file>

<file path=xl/ctrlProps/ctrlProp32.xml><?xml version="1.0" encoding="utf-8"?>
<formControlPr xmlns="http://schemas.microsoft.com/office/spreadsheetml/2009/9/main" objectType="CheckBox" checked="Checked" fmlaLink="BUFF!$K$6" lockText="1" noThreeD="1"/>
</file>

<file path=xl/ctrlProps/ctrlProp33.xml><?xml version="1.0" encoding="utf-8"?>
<formControlPr xmlns="http://schemas.microsoft.com/office/spreadsheetml/2009/9/main" objectType="CheckBox" checked="Checked" fmlaLink="BUFF!$L$6" lockText="1" noThreeD="1"/>
</file>

<file path=xl/ctrlProps/ctrlProp34.xml><?xml version="1.0" encoding="utf-8"?>
<formControlPr xmlns="http://schemas.microsoft.com/office/spreadsheetml/2009/9/main" objectType="CheckBox" checked="Checked" fmlaLink="BUFF!$M$6" lockText="1" noThreeD="1"/>
</file>

<file path=xl/ctrlProps/ctrlProp35.xml><?xml version="1.0" encoding="utf-8"?>
<formControlPr xmlns="http://schemas.microsoft.com/office/spreadsheetml/2009/9/main" objectType="CheckBox" fmlaLink="BUFF!$B$6" lockText="1" noThreeD="1"/>
</file>

<file path=xl/ctrlProps/ctrlProp36.xml><?xml version="1.0" encoding="utf-8"?>
<formControlPr xmlns="http://schemas.microsoft.com/office/spreadsheetml/2009/9/main" objectType="CheckBox" fmlaLink="BUFF!$C$6" lockText="1" noThreeD="1"/>
</file>

<file path=xl/ctrlProps/ctrlProp37.xml><?xml version="1.0" encoding="utf-8"?>
<formControlPr xmlns="http://schemas.microsoft.com/office/spreadsheetml/2009/9/main" objectType="CheckBox" checked="Checked" fmlaLink="BUFF!$D$6" lockText="1" noThreeD="1"/>
</file>

<file path=xl/ctrlProps/ctrlProp38.xml><?xml version="1.0" encoding="utf-8"?>
<formControlPr xmlns="http://schemas.microsoft.com/office/spreadsheetml/2009/9/main" objectType="CheckBox" checked="Checked" fmlaLink="BUFF!$E$6" lockText="1" noThreeD="1"/>
</file>

<file path=xl/ctrlProps/ctrlProp39.xml><?xml version="1.0" encoding="utf-8"?>
<formControlPr xmlns="http://schemas.microsoft.com/office/spreadsheetml/2009/9/main" objectType="CheckBox" checked="Checked" fmlaLink="BUFF!$F$6" lockText="1" noThreeD="1"/>
</file>

<file path=xl/ctrlProps/ctrlProp4.xml><?xml version="1.0" encoding="utf-8"?>
<formControlPr xmlns="http://schemas.microsoft.com/office/spreadsheetml/2009/9/main" objectType="CheckBox" checked="Checked" fmlaLink="BUFF!$O$88" lockText="1" noThreeD="1"/>
</file>

<file path=xl/ctrlProps/ctrlProp40.xml><?xml version="1.0" encoding="utf-8"?>
<formControlPr xmlns="http://schemas.microsoft.com/office/spreadsheetml/2009/9/main" objectType="CheckBox" checked="Checked" fmlaLink="BUFF!$G$6" lockText="1" noThreeD="1"/>
</file>

<file path=xl/ctrlProps/ctrlProp41.xml><?xml version="1.0" encoding="utf-8"?>
<formControlPr xmlns="http://schemas.microsoft.com/office/spreadsheetml/2009/9/main" objectType="CheckBox" fmlaLink="BUFF!$H$6" lockText="1" noThreeD="1"/>
</file>

<file path=xl/ctrlProps/ctrlProp42.xml><?xml version="1.0" encoding="utf-8"?>
<formControlPr xmlns="http://schemas.microsoft.com/office/spreadsheetml/2009/9/main" objectType="CheckBox" checked="Checked" fmlaLink="BUFF!$D$10" lockText="1" noThreeD="1"/>
</file>

<file path=xl/ctrlProps/ctrlProp43.xml><?xml version="1.0" encoding="utf-8"?>
<formControlPr xmlns="http://schemas.microsoft.com/office/spreadsheetml/2009/9/main" objectType="CheckBox" fmlaLink="BUFF!$G$10" lockText="1" noThreeD="1"/>
</file>

<file path=xl/ctrlProps/ctrlProp44.xml><?xml version="1.0" encoding="utf-8"?>
<formControlPr xmlns="http://schemas.microsoft.com/office/spreadsheetml/2009/9/main" objectType="CheckBox" checked="Checked" fmlaLink="BUFF!$B$10" lockText="1" noThreeD="1"/>
</file>

<file path=xl/ctrlProps/ctrlProp45.xml><?xml version="1.0" encoding="utf-8"?>
<formControlPr xmlns="http://schemas.microsoft.com/office/spreadsheetml/2009/9/main" objectType="CheckBox" checked="Checked" fmlaLink="BUFF!$C$10" lockText="1" noThreeD="1"/>
</file>

<file path=xl/ctrlProps/ctrlProp46.xml><?xml version="1.0" encoding="utf-8"?>
<formControlPr xmlns="http://schemas.microsoft.com/office/spreadsheetml/2009/9/main" objectType="CheckBox" checked="Checked" fmlaLink="BUFF!$E$10" lockText="1" noThreeD="1"/>
</file>

<file path=xl/ctrlProps/ctrlProp47.xml><?xml version="1.0" encoding="utf-8"?>
<formControlPr xmlns="http://schemas.microsoft.com/office/spreadsheetml/2009/9/main" objectType="CheckBox" fmlaLink="BUFF!$F$10" lockText="1" noThreeD="1"/>
</file>

<file path=xl/ctrlProps/ctrlProp48.xml><?xml version="1.0" encoding="utf-8"?>
<formControlPr xmlns="http://schemas.microsoft.com/office/spreadsheetml/2009/9/main" objectType="CheckBox" fmlaLink="BUFF!$K$2" lockText="1" noThreeD="1"/>
</file>

<file path=xl/ctrlProps/ctrlProp49.xml><?xml version="1.0" encoding="utf-8"?>
<formControlPr xmlns="http://schemas.microsoft.com/office/spreadsheetml/2009/9/main" objectType="CheckBox" fmlaLink="BUFF!$L$2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fmlaLink="BUFF!$M$2" lockText="1" noThreeD="1"/>
</file>

<file path=xl/ctrlProps/ctrlProp51.xml><?xml version="1.0" encoding="utf-8"?>
<formControlPr xmlns="http://schemas.microsoft.com/office/spreadsheetml/2009/9/main" objectType="CheckBox" checked="Checked" fmlaLink="BUFF!$N$2" lockText="1" noThreeD="1"/>
</file>

<file path=xl/ctrlProps/ctrlProp52.xml><?xml version="1.0" encoding="utf-8"?>
<formControlPr xmlns="http://schemas.microsoft.com/office/spreadsheetml/2009/9/main" objectType="CheckBox" checked="Checked" fmlaLink="BUFF!$O$2" lockText="1" noThreeD="1"/>
</file>

<file path=xl/ctrlProps/ctrlProp53.xml><?xml version="1.0" encoding="utf-8"?>
<formControlPr xmlns="http://schemas.microsoft.com/office/spreadsheetml/2009/9/main" objectType="CheckBox" checked="Checked" fmlaLink="BUFF!$P$2" lockText="1" noThreeD="1"/>
</file>

<file path=xl/ctrlProps/ctrlProp54.xml><?xml version="1.0" encoding="utf-8"?>
<formControlPr xmlns="http://schemas.microsoft.com/office/spreadsheetml/2009/9/main" objectType="CheckBox" checked="Checked" fmlaLink="BUFF!$M$10" lockText="1" noThreeD="1"/>
</file>

<file path=xl/ctrlProps/ctrlProp55.xml><?xml version="1.0" encoding="utf-8"?>
<formControlPr xmlns="http://schemas.microsoft.com/office/spreadsheetml/2009/9/main" objectType="CheckBox" fmlaLink="BUFF!$P$10" lockText="1" noThreeD="1"/>
</file>

<file path=xl/ctrlProps/ctrlProp56.xml><?xml version="1.0" encoding="utf-8"?>
<formControlPr xmlns="http://schemas.microsoft.com/office/spreadsheetml/2009/9/main" objectType="CheckBox" checked="Checked" fmlaLink="BUFF!$K$10" lockText="1" noThreeD="1"/>
</file>

<file path=xl/ctrlProps/ctrlProp57.xml><?xml version="1.0" encoding="utf-8"?>
<formControlPr xmlns="http://schemas.microsoft.com/office/spreadsheetml/2009/9/main" objectType="CheckBox" checked="Checked" fmlaLink="BUFF!$L$10" lockText="1" noThreeD="1"/>
</file>

<file path=xl/ctrlProps/ctrlProp58.xml><?xml version="1.0" encoding="utf-8"?>
<formControlPr xmlns="http://schemas.microsoft.com/office/spreadsheetml/2009/9/main" objectType="CheckBox" checked="Checked" fmlaLink="BUFF!$N$10" lockText="1" noThreeD="1"/>
</file>

<file path=xl/ctrlProps/ctrlProp59.xml><?xml version="1.0" encoding="utf-8"?>
<formControlPr xmlns="http://schemas.microsoft.com/office/spreadsheetml/2009/9/main" objectType="CheckBox" fmlaLink="BUFF!$O$10" lockText="1" noThreeD="1"/>
</file>

<file path=xl/ctrlProps/ctrlProp6.xml><?xml version="1.0" encoding="utf-8"?>
<formControlPr xmlns="http://schemas.microsoft.com/office/spreadsheetml/2009/9/main" objectType="CheckBox" checked="Checked" fmlaLink="BUFF!$B$79" lockText="1" noThreeD="1"/>
</file>

<file path=xl/ctrlProps/ctrlProp60.xml><?xml version="1.0" encoding="utf-8"?>
<formControlPr xmlns="http://schemas.microsoft.com/office/spreadsheetml/2009/9/main" objectType="CheckBox" checked="Checked" fmlaLink="BUFF!$I$18" lockText="1" noThreeD="1"/>
</file>

<file path=xl/ctrlProps/ctrlProp61.xml><?xml version="1.0" encoding="utf-8"?>
<formControlPr xmlns="http://schemas.microsoft.com/office/spreadsheetml/2009/9/main" objectType="CheckBox" checked="Checked" fmlaLink="BUFF!$J$18" lockText="1" noThreeD="1"/>
</file>

<file path=xl/ctrlProps/ctrlProp62.xml><?xml version="1.0" encoding="utf-8"?>
<formControlPr xmlns="http://schemas.microsoft.com/office/spreadsheetml/2009/9/main" objectType="CheckBox" checked="Checked" fmlaLink="BUFF!$K$18" lockText="1" noThreeD="1"/>
</file>

<file path=xl/ctrlProps/ctrlProp63.xml><?xml version="1.0" encoding="utf-8"?>
<formControlPr xmlns="http://schemas.microsoft.com/office/spreadsheetml/2009/9/main" objectType="CheckBox" checked="Checked" fmlaLink="BUFF!$L$18" lockText="1" noThreeD="1"/>
</file>

<file path=xl/ctrlProps/ctrlProp64.xml><?xml version="1.0" encoding="utf-8"?>
<formControlPr xmlns="http://schemas.microsoft.com/office/spreadsheetml/2009/9/main" objectType="CheckBox" fmlaLink="BUFF!$O$14" lockText="1" noThreeD="1"/>
</file>

<file path=xl/ctrlProps/ctrlProp65.xml><?xml version="1.0" encoding="utf-8"?>
<formControlPr xmlns="http://schemas.microsoft.com/office/spreadsheetml/2009/9/main" objectType="CheckBox" checked="Checked" fmlaLink="BUFF!$N$14" lockText="1" noThreeD="1"/>
</file>

<file path=xl/ctrlProps/ctrlProp66.xml><?xml version="1.0" encoding="utf-8"?>
<formControlPr xmlns="http://schemas.microsoft.com/office/spreadsheetml/2009/9/main" objectType="CheckBox" checked="Checked" fmlaLink="BUFF!$K$14" lockText="1" noThreeD="1"/>
</file>

<file path=xl/ctrlProps/ctrlProp67.xml><?xml version="1.0" encoding="utf-8"?>
<formControlPr xmlns="http://schemas.microsoft.com/office/spreadsheetml/2009/9/main" objectType="CheckBox" checked="Checked" fmlaLink="BUFF!$L$14" lockText="1" noThreeD="1"/>
</file>

<file path=xl/ctrlProps/ctrlProp68.xml><?xml version="1.0" encoding="utf-8"?>
<formControlPr xmlns="http://schemas.microsoft.com/office/spreadsheetml/2009/9/main" objectType="CheckBox" checked="Checked" fmlaLink="BUFF!$M$14" lockText="1" noThreeD="1"/>
</file>

<file path=xl/ctrlProps/ctrlProp69.xml><?xml version="1.0" encoding="utf-8"?>
<formControlPr xmlns="http://schemas.microsoft.com/office/spreadsheetml/2009/9/main" objectType="CheckBox" checked="Checked" fmlaLink="BUFF!$I$21" lockText="1" noThreeD="1"/>
</file>

<file path=xl/ctrlProps/ctrlProp7.xml><?xml version="1.0" encoding="utf-8"?>
<formControlPr xmlns="http://schemas.microsoft.com/office/spreadsheetml/2009/9/main" objectType="CheckBox" checked="Checked" fmlaLink="BUFF!$B$80" lockText="1" noThreeD="1"/>
</file>

<file path=xl/ctrlProps/ctrlProp70.xml><?xml version="1.0" encoding="utf-8"?>
<formControlPr xmlns="http://schemas.microsoft.com/office/spreadsheetml/2009/9/main" objectType="CheckBox" checked="Checked" fmlaLink="BUFF!$J$21" lockText="1" noThreeD="1"/>
</file>

<file path=xl/ctrlProps/ctrlProp71.xml><?xml version="1.0" encoding="utf-8"?>
<formControlPr xmlns="http://schemas.microsoft.com/office/spreadsheetml/2009/9/main" objectType="CheckBox" checked="Checked" fmlaLink="BUFF!$K$21" lockText="1" noThreeD="1"/>
</file>

<file path=xl/ctrlProps/ctrlProp72.xml><?xml version="1.0" encoding="utf-8"?>
<formControlPr xmlns="http://schemas.microsoft.com/office/spreadsheetml/2009/9/main" objectType="CheckBox" checked="Checked" fmlaLink="BUFF!$L$21" lockText="1" noThreeD="1"/>
</file>

<file path=xl/ctrlProps/ctrlProp73.xml><?xml version="1.0" encoding="utf-8"?>
<formControlPr xmlns="http://schemas.microsoft.com/office/spreadsheetml/2009/9/main" objectType="CheckBox" checked="Checked" fmlaLink="BUFF!$I$24" lockText="1" noThreeD="1"/>
</file>

<file path=xl/ctrlProps/ctrlProp74.xml><?xml version="1.0" encoding="utf-8"?>
<formControlPr xmlns="http://schemas.microsoft.com/office/spreadsheetml/2009/9/main" objectType="CheckBox" checked="Checked" fmlaLink="BUFF!$J$24" lockText="1" noThreeD="1"/>
</file>

<file path=xl/ctrlProps/ctrlProp75.xml><?xml version="1.0" encoding="utf-8"?>
<formControlPr xmlns="http://schemas.microsoft.com/office/spreadsheetml/2009/9/main" objectType="CheckBox" fmlaLink="BUFF!$K$24" lockText="1" noThreeD="1"/>
</file>

<file path=xl/ctrlProps/ctrlProp76.xml><?xml version="1.0" encoding="utf-8"?>
<formControlPr xmlns="http://schemas.microsoft.com/office/spreadsheetml/2009/9/main" objectType="CheckBox" checked="Checked" fmlaLink="BUFF!$N$24" lockText="1" noThreeD="1"/>
</file>

<file path=xl/ctrlProps/ctrlProp77.xml><?xml version="1.0" encoding="utf-8"?>
<formControlPr xmlns="http://schemas.microsoft.com/office/spreadsheetml/2009/9/main" objectType="CheckBox" fmlaLink="BUFF!$L$24" lockText="1" noThreeD="1"/>
</file>

<file path=xl/ctrlProps/ctrlProp78.xml><?xml version="1.0" encoding="utf-8"?>
<formControlPr xmlns="http://schemas.microsoft.com/office/spreadsheetml/2009/9/main" objectType="CheckBox" fmlaLink="BUFF!$M$24" lockText="1" noThreeD="1"/>
</file>

<file path=xl/ctrlProps/ctrlProp79.xml><?xml version="1.0" encoding="utf-8"?>
<formControlPr xmlns="http://schemas.microsoft.com/office/spreadsheetml/2009/9/main" objectType="CheckBox" checked="Checked" fmlaLink="BUFF!$O$24" lockText="1" noThreeD="1"/>
</file>

<file path=xl/ctrlProps/ctrlProp8.xml><?xml version="1.0" encoding="utf-8"?>
<formControlPr xmlns="http://schemas.microsoft.com/office/spreadsheetml/2009/9/main" objectType="CheckBox" checked="Checked" fmlaLink="BUFF!$B$81" lockText="1" noThreeD="1"/>
</file>

<file path=xl/ctrlProps/ctrlProp80.xml><?xml version="1.0" encoding="utf-8"?>
<formControlPr xmlns="http://schemas.microsoft.com/office/spreadsheetml/2009/9/main" objectType="CheckBox" checked="Checked" fmlaLink="BUFF!$O$84" lockText="1" noThreeD="1"/>
</file>

<file path=xl/ctrlProps/ctrlProp81.xml><?xml version="1.0" encoding="utf-8"?>
<formControlPr xmlns="http://schemas.microsoft.com/office/spreadsheetml/2009/9/main" objectType="CheckBox" checked="Checked" fmlaLink="BUFF!$B$83" lockText="1" noThreeD="1"/>
</file>

<file path=xl/ctrlProps/ctrlProp82.xml><?xml version="1.0" encoding="utf-8"?>
<formControlPr xmlns="http://schemas.microsoft.com/office/spreadsheetml/2009/9/main" objectType="CheckBox" fmlaLink="BUFF!$B$108" lockText="1" noThreeD="1"/>
</file>

<file path=xl/ctrlProps/ctrlProp83.xml><?xml version="1.0" encoding="utf-8"?>
<formControlPr xmlns="http://schemas.microsoft.com/office/spreadsheetml/2009/9/main" objectType="CheckBox" fmlaLink="BUFF!$B$109" lockText="1" noThreeD="1"/>
</file>

<file path=xl/ctrlProps/ctrlProp84.xml><?xml version="1.0" encoding="utf-8"?>
<formControlPr xmlns="http://schemas.microsoft.com/office/spreadsheetml/2009/9/main" objectType="CheckBox" fmlaLink="BUFF!$B$110" lockText="1" noThreeD="1"/>
</file>

<file path=xl/ctrlProps/ctrlProp85.xml><?xml version="1.0" encoding="utf-8"?>
<formControlPr xmlns="http://schemas.microsoft.com/office/spreadsheetml/2009/9/main" objectType="CheckBox" fmlaLink="BUFF!$B$111" lockText="1" noThreeD="1"/>
</file>

<file path=xl/ctrlProps/ctrlProp86.xml><?xml version="1.0" encoding="utf-8"?>
<formControlPr xmlns="http://schemas.microsoft.com/office/spreadsheetml/2009/9/main" objectType="CheckBox" fmlaLink="BUFF!$B$77" lockText="1" noThreeD="1"/>
</file>

<file path=xl/ctrlProps/ctrlProp87.xml><?xml version="1.0" encoding="utf-8"?>
<formControlPr xmlns="http://schemas.microsoft.com/office/spreadsheetml/2009/9/main" objectType="CheckBox" checked="Checked" fmlaLink="BUFF!$B$116" lockText="1" noThreeD="1"/>
</file>

<file path=xl/ctrlProps/ctrlProp88.xml><?xml version="1.0" encoding="utf-8"?>
<formControlPr xmlns="http://schemas.microsoft.com/office/spreadsheetml/2009/9/main" objectType="CheckBox" checked="Checked" fmlaLink="BUFF!$O$89" lockText="1" noThreeD="1"/>
</file>

<file path=xl/ctrlProps/ctrlProp89.xml><?xml version="1.0" encoding="utf-8"?>
<formControlPr xmlns="http://schemas.microsoft.com/office/spreadsheetml/2009/9/main" objectType="CheckBox" checked="Checked" fmlaLink="BUFF!$O$90" lockText="1" noThreeD="1"/>
</file>

<file path=xl/ctrlProps/ctrlProp9.xml><?xml version="1.0" encoding="utf-8"?>
<formControlPr xmlns="http://schemas.microsoft.com/office/spreadsheetml/2009/9/main" objectType="CheckBox" checked="Checked" fmlaLink="BUFF!$B$82" lockText="1" noThreeD="1"/>
</file>

<file path=xl/ctrlProps/ctrlProp90.xml><?xml version="1.0" encoding="utf-8"?>
<formControlPr xmlns="http://schemas.microsoft.com/office/spreadsheetml/2009/9/main" objectType="CheckBox" fmlaLink="BUFF!$O$91" lockText="1" noThreeD="1"/>
</file>

<file path=xl/ctrlProps/ctrlProp91.xml><?xml version="1.0" encoding="utf-8"?>
<formControlPr xmlns="http://schemas.microsoft.com/office/spreadsheetml/2009/9/main" objectType="CheckBox" checked="Checked" fmlaLink="BUFF!$B$11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</xdr:row>
          <xdr:rowOff>9525</xdr:rowOff>
        </xdr:from>
        <xdr:to>
          <xdr:col>13</xdr:col>
          <xdr:colOff>647700</xdr:colOff>
          <xdr:row>3</xdr:row>
          <xdr:rowOff>209550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百節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3</xdr:row>
          <xdr:rowOff>200025</xdr:rowOff>
        </xdr:from>
        <xdr:to>
          <xdr:col>14</xdr:col>
          <xdr:colOff>276225</xdr:colOff>
          <xdr:row>5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雷引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</xdr:row>
          <xdr:rowOff>200025</xdr:rowOff>
        </xdr:from>
        <xdr:to>
          <xdr:col>14</xdr:col>
          <xdr:colOff>276225</xdr:colOff>
          <xdr:row>6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忘斷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6</xdr:row>
          <xdr:rowOff>0</xdr:rowOff>
        </xdr:from>
        <xdr:to>
          <xdr:col>14</xdr:col>
          <xdr:colOff>295275</xdr:colOff>
          <xdr:row>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徵逐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6</xdr:row>
          <xdr:rowOff>209550</xdr:rowOff>
        </xdr:from>
        <xdr:to>
          <xdr:col>14</xdr:col>
          <xdr:colOff>295275</xdr:colOff>
          <xdr:row>8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承命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</xdr:row>
          <xdr:rowOff>171450</xdr:rowOff>
        </xdr:from>
        <xdr:to>
          <xdr:col>17</xdr:col>
          <xdr:colOff>104775</xdr:colOff>
          <xdr:row>4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袖氣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3</xdr:row>
          <xdr:rowOff>190500</xdr:rowOff>
        </xdr:from>
        <xdr:to>
          <xdr:col>17</xdr:col>
          <xdr:colOff>104775</xdr:colOff>
          <xdr:row>5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撼如雷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5</xdr:row>
          <xdr:rowOff>180975</xdr:rowOff>
        </xdr:from>
        <xdr:to>
          <xdr:col>17</xdr:col>
          <xdr:colOff>104775</xdr:colOff>
          <xdr:row>7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碎星辰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</xdr:row>
          <xdr:rowOff>180975</xdr:rowOff>
        </xdr:from>
        <xdr:to>
          <xdr:col>17</xdr:col>
          <xdr:colOff>104775</xdr:colOff>
          <xdr:row>6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香梅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5</xdr:row>
          <xdr:rowOff>200025</xdr:rowOff>
        </xdr:from>
        <xdr:to>
          <xdr:col>20</xdr:col>
          <xdr:colOff>238125</xdr:colOff>
          <xdr:row>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疏狂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6</xdr:row>
          <xdr:rowOff>190500</xdr:rowOff>
        </xdr:from>
        <xdr:to>
          <xdr:col>17</xdr:col>
          <xdr:colOff>104775</xdr:colOff>
          <xdr:row>8</xdr:row>
          <xdr:rowOff>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丐陣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7</xdr:row>
          <xdr:rowOff>219075</xdr:rowOff>
        </xdr:from>
        <xdr:to>
          <xdr:col>17</xdr:col>
          <xdr:colOff>104775</xdr:colOff>
          <xdr:row>9</xdr:row>
          <xdr:rowOff>9525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丐陣伏虎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0</xdr:row>
          <xdr:rowOff>200025</xdr:rowOff>
        </xdr:from>
        <xdr:to>
          <xdr:col>14</xdr:col>
          <xdr:colOff>276225</xdr:colOff>
          <xdr:row>2</xdr:row>
          <xdr:rowOff>9525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卡 6-12 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1</xdr:row>
          <xdr:rowOff>219075</xdr:rowOff>
        </xdr:from>
        <xdr:to>
          <xdr:col>20</xdr:col>
          <xdr:colOff>314325</xdr:colOff>
          <xdr:row>3</xdr:row>
          <xdr:rowOff>38100</xdr:rowOff>
        </xdr:to>
        <xdr:sp macro="" textlink="">
          <xdr:nvSpPr>
            <xdr:cNvPr id="17668" name="Check Box 2308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0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激雷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3</xdr:row>
          <xdr:rowOff>19050</xdr:rowOff>
        </xdr:from>
        <xdr:to>
          <xdr:col>20</xdr:col>
          <xdr:colOff>314325</xdr:colOff>
          <xdr:row>4</xdr:row>
          <xdr:rowOff>38100</xdr:rowOff>
        </xdr:to>
        <xdr:sp macro="" textlink="">
          <xdr:nvSpPr>
            <xdr:cNvPr id="17669" name="Check Box 2309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0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一鼓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3</xdr:row>
          <xdr:rowOff>219075</xdr:rowOff>
        </xdr:from>
        <xdr:to>
          <xdr:col>20</xdr:col>
          <xdr:colOff>304800</xdr:colOff>
          <xdr:row>5</xdr:row>
          <xdr:rowOff>38100</xdr:rowOff>
        </xdr:to>
        <xdr:sp macro="" textlink="">
          <xdr:nvSpPr>
            <xdr:cNvPr id="17670" name="Check Box 2310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0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二鼓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123825</xdr:colOff>
          <xdr:row>5</xdr:row>
          <xdr:rowOff>0</xdr:rowOff>
        </xdr:from>
        <xdr:to>
          <xdr:col>20</xdr:col>
          <xdr:colOff>314325</xdr:colOff>
          <xdr:row>6</xdr:row>
          <xdr:rowOff>19050</xdr:rowOff>
        </xdr:to>
        <xdr:sp macro="" textlink="">
          <xdr:nvSpPr>
            <xdr:cNvPr id="17671" name="Check Box 2311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0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寒嘯千軍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7</xdr:row>
          <xdr:rowOff>9525</xdr:rowOff>
        </xdr:from>
        <xdr:to>
          <xdr:col>20</xdr:col>
          <xdr:colOff>304800</xdr:colOff>
          <xdr:row>8</xdr:row>
          <xdr:rowOff>38100</xdr:rowOff>
        </xdr:to>
        <xdr:sp macro="" textlink="">
          <xdr:nvSpPr>
            <xdr:cNvPr id="17689" name="Check Box 2329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0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策陣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7</xdr:row>
          <xdr:rowOff>200025</xdr:rowOff>
        </xdr:from>
        <xdr:to>
          <xdr:col>20</xdr:col>
          <xdr:colOff>304800</xdr:colOff>
          <xdr:row>8</xdr:row>
          <xdr:rowOff>209550</xdr:rowOff>
        </xdr:to>
        <xdr:sp macro="" textlink="">
          <xdr:nvSpPr>
            <xdr:cNvPr id="17690" name="Check Box 2330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0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劍純陣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8</xdr:row>
          <xdr:rowOff>209550</xdr:rowOff>
        </xdr:from>
        <xdr:to>
          <xdr:col>20</xdr:col>
          <xdr:colOff>304800</xdr:colOff>
          <xdr:row>10</xdr:row>
          <xdr:rowOff>0</xdr:rowOff>
        </xdr:to>
        <xdr:sp macro="" textlink="">
          <xdr:nvSpPr>
            <xdr:cNvPr id="17691" name="Check Box 2331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0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黃雞陣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7</xdr:row>
          <xdr:rowOff>0</xdr:rowOff>
        </xdr:from>
        <xdr:to>
          <xdr:col>23</xdr:col>
          <xdr:colOff>304800</xdr:colOff>
          <xdr:row>8</xdr:row>
          <xdr:rowOff>9525</xdr:rowOff>
        </xdr:to>
        <xdr:sp macro="" textlink="">
          <xdr:nvSpPr>
            <xdr:cNvPr id="17708" name="Check Box 2348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0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策陣效果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8</xdr:row>
          <xdr:rowOff>38100</xdr:rowOff>
        </xdr:from>
        <xdr:to>
          <xdr:col>23</xdr:col>
          <xdr:colOff>304800</xdr:colOff>
          <xdr:row>9</xdr:row>
          <xdr:rowOff>47625</xdr:rowOff>
        </xdr:to>
        <xdr:sp macro="" textlink="">
          <xdr:nvSpPr>
            <xdr:cNvPr id="17709" name="Check Box 2349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0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劍純效果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0</xdr:row>
          <xdr:rowOff>200025</xdr:rowOff>
        </xdr:from>
        <xdr:to>
          <xdr:col>20</xdr:col>
          <xdr:colOff>304800</xdr:colOff>
          <xdr:row>2</xdr:row>
          <xdr:rowOff>0</xdr:rowOff>
        </xdr:to>
        <xdr:sp macro="" textlink="">
          <xdr:nvSpPr>
            <xdr:cNvPr id="17711" name="Check Box 2351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0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梅花三弄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119342</xdr:colOff>
          <xdr:row>14</xdr:row>
          <xdr:rowOff>201705</xdr:rowOff>
        </xdr:from>
        <xdr:to>
          <xdr:col>17</xdr:col>
          <xdr:colOff>784411</xdr:colOff>
          <xdr:row>16</xdr:row>
          <xdr:rowOff>31937</xdr:rowOff>
        </xdr:to>
        <xdr:grpSp>
          <xdr:nvGrpSpPr>
            <xdr:cNvPr id="2" name="群組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1000254" y="3238499"/>
              <a:ext cx="4060451" cy="256056"/>
              <a:chOff x="10383928" y="2812676"/>
              <a:chExt cx="3657039" cy="256055"/>
            </a:xfrm>
          </xdr:grpSpPr>
          <xdr:sp macro="" textlink="">
            <xdr:nvSpPr>
              <xdr:cNvPr id="17741" name="Check Box 2381" hidden="1">
                <a:extLst>
                  <a:ext uri="{63B3BB69-23CF-44E3-9099-C40C66FF867C}">
                    <a14:compatExt spid="_x0000_s17741"/>
                  </a:ext>
                  <a:ext uri="{FF2B5EF4-FFF2-40B4-BE49-F238E27FC236}">
                    <a16:creationId xmlns:a16="http://schemas.microsoft.com/office/drawing/2014/main" id="{00000000-0008-0000-0000-00004D450000}"/>
                  </a:ext>
                </a:extLst>
              </xdr:cNvPr>
              <xdr:cNvSpPr/>
            </xdr:nvSpPr>
            <xdr:spPr bwMode="auto">
              <a:xfrm>
                <a:off x="10383928" y="2812676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42" name="Check Box 2382" hidden="1">
                <a:extLst>
                  <a:ext uri="{63B3BB69-23CF-44E3-9099-C40C66FF867C}">
                    <a14:compatExt spid="_x0000_s17742"/>
                  </a:ext>
                  <a:ext uri="{FF2B5EF4-FFF2-40B4-BE49-F238E27FC236}">
                    <a16:creationId xmlns:a16="http://schemas.microsoft.com/office/drawing/2014/main" id="{00000000-0008-0000-0000-00004E450000}"/>
                  </a:ext>
                </a:extLst>
              </xdr:cNvPr>
              <xdr:cNvSpPr/>
            </xdr:nvSpPr>
            <xdr:spPr bwMode="auto">
              <a:xfrm>
                <a:off x="10946465" y="2823882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CD-2</a:t>
                </a:r>
              </a:p>
            </xdr:txBody>
          </xdr:sp>
          <xdr:sp macro="" textlink="">
            <xdr:nvSpPr>
              <xdr:cNvPr id="17743" name="Check Box 2383" hidden="1">
                <a:extLst>
                  <a:ext uri="{63B3BB69-23CF-44E3-9099-C40C66FF867C}">
                    <a14:compatExt spid="_x0000_s17743"/>
                  </a:ext>
                  <a:ext uri="{FF2B5EF4-FFF2-40B4-BE49-F238E27FC236}">
                    <a16:creationId xmlns:a16="http://schemas.microsoft.com/office/drawing/2014/main" id="{00000000-0008-0000-0000-00004F450000}"/>
                  </a:ext>
                </a:extLst>
              </xdr:cNvPr>
              <xdr:cNvSpPr/>
            </xdr:nvSpPr>
            <xdr:spPr bwMode="auto">
              <a:xfrm>
                <a:off x="11508441" y="2812676"/>
                <a:ext cx="493058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44" name="Check Box 2384" hidden="1">
                <a:extLst>
                  <a:ext uri="{63B3BB69-23CF-44E3-9099-C40C66FF867C}">
                    <a14:compatExt spid="_x0000_s17744"/>
                  </a:ext>
                  <a:ext uri="{FF2B5EF4-FFF2-40B4-BE49-F238E27FC236}">
                    <a16:creationId xmlns:a16="http://schemas.microsoft.com/office/drawing/2014/main" id="{00000000-0008-0000-0000-000050450000}"/>
                  </a:ext>
                </a:extLst>
              </xdr:cNvPr>
              <xdr:cNvSpPr/>
            </xdr:nvSpPr>
            <xdr:spPr bwMode="auto">
              <a:xfrm>
                <a:off x="12156702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傷害4%</a:t>
                </a:r>
              </a:p>
            </xdr:txBody>
          </xdr:sp>
          <xdr:sp macro="" textlink="">
            <xdr:nvSpPr>
              <xdr:cNvPr id="17745" name="Check Box 2385" hidden="1">
                <a:extLst>
                  <a:ext uri="{63B3BB69-23CF-44E3-9099-C40C66FF867C}">
                    <a14:compatExt spid="_x0000_s17745"/>
                  </a:ext>
                  <a:ext uri="{FF2B5EF4-FFF2-40B4-BE49-F238E27FC236}">
                    <a16:creationId xmlns:a16="http://schemas.microsoft.com/office/drawing/2014/main" id="{00000000-0008-0000-0000-000051450000}"/>
                  </a:ext>
                </a:extLst>
              </xdr:cNvPr>
              <xdr:cNvSpPr/>
            </xdr:nvSpPr>
            <xdr:spPr bwMode="auto">
              <a:xfrm>
                <a:off x="12795435" y="2812677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會心4%</a:t>
                </a:r>
              </a:p>
            </xdr:txBody>
          </xdr:sp>
          <xdr:sp macro="" textlink="">
            <xdr:nvSpPr>
              <xdr:cNvPr id="17746" name="Check Box 2386" hidden="1">
                <a:extLst>
                  <a:ext uri="{63B3BB69-23CF-44E3-9099-C40C66FF867C}">
                    <a14:compatExt spid="_x0000_s17746"/>
                  </a:ext>
                  <a:ext uri="{FF2B5EF4-FFF2-40B4-BE49-F238E27FC236}">
                    <a16:creationId xmlns:a16="http://schemas.microsoft.com/office/drawing/2014/main" id="{00000000-0008-0000-0000-000052450000}"/>
                  </a:ext>
                </a:extLst>
              </xdr:cNvPr>
              <xdr:cNvSpPr/>
            </xdr:nvSpPr>
            <xdr:spPr bwMode="auto">
              <a:xfrm>
                <a:off x="13478992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89647</xdr:colOff>
          <xdr:row>16</xdr:row>
          <xdr:rowOff>134474</xdr:rowOff>
        </xdr:from>
        <xdr:to>
          <xdr:col>17</xdr:col>
          <xdr:colOff>806821</xdr:colOff>
          <xdr:row>18</xdr:row>
          <xdr:rowOff>55406</xdr:rowOff>
        </xdr:to>
        <xdr:grpSp>
          <xdr:nvGrpSpPr>
            <xdr:cNvPr id="126" name="群組 125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GrpSpPr/>
          </xdr:nvGrpSpPr>
          <xdr:grpSpPr>
            <a:xfrm>
              <a:off x="10970559" y="3597092"/>
              <a:ext cx="4112556" cy="346755"/>
              <a:chOff x="10383928" y="2812676"/>
              <a:chExt cx="3295984" cy="248771"/>
            </a:xfrm>
          </xdr:grpSpPr>
          <xdr:sp macro="" textlink="">
            <xdr:nvSpPr>
              <xdr:cNvPr id="17747" name="Check Box 2387" hidden="1">
                <a:extLst>
                  <a:ext uri="{63B3BB69-23CF-44E3-9099-C40C66FF867C}">
                    <a14:compatExt spid="_x0000_s17747"/>
                  </a:ext>
                  <a:ext uri="{FF2B5EF4-FFF2-40B4-BE49-F238E27FC236}">
                    <a16:creationId xmlns:a16="http://schemas.microsoft.com/office/drawing/2014/main" id="{00000000-0008-0000-0000-000053450000}"/>
                  </a:ext>
                </a:extLst>
              </xdr:cNvPr>
              <xdr:cNvSpPr/>
            </xdr:nvSpPr>
            <xdr:spPr bwMode="auto">
              <a:xfrm>
                <a:off x="10383928" y="2812676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禁輕功</a:t>
                </a:r>
              </a:p>
            </xdr:txBody>
          </xdr:sp>
          <xdr:sp macro="" textlink="">
            <xdr:nvSpPr>
              <xdr:cNvPr id="17748" name="Check Box 2388" hidden="1">
                <a:extLst>
                  <a:ext uri="{63B3BB69-23CF-44E3-9099-C40C66FF867C}">
                    <a14:compatExt spid="_x0000_s17748"/>
                  </a:ext>
                  <a:ext uri="{FF2B5EF4-FFF2-40B4-BE49-F238E27FC236}">
                    <a16:creationId xmlns:a16="http://schemas.microsoft.com/office/drawing/2014/main" id="{00000000-0008-0000-0000-000054450000}"/>
                  </a:ext>
                </a:extLst>
              </xdr:cNvPr>
              <xdr:cNvSpPr/>
            </xdr:nvSpPr>
            <xdr:spPr bwMode="auto">
              <a:xfrm>
                <a:off x="11009956" y="2815843"/>
                <a:ext cx="703729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耗內-15%</a:t>
                </a:r>
              </a:p>
            </xdr:txBody>
          </xdr:sp>
          <xdr:sp macro="" textlink="">
            <xdr:nvSpPr>
              <xdr:cNvPr id="17749" name="Check Box 2389" hidden="1">
                <a:extLst>
                  <a:ext uri="{63B3BB69-23CF-44E3-9099-C40C66FF867C}">
                    <a14:compatExt spid="_x0000_s17749"/>
                  </a:ext>
                  <a:ext uri="{FF2B5EF4-FFF2-40B4-BE49-F238E27FC236}">
                    <a16:creationId xmlns:a16="http://schemas.microsoft.com/office/drawing/2014/main" id="{00000000-0008-0000-0000-000055450000}"/>
                  </a:ext>
                </a:extLst>
              </xdr:cNvPr>
              <xdr:cNvSpPr/>
            </xdr:nvSpPr>
            <xdr:spPr bwMode="auto">
              <a:xfrm>
                <a:off x="11796049" y="2812676"/>
                <a:ext cx="493058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50" name="Check Box 2390" hidden="1">
                <a:extLst>
                  <a:ext uri="{63B3BB69-23CF-44E3-9099-C40C66FF867C}">
                    <a14:compatExt spid="_x0000_s17750"/>
                  </a:ext>
                  <a:ext uri="{FF2B5EF4-FFF2-40B4-BE49-F238E27FC236}">
                    <a16:creationId xmlns:a16="http://schemas.microsoft.com/office/drawing/2014/main" id="{00000000-0008-0000-0000-000056450000}"/>
                  </a:ext>
                </a:extLst>
              </xdr:cNvPr>
              <xdr:cNvSpPr/>
            </xdr:nvSpPr>
            <xdr:spPr bwMode="auto">
              <a:xfrm>
                <a:off x="12436849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傷害4%</a:t>
                </a:r>
              </a:p>
            </xdr:txBody>
          </xdr:sp>
          <xdr:sp macro="" textlink="">
            <xdr:nvSpPr>
              <xdr:cNvPr id="17752" name="Check Box 2392" hidden="1">
                <a:extLst>
                  <a:ext uri="{63B3BB69-23CF-44E3-9099-C40C66FF867C}">
                    <a14:compatExt spid="_x0000_s17752"/>
                  </a:ext>
                  <a:ext uri="{FF2B5EF4-FFF2-40B4-BE49-F238E27FC236}">
                    <a16:creationId xmlns:a16="http://schemas.microsoft.com/office/drawing/2014/main" id="{00000000-0008-0000-0000-000058450000}"/>
                  </a:ext>
                </a:extLst>
              </xdr:cNvPr>
              <xdr:cNvSpPr/>
            </xdr:nvSpPr>
            <xdr:spPr bwMode="auto">
              <a:xfrm>
                <a:off x="13117937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67235</xdr:colOff>
          <xdr:row>20</xdr:row>
          <xdr:rowOff>168088</xdr:rowOff>
        </xdr:from>
        <xdr:to>
          <xdr:col>18</xdr:col>
          <xdr:colOff>571500</xdr:colOff>
          <xdr:row>22</xdr:row>
          <xdr:rowOff>20733</xdr:rowOff>
        </xdr:to>
        <xdr:grpSp>
          <xdr:nvGrpSpPr>
            <xdr:cNvPr id="3" name="群組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pSpPr/>
          </xdr:nvGrpSpPr>
          <xdr:grpSpPr>
            <a:xfrm>
              <a:off x="10948147" y="4482353"/>
              <a:ext cx="4863353" cy="278468"/>
              <a:chOff x="10331827" y="4482353"/>
              <a:chExt cx="4587691" cy="278468"/>
            </a:xfrm>
          </xdr:grpSpPr>
          <xdr:sp macro="" textlink="">
            <xdr:nvSpPr>
              <xdr:cNvPr id="17753" name="Check Box 2393" hidden="1">
                <a:extLst>
                  <a:ext uri="{63B3BB69-23CF-44E3-9099-C40C66FF867C}">
                    <a14:compatExt spid="_x0000_s17753"/>
                  </a:ext>
                  <a:ext uri="{FF2B5EF4-FFF2-40B4-BE49-F238E27FC236}">
                    <a16:creationId xmlns:a16="http://schemas.microsoft.com/office/drawing/2014/main" id="{00000000-0008-0000-0000-000059450000}"/>
                  </a:ext>
                </a:extLst>
              </xdr:cNvPr>
              <xdr:cNvSpPr/>
            </xdr:nvSpPr>
            <xdr:spPr bwMode="auto">
              <a:xfrm>
                <a:off x="10331827" y="4504765"/>
                <a:ext cx="564215" cy="24877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54" name="Check Box 2394" hidden="1">
                <a:extLst>
                  <a:ext uri="{63B3BB69-23CF-44E3-9099-C40C66FF867C}">
                    <a14:compatExt spid="_x0000_s17754"/>
                  </a:ext>
                  <a:ext uri="{FF2B5EF4-FFF2-40B4-BE49-F238E27FC236}">
                    <a16:creationId xmlns:a16="http://schemas.microsoft.com/office/drawing/2014/main" id="{00000000-0008-0000-0000-00005A450000}"/>
                  </a:ext>
                </a:extLst>
              </xdr:cNvPr>
              <xdr:cNvSpPr/>
            </xdr:nvSpPr>
            <xdr:spPr bwMode="auto">
              <a:xfrm>
                <a:off x="10860742" y="4515971"/>
                <a:ext cx="561975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CD-2</a:t>
                </a:r>
              </a:p>
            </xdr:txBody>
          </xdr:sp>
          <xdr:sp macro="" textlink="">
            <xdr:nvSpPr>
              <xdr:cNvPr id="17755" name="Check Box 2395" hidden="1">
                <a:extLst>
                  <a:ext uri="{63B3BB69-23CF-44E3-9099-C40C66FF867C}">
                    <a14:compatExt spid="_x0000_s17755"/>
                  </a:ext>
                  <a:ext uri="{FF2B5EF4-FFF2-40B4-BE49-F238E27FC236}">
                    <a16:creationId xmlns:a16="http://schemas.microsoft.com/office/drawing/2014/main" id="{00000000-0008-0000-0000-00005B450000}"/>
                  </a:ext>
                </a:extLst>
              </xdr:cNvPr>
              <xdr:cNvSpPr/>
            </xdr:nvSpPr>
            <xdr:spPr bwMode="auto">
              <a:xfrm>
                <a:off x="11411511" y="4482353"/>
                <a:ext cx="493058" cy="2784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56" name="Check Box 2396" hidden="1">
                <a:extLst>
                  <a:ext uri="{63B3BB69-23CF-44E3-9099-C40C66FF867C}">
                    <a14:compatExt spid="_x0000_s17756"/>
                  </a:ext>
                  <a:ext uri="{FF2B5EF4-FFF2-40B4-BE49-F238E27FC236}">
                    <a16:creationId xmlns:a16="http://schemas.microsoft.com/office/drawing/2014/main" id="{00000000-0008-0000-0000-00005C450000}"/>
                  </a:ext>
                </a:extLst>
              </xdr:cNvPr>
              <xdr:cNvSpPr/>
            </xdr:nvSpPr>
            <xdr:spPr bwMode="auto">
              <a:xfrm>
                <a:off x="12048566" y="4504765"/>
                <a:ext cx="561975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傷害4%</a:t>
                </a:r>
              </a:p>
            </xdr:txBody>
          </xdr:sp>
          <xdr:sp macro="" textlink="">
            <xdr:nvSpPr>
              <xdr:cNvPr id="17757" name="Check Box 2397" hidden="1">
                <a:extLst>
                  <a:ext uri="{63B3BB69-23CF-44E3-9099-C40C66FF867C}">
                    <a14:compatExt spid="_x0000_s17757"/>
                  </a:ext>
                  <a:ext uri="{FF2B5EF4-FFF2-40B4-BE49-F238E27FC236}">
                    <a16:creationId xmlns:a16="http://schemas.microsoft.com/office/drawing/2014/main" id="{00000000-0008-0000-0000-00005D450000}"/>
                  </a:ext>
                </a:extLst>
              </xdr:cNvPr>
              <xdr:cNvSpPr/>
            </xdr:nvSpPr>
            <xdr:spPr bwMode="auto">
              <a:xfrm>
                <a:off x="12676093" y="4504766"/>
                <a:ext cx="561975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會心4%</a:t>
                </a:r>
              </a:p>
            </xdr:txBody>
          </xdr:sp>
          <xdr:sp macro="" textlink="">
            <xdr:nvSpPr>
              <xdr:cNvPr id="17758" name="Check Box 2398" hidden="1">
                <a:extLst>
                  <a:ext uri="{63B3BB69-23CF-44E3-9099-C40C66FF867C}">
                    <a14:compatExt spid="_x0000_s17758"/>
                  </a:ext>
                  <a:ext uri="{FF2B5EF4-FFF2-40B4-BE49-F238E27FC236}">
                    <a16:creationId xmlns:a16="http://schemas.microsoft.com/office/drawing/2014/main" id="{00000000-0008-0000-0000-00005E450000}"/>
                  </a:ext>
                </a:extLst>
              </xdr:cNvPr>
              <xdr:cNvSpPr/>
            </xdr:nvSpPr>
            <xdr:spPr bwMode="auto">
              <a:xfrm>
                <a:off x="13314829" y="4493559"/>
                <a:ext cx="561975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會心3%</a:t>
                </a:r>
              </a:p>
            </xdr:txBody>
          </xdr:sp>
          <xdr:sp macro="" textlink="">
            <xdr:nvSpPr>
              <xdr:cNvPr id="17759" name="Check Box 2399" hidden="1">
                <a:extLst>
                  <a:ext uri="{63B3BB69-23CF-44E3-9099-C40C66FF867C}">
                    <a14:compatExt spid="_x0000_s17759"/>
                  </a:ext>
                  <a:ext uri="{FF2B5EF4-FFF2-40B4-BE49-F238E27FC236}">
                    <a16:creationId xmlns:a16="http://schemas.microsoft.com/office/drawing/2014/main" id="{00000000-0008-0000-0000-00005F450000}"/>
                  </a:ext>
                </a:extLst>
              </xdr:cNvPr>
              <xdr:cNvSpPr/>
            </xdr:nvSpPr>
            <xdr:spPr bwMode="auto">
              <a:xfrm>
                <a:off x="13944606" y="4494679"/>
                <a:ext cx="974912" cy="23196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格擋+2%HP/次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82363</xdr:colOff>
          <xdr:row>22</xdr:row>
          <xdr:rowOff>190499</xdr:rowOff>
        </xdr:from>
        <xdr:to>
          <xdr:col>17</xdr:col>
          <xdr:colOff>945215</xdr:colOff>
          <xdr:row>24</xdr:row>
          <xdr:rowOff>20732</xdr:rowOff>
        </xdr:to>
        <xdr:grpSp>
          <xdr:nvGrpSpPr>
            <xdr:cNvPr id="142" name="群組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GrpSpPr/>
          </xdr:nvGrpSpPr>
          <xdr:grpSpPr>
            <a:xfrm>
              <a:off x="10963275" y="4930587"/>
              <a:ext cx="4258234" cy="256057"/>
              <a:chOff x="10331817" y="2801469"/>
              <a:chExt cx="3854825" cy="256056"/>
            </a:xfrm>
          </xdr:grpSpPr>
          <xdr:sp macro="" textlink="">
            <xdr:nvSpPr>
              <xdr:cNvPr id="17760" name="Check Box 2400" hidden="1">
                <a:extLst>
                  <a:ext uri="{63B3BB69-23CF-44E3-9099-C40C66FF867C}">
                    <a14:compatExt spid="_x0000_s17760"/>
                  </a:ext>
                  <a:ext uri="{FF2B5EF4-FFF2-40B4-BE49-F238E27FC236}">
                    <a16:creationId xmlns:a16="http://schemas.microsoft.com/office/drawing/2014/main" id="{00000000-0008-0000-0000-000060450000}"/>
                  </a:ext>
                </a:extLst>
              </xdr:cNvPr>
              <xdr:cNvSpPr/>
            </xdr:nvSpPr>
            <xdr:spPr bwMode="auto">
              <a:xfrm>
                <a:off x="11706225" y="2801470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傷害3%</a:t>
                </a:r>
              </a:p>
            </xdr:txBody>
          </xdr:sp>
          <xdr:sp macro="" textlink="">
            <xdr:nvSpPr>
              <xdr:cNvPr id="17761" name="Check Box 2401" hidden="1">
                <a:extLst>
                  <a:ext uri="{63B3BB69-23CF-44E3-9099-C40C66FF867C}">
                    <a14:compatExt spid="_x0000_s17761"/>
                  </a:ext>
                  <a:ext uri="{FF2B5EF4-FFF2-40B4-BE49-F238E27FC236}">
                    <a16:creationId xmlns:a16="http://schemas.microsoft.com/office/drawing/2014/main" id="{00000000-0008-0000-0000-000061450000}"/>
                  </a:ext>
                </a:extLst>
              </xdr:cNvPr>
              <xdr:cNvSpPr/>
            </xdr:nvSpPr>
            <xdr:spPr bwMode="auto">
              <a:xfrm>
                <a:off x="13624667" y="2801470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會心2%</a:t>
                </a:r>
              </a:p>
            </xdr:txBody>
          </xdr:sp>
          <xdr:sp macro="" textlink="">
            <xdr:nvSpPr>
              <xdr:cNvPr id="17762" name="Check Box 2402" hidden="1">
                <a:extLst>
                  <a:ext uri="{63B3BB69-23CF-44E3-9099-C40C66FF867C}">
                    <a14:compatExt spid="_x0000_s17762"/>
                  </a:ext>
                  <a:ext uri="{FF2B5EF4-FFF2-40B4-BE49-F238E27FC236}">
                    <a16:creationId xmlns:a16="http://schemas.microsoft.com/office/drawing/2014/main" id="{00000000-0008-0000-0000-000062450000}"/>
                  </a:ext>
                </a:extLst>
              </xdr:cNvPr>
              <xdr:cNvSpPr/>
            </xdr:nvSpPr>
            <xdr:spPr bwMode="auto">
              <a:xfrm>
                <a:off x="10331817" y="2812676"/>
                <a:ext cx="493058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63" name="Check Box 2403" hidden="1">
                <a:extLst>
                  <a:ext uri="{63B3BB69-23CF-44E3-9099-C40C66FF867C}">
                    <a14:compatExt spid="_x0000_s17763"/>
                  </a:ext>
                  <a:ext uri="{FF2B5EF4-FFF2-40B4-BE49-F238E27FC236}">
                    <a16:creationId xmlns:a16="http://schemas.microsoft.com/office/drawing/2014/main" id="{00000000-0008-0000-0000-000063450000}"/>
                  </a:ext>
                </a:extLst>
              </xdr:cNvPr>
              <xdr:cNvSpPr/>
            </xdr:nvSpPr>
            <xdr:spPr bwMode="auto">
              <a:xfrm>
                <a:off x="11024907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傷害4%</a:t>
                </a:r>
              </a:p>
            </xdr:txBody>
          </xdr:sp>
          <xdr:sp macro="" textlink="">
            <xdr:nvSpPr>
              <xdr:cNvPr id="17764" name="Check Box 2404" hidden="1">
                <a:extLst>
                  <a:ext uri="{63B3BB69-23CF-44E3-9099-C40C66FF867C}">
                    <a14:compatExt spid="_x0000_s17764"/>
                  </a:ext>
                  <a:ext uri="{FF2B5EF4-FFF2-40B4-BE49-F238E27FC236}">
                    <a16:creationId xmlns:a16="http://schemas.microsoft.com/office/drawing/2014/main" id="{00000000-0008-0000-0000-000064450000}"/>
                  </a:ext>
                </a:extLst>
              </xdr:cNvPr>
              <xdr:cNvSpPr/>
            </xdr:nvSpPr>
            <xdr:spPr bwMode="auto">
              <a:xfrm>
                <a:off x="12358405" y="2801471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會心4%</a:t>
                </a:r>
              </a:p>
            </xdr:txBody>
          </xdr:sp>
          <xdr:sp macro="" textlink="">
            <xdr:nvSpPr>
              <xdr:cNvPr id="17765" name="Check Box 2405" hidden="1">
                <a:extLst>
                  <a:ext uri="{63B3BB69-23CF-44E3-9099-C40C66FF867C}">
                    <a14:compatExt spid="_x0000_s17765"/>
                  </a:ext>
                  <a:ext uri="{FF2B5EF4-FFF2-40B4-BE49-F238E27FC236}">
                    <a16:creationId xmlns:a16="http://schemas.microsoft.com/office/drawing/2014/main" id="{00000000-0008-0000-0000-000065450000}"/>
                  </a:ext>
                </a:extLst>
              </xdr:cNvPr>
              <xdr:cNvSpPr/>
            </xdr:nvSpPr>
            <xdr:spPr bwMode="auto">
              <a:xfrm>
                <a:off x="12985936" y="2801469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123265</xdr:colOff>
          <xdr:row>24</xdr:row>
          <xdr:rowOff>190500</xdr:rowOff>
        </xdr:from>
        <xdr:to>
          <xdr:col>17</xdr:col>
          <xdr:colOff>788334</xdr:colOff>
          <xdr:row>26</xdr:row>
          <xdr:rowOff>20733</xdr:rowOff>
        </xdr:to>
        <xdr:grpSp>
          <xdr:nvGrpSpPr>
            <xdr:cNvPr id="149" name="群組 148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GrpSpPr/>
          </xdr:nvGrpSpPr>
          <xdr:grpSpPr>
            <a:xfrm>
              <a:off x="11004177" y="5356412"/>
              <a:ext cx="4060451" cy="256056"/>
              <a:chOff x="10383928" y="2812676"/>
              <a:chExt cx="3657039" cy="256055"/>
            </a:xfrm>
          </xdr:grpSpPr>
          <xdr:sp macro="" textlink="">
            <xdr:nvSpPr>
              <xdr:cNvPr id="17766" name="Check Box 2406" hidden="1">
                <a:extLst>
                  <a:ext uri="{63B3BB69-23CF-44E3-9099-C40C66FF867C}">
                    <a14:compatExt spid="_x0000_s17766"/>
                  </a:ext>
                  <a:ext uri="{FF2B5EF4-FFF2-40B4-BE49-F238E27FC236}">
                    <a16:creationId xmlns:a16="http://schemas.microsoft.com/office/drawing/2014/main" id="{00000000-0008-0000-0000-000066450000}"/>
                  </a:ext>
                </a:extLst>
              </xdr:cNvPr>
              <xdr:cNvSpPr/>
            </xdr:nvSpPr>
            <xdr:spPr bwMode="auto">
              <a:xfrm>
                <a:off x="10383928" y="2812676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67" name="Check Box 2407" hidden="1">
                <a:extLst>
                  <a:ext uri="{63B3BB69-23CF-44E3-9099-C40C66FF867C}">
                    <a14:compatExt spid="_x0000_s17767"/>
                  </a:ext>
                  <a:ext uri="{FF2B5EF4-FFF2-40B4-BE49-F238E27FC236}">
                    <a16:creationId xmlns:a16="http://schemas.microsoft.com/office/drawing/2014/main" id="{00000000-0008-0000-0000-000067450000}"/>
                  </a:ext>
                </a:extLst>
              </xdr:cNvPr>
              <xdr:cNvSpPr/>
            </xdr:nvSpPr>
            <xdr:spPr bwMode="auto">
              <a:xfrm>
                <a:off x="10946465" y="2823882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68" name="Check Box 2408" hidden="1">
                <a:extLst>
                  <a:ext uri="{63B3BB69-23CF-44E3-9099-C40C66FF867C}">
                    <a14:compatExt spid="_x0000_s17768"/>
                  </a:ext>
                  <a:ext uri="{FF2B5EF4-FFF2-40B4-BE49-F238E27FC236}">
                    <a16:creationId xmlns:a16="http://schemas.microsoft.com/office/drawing/2014/main" id="{00000000-0008-0000-0000-000068450000}"/>
                  </a:ext>
                </a:extLst>
              </xdr:cNvPr>
              <xdr:cNvSpPr/>
            </xdr:nvSpPr>
            <xdr:spPr bwMode="auto">
              <a:xfrm>
                <a:off x="11508441" y="2812676"/>
                <a:ext cx="493058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69" name="Check Box 2409" hidden="1">
                <a:extLst>
                  <a:ext uri="{63B3BB69-23CF-44E3-9099-C40C66FF867C}">
                    <a14:compatExt spid="_x0000_s17769"/>
                  </a:ext>
                  <a:ext uri="{FF2B5EF4-FFF2-40B4-BE49-F238E27FC236}">
                    <a16:creationId xmlns:a16="http://schemas.microsoft.com/office/drawing/2014/main" id="{00000000-0008-0000-0000-000069450000}"/>
                  </a:ext>
                </a:extLst>
              </xdr:cNvPr>
              <xdr:cNvSpPr/>
            </xdr:nvSpPr>
            <xdr:spPr bwMode="auto">
              <a:xfrm>
                <a:off x="12156702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傷害4%</a:t>
                </a:r>
              </a:p>
            </xdr:txBody>
          </xdr:sp>
          <xdr:sp macro="" textlink="">
            <xdr:nvSpPr>
              <xdr:cNvPr id="17770" name="Check Box 2410" hidden="1">
                <a:extLst>
                  <a:ext uri="{63B3BB69-23CF-44E3-9099-C40C66FF867C}">
                    <a14:compatExt spid="_x0000_s17770"/>
                  </a:ext>
                  <a:ext uri="{FF2B5EF4-FFF2-40B4-BE49-F238E27FC236}">
                    <a16:creationId xmlns:a16="http://schemas.microsoft.com/office/drawing/2014/main" id="{00000000-0008-0000-0000-00006A450000}"/>
                  </a:ext>
                </a:extLst>
              </xdr:cNvPr>
              <xdr:cNvSpPr/>
            </xdr:nvSpPr>
            <xdr:spPr bwMode="auto">
              <a:xfrm>
                <a:off x="12795435" y="2812677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會心4%</a:t>
                </a:r>
              </a:p>
            </xdr:txBody>
          </xdr:sp>
          <xdr:sp macro="" textlink="">
            <xdr:nvSpPr>
              <xdr:cNvPr id="17771" name="Check Box 2411" hidden="1">
                <a:extLst>
                  <a:ext uri="{63B3BB69-23CF-44E3-9099-C40C66FF867C}">
                    <a14:compatExt spid="_x0000_s17771"/>
                  </a:ext>
                  <a:ext uri="{FF2B5EF4-FFF2-40B4-BE49-F238E27FC236}">
                    <a16:creationId xmlns:a16="http://schemas.microsoft.com/office/drawing/2014/main" id="{00000000-0008-0000-0000-00006B450000}"/>
                  </a:ext>
                </a:extLst>
              </xdr:cNvPr>
              <xdr:cNvSpPr/>
            </xdr:nvSpPr>
            <xdr:spPr bwMode="auto">
              <a:xfrm>
                <a:off x="13478992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56030</xdr:colOff>
          <xdr:row>26</xdr:row>
          <xdr:rowOff>201706</xdr:rowOff>
        </xdr:from>
        <xdr:to>
          <xdr:col>17</xdr:col>
          <xdr:colOff>918882</xdr:colOff>
          <xdr:row>28</xdr:row>
          <xdr:rowOff>31939</xdr:rowOff>
        </xdr:to>
        <xdr:grpSp>
          <xdr:nvGrpSpPr>
            <xdr:cNvPr id="156" name="群組 155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GrpSpPr/>
          </xdr:nvGrpSpPr>
          <xdr:grpSpPr>
            <a:xfrm>
              <a:off x="10936942" y="5793441"/>
              <a:ext cx="4258234" cy="256057"/>
              <a:chOff x="10331817" y="2801469"/>
              <a:chExt cx="3854825" cy="256056"/>
            </a:xfrm>
          </xdr:grpSpPr>
          <xdr:sp macro="" textlink="">
            <xdr:nvSpPr>
              <xdr:cNvPr id="17772" name="Check Box 2412" hidden="1">
                <a:extLst>
                  <a:ext uri="{63B3BB69-23CF-44E3-9099-C40C66FF867C}">
                    <a14:compatExt spid="_x0000_s17772"/>
                  </a:ext>
                  <a:ext uri="{FF2B5EF4-FFF2-40B4-BE49-F238E27FC236}">
                    <a16:creationId xmlns:a16="http://schemas.microsoft.com/office/drawing/2014/main" id="{00000000-0008-0000-0000-00006C450000}"/>
                  </a:ext>
                </a:extLst>
              </xdr:cNvPr>
              <xdr:cNvSpPr/>
            </xdr:nvSpPr>
            <xdr:spPr bwMode="auto">
              <a:xfrm>
                <a:off x="11706225" y="2801470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傷害3%</a:t>
                </a:r>
              </a:p>
            </xdr:txBody>
          </xdr:sp>
          <xdr:sp macro="" textlink="">
            <xdr:nvSpPr>
              <xdr:cNvPr id="17773" name="Check Box 2413" hidden="1">
                <a:extLst>
                  <a:ext uri="{63B3BB69-23CF-44E3-9099-C40C66FF867C}">
                    <a14:compatExt spid="_x0000_s17773"/>
                  </a:ext>
                  <a:ext uri="{FF2B5EF4-FFF2-40B4-BE49-F238E27FC236}">
                    <a16:creationId xmlns:a16="http://schemas.microsoft.com/office/drawing/2014/main" id="{00000000-0008-0000-0000-00006D450000}"/>
                  </a:ext>
                </a:extLst>
              </xdr:cNvPr>
              <xdr:cNvSpPr/>
            </xdr:nvSpPr>
            <xdr:spPr bwMode="auto">
              <a:xfrm>
                <a:off x="13624667" y="2801470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會心2%</a:t>
                </a:r>
              </a:p>
            </xdr:txBody>
          </xdr:sp>
          <xdr:sp macro="" textlink="">
            <xdr:nvSpPr>
              <xdr:cNvPr id="17774" name="Check Box 2414" hidden="1">
                <a:extLst>
                  <a:ext uri="{63B3BB69-23CF-44E3-9099-C40C66FF867C}">
                    <a14:compatExt spid="_x0000_s17774"/>
                  </a:ext>
                  <a:ext uri="{FF2B5EF4-FFF2-40B4-BE49-F238E27FC236}">
                    <a16:creationId xmlns:a16="http://schemas.microsoft.com/office/drawing/2014/main" id="{00000000-0008-0000-0000-00006E450000}"/>
                  </a:ext>
                </a:extLst>
              </xdr:cNvPr>
              <xdr:cNvSpPr/>
            </xdr:nvSpPr>
            <xdr:spPr bwMode="auto">
              <a:xfrm>
                <a:off x="10331817" y="2812676"/>
                <a:ext cx="493058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75" name="Check Box 2415" hidden="1">
                <a:extLst>
                  <a:ext uri="{63B3BB69-23CF-44E3-9099-C40C66FF867C}">
                    <a14:compatExt spid="_x0000_s17775"/>
                  </a:ext>
                  <a:ext uri="{FF2B5EF4-FFF2-40B4-BE49-F238E27FC236}">
                    <a16:creationId xmlns:a16="http://schemas.microsoft.com/office/drawing/2014/main" id="{00000000-0008-0000-0000-00006F450000}"/>
                  </a:ext>
                </a:extLst>
              </xdr:cNvPr>
              <xdr:cNvSpPr/>
            </xdr:nvSpPr>
            <xdr:spPr bwMode="auto">
              <a:xfrm>
                <a:off x="11024907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傷害4%</a:t>
                </a:r>
              </a:p>
            </xdr:txBody>
          </xdr:sp>
          <xdr:sp macro="" textlink="">
            <xdr:nvSpPr>
              <xdr:cNvPr id="17776" name="Check Box 2416" hidden="1">
                <a:extLst>
                  <a:ext uri="{63B3BB69-23CF-44E3-9099-C40C66FF867C}">
                    <a14:compatExt spid="_x0000_s17776"/>
                  </a:ext>
                  <a:ext uri="{FF2B5EF4-FFF2-40B4-BE49-F238E27FC236}">
                    <a16:creationId xmlns:a16="http://schemas.microsoft.com/office/drawing/2014/main" id="{00000000-0008-0000-0000-000070450000}"/>
                  </a:ext>
                </a:extLst>
              </xdr:cNvPr>
              <xdr:cNvSpPr/>
            </xdr:nvSpPr>
            <xdr:spPr bwMode="auto">
              <a:xfrm>
                <a:off x="12358405" y="2801471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會心4%</a:t>
                </a:r>
              </a:p>
            </xdr:txBody>
          </xdr:sp>
          <xdr:sp macro="" textlink="">
            <xdr:nvSpPr>
              <xdr:cNvPr id="17777" name="Check Box 2417" hidden="1">
                <a:extLst>
                  <a:ext uri="{63B3BB69-23CF-44E3-9099-C40C66FF867C}">
                    <a14:compatExt spid="_x0000_s17777"/>
                  </a:ext>
                  <a:ext uri="{FF2B5EF4-FFF2-40B4-BE49-F238E27FC236}">
                    <a16:creationId xmlns:a16="http://schemas.microsoft.com/office/drawing/2014/main" id="{00000000-0008-0000-0000-000071450000}"/>
                  </a:ext>
                </a:extLst>
              </xdr:cNvPr>
              <xdr:cNvSpPr/>
            </xdr:nvSpPr>
            <xdr:spPr bwMode="auto">
              <a:xfrm>
                <a:off x="12985936" y="2801469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67236</xdr:colOff>
          <xdr:row>28</xdr:row>
          <xdr:rowOff>190499</xdr:rowOff>
        </xdr:from>
        <xdr:to>
          <xdr:col>16</xdr:col>
          <xdr:colOff>138395</xdr:colOff>
          <xdr:row>30</xdr:row>
          <xdr:rowOff>20733</xdr:rowOff>
        </xdr:to>
        <xdr:grpSp>
          <xdr:nvGrpSpPr>
            <xdr:cNvPr id="163" name="群組 162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GrpSpPr/>
          </xdr:nvGrpSpPr>
          <xdr:grpSpPr>
            <a:xfrm>
              <a:off x="10948148" y="6208058"/>
              <a:ext cx="2637306" cy="256057"/>
              <a:chOff x="10383925" y="2812675"/>
              <a:chExt cx="2334752" cy="256056"/>
            </a:xfrm>
          </xdr:grpSpPr>
          <xdr:sp macro="" textlink="">
            <xdr:nvSpPr>
              <xdr:cNvPr id="17778" name="Check Box 2418" hidden="1">
                <a:extLst>
                  <a:ext uri="{63B3BB69-23CF-44E3-9099-C40C66FF867C}">
                    <a14:compatExt spid="_x0000_s17778"/>
                  </a:ext>
                  <a:ext uri="{FF2B5EF4-FFF2-40B4-BE49-F238E27FC236}">
                    <a16:creationId xmlns:a16="http://schemas.microsoft.com/office/drawing/2014/main" id="{00000000-0008-0000-0000-000072450000}"/>
                  </a:ext>
                </a:extLst>
              </xdr:cNvPr>
              <xdr:cNvSpPr/>
            </xdr:nvSpPr>
            <xdr:spPr bwMode="auto">
              <a:xfrm>
                <a:off x="10383925" y="2812676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79" name="Check Box 2419" hidden="1">
                <a:extLst>
                  <a:ext uri="{63B3BB69-23CF-44E3-9099-C40C66FF867C}">
                    <a14:compatExt spid="_x0000_s17779"/>
                  </a:ext>
                  <a:ext uri="{FF2B5EF4-FFF2-40B4-BE49-F238E27FC236}">
                    <a16:creationId xmlns:a16="http://schemas.microsoft.com/office/drawing/2014/main" id="{00000000-0008-0000-0000-000073450000}"/>
                  </a:ext>
                </a:extLst>
              </xdr:cNvPr>
              <xdr:cNvSpPr/>
            </xdr:nvSpPr>
            <xdr:spPr bwMode="auto">
              <a:xfrm>
                <a:off x="10946465" y="2823882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80" name="Check Box 2420" hidden="1">
                <a:extLst>
                  <a:ext uri="{63B3BB69-23CF-44E3-9099-C40C66FF867C}">
                    <a14:compatExt spid="_x0000_s17780"/>
                  </a:ext>
                  <a:ext uri="{FF2B5EF4-FFF2-40B4-BE49-F238E27FC236}">
                    <a16:creationId xmlns:a16="http://schemas.microsoft.com/office/drawing/2014/main" id="{00000000-0008-0000-0000-000074450000}"/>
                  </a:ext>
                </a:extLst>
              </xdr:cNvPr>
              <xdr:cNvSpPr/>
            </xdr:nvSpPr>
            <xdr:spPr bwMode="auto">
              <a:xfrm>
                <a:off x="11508440" y="2812675"/>
                <a:ext cx="690841" cy="2465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距離+1</a:t>
                </a:r>
              </a:p>
            </xdr:txBody>
          </xdr:sp>
          <xdr:sp macro="" textlink="">
            <xdr:nvSpPr>
              <xdr:cNvPr id="17781" name="Check Box 2421" hidden="1">
                <a:extLst>
                  <a:ext uri="{63B3BB69-23CF-44E3-9099-C40C66FF867C}">
                    <a14:compatExt spid="_x0000_s17781"/>
                  </a:ext>
                  <a:ext uri="{FF2B5EF4-FFF2-40B4-BE49-F238E27FC236}">
                    <a16:creationId xmlns:a16="http://schemas.microsoft.com/office/drawing/2014/main" id="{00000000-0008-0000-0000-000075450000}"/>
                  </a:ext>
                </a:extLst>
              </xdr:cNvPr>
              <xdr:cNvSpPr/>
            </xdr:nvSpPr>
            <xdr:spPr bwMode="auto">
              <a:xfrm>
                <a:off x="12156703" y="2812676"/>
                <a:ext cx="561974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距離+1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100853</xdr:colOff>
          <xdr:row>30</xdr:row>
          <xdr:rowOff>179294</xdr:rowOff>
        </xdr:from>
        <xdr:to>
          <xdr:col>18</xdr:col>
          <xdr:colOff>246529</xdr:colOff>
          <xdr:row>32</xdr:row>
          <xdr:rowOff>22412</xdr:rowOff>
        </xdr:to>
        <xdr:grpSp>
          <xdr:nvGrpSpPr>
            <xdr:cNvPr id="170" name="群組 169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GrpSpPr/>
          </xdr:nvGrpSpPr>
          <xdr:grpSpPr>
            <a:xfrm>
              <a:off x="10981765" y="6622676"/>
              <a:ext cx="4504764" cy="268942"/>
              <a:chOff x="10331816" y="2801433"/>
              <a:chExt cx="4101368" cy="268941"/>
            </a:xfrm>
          </xdr:grpSpPr>
          <xdr:sp macro="" textlink="">
            <xdr:nvSpPr>
              <xdr:cNvPr id="17784" name="Check Box 2424" hidden="1">
                <a:extLst>
                  <a:ext uri="{63B3BB69-23CF-44E3-9099-C40C66FF867C}">
                    <a14:compatExt spid="_x0000_s17784"/>
                  </a:ext>
                  <a:ext uri="{FF2B5EF4-FFF2-40B4-BE49-F238E27FC236}">
                    <a16:creationId xmlns:a16="http://schemas.microsoft.com/office/drawing/2014/main" id="{00000000-0008-0000-0000-000078450000}"/>
                  </a:ext>
                </a:extLst>
              </xdr:cNvPr>
              <xdr:cNvSpPr/>
            </xdr:nvSpPr>
            <xdr:spPr bwMode="auto">
              <a:xfrm>
                <a:off x="13006115" y="2801433"/>
                <a:ext cx="1427069" cy="2689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窺月：20%減傷，持續6秒</a:t>
                </a:r>
              </a:p>
            </xdr:txBody>
          </xdr:sp>
          <xdr:sp macro="" textlink="">
            <xdr:nvSpPr>
              <xdr:cNvPr id="17785" name="Check Box 2425" hidden="1">
                <a:extLst>
                  <a:ext uri="{63B3BB69-23CF-44E3-9099-C40C66FF867C}">
                    <a14:compatExt spid="_x0000_s17785"/>
                  </a:ext>
                  <a:ext uri="{FF2B5EF4-FFF2-40B4-BE49-F238E27FC236}">
                    <a16:creationId xmlns:a16="http://schemas.microsoft.com/office/drawing/2014/main" id="{00000000-0008-0000-0000-000079450000}"/>
                  </a:ext>
                </a:extLst>
              </xdr:cNvPr>
              <xdr:cNvSpPr/>
            </xdr:nvSpPr>
            <xdr:spPr bwMode="auto">
              <a:xfrm>
                <a:off x="12358406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會心2%</a:t>
                </a:r>
              </a:p>
            </xdr:txBody>
          </xdr:sp>
          <xdr:sp macro="" textlink="">
            <xdr:nvSpPr>
              <xdr:cNvPr id="17786" name="Check Box 2426" hidden="1">
                <a:extLst>
                  <a:ext uri="{63B3BB69-23CF-44E3-9099-C40C66FF867C}">
                    <a14:compatExt spid="_x0000_s17786"/>
                  </a:ext>
                  <a:ext uri="{FF2B5EF4-FFF2-40B4-BE49-F238E27FC236}">
                    <a16:creationId xmlns:a16="http://schemas.microsoft.com/office/drawing/2014/main" id="{00000000-0008-0000-0000-00007A450000}"/>
                  </a:ext>
                </a:extLst>
              </xdr:cNvPr>
              <xdr:cNvSpPr/>
            </xdr:nvSpPr>
            <xdr:spPr bwMode="auto">
              <a:xfrm>
                <a:off x="10331816" y="2812676"/>
                <a:ext cx="493058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87" name="Check Box 2427" hidden="1">
                <a:extLst>
                  <a:ext uri="{63B3BB69-23CF-44E3-9099-C40C66FF867C}">
                    <a14:compatExt spid="_x0000_s17787"/>
                  </a:ext>
                  <a:ext uri="{FF2B5EF4-FFF2-40B4-BE49-F238E27FC236}">
                    <a16:creationId xmlns:a16="http://schemas.microsoft.com/office/drawing/2014/main" id="{00000000-0008-0000-0000-00007B450000}"/>
                  </a:ext>
                </a:extLst>
              </xdr:cNvPr>
              <xdr:cNvSpPr/>
            </xdr:nvSpPr>
            <xdr:spPr bwMode="auto">
              <a:xfrm>
                <a:off x="11024907" y="2812676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傷害5%</a:t>
                </a:r>
              </a:p>
            </xdr:txBody>
          </xdr:sp>
          <xdr:sp macro="" textlink="">
            <xdr:nvSpPr>
              <xdr:cNvPr id="17789" name="Check Box 2429" hidden="1">
                <a:extLst>
                  <a:ext uri="{63B3BB69-23CF-44E3-9099-C40C66FF867C}">
                    <a14:compatExt spid="_x0000_s17789"/>
                  </a:ext>
                  <a:ext uri="{FF2B5EF4-FFF2-40B4-BE49-F238E27FC236}">
                    <a16:creationId xmlns:a16="http://schemas.microsoft.com/office/drawing/2014/main" id="{00000000-0008-0000-0000-00007D450000}"/>
                  </a:ext>
                </a:extLst>
              </xdr:cNvPr>
              <xdr:cNvSpPr/>
            </xdr:nvSpPr>
            <xdr:spPr bwMode="auto">
              <a:xfrm>
                <a:off x="11708466" y="2812675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會心3%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100853</xdr:colOff>
          <xdr:row>32</xdr:row>
          <xdr:rowOff>190501</xdr:rowOff>
        </xdr:from>
        <xdr:to>
          <xdr:col>17</xdr:col>
          <xdr:colOff>0</xdr:colOff>
          <xdr:row>34</xdr:row>
          <xdr:rowOff>20735</xdr:rowOff>
        </xdr:to>
        <xdr:grpSp>
          <xdr:nvGrpSpPr>
            <xdr:cNvPr id="177" name="群組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GrpSpPr/>
          </xdr:nvGrpSpPr>
          <xdr:grpSpPr>
            <a:xfrm>
              <a:off x="10981765" y="7059707"/>
              <a:ext cx="3294529" cy="256057"/>
              <a:chOff x="10383930" y="2812675"/>
              <a:chExt cx="2891108" cy="256056"/>
            </a:xfrm>
          </xdr:grpSpPr>
          <xdr:sp macro="" textlink="">
            <xdr:nvSpPr>
              <xdr:cNvPr id="17790" name="Check Box 2430" hidden="1">
                <a:extLst>
                  <a:ext uri="{63B3BB69-23CF-44E3-9099-C40C66FF867C}">
                    <a14:compatExt spid="_x0000_s17790"/>
                  </a:ext>
                  <a:ext uri="{FF2B5EF4-FFF2-40B4-BE49-F238E27FC236}">
                    <a16:creationId xmlns:a16="http://schemas.microsoft.com/office/drawing/2014/main" id="{00000000-0008-0000-0000-00007E450000}"/>
                  </a:ext>
                </a:extLst>
              </xdr:cNvPr>
              <xdr:cNvSpPr/>
            </xdr:nvSpPr>
            <xdr:spPr bwMode="auto">
              <a:xfrm>
                <a:off x="10383930" y="2812676"/>
                <a:ext cx="564216" cy="24877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91" name="Check Box 2431" hidden="1">
                <a:extLst>
                  <a:ext uri="{63B3BB69-23CF-44E3-9099-C40C66FF867C}">
                    <a14:compatExt spid="_x0000_s17791"/>
                  </a:ext>
                  <a:ext uri="{FF2B5EF4-FFF2-40B4-BE49-F238E27FC236}">
                    <a16:creationId xmlns:a16="http://schemas.microsoft.com/office/drawing/2014/main" id="{00000000-0008-0000-0000-00007F450000}"/>
                  </a:ext>
                </a:extLst>
              </xdr:cNvPr>
              <xdr:cNvSpPr/>
            </xdr:nvSpPr>
            <xdr:spPr bwMode="auto">
              <a:xfrm>
                <a:off x="10946465" y="2823882"/>
                <a:ext cx="561975" cy="2448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CD-1</a:t>
                </a:r>
              </a:p>
            </xdr:txBody>
          </xdr:sp>
          <xdr:sp macro="" textlink="">
            <xdr:nvSpPr>
              <xdr:cNvPr id="17792" name="Check Box 2432" hidden="1">
                <a:extLst>
                  <a:ext uri="{63B3BB69-23CF-44E3-9099-C40C66FF867C}">
                    <a14:compatExt spid="_x0000_s17792"/>
                  </a:ext>
                  <a:ext uri="{FF2B5EF4-FFF2-40B4-BE49-F238E27FC236}">
                    <a16:creationId xmlns:a16="http://schemas.microsoft.com/office/drawing/2014/main" id="{00000000-0008-0000-0000-000080450000}"/>
                  </a:ext>
                </a:extLst>
              </xdr:cNvPr>
              <xdr:cNvSpPr/>
            </xdr:nvSpPr>
            <xdr:spPr bwMode="auto">
              <a:xfrm>
                <a:off x="11497234" y="2812675"/>
                <a:ext cx="690841" cy="24652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CD-3</a:t>
                </a:r>
              </a:p>
            </xdr:txBody>
          </xdr:sp>
          <xdr:sp macro="" textlink="">
            <xdr:nvSpPr>
              <xdr:cNvPr id="17793" name="Check Box 2433" hidden="1">
                <a:extLst>
                  <a:ext uri="{63B3BB69-23CF-44E3-9099-C40C66FF867C}">
                    <a14:compatExt spid="_x0000_s17793"/>
                  </a:ext>
                  <a:ext uri="{FF2B5EF4-FFF2-40B4-BE49-F238E27FC236}">
                    <a16:creationId xmlns:a16="http://schemas.microsoft.com/office/drawing/2014/main" id="{00000000-0008-0000-0000-000081450000}"/>
                  </a:ext>
                </a:extLst>
              </xdr:cNvPr>
              <xdr:cNvSpPr/>
            </xdr:nvSpPr>
            <xdr:spPr bwMode="auto">
              <a:xfrm>
                <a:off x="12067044" y="2823882"/>
                <a:ext cx="1207994" cy="22411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20%減傷，持續4秒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89642</xdr:colOff>
          <xdr:row>34</xdr:row>
          <xdr:rowOff>156883</xdr:rowOff>
        </xdr:from>
        <xdr:to>
          <xdr:col>17</xdr:col>
          <xdr:colOff>907674</xdr:colOff>
          <xdr:row>37</xdr:row>
          <xdr:rowOff>20733</xdr:rowOff>
        </xdr:to>
        <xdr:grpSp>
          <xdr:nvGrpSpPr>
            <xdr:cNvPr id="182" name="群組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GrpSpPr/>
          </xdr:nvGrpSpPr>
          <xdr:grpSpPr>
            <a:xfrm>
              <a:off x="10970554" y="7451912"/>
              <a:ext cx="4213414" cy="502586"/>
              <a:chOff x="10412512" y="4448736"/>
              <a:chExt cx="3919144" cy="502586"/>
            </a:xfrm>
          </xdr:grpSpPr>
          <xdr:sp macro="" textlink="">
            <xdr:nvSpPr>
              <xdr:cNvPr id="17794" name="Check Box 2434" hidden="1">
                <a:extLst>
                  <a:ext uri="{63B3BB69-23CF-44E3-9099-C40C66FF867C}">
                    <a14:compatExt spid="_x0000_s17794"/>
                  </a:ext>
                  <a:ext uri="{FF2B5EF4-FFF2-40B4-BE49-F238E27FC236}">
                    <a16:creationId xmlns:a16="http://schemas.microsoft.com/office/drawing/2014/main" id="{00000000-0008-0000-0000-000082450000}"/>
                  </a:ext>
                </a:extLst>
              </xdr:cNvPr>
              <xdr:cNvSpPr/>
            </xdr:nvSpPr>
            <xdr:spPr bwMode="auto">
              <a:xfrm>
                <a:off x="10412512" y="4493559"/>
                <a:ext cx="564214" cy="24877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CD-5</a:t>
                </a:r>
              </a:p>
            </xdr:txBody>
          </xdr:sp>
          <xdr:sp macro="" textlink="">
            <xdr:nvSpPr>
              <xdr:cNvPr id="17795" name="Check Box 2435" hidden="1">
                <a:extLst>
                  <a:ext uri="{63B3BB69-23CF-44E3-9099-C40C66FF867C}">
                    <a14:compatExt spid="_x0000_s17795"/>
                  </a:ext>
                  <a:ext uri="{FF2B5EF4-FFF2-40B4-BE49-F238E27FC236}">
                    <a16:creationId xmlns:a16="http://schemas.microsoft.com/office/drawing/2014/main" id="{00000000-0008-0000-0000-000083450000}"/>
                  </a:ext>
                </a:extLst>
              </xdr:cNvPr>
              <xdr:cNvSpPr/>
            </xdr:nvSpPr>
            <xdr:spPr bwMode="auto">
              <a:xfrm>
                <a:off x="11022118" y="4504765"/>
                <a:ext cx="561975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CD-5</a:t>
                </a:r>
              </a:p>
            </xdr:txBody>
          </xdr:sp>
          <xdr:sp macro="" textlink="">
            <xdr:nvSpPr>
              <xdr:cNvPr id="17796" name="Check Box 2436" hidden="1">
                <a:extLst>
                  <a:ext uri="{63B3BB69-23CF-44E3-9099-C40C66FF867C}">
                    <a14:compatExt spid="_x0000_s17796"/>
                  </a:ext>
                  <a:ext uri="{FF2B5EF4-FFF2-40B4-BE49-F238E27FC236}">
                    <a16:creationId xmlns:a16="http://schemas.microsoft.com/office/drawing/2014/main" id="{00000000-0008-0000-0000-000084450000}"/>
                  </a:ext>
                </a:extLst>
              </xdr:cNvPr>
              <xdr:cNvSpPr/>
            </xdr:nvSpPr>
            <xdr:spPr bwMode="auto">
              <a:xfrm>
                <a:off x="11618993" y="4471147"/>
                <a:ext cx="983625" cy="27846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跑速+20%</a:t>
                </a:r>
              </a:p>
            </xdr:txBody>
          </xdr:sp>
          <xdr:sp macro="" textlink="">
            <xdr:nvSpPr>
              <xdr:cNvPr id="17797" name="Check Box 2437" hidden="1">
                <a:extLst>
                  <a:ext uri="{63B3BB69-23CF-44E3-9099-C40C66FF867C}">
                    <a14:compatExt spid="_x0000_s17797"/>
                  </a:ext>
                  <a:ext uri="{FF2B5EF4-FFF2-40B4-BE49-F238E27FC236}">
                    <a16:creationId xmlns:a16="http://schemas.microsoft.com/office/drawing/2014/main" id="{00000000-0008-0000-0000-000085450000}"/>
                  </a:ext>
                </a:extLst>
              </xdr:cNvPr>
              <xdr:cNvSpPr/>
            </xdr:nvSpPr>
            <xdr:spPr bwMode="auto">
              <a:xfrm>
                <a:off x="12532700" y="4448736"/>
                <a:ext cx="1798956" cy="26894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施展期間每秒回復3%氣血與內力</a:t>
                </a:r>
              </a:p>
            </xdr:txBody>
          </xdr:sp>
          <xdr:sp macro="" textlink="">
            <xdr:nvSpPr>
              <xdr:cNvPr id="17798" name="Check Box 2438" hidden="1">
                <a:extLst>
                  <a:ext uri="{63B3BB69-23CF-44E3-9099-C40C66FF867C}">
                    <a14:compatExt spid="_x0000_s17798"/>
                  </a:ext>
                  <a:ext uri="{FF2B5EF4-FFF2-40B4-BE49-F238E27FC236}">
                    <a16:creationId xmlns:a16="http://schemas.microsoft.com/office/drawing/2014/main" id="{00000000-0008-0000-0000-000086450000}"/>
                  </a:ext>
                </a:extLst>
              </xdr:cNvPr>
              <xdr:cNvSpPr/>
            </xdr:nvSpPr>
            <xdr:spPr bwMode="auto">
              <a:xfrm>
                <a:off x="10462936" y="4706472"/>
                <a:ext cx="561975" cy="2448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範圍+3</a:t>
                </a:r>
              </a:p>
            </xdr:txBody>
          </xdr:sp>
          <xdr:sp macro="" textlink="">
            <xdr:nvSpPr>
              <xdr:cNvPr id="17799" name="Check Box 2439" hidden="1">
                <a:extLst>
                  <a:ext uri="{63B3BB69-23CF-44E3-9099-C40C66FF867C}">
                    <a14:compatExt spid="_x0000_s17799"/>
                  </a:ext>
                  <a:ext uri="{FF2B5EF4-FFF2-40B4-BE49-F238E27FC236}">
                    <a16:creationId xmlns:a16="http://schemas.microsoft.com/office/drawing/2014/main" id="{00000000-0008-0000-0000-000087450000}"/>
                  </a:ext>
                </a:extLst>
              </xdr:cNvPr>
              <xdr:cNvSpPr/>
            </xdr:nvSpPr>
            <xdr:spPr bwMode="auto">
              <a:xfrm>
                <a:off x="11239994" y="4706470"/>
                <a:ext cx="561975" cy="21291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範圍+5</a:t>
                </a:r>
              </a:p>
            </xdr:txBody>
          </xdr:sp>
          <xdr:sp macro="" textlink="">
            <xdr:nvSpPr>
              <xdr:cNvPr id="17800" name="Check Box 2440" hidden="1">
                <a:extLst>
                  <a:ext uri="{63B3BB69-23CF-44E3-9099-C40C66FF867C}">
                    <a14:compatExt spid="_x0000_s17800"/>
                  </a:ext>
                  <a:ext uri="{FF2B5EF4-FFF2-40B4-BE49-F238E27FC236}">
                    <a16:creationId xmlns:a16="http://schemas.microsoft.com/office/drawing/2014/main" id="{00000000-0008-0000-0000-000088450000}"/>
                  </a:ext>
                </a:extLst>
              </xdr:cNvPr>
              <xdr:cNvSpPr/>
            </xdr:nvSpPr>
            <xdr:spPr bwMode="auto">
              <a:xfrm>
                <a:off x="12072382" y="4685178"/>
                <a:ext cx="2109417" cy="24540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zh-TW" altLang="en-US" sz="900" b="0" i="0" u="none" strike="noStrike" baseline="0">
                    <a:solidFill>
                      <a:srgbClr val="000000"/>
                    </a:solidFill>
                    <a:latin typeface="Microsoft JhengHei UI"/>
                    <a:ea typeface="Microsoft JhengHei UI"/>
                  </a:rPr>
                  <a:t>技能無須運功，改為持續5秒，CD80秒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</xdr:row>
          <xdr:rowOff>190500</xdr:rowOff>
        </xdr:from>
        <xdr:to>
          <xdr:col>14</xdr:col>
          <xdr:colOff>333375</xdr:colOff>
          <xdr:row>3</xdr:row>
          <xdr:rowOff>0</xdr:rowOff>
        </xdr:to>
        <xdr:sp macro="" textlink="">
          <xdr:nvSpPr>
            <xdr:cNvPr id="17805" name="Check Box 2445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0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靜止目標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1</xdr:row>
          <xdr:rowOff>190500</xdr:rowOff>
        </xdr:from>
        <xdr:to>
          <xdr:col>17</xdr:col>
          <xdr:colOff>171450</xdr:colOff>
          <xdr:row>3</xdr:row>
          <xdr:rowOff>0</xdr:rowOff>
        </xdr:to>
        <xdr:sp macro="" textlink="">
          <xdr:nvSpPr>
            <xdr:cNvPr id="17808" name="Check Box 2448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0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酒中仙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4</xdr:row>
          <xdr:rowOff>190500</xdr:rowOff>
        </xdr:from>
        <xdr:to>
          <xdr:col>23</xdr:col>
          <xdr:colOff>314325</xdr:colOff>
          <xdr:row>5</xdr:row>
          <xdr:rowOff>209550</xdr:rowOff>
        </xdr:to>
        <xdr:sp macro="" textlink="">
          <xdr:nvSpPr>
            <xdr:cNvPr id="17814" name="Check Box 2454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0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田螺陣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</xdr:row>
          <xdr:rowOff>190500</xdr:rowOff>
        </xdr:from>
        <xdr:to>
          <xdr:col>23</xdr:col>
          <xdr:colOff>323850</xdr:colOff>
          <xdr:row>6</xdr:row>
          <xdr:rowOff>209550</xdr:rowOff>
        </xdr:to>
        <xdr:sp macro="" textlink="">
          <xdr:nvSpPr>
            <xdr:cNvPr id="17815" name="Check Box 2455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0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田螺耗能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0</xdr:row>
          <xdr:rowOff>190500</xdr:rowOff>
        </xdr:from>
        <xdr:to>
          <xdr:col>23</xdr:col>
          <xdr:colOff>314325</xdr:colOff>
          <xdr:row>1</xdr:row>
          <xdr:rowOff>219075</xdr:rowOff>
        </xdr:to>
        <xdr:sp macro="" textlink="">
          <xdr:nvSpPr>
            <xdr:cNvPr id="17816" name="Check Box 2456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0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捨身弘法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1</xdr:row>
          <xdr:rowOff>200025</xdr:rowOff>
        </xdr:from>
        <xdr:to>
          <xdr:col>23</xdr:col>
          <xdr:colOff>323850</xdr:colOff>
          <xdr:row>3</xdr:row>
          <xdr:rowOff>9525</xdr:rowOff>
        </xdr:to>
        <xdr:sp macro="" textlink="">
          <xdr:nvSpPr>
            <xdr:cNvPr id="17817" name="Check Box 2457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0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朝聖言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0</xdr:row>
          <xdr:rowOff>57150</xdr:rowOff>
        </xdr:from>
        <xdr:to>
          <xdr:col>12</xdr:col>
          <xdr:colOff>866775</xdr:colOff>
          <xdr:row>2</xdr:row>
          <xdr:rowOff>38100</xdr:rowOff>
        </xdr:to>
        <xdr:sp macro="" textlink="">
          <xdr:nvSpPr>
            <xdr:cNvPr id="17818" name="Check Box 2458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0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單技能模式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7</xdr:row>
          <xdr:rowOff>219075</xdr:rowOff>
        </xdr:from>
        <xdr:to>
          <xdr:col>14</xdr:col>
          <xdr:colOff>228600</xdr:colOff>
          <xdr:row>9</xdr:row>
          <xdr:rowOff>9525</xdr:rowOff>
        </xdr:to>
        <xdr:sp macro="" textlink="">
          <xdr:nvSpPr>
            <xdr:cNvPr id="17820" name="Check Box 2460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0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打怪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31</xdr:row>
          <xdr:rowOff>228600</xdr:rowOff>
        </xdr:from>
        <xdr:to>
          <xdr:col>15</xdr:col>
          <xdr:colOff>180975</xdr:colOff>
          <xdr:row>32</xdr:row>
          <xdr:rowOff>228600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1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水特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34</xdr:row>
          <xdr:rowOff>0</xdr:rowOff>
        </xdr:from>
        <xdr:to>
          <xdr:col>15</xdr:col>
          <xdr:colOff>180975</xdr:colOff>
          <xdr:row>34</xdr:row>
          <xdr:rowOff>228600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1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特腰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32</xdr:row>
          <xdr:rowOff>228600</xdr:rowOff>
        </xdr:from>
        <xdr:to>
          <xdr:col>15</xdr:col>
          <xdr:colOff>57150</xdr:colOff>
          <xdr:row>33</xdr:row>
          <xdr:rowOff>228600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1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雷特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35</xdr:row>
          <xdr:rowOff>9525</xdr:rowOff>
        </xdr:from>
        <xdr:to>
          <xdr:col>15</xdr:col>
          <xdr:colOff>66675</xdr:colOff>
          <xdr:row>36</xdr:row>
          <xdr:rowOff>9525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1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打怪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菲 夏" id="{DA37BDE1-1271-434E-9063-B313D0808540}" userId="dc2e6fa0f55835e6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19-12-11T09:21:24.80" personId="{DA37BDE1-1271-434E-9063-B313D0808540}" id="{E3B90C10-A06D-40C5-BEDC-65F8E598F881}">
    <text>每0.5秒一次</text>
  </threadedComment>
  <threadedComment ref="A37" dT="2019-12-11T09:21:11.73" personId="{DA37BDE1-1271-434E-9063-B313D0808540}" id="{302C3088-2EB1-4302-9924-7CC27CBE069A}">
    <text>每2秒一次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19-11-25T18:24:46.35" personId="{DA37BDE1-1271-434E-9063-B313D0808540}" id="{2CFBABFB-B50E-4D42-B01A-D23724965989}">
    <text>心法加成屬性1身法=0.47</text>
  </threadedComment>
  <threadedComment ref="G3" dT="2019-11-25T18:25:34.08" personId="{DA37BDE1-1271-434E-9063-B313D0808540}" id="{5CABC5AE-2743-4B91-9E7E-C017C85FDF00}">
    <text>共同天生1身法=0.64會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0.xml"/><Relationship Id="rId5" Type="http://schemas.openxmlformats.org/officeDocument/2006/relationships/ctrlProp" Target="../ctrlProps/ctrlProp89.xml"/><Relationship Id="rId4" Type="http://schemas.openxmlformats.org/officeDocument/2006/relationships/ctrlProp" Target="../ctrlProps/ctrlProp88.xml"/><Relationship Id="rId9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>
    <tabColor rgb="FFE57B7B"/>
  </sheetPr>
  <dimension ref="A1:FO76"/>
  <sheetViews>
    <sheetView zoomScale="85" zoomScaleNormal="85" workbookViewId="0">
      <selection activeCell="D18" sqref="D18"/>
    </sheetView>
  </sheetViews>
  <sheetFormatPr defaultRowHeight="16.5"/>
  <cols>
    <col min="1" max="1" width="15.125" style="6" customWidth="1"/>
    <col min="2" max="2" width="11.875" style="7" bestFit="1" customWidth="1"/>
    <col min="3" max="3" width="10.375" style="8" customWidth="1"/>
    <col min="4" max="4" width="11" style="8" customWidth="1"/>
    <col min="5" max="5" width="11.125" style="8" customWidth="1"/>
    <col min="6" max="6" width="10.625" style="8" customWidth="1"/>
    <col min="7" max="7" width="10" style="8" customWidth="1"/>
    <col min="8" max="9" width="10.125" style="14" customWidth="1"/>
    <col min="10" max="10" width="10.75" style="8" customWidth="1"/>
    <col min="11" max="11" width="10.5" style="10" customWidth="1"/>
    <col min="12" max="12" width="9.75" style="10" customWidth="1"/>
    <col min="13" max="13" width="11.25" style="11" customWidth="1"/>
    <col min="14" max="14" width="9.25" style="11" customWidth="1"/>
    <col min="15" max="15" width="14.5" style="11" customWidth="1"/>
    <col min="16" max="16" width="9.875" style="8" customWidth="1"/>
    <col min="17" max="17" width="10.875" style="13" customWidth="1"/>
    <col min="18" max="18" width="12.625" style="13" customWidth="1"/>
    <col min="19" max="19" width="9.125" style="13" customWidth="1"/>
    <col min="20" max="21" width="10.25" style="13" customWidth="1"/>
    <col min="22" max="22" width="8.375" style="13" customWidth="1"/>
    <col min="23" max="23" width="9" style="13"/>
    <col min="24" max="24" width="11" style="13" customWidth="1"/>
    <col min="25" max="25" width="8.25" style="13" customWidth="1"/>
    <col min="26" max="16384" width="9" style="13"/>
  </cols>
  <sheetData>
    <row r="1" spans="1:27" s="50" customFormat="1">
      <c r="A1" s="62" t="s">
        <v>231</v>
      </c>
      <c r="B1" s="63" t="s">
        <v>579</v>
      </c>
      <c r="C1" s="64" t="s">
        <v>216</v>
      </c>
      <c r="D1" s="64" t="s">
        <v>235</v>
      </c>
      <c r="E1" s="64" t="s">
        <v>220</v>
      </c>
      <c r="F1" s="64" t="s">
        <v>24</v>
      </c>
      <c r="G1" s="64" t="s">
        <v>25</v>
      </c>
      <c r="H1" s="65" t="s">
        <v>26</v>
      </c>
      <c r="I1" s="65" t="s">
        <v>589</v>
      </c>
      <c r="J1" s="568" t="s">
        <v>1332</v>
      </c>
      <c r="K1" s="569"/>
      <c r="L1" s="569"/>
      <c r="M1" s="546"/>
      <c r="N1" s="566" t="s">
        <v>600</v>
      </c>
      <c r="O1" s="566"/>
      <c r="P1" s="566"/>
      <c r="Q1" s="575" t="s">
        <v>470</v>
      </c>
      <c r="R1" s="575"/>
      <c r="S1" s="575"/>
      <c r="T1" s="575"/>
      <c r="U1" s="575"/>
      <c r="V1" s="575"/>
      <c r="W1" s="575"/>
      <c r="X1" s="575"/>
      <c r="Y1" s="575"/>
    </row>
    <row r="2" spans="1:27" s="6" customFormat="1" ht="17.25" thickBot="1">
      <c r="A2" s="74"/>
      <c r="B2" s="75">
        <f>配裝模擬!$B$4</f>
        <v>2665.2000000000003</v>
      </c>
      <c r="C2" s="76">
        <f>配裝模擬!$C$4</f>
        <v>6508</v>
      </c>
      <c r="D2" s="75">
        <f>配裝模擬!E4</f>
        <v>7193.2</v>
      </c>
      <c r="E2" s="77">
        <f>配裝模擬!$G$4</f>
        <v>6927.7280000000001</v>
      </c>
      <c r="F2" s="78">
        <f>配裝模擬!$G$6</f>
        <v>1.9311816844496581</v>
      </c>
      <c r="G2" s="79">
        <f>配裝模擬!$I$6</f>
        <v>0.30469351314996268</v>
      </c>
      <c r="H2" s="79">
        <f>配裝模擬!$H$6</f>
        <v>1.0619996738000501</v>
      </c>
      <c r="I2" s="436">
        <f>配裝模擬!$Q$5</f>
        <v>856</v>
      </c>
      <c r="J2" s="570" t="s">
        <v>1332</v>
      </c>
      <c r="K2" s="571"/>
      <c r="L2" s="571"/>
      <c r="M2" s="546"/>
      <c r="N2" s="388"/>
      <c r="O2" s="567" t="s">
        <v>623</v>
      </c>
      <c r="P2" s="567"/>
      <c r="Q2" s="89"/>
      <c r="R2" s="92"/>
      <c r="S2" s="427"/>
      <c r="T2" s="138"/>
      <c r="U2" s="574" t="s">
        <v>469</v>
      </c>
      <c r="V2" s="574"/>
      <c r="W2" s="192"/>
      <c r="X2" s="577" t="s">
        <v>1336</v>
      </c>
      <c r="Y2" s="577"/>
    </row>
    <row r="3" spans="1:27" s="45" customFormat="1" ht="15.75" customHeight="1">
      <c r="A3" s="80" t="s">
        <v>584</v>
      </c>
      <c r="B3" s="81" t="s">
        <v>216</v>
      </c>
      <c r="C3" s="82" t="s">
        <v>217</v>
      </c>
      <c r="D3" s="83" t="s">
        <v>241</v>
      </c>
      <c r="E3" s="83" t="s">
        <v>236</v>
      </c>
      <c r="F3" s="83" t="s">
        <v>237</v>
      </c>
      <c r="G3" s="83" t="s">
        <v>238</v>
      </c>
      <c r="H3" s="83" t="s">
        <v>239</v>
      </c>
      <c r="I3" s="83" t="s">
        <v>240</v>
      </c>
      <c r="J3" s="84" t="s">
        <v>589</v>
      </c>
      <c r="K3" s="572" t="s">
        <v>1332</v>
      </c>
      <c r="L3" s="573"/>
      <c r="M3" s="547" t="s">
        <v>1376</v>
      </c>
      <c r="N3" s="389"/>
      <c r="O3" s="589" t="s">
        <v>636</v>
      </c>
      <c r="P3" s="589"/>
      <c r="Q3" s="66"/>
      <c r="R3" s="584" t="s">
        <v>644</v>
      </c>
      <c r="S3" s="584"/>
      <c r="T3" s="191"/>
      <c r="U3" s="578" t="s">
        <v>1340</v>
      </c>
      <c r="V3" s="578"/>
      <c r="W3" s="190"/>
      <c r="X3" s="581" t="s">
        <v>1337</v>
      </c>
      <c r="Y3" s="581"/>
    </row>
    <row r="4" spans="1:27" s="46" customFormat="1" ht="17.25" thickBot="1">
      <c r="A4" s="85">
        <f>$B$2+BUFF!$D$27</f>
        <v>2717.2000000000003</v>
      </c>
      <c r="B4" s="86">
        <f>$C$2</f>
        <v>6508</v>
      </c>
      <c r="C4" s="86">
        <f ca="1">646+B4*(1+BUFF!C27)+($A$4*1.5)+BUFF!$Z$27</f>
        <v>12856.8</v>
      </c>
      <c r="D4" s="97">
        <f ca="1">($D$2*(1+BUFF!H27))+B2*0.47+BUFF!J27</f>
        <v>9217.1640000000007</v>
      </c>
      <c r="E4" s="87">
        <f ca="1">$D$4/staticResult!C2/100</f>
        <v>0.60068976753582759</v>
      </c>
      <c r="F4" s="87">
        <f ca="1">E2/staticResult!B2/100+BUFF!F27</f>
        <v>0.67896778408461445</v>
      </c>
      <c r="G4" s="87">
        <f>F2+BUFF!G27</f>
        <v>2.2561816844496581</v>
      </c>
      <c r="H4" s="88">
        <f>G2</f>
        <v>0.30469351314996268</v>
      </c>
      <c r="I4" s="88">
        <f>H2+BUFF!E27</f>
        <v>1.0919996738000501</v>
      </c>
      <c r="J4" s="384">
        <f>I2</f>
        <v>856</v>
      </c>
      <c r="K4" s="572" t="s">
        <v>1332</v>
      </c>
      <c r="L4" s="573"/>
      <c r="M4" s="547" t="s">
        <v>1375</v>
      </c>
      <c r="N4" s="390"/>
      <c r="O4" s="425" t="s">
        <v>635</v>
      </c>
      <c r="P4" s="426">
        <v>3</v>
      </c>
      <c r="Q4" s="90"/>
      <c r="R4" s="578" t="s">
        <v>244</v>
      </c>
      <c r="S4" s="578"/>
      <c r="T4" s="67"/>
      <c r="U4" s="587" t="s">
        <v>492</v>
      </c>
      <c r="V4" s="588"/>
      <c r="W4" s="197"/>
      <c r="X4" s="197"/>
      <c r="Y4" s="197"/>
    </row>
    <row r="5" spans="1:27" s="5" customFormat="1">
      <c r="A5" s="1" t="s">
        <v>33</v>
      </c>
      <c r="B5" s="2"/>
      <c r="C5" s="3" t="s">
        <v>1108</v>
      </c>
      <c r="D5" s="3" t="s">
        <v>494</v>
      </c>
      <c r="E5" s="3" t="s">
        <v>495</v>
      </c>
      <c r="F5" s="3" t="s">
        <v>31</v>
      </c>
      <c r="G5" s="47" t="s">
        <v>32</v>
      </c>
      <c r="H5" s="3" t="s">
        <v>29</v>
      </c>
      <c r="I5" s="4" t="s">
        <v>55</v>
      </c>
      <c r="J5" s="177" t="s">
        <v>54</v>
      </c>
      <c r="K5" s="198" t="s">
        <v>1110</v>
      </c>
      <c r="M5" s="547" t="s">
        <v>1381</v>
      </c>
      <c r="N5" s="391"/>
      <c r="O5" s="596" t="s">
        <v>491</v>
      </c>
      <c r="P5" s="596"/>
      <c r="Q5" s="68"/>
      <c r="R5" s="581" t="s">
        <v>243</v>
      </c>
      <c r="S5" s="581"/>
      <c r="T5" s="195"/>
      <c r="U5" s="578" t="s">
        <v>493</v>
      </c>
      <c r="V5" s="578"/>
      <c r="W5" s="68"/>
      <c r="X5" s="68"/>
      <c r="Y5" s="68"/>
    </row>
    <row r="6" spans="1:27">
      <c r="A6" s="6" t="s">
        <v>289</v>
      </c>
      <c r="C6" s="285">
        <f>IF(A6="挑戰",103,IF(A6="英雄",102,101))</f>
        <v>103</v>
      </c>
      <c r="D6" s="285">
        <f>IF(A6="挑戰",4959,IF(A6="英雄",2818,1924))</f>
        <v>4959</v>
      </c>
      <c r="E6" s="39">
        <f>IF(A6="挑戰",35%,IF(A6="英雄",25%,20%))</f>
        <v>0.35</v>
      </c>
      <c r="F6" s="116">
        <f>IF(A6="挑戰",35%,IF(A6="英雄",30%,20%))</f>
        <v>0.35</v>
      </c>
      <c r="G6" s="48">
        <f>IF(OR(A6="挑戰",A6="英雄"),110%,105%)</f>
        <v>1.1000000000000001</v>
      </c>
      <c r="H6" s="8">
        <f>IF(F6-H4&gt;0,F6-H4,0%)</f>
        <v>4.5306486850037297E-2</v>
      </c>
      <c r="I6" s="10">
        <f>IF(I4&gt;=G6,1,100%-(G6-I4))</f>
        <v>0.99199967380005005</v>
      </c>
      <c r="J6" s="11">
        <f ca="1">I6-F4-H6</f>
        <v>0.26772540286539831</v>
      </c>
      <c r="K6" s="9">
        <f ca="1">($J$4+$C$4*0.2329)*(1+$E$4)*($F$4*$G$4+J6+H6*0.25)*(1-static!$E$6)</f>
        <v>7800.7500800191356</v>
      </c>
      <c r="L6" s="9"/>
      <c r="M6" s="547" t="s">
        <v>1380</v>
      </c>
      <c r="N6" s="393"/>
      <c r="O6" s="591" t="s">
        <v>643</v>
      </c>
      <c r="P6" s="591"/>
      <c r="Q6" s="91"/>
      <c r="R6" s="590" t="s">
        <v>650</v>
      </c>
      <c r="S6" s="590"/>
      <c r="T6" s="70"/>
      <c r="U6" s="574" t="s">
        <v>1338</v>
      </c>
      <c r="V6" s="574"/>
      <c r="W6" s="537"/>
      <c r="X6" s="537" t="s">
        <v>647</v>
      </c>
      <c r="Y6" s="537"/>
    </row>
    <row r="7" spans="1:27">
      <c r="A7" s="6" t="s">
        <v>27</v>
      </c>
      <c r="C7" s="285">
        <v>103</v>
      </c>
      <c r="D7" s="285">
        <v>4959</v>
      </c>
      <c r="E7" s="39">
        <v>0.35</v>
      </c>
      <c r="F7" s="8">
        <v>0.3</v>
      </c>
      <c r="G7" s="48">
        <v>1.1000000000000001</v>
      </c>
      <c r="H7" s="8">
        <f>IF(F7-H4&gt;0,F7-H4,0%)</f>
        <v>0</v>
      </c>
      <c r="I7" s="10">
        <f>IF(I4&gt;=G7,1,100%-(G7-I4))</f>
        <v>0.99199967380005005</v>
      </c>
      <c r="J7" s="11">
        <f ca="1">I7-F4-H7</f>
        <v>0.31303188971543561</v>
      </c>
      <c r="K7" s="9">
        <f ca="1">($J$4+$C$4*0.2329)*(1+$E$4)*($F$4*$G$4+J7+H7*0.25)*(1-static!$E$6)</f>
        <v>7947.1217886027325</v>
      </c>
      <c r="L7" s="9"/>
      <c r="M7" s="547" t="s">
        <v>1382</v>
      </c>
      <c r="N7" s="392"/>
      <c r="O7" s="585" t="s">
        <v>1454</v>
      </c>
      <c r="P7" s="585"/>
      <c r="Q7" s="69"/>
      <c r="R7" s="581" t="s">
        <v>242</v>
      </c>
      <c r="S7" s="581"/>
      <c r="T7" s="196"/>
      <c r="U7" s="577" t="s">
        <v>1339</v>
      </c>
      <c r="V7" s="577"/>
      <c r="W7" s="537"/>
      <c r="X7" s="580" t="s">
        <v>649</v>
      </c>
      <c r="Y7" s="580"/>
    </row>
    <row r="8" spans="1:27" ht="17.25" thickBot="1">
      <c r="A8" s="6" t="s">
        <v>28</v>
      </c>
      <c r="C8" s="285">
        <v>102</v>
      </c>
      <c r="D8" s="285">
        <v>2818</v>
      </c>
      <c r="E8" s="39">
        <v>0.25</v>
      </c>
      <c r="F8" s="8">
        <v>0.2</v>
      </c>
      <c r="G8" s="48">
        <v>1.05</v>
      </c>
      <c r="H8" s="8">
        <f>IF(F8-H4&gt;0,F8-H4,0%)</f>
        <v>0</v>
      </c>
      <c r="I8" s="10">
        <f>IF(I4&gt;=G8,1,100%-(G8-I4))</f>
        <v>1</v>
      </c>
      <c r="J8" s="11">
        <f ca="1">I8-F4-H8</f>
        <v>0.32103221591538555</v>
      </c>
      <c r="K8" s="9">
        <f ca="1">($J$4+$C$4*0.2329)*(1+$E$4)*($F$4*$G$4+J8+H8*0.25)*(1-static!$E$6)</f>
        <v>7981.5840035165738</v>
      </c>
      <c r="M8" s="548" t="s">
        <v>1383</v>
      </c>
      <c r="N8" s="393"/>
      <c r="O8" s="591" t="s">
        <v>626</v>
      </c>
      <c r="P8" s="591"/>
      <c r="Q8" s="242"/>
      <c r="R8" s="579" t="s">
        <v>409</v>
      </c>
      <c r="S8" s="579"/>
      <c r="T8" s="199"/>
      <c r="U8" s="576" t="s">
        <v>471</v>
      </c>
      <c r="V8" s="576"/>
      <c r="W8" s="199"/>
      <c r="X8" s="576" t="s">
        <v>468</v>
      </c>
      <c r="Y8" s="576"/>
    </row>
    <row r="9" spans="1:27" s="61" customFormat="1" ht="18" thickTop="1" thickBot="1">
      <c r="A9" s="55" t="s">
        <v>155</v>
      </c>
      <c r="B9" s="56" t="s">
        <v>156</v>
      </c>
      <c r="C9" s="57" t="s">
        <v>157</v>
      </c>
      <c r="D9" s="57" t="s">
        <v>158</v>
      </c>
      <c r="E9" s="58" t="s">
        <v>159</v>
      </c>
      <c r="F9" s="58" t="s">
        <v>160</v>
      </c>
      <c r="G9" s="58" t="s">
        <v>161</v>
      </c>
      <c r="H9" s="59" t="s">
        <v>162</v>
      </c>
      <c r="I9" s="59" t="s">
        <v>163</v>
      </c>
      <c r="J9" s="58" t="s">
        <v>164</v>
      </c>
      <c r="K9" s="57" t="s">
        <v>165</v>
      </c>
      <c r="L9" s="57" t="s">
        <v>166</v>
      </c>
      <c r="M9" s="60" t="s">
        <v>167</v>
      </c>
      <c r="N9" s="392"/>
      <c r="O9" s="596" t="s">
        <v>1438</v>
      </c>
      <c r="P9" s="596"/>
      <c r="Q9" s="241"/>
      <c r="R9" s="446" t="s">
        <v>651</v>
      </c>
      <c r="S9" s="442">
        <v>5</v>
      </c>
      <c r="T9" s="200"/>
      <c r="U9" s="586" t="s">
        <v>648</v>
      </c>
      <c r="V9" s="586"/>
      <c r="W9" s="200"/>
      <c r="X9" s="202" t="s">
        <v>483</v>
      </c>
      <c r="Y9" s="201">
        <v>5</v>
      </c>
    </row>
    <row r="10" spans="1:27" s="6" customFormat="1" ht="18" thickTop="1" thickBot="1">
      <c r="A10" s="205"/>
      <c r="B10" s="235" t="s">
        <v>509</v>
      </c>
      <c r="C10" s="236" t="s">
        <v>513</v>
      </c>
      <c r="D10" s="237" t="s">
        <v>515</v>
      </c>
      <c r="E10" s="237" t="s">
        <v>519</v>
      </c>
      <c r="F10" s="237" t="s">
        <v>524</v>
      </c>
      <c r="G10" s="237" t="s">
        <v>527</v>
      </c>
      <c r="H10" s="237" t="s">
        <v>531</v>
      </c>
      <c r="I10" s="237" t="s">
        <v>535</v>
      </c>
      <c r="J10" s="237" t="s">
        <v>539</v>
      </c>
      <c r="K10" s="237" t="s">
        <v>545</v>
      </c>
      <c r="L10" s="237" t="s">
        <v>548</v>
      </c>
      <c r="M10" s="237" t="s">
        <v>552</v>
      </c>
      <c r="N10" s="502" t="s">
        <v>544</v>
      </c>
      <c r="O10" s="597" t="s">
        <v>1331</v>
      </c>
      <c r="P10" s="597"/>
      <c r="Q10" s="243"/>
      <c r="R10" s="243"/>
      <c r="S10" s="243"/>
      <c r="T10" s="238"/>
      <c r="U10" s="582" t="s">
        <v>472</v>
      </c>
      <c r="V10" s="583"/>
      <c r="W10" s="238"/>
      <c r="X10" s="238"/>
      <c r="Y10" s="238"/>
    </row>
    <row r="11" spans="1:27" s="339" customFormat="1" ht="17.25" thickBot="1">
      <c r="A11" s="327" t="s">
        <v>35</v>
      </c>
      <c r="B11" s="328" t="s">
        <v>59</v>
      </c>
      <c r="C11" s="329" t="s">
        <v>60</v>
      </c>
      <c r="D11" s="330" t="s">
        <v>34</v>
      </c>
      <c r="E11" s="329" t="s">
        <v>62</v>
      </c>
      <c r="F11" s="329" t="s">
        <v>61</v>
      </c>
      <c r="G11" s="330" t="s">
        <v>572</v>
      </c>
      <c r="H11" s="331" t="s">
        <v>58</v>
      </c>
      <c r="I11" s="329" t="s">
        <v>210</v>
      </c>
      <c r="J11" s="329" t="s">
        <v>211</v>
      </c>
      <c r="K11" s="329" t="s">
        <v>619</v>
      </c>
      <c r="L11" s="329" t="s">
        <v>586</v>
      </c>
      <c r="M11" s="332" t="s">
        <v>53</v>
      </c>
      <c r="N11" s="333" t="s">
        <v>229</v>
      </c>
      <c r="O11" s="334"/>
      <c r="P11" s="334"/>
      <c r="Q11" s="334"/>
      <c r="R11" s="335"/>
      <c r="S11" s="335"/>
      <c r="T11" s="335"/>
      <c r="U11" s="336"/>
      <c r="V11" s="336"/>
      <c r="W11" s="336"/>
      <c r="X11" s="336"/>
      <c r="Y11" s="336"/>
      <c r="Z11" s="337"/>
      <c r="AA11" s="338"/>
    </row>
    <row r="12" spans="1:27">
      <c r="A12" s="341" t="str">
        <f>BUFF!A29</f>
        <v>亂天狼</v>
      </c>
      <c r="B12" s="12">
        <f>BUFF!B29</f>
        <v>458</v>
      </c>
      <c r="C12" s="12">
        <f>BUFF!C29</f>
        <v>468</v>
      </c>
      <c r="D12" s="11">
        <f>BUFF!D29</f>
        <v>0.73124400000000001</v>
      </c>
      <c r="E12" s="15">
        <f>BUFF!E29</f>
        <v>16</v>
      </c>
      <c r="F12" s="10">
        <f>BUFF!Q29</f>
        <v>2.4375</v>
      </c>
      <c r="G12" s="10">
        <f>BUFF!N29</f>
        <v>1.4375</v>
      </c>
      <c r="H12" s="11"/>
      <c r="I12" s="421">
        <f>BUFF!$H$3+BUFF!$S$27+BUFF!$R$27+BUFF!$AA$27</f>
        <v>0.89000000000000012</v>
      </c>
      <c r="J12" s="421">
        <f>BUFF!$H$4</f>
        <v>0.04</v>
      </c>
      <c r="K12" s="53">
        <f>BUFF!I29</f>
        <v>1</v>
      </c>
      <c r="L12" s="432">
        <f>$J$4*K12</f>
        <v>856</v>
      </c>
      <c r="M12" s="394">
        <f ca="1">((B12+C12)/2+$C$4*D12+L12)*(1+I12)*(1+$E$4)*(($F$4+J12)*$G$4+($J$6-J12)+$H$6*0.25)*(1-static!$E$6)*F12/BUFF!$K$37</f>
        <v>235052.08187833356</v>
      </c>
      <c r="N12" s="592" t="s">
        <v>245</v>
      </c>
      <c r="O12" s="592"/>
      <c r="P12" s="592"/>
      <c r="Q12" s="592"/>
      <c r="R12" s="592"/>
    </row>
    <row r="13" spans="1:27">
      <c r="A13" s="341" t="str">
        <f>BUFF!A30</f>
        <v>　　雙持</v>
      </c>
      <c r="B13" s="12">
        <f>BUFF!B30</f>
        <v>458</v>
      </c>
      <c r="C13" s="12">
        <f>BUFF!C30</f>
        <v>468</v>
      </c>
      <c r="D13" s="11">
        <f>BUFF!D30</f>
        <v>0.28753369000000001</v>
      </c>
      <c r="E13" s="15">
        <f>BUFF!E30</f>
        <v>16</v>
      </c>
      <c r="F13" s="10">
        <f>BUFF!Q30</f>
        <v>2.4375</v>
      </c>
      <c r="G13" s="10">
        <f>BUFF!N30</f>
        <v>1.4375</v>
      </c>
      <c r="H13" s="11"/>
      <c r="I13" s="421">
        <f>BUFF!$H$3+BUFF!$S$27+BUFF!$R$27+BUFF!$AA$27</f>
        <v>0.89000000000000012</v>
      </c>
      <c r="J13" s="421">
        <f>BUFF!$H$4</f>
        <v>0.04</v>
      </c>
      <c r="K13" s="53">
        <f>BUFF!I30</f>
        <v>0</v>
      </c>
      <c r="L13" s="432">
        <f t="shared" ref="L13:L37" si="0">$J$4*K13</f>
        <v>0</v>
      </c>
      <c r="M13" s="394">
        <f ca="1">((B13+C13)/2+$C$4*D13+L13)*(1+I13)*(1+$E$4)*(($F$4+J13)*$G$4+($J$6-J13)+$H$6*0.25)*(1-static!$E$6)*F13/BUFF!$K$37</f>
        <v>91205.151900585814</v>
      </c>
      <c r="N13" s="593"/>
      <c r="O13" s="593"/>
      <c r="P13" s="593"/>
      <c r="Q13" s="593"/>
      <c r="R13" s="593"/>
      <c r="S13" s="73"/>
      <c r="T13" s="72"/>
      <c r="U13" s="72"/>
      <c r="V13" s="72"/>
    </row>
    <row r="14" spans="1:27">
      <c r="A14" s="341" t="str">
        <f>BUFF!A31</f>
        <v>　　合計</v>
      </c>
      <c r="B14" s="12">
        <f>BUFF!B31</f>
        <v>916</v>
      </c>
      <c r="C14" s="12">
        <f>BUFF!C31</f>
        <v>936</v>
      </c>
      <c r="D14" s="11">
        <f>BUFF!D31</f>
        <v>1.0187776900000001</v>
      </c>
      <c r="E14" s="15">
        <f>BUFF!E31</f>
        <v>16</v>
      </c>
      <c r="F14" s="10">
        <f>BUFF!Q31</f>
        <v>2.4375</v>
      </c>
      <c r="G14" s="10">
        <f>BUFF!N31</f>
        <v>1.4375</v>
      </c>
      <c r="H14" s="11"/>
      <c r="I14" s="421">
        <f>BUFF!$H$3+BUFF!$S$27+BUFF!$R$27+BUFF!$AA$27</f>
        <v>0.89000000000000012</v>
      </c>
      <c r="J14" s="421">
        <f>BUFF!$H$4</f>
        <v>0.04</v>
      </c>
      <c r="K14" s="53">
        <f>BUFF!I31</f>
        <v>1</v>
      </c>
      <c r="L14" s="432">
        <f t="shared" si="0"/>
        <v>856</v>
      </c>
      <c r="M14" s="397">
        <f ca="1">((B14+C14)/2+$C$4*D14+L14)*(1+I14)*(1+$E$4)*(($F$4+J14)*$G$4+($J$6-J14)+$H$6*0.25)*(1-static!$E$6)*F14/BUFF!$K$37</f>
        <v>326257.23377891927</v>
      </c>
      <c r="N14" s="413"/>
      <c r="O14" s="413"/>
      <c r="P14" s="413"/>
      <c r="Q14" s="413"/>
      <c r="R14" s="413"/>
      <c r="S14" s="72"/>
      <c r="T14" s="72"/>
      <c r="U14" s="72"/>
      <c r="V14" s="72"/>
    </row>
    <row r="15" spans="1:27">
      <c r="A15" s="341" t="str">
        <f>BUFF!A32</f>
        <v>寂洪荒</v>
      </c>
      <c r="B15" s="12">
        <f>BUFF!B32</f>
        <v>417</v>
      </c>
      <c r="C15" s="12">
        <f>BUFF!C32</f>
        <v>432</v>
      </c>
      <c r="D15" s="11">
        <f>BUFF!D32</f>
        <v>1.20628428</v>
      </c>
      <c r="E15" s="15">
        <f>BUFF!E32</f>
        <v>5</v>
      </c>
      <c r="F15" s="10">
        <f>BUFF!Q32</f>
        <v>1.4375</v>
      </c>
      <c r="G15" s="10">
        <f>BUFF!N32</f>
        <v>1.4375</v>
      </c>
      <c r="H15" s="11"/>
      <c r="I15" s="422">
        <f>BUFF!$P$7+BUFF!$S$27+BUFF!$U$27+BUFF!$AA$27</f>
        <v>1.07</v>
      </c>
      <c r="J15" s="422">
        <f>BUFF!$V$114</f>
        <v>0.05</v>
      </c>
      <c r="K15" s="53">
        <f>BUFF!I32</f>
        <v>2</v>
      </c>
      <c r="L15" s="432">
        <f t="shared" si="0"/>
        <v>1712</v>
      </c>
      <c r="M15" s="394">
        <f ca="1">((B15+C15)/2+$C$4*D15+L15)*(1+I15)*(1+$E$4)*(($F$4+J15)*$G$4+($J$6-J15)+$H$6*0.25)*(1-static!$E$6)</f>
        <v>76567.947140566161</v>
      </c>
      <c r="N15" s="348" t="s">
        <v>591</v>
      </c>
      <c r="O15" s="349"/>
      <c r="P15" s="415" t="str">
        <f>IF(BUFF!H2&gt;4,"秘笈數量超過4！","")</f>
        <v/>
      </c>
      <c r="Q15" s="342"/>
      <c r="R15" s="346"/>
      <c r="S15" s="72"/>
      <c r="T15" s="72"/>
      <c r="U15" s="72"/>
      <c r="V15" s="72"/>
    </row>
    <row r="16" spans="1:27">
      <c r="A16" s="341" t="str">
        <f>BUFF!A33</f>
        <v>　　雙持</v>
      </c>
      <c r="B16" s="12">
        <f>BUFF!B33</f>
        <v>417</v>
      </c>
      <c r="C16" s="12">
        <f>BUFF!C33</f>
        <v>432</v>
      </c>
      <c r="D16" s="11">
        <f>BUFF!D33</f>
        <v>0.79371571999000001</v>
      </c>
      <c r="E16" s="15">
        <f>BUFF!E33</f>
        <v>5</v>
      </c>
      <c r="F16" s="10">
        <f>BUFF!Q33</f>
        <v>1.4375</v>
      </c>
      <c r="G16" s="10">
        <f>BUFF!N33</f>
        <v>1.4375</v>
      </c>
      <c r="H16" s="11"/>
      <c r="I16" s="422">
        <f>BUFF!$P$7+BUFF!$S$27+BUFF!$U$27+BUFF!$AA$27</f>
        <v>1.07</v>
      </c>
      <c r="J16" s="421">
        <f>BUFF!$V$114</f>
        <v>0.05</v>
      </c>
      <c r="K16" s="53">
        <f>BUFF!I33</f>
        <v>0</v>
      </c>
      <c r="L16" s="432">
        <f t="shared" si="0"/>
        <v>0</v>
      </c>
      <c r="M16" s="394">
        <f ca="1">((B16+C16)/2+$C$4*D16+L16)*(1+I16)*(1+$E$4)*(($F$4+J16)*$G$4+($J$6-J16)+$H$6*0.25)*(1-static!$E$6)</f>
        <v>46122.456054554816</v>
      </c>
      <c r="N16" s="43"/>
      <c r="O16" s="43"/>
      <c r="P16" s="43"/>
      <c r="Q16" s="71"/>
      <c r="R16" s="43"/>
      <c r="S16" s="72"/>
      <c r="T16" s="72"/>
      <c r="U16" s="72"/>
      <c r="V16" s="72"/>
    </row>
    <row r="17" spans="1:22">
      <c r="A17" s="341" t="str">
        <f>BUFF!A34</f>
        <v>　　合計</v>
      </c>
      <c r="B17" s="12">
        <f>BUFF!B34</f>
        <v>834</v>
      </c>
      <c r="C17" s="12">
        <f>BUFF!C34</f>
        <v>864</v>
      </c>
      <c r="D17" s="11">
        <f>BUFF!D34</f>
        <v>1.99999999999</v>
      </c>
      <c r="E17" s="15">
        <f>BUFF!E34</f>
        <v>5</v>
      </c>
      <c r="F17" s="10">
        <f>BUFF!Q34</f>
        <v>1.4375</v>
      </c>
      <c r="G17" s="10">
        <f>BUFF!N34</f>
        <v>1.4375</v>
      </c>
      <c r="H17" s="11"/>
      <c r="I17" s="422">
        <f>BUFF!$P$7+BUFF!$S$27+BUFF!$U$27+BUFF!$AA$27</f>
        <v>1.07</v>
      </c>
      <c r="J17" s="421">
        <f>BUFF!$V$114</f>
        <v>0.05</v>
      </c>
      <c r="K17" s="53">
        <f>BUFF!I34</f>
        <v>2</v>
      </c>
      <c r="L17" s="432">
        <f t="shared" si="0"/>
        <v>1712</v>
      </c>
      <c r="M17" s="396">
        <f ca="1">((B17+C17)/2+$C$4*D17+L17)*(1+I17)*(1+$E$4)*(($F$4+J17)*$G$4+($J$6-J17)+$H$6*0.25)*(1-static!$E$6)</f>
        <v>122690.40319512099</v>
      </c>
      <c r="N17" s="348" t="s">
        <v>553</v>
      </c>
      <c r="O17" s="349"/>
      <c r="P17" s="414" t="str">
        <f>IF(BUFF!P6&gt;4,"秘笈數量超過4！","")</f>
        <v/>
      </c>
      <c r="Q17" s="343"/>
      <c r="R17" s="347"/>
      <c r="S17" s="72"/>
      <c r="T17" s="72"/>
      <c r="U17" s="72"/>
      <c r="V17" s="72"/>
    </row>
    <row r="18" spans="1:22">
      <c r="A18" s="341" t="str">
        <f>BUFF!A35</f>
        <v>寂洪荒(DOT)</v>
      </c>
      <c r="B18" s="12">
        <f>BUFF!B35</f>
        <v>25</v>
      </c>
      <c r="C18" s="12">
        <f>BUFF!C35</f>
        <v>25</v>
      </c>
      <c r="D18" s="11">
        <f>BUFF!D35</f>
        <v>0.46867999999999999</v>
      </c>
      <c r="E18" s="15">
        <f>BUFF!E35</f>
        <v>0</v>
      </c>
      <c r="F18" s="10">
        <f>BUFF!Q35</f>
        <v>2.9375</v>
      </c>
      <c r="G18" s="10">
        <f>BUFF!N35</f>
        <v>0</v>
      </c>
      <c r="H18" s="11"/>
      <c r="I18" s="422">
        <f>BUFF!$Y$27+BUFF!$AA$27</f>
        <v>0.2</v>
      </c>
      <c r="J18" s="421"/>
      <c r="K18" s="53">
        <f>BUFF!I35</f>
        <v>0</v>
      </c>
      <c r="L18" s="432">
        <f t="shared" si="0"/>
        <v>0</v>
      </c>
      <c r="M18" s="395">
        <f ca="1">((B18+C18)/2+$C$4*D18)*(1+$E$4)*(1+I18)*(($F$4+J17)*$G$4+($J$6-J17)+$H$6*0.25)*$O$20*(1-static!$E$6)</f>
        <v>45661.870298752918</v>
      </c>
      <c r="N18" s="43"/>
      <c r="O18" s="43"/>
      <c r="P18" s="43"/>
      <c r="Q18" s="71"/>
      <c r="R18" s="43"/>
      <c r="S18" s="72"/>
      <c r="T18" s="72"/>
      <c r="U18" s="72"/>
      <c r="V18" s="72"/>
    </row>
    <row r="19" spans="1:22">
      <c r="A19" s="341" t="str">
        <f>BUFF!A36</f>
        <v>斬無常</v>
      </c>
      <c r="B19" s="12">
        <f>BUFF!B36</f>
        <v>130</v>
      </c>
      <c r="C19" s="12">
        <f>BUFF!C36</f>
        <v>140</v>
      </c>
      <c r="D19" s="11">
        <f>BUFF!D36</f>
        <v>0.75624999999999998</v>
      </c>
      <c r="E19" s="15">
        <f>BUFF!E36</f>
        <v>40</v>
      </c>
      <c r="F19" s="10">
        <f>BUFF!Q36</f>
        <v>3.875</v>
      </c>
      <c r="G19" s="10">
        <f>BUFF!N36</f>
        <v>1.4375</v>
      </c>
      <c r="H19" s="11"/>
      <c r="I19" s="421">
        <f>BUFF!I7+BUFF!$S$27+BUFF!$AA$27</f>
        <v>0.74</v>
      </c>
      <c r="J19" s="421">
        <f>BUFF!I8</f>
        <v>7.0000000000000007E-2</v>
      </c>
      <c r="K19" s="53">
        <f>BUFF!I36</f>
        <v>1</v>
      </c>
      <c r="L19" s="432">
        <f t="shared" si="0"/>
        <v>856</v>
      </c>
      <c r="M19" s="394">
        <f ca="1">((B19+C19)/2+$C$4*D19+L19)*(1+I19)*(1+$E$4)*(($F$4+J19)*$G$4+($J$6-J19)+$H$6*0.25)*(1-static!$E$6)*F19/BUFF!$K$37</f>
        <v>350768.79936711024</v>
      </c>
      <c r="N19" s="348" t="s">
        <v>590</v>
      </c>
      <c r="O19" s="376" t="s">
        <v>230</v>
      </c>
      <c r="P19" s="340"/>
      <c r="Q19" s="344"/>
      <c r="R19" s="347"/>
      <c r="S19" s="72"/>
      <c r="T19" s="72"/>
      <c r="U19" s="72"/>
      <c r="V19" s="72"/>
    </row>
    <row r="20" spans="1:22">
      <c r="A20" s="341" t="str">
        <f>BUFF!A37</f>
        <v>隱風雷</v>
      </c>
      <c r="B20" s="12">
        <f>BUFF!B37</f>
        <v>413</v>
      </c>
      <c r="C20" s="12">
        <f>BUFF!C37</f>
        <v>454</v>
      </c>
      <c r="D20" s="11">
        <f>BUFF!D37</f>
        <v>0.43748280000000001</v>
      </c>
      <c r="E20" s="15">
        <f>BUFF!E37</f>
        <v>20</v>
      </c>
      <c r="F20" s="10">
        <f>BUFF!Q37</f>
        <v>0</v>
      </c>
      <c r="G20" s="10">
        <f>BUFF!N37</f>
        <v>1.4375</v>
      </c>
      <c r="H20" s="11"/>
      <c r="I20" s="421">
        <f>BUFF!$H$11+BUFF!$S$27+BUFF!$AA$27</f>
        <v>0.77</v>
      </c>
      <c r="J20" s="421">
        <f>BUFF!$H$12</f>
        <v>0.04</v>
      </c>
      <c r="K20" s="53">
        <f>BUFF!I37</f>
        <v>1</v>
      </c>
      <c r="L20" s="432">
        <f t="shared" si="0"/>
        <v>856</v>
      </c>
      <c r="M20" s="394">
        <f ca="1">((B20+C20)/2+$C$4*D20+L20)*(1+I20)*(1+$E$4)*(($F$4+J20)*$G$4+($J$6-J20)+$H$6*0.25)*(1-static!$E$6)</f>
        <v>25481.977787844829</v>
      </c>
      <c r="N20" s="377" t="s">
        <v>473</v>
      </c>
      <c r="O20" s="343">
        <v>3</v>
      </c>
      <c r="P20" s="594">
        <f>IF(BUFF!B63=0,"警告：不點淵岳沒DOT！",)</f>
        <v>0</v>
      </c>
      <c r="Q20" s="594"/>
      <c r="R20" s="594"/>
      <c r="S20" s="72"/>
      <c r="T20" s="72"/>
      <c r="U20" s="72"/>
      <c r="V20" s="72"/>
    </row>
    <row r="21" spans="1:22">
      <c r="A21" s="341" t="str">
        <f>BUFF!A38</f>
        <v>　　雙持</v>
      </c>
      <c r="B21" s="12">
        <f>BUFF!B38</f>
        <v>413</v>
      </c>
      <c r="C21" s="12">
        <f>BUFF!C38</f>
        <v>454</v>
      </c>
      <c r="D21" s="11">
        <f>BUFF!D38</f>
        <v>0.21870000000000001</v>
      </c>
      <c r="E21" s="15">
        <f>BUFF!E38</f>
        <v>20</v>
      </c>
      <c r="F21" s="10">
        <f>BUFF!Q38</f>
        <v>0</v>
      </c>
      <c r="G21" s="10">
        <f>BUFF!N38</f>
        <v>1.4375</v>
      </c>
      <c r="H21" s="11"/>
      <c r="I21" s="421">
        <f>BUFF!$H$11+BUFF!$S$27+BUFF!$AA$27</f>
        <v>0.77</v>
      </c>
      <c r="J21" s="421">
        <f>BUFF!$H$12</f>
        <v>0.04</v>
      </c>
      <c r="K21" s="53">
        <f>BUFF!I38</f>
        <v>0</v>
      </c>
      <c r="L21" s="432">
        <f t="shared" si="0"/>
        <v>0</v>
      </c>
      <c r="M21" s="394">
        <f ca="1">((B21+C21)/2+$C$4*D21+L21)*(1+I21)*(1+$E$4)*(($F$4+J21)*$G$4+($J$6-J21)+$H$6*0.25)*(1-static!$E$6)</f>
        <v>11960.466684164356</v>
      </c>
      <c r="N21" s="348" t="s">
        <v>592</v>
      </c>
      <c r="O21" s="350"/>
      <c r="P21" s="414" t="str">
        <f>IF(BUFF!I6&gt;4,"秘笈數量超過4！","")</f>
        <v/>
      </c>
      <c r="Q21" s="345"/>
      <c r="R21" s="347"/>
      <c r="S21" s="72"/>
      <c r="T21" s="72"/>
      <c r="U21" s="72"/>
      <c r="V21" s="72"/>
    </row>
    <row r="22" spans="1:22">
      <c r="A22" s="341" t="str">
        <f>BUFF!A39</f>
        <v>　　合計</v>
      </c>
      <c r="B22" s="12">
        <f>BUFF!B39</f>
        <v>826</v>
      </c>
      <c r="C22" s="12">
        <f>BUFF!C39</f>
        <v>908</v>
      </c>
      <c r="D22" s="11">
        <f>BUFF!D39</f>
        <v>0.65618280000000007</v>
      </c>
      <c r="E22" s="15">
        <f>BUFF!E39</f>
        <v>20</v>
      </c>
      <c r="F22" s="10">
        <f>BUFF!Q39</f>
        <v>0</v>
      </c>
      <c r="G22" s="10">
        <f>BUFF!N39</f>
        <v>1.4375</v>
      </c>
      <c r="H22" s="11"/>
      <c r="I22" s="421">
        <f>BUFF!$H$11+BUFF!$S$27+BUFF!$AA$27</f>
        <v>0.77</v>
      </c>
      <c r="J22" s="421">
        <f>BUFF!$H$12</f>
        <v>0.04</v>
      </c>
      <c r="K22" s="53">
        <f>BUFF!I39</f>
        <v>1</v>
      </c>
      <c r="L22" s="432">
        <f t="shared" si="0"/>
        <v>856</v>
      </c>
      <c r="M22" s="398">
        <f ca="1">((B22+C22)/2+$C$4*D22+L22)*(1+I22)*(1+$E$4)*(($F$4+J22)*$G$4+($J$6-J22)+$H$6*0.25)*(1-static!$E$6)</f>
        <v>37442.444472009185</v>
      </c>
      <c r="N22" s="71"/>
      <c r="O22" s="71"/>
      <c r="P22" s="71"/>
      <c r="Q22" s="71"/>
      <c r="R22" s="43"/>
      <c r="S22" s="72"/>
      <c r="T22" s="72"/>
      <c r="U22" s="72"/>
      <c r="V22" s="72"/>
    </row>
    <row r="23" spans="1:22">
      <c r="A23" s="341" t="str">
        <f>BUFF!A40</f>
        <v>金戈回瀾</v>
      </c>
      <c r="B23" s="12">
        <f>BUFF!B40</f>
        <v>1063</v>
      </c>
      <c r="C23" s="12">
        <f>BUFF!C40</f>
        <v>1098</v>
      </c>
      <c r="D23" s="11">
        <f>BUFF!D40</f>
        <v>2.1937340000000001</v>
      </c>
      <c r="E23" s="15">
        <f>BUFF!E40</f>
        <v>8</v>
      </c>
      <c r="F23" s="10">
        <f>BUFF!Q40</f>
        <v>0</v>
      </c>
      <c r="G23" s="10">
        <f>BUFF!N40</f>
        <v>1.4375</v>
      </c>
      <c r="H23" s="11"/>
      <c r="I23" s="421">
        <f>BUFF!Q3+BUFF!$X$27+BUFF!$AA$27</f>
        <v>0.29000000000000004</v>
      </c>
      <c r="J23" s="421">
        <f>BUFF!Q4</f>
        <v>7.0000000000000007E-2</v>
      </c>
      <c r="K23" s="53">
        <f>BUFF!I40</f>
        <v>2</v>
      </c>
      <c r="L23" s="432">
        <f t="shared" si="0"/>
        <v>1712</v>
      </c>
      <c r="M23" s="399">
        <f ca="1">((B23+C23)/2+$C$4*D23+L23)*(1+I23)*(1+$E$4)*(($F$4+J23)*$G$4+($J$6-J23)+$H$6*0.25)*(1-static!$E$6)</f>
        <v>84944.683612337598</v>
      </c>
      <c r="N23" s="385" t="s">
        <v>593</v>
      </c>
      <c r="O23" s="350"/>
      <c r="P23" s="415" t="str">
        <f>IF(BUFF!H10&gt;4,"秘笈數量超過4！","")</f>
        <v/>
      </c>
      <c r="Q23" s="344"/>
      <c r="R23" s="347"/>
      <c r="S23" s="72"/>
      <c r="T23" s="72"/>
      <c r="U23" s="72"/>
      <c r="V23" s="72"/>
    </row>
    <row r="24" spans="1:22">
      <c r="A24" s="341" t="str">
        <f>BUFF!A41</f>
        <v>星垂平野(1)</v>
      </c>
      <c r="B24" s="12">
        <f>BUFF!B41</f>
        <v>500</v>
      </c>
      <c r="C24" s="12">
        <f>BUFF!C41</f>
        <v>515</v>
      </c>
      <c r="D24" s="11">
        <f>BUFF!D41</f>
        <v>1.169</v>
      </c>
      <c r="E24" s="15">
        <f>BUFF!E41</f>
        <v>0</v>
      </c>
      <c r="F24" s="10">
        <f>BUFF!Q41</f>
        <v>0</v>
      </c>
      <c r="G24" s="10">
        <f>BUFF!N41</f>
        <v>1.4375</v>
      </c>
      <c r="H24" s="11"/>
      <c r="I24" s="421">
        <f>BUFF!$Q$11+IF(BUFF!$B$56=1,10%,0)+BUFF!$AA$27</f>
        <v>0.42000000000000004</v>
      </c>
      <c r="J24" s="421">
        <f>BUFF!$Q$12+IF(BUFF!$B$57=1,10%,0)</f>
        <v>0.04</v>
      </c>
      <c r="K24" s="53">
        <f>BUFF!I41</f>
        <v>1</v>
      </c>
      <c r="L24" s="432">
        <f t="shared" si="0"/>
        <v>856</v>
      </c>
      <c r="M24" s="394">
        <f ca="1">((B24+C24)/2+$C$4*D24+L24)*(1+I24)*(1+$E$4)*(($F$4+J24)*$G$4+($J$6-J24)+$H$6*0.25)*(1-static!$E$6)</f>
        <v>48469.864794369212</v>
      </c>
      <c r="N24" s="71"/>
      <c r="O24" s="71"/>
      <c r="P24" s="71"/>
      <c r="Q24" s="71"/>
      <c r="R24" s="43"/>
      <c r="S24" s="72"/>
      <c r="T24" s="72"/>
      <c r="U24" s="72"/>
      <c r="V24" s="72"/>
    </row>
    <row r="25" spans="1:22">
      <c r="A25" s="341" t="str">
        <f>BUFF!A42</f>
        <v>星垂平野(2)</v>
      </c>
      <c r="B25" s="12">
        <f>BUFF!B42</f>
        <v>500</v>
      </c>
      <c r="C25" s="12">
        <f>BUFF!C42</f>
        <v>515</v>
      </c>
      <c r="D25" s="11">
        <f>BUFF!D42</f>
        <v>1.169</v>
      </c>
      <c r="E25" s="15">
        <f>BUFF!E42</f>
        <v>0</v>
      </c>
      <c r="F25" s="10">
        <f>BUFF!Q42</f>
        <v>0</v>
      </c>
      <c r="G25" s="10">
        <f>BUFF!N42</f>
        <v>1.4375</v>
      </c>
      <c r="H25" s="11"/>
      <c r="I25" s="421">
        <f>BUFF!$Q$11+IF(BUFF!$B$56=1,10%,0)+BUFF!$T$59+BUFF!$AA$27</f>
        <v>0.57000000000000006</v>
      </c>
      <c r="J25" s="421">
        <f>BUFF!$Q$12+IF(BUFF!$B$57=1,10%,0)</f>
        <v>0.04</v>
      </c>
      <c r="K25" s="53">
        <f>BUFF!I42</f>
        <v>1</v>
      </c>
      <c r="L25" s="432">
        <f t="shared" si="0"/>
        <v>856</v>
      </c>
      <c r="M25" s="394">
        <f ca="1">((B25+C25)/2+$C$4*D25+L25)*(1+I25)*(1+$E$4)*(($F$4+J25)*$G$4+($J$6-J25)+$H$6*0.25)*(1-static!$E$6)</f>
        <v>53589.920934619469</v>
      </c>
      <c r="N25" s="386" t="s">
        <v>556</v>
      </c>
      <c r="O25" s="350"/>
      <c r="Q25" s="344"/>
      <c r="R25" s="347"/>
      <c r="S25" s="72"/>
      <c r="T25" s="72"/>
      <c r="U25" s="72"/>
      <c r="V25" s="72"/>
    </row>
    <row r="26" spans="1:22">
      <c r="A26" s="341" t="str">
        <f>BUFF!A43</f>
        <v>星垂平野(3)</v>
      </c>
      <c r="B26" s="12">
        <f>BUFF!B43</f>
        <v>500</v>
      </c>
      <c r="C26" s="12">
        <f>BUFF!C43</f>
        <v>515</v>
      </c>
      <c r="D26" s="11">
        <f>BUFF!D43</f>
        <v>1.169</v>
      </c>
      <c r="E26" s="15">
        <f>BUFF!E43</f>
        <v>0</v>
      </c>
      <c r="F26" s="10">
        <f>BUFF!Q43</f>
        <v>0</v>
      </c>
      <c r="G26" s="10">
        <f>BUFF!N43</f>
        <v>1.4375</v>
      </c>
      <c r="H26" s="11"/>
      <c r="I26" s="422">
        <f>BUFF!$Q$11+IF(BUFF!$B$56=1,10%,0)+BUFF!$T$59*2+BUFF!$AA$27</f>
        <v>0.72</v>
      </c>
      <c r="J26" s="421">
        <f>BUFF!$Q$12+IF(BUFF!$B$57=1,10%,0)</f>
        <v>0.04</v>
      </c>
      <c r="K26" s="53">
        <f>BUFF!I43</f>
        <v>1</v>
      </c>
      <c r="L26" s="432">
        <f t="shared" si="0"/>
        <v>856</v>
      </c>
      <c r="M26" s="394">
        <f ca="1">((B26+C26)/2+$C$4*D26+L26)*(1+I26)*(1+$E$4)*(($F$4+J26)*$G$4+($J$6-J26)+$H$6*0.25)*(1-static!$E$6)</f>
        <v>58709.977074869734</v>
      </c>
      <c r="N26" s="71"/>
      <c r="O26" s="71"/>
      <c r="P26" s="71"/>
      <c r="Q26" s="71"/>
      <c r="R26" s="71"/>
      <c r="S26" s="72"/>
      <c r="T26" s="72"/>
      <c r="U26" s="72"/>
      <c r="V26" s="72"/>
    </row>
    <row r="27" spans="1:22">
      <c r="A27" s="341" t="str">
        <f>BUFF!A44</f>
        <v>驟雨寒江</v>
      </c>
      <c r="B27" s="12">
        <f>BUFF!B44</f>
        <v>1667</v>
      </c>
      <c r="C27" s="12">
        <f>BUFF!C44</f>
        <v>1677</v>
      </c>
      <c r="D27" s="11">
        <f>BUFF!D44</f>
        <v>1.1875</v>
      </c>
      <c r="E27" s="15">
        <f>BUFF!E44</f>
        <v>20</v>
      </c>
      <c r="F27" s="10">
        <f>BUFF!Q44</f>
        <v>0</v>
      </c>
      <c r="G27" s="10">
        <f>BUFF!N44</f>
        <v>1.4375</v>
      </c>
      <c r="H27" s="11"/>
      <c r="I27" s="422">
        <f>BUFF!$AA$27</f>
        <v>0.2</v>
      </c>
      <c r="J27" s="421"/>
      <c r="K27" s="53">
        <f>BUFF!I44</f>
        <v>1</v>
      </c>
      <c r="L27" s="432">
        <f t="shared" si="0"/>
        <v>856</v>
      </c>
      <c r="M27" s="394">
        <f ca="1">((B27+C27)/2+$C$4*D27+L27)*(1+I27)*(1+$E$4)*(($F$4+J27)*$G$4+($J$6-J27)+$H$6*0.25)*(1-static!$E$6)</f>
        <v>43263.985090101611</v>
      </c>
      <c r="N27" s="386" t="s">
        <v>583</v>
      </c>
      <c r="O27" s="350"/>
      <c r="P27" s="414" t="str">
        <f>IF(BUFF!Q10&gt;4,"秘笈數量超過4！","")</f>
        <v/>
      </c>
      <c r="Q27" s="344"/>
      <c r="R27" s="347"/>
      <c r="S27" s="72"/>
      <c r="T27" s="72"/>
      <c r="U27" s="72"/>
      <c r="V27" s="72"/>
    </row>
    <row r="28" spans="1:22">
      <c r="A28" s="341" t="str">
        <f>BUFF!A45</f>
        <v>血覆黃泉</v>
      </c>
      <c r="B28" s="12">
        <f>BUFF!B45</f>
        <v>0</v>
      </c>
      <c r="C28" s="12">
        <f>BUFF!C45</f>
        <v>0</v>
      </c>
      <c r="D28" s="11">
        <f>BUFF!D45</f>
        <v>0</v>
      </c>
      <c r="E28" s="15">
        <f>BUFF!E45</f>
        <v>18</v>
      </c>
      <c r="F28" s="10">
        <f>BUFF!Q45</f>
        <v>0</v>
      </c>
      <c r="G28" s="10">
        <f>BUFF!N45</f>
        <v>0</v>
      </c>
      <c r="H28" s="11"/>
      <c r="I28" s="421"/>
      <c r="J28" s="421"/>
      <c r="K28" s="53">
        <f>BUFF!I45</f>
        <v>0</v>
      </c>
      <c r="L28" s="432">
        <f t="shared" si="0"/>
        <v>0</v>
      </c>
      <c r="M28" s="394">
        <f ca="1">((B28+C28)/2+$C$4*D28)*(1+I28)*(1+$E$4)*(($F$4+J28)*$G$4+($J$6-J28)+$H$6*0.25)*(1-($E$6*(1-BUFF!$M$27)))</f>
        <v>0</v>
      </c>
      <c r="N28" s="71"/>
      <c r="O28" s="71"/>
      <c r="P28" s="71"/>
      <c r="Q28" s="71"/>
      <c r="R28" s="71"/>
      <c r="S28" s="72"/>
      <c r="T28" s="72"/>
      <c r="U28" s="72"/>
      <c r="V28" s="72"/>
    </row>
    <row r="29" spans="1:22">
      <c r="A29" s="341" t="str">
        <f>BUFF!A46</f>
        <v>幽冥窺月</v>
      </c>
      <c r="B29" s="12">
        <f>BUFF!B46</f>
        <v>833</v>
      </c>
      <c r="C29" s="12">
        <f>BUFF!C46</f>
        <v>843</v>
      </c>
      <c r="D29" s="11">
        <f>BUFF!D46</f>
        <v>0.5</v>
      </c>
      <c r="E29" s="15">
        <f>BUFF!E46</f>
        <v>0</v>
      </c>
      <c r="F29" s="10">
        <f>BUFF!Q46</f>
        <v>0</v>
      </c>
      <c r="G29" s="10">
        <f>BUFF!N46</f>
        <v>0</v>
      </c>
      <c r="H29" s="11"/>
      <c r="I29" s="421">
        <f>BUFF!$Q$15+BUFF!$AA$27</f>
        <v>0.30000000000000004</v>
      </c>
      <c r="J29" s="421">
        <f>BUFF!$Q$16</f>
        <v>0.05</v>
      </c>
      <c r="K29" s="53">
        <f>BUFF!I46</f>
        <v>1</v>
      </c>
      <c r="L29" s="432">
        <f t="shared" si="0"/>
        <v>856</v>
      </c>
      <c r="M29" s="394">
        <f ca="1">((B29+C29)/2+$C$4*D29+L29)*(1+I29)*(1+$E$4)*(($F$4+J29)*$G$4+($J$6-J29)+$H$6*0.25)*(1-static!$E$6)</f>
        <v>22134.591125514311</v>
      </c>
      <c r="N29" s="386" t="s">
        <v>594</v>
      </c>
      <c r="O29" s="350"/>
      <c r="P29" s="414" t="str">
        <f>IF(BUFF!M18&gt;4,"秘笈數量超過4！","")</f>
        <v/>
      </c>
      <c r="Q29" s="344"/>
      <c r="R29" s="347"/>
      <c r="T29" s="72"/>
      <c r="U29" s="72"/>
      <c r="V29" s="72"/>
    </row>
    <row r="30" spans="1:22">
      <c r="A30" s="341" t="str">
        <f>BUFF!A47</f>
        <v>鐵馬冰河</v>
      </c>
      <c r="B30" s="12">
        <f>BUFF!B47</f>
        <v>195</v>
      </c>
      <c r="C30" s="12">
        <f>BUFF!C47</f>
        <v>216</v>
      </c>
      <c r="D30" s="11">
        <f>BUFF!D47</f>
        <v>3.25</v>
      </c>
      <c r="E30" s="15">
        <f>BUFF!E47</f>
        <v>30</v>
      </c>
      <c r="F30" s="10">
        <f>BUFF!Q47</f>
        <v>0</v>
      </c>
      <c r="G30" s="10">
        <f>BUFF!N47</f>
        <v>1.4375</v>
      </c>
      <c r="H30" s="11"/>
      <c r="I30" s="421"/>
      <c r="J30" s="421"/>
      <c r="K30" s="53">
        <f>BUFF!I47</f>
        <v>1</v>
      </c>
      <c r="L30" s="432">
        <f t="shared" si="0"/>
        <v>856</v>
      </c>
      <c r="M30" s="394">
        <f ca="1">((B30+C30)/2+$C$4*D30+L30)*(1+I30)*(1+$E$4)*(($F$4+J30)*$G$4+($J$6-J30)+$H$6*0.25)*(1-static!$E$6)</f>
        <v>86805.570692180801</v>
      </c>
      <c r="N30" s="71"/>
      <c r="O30" s="72"/>
      <c r="P30" s="71"/>
      <c r="Q30" s="71"/>
      <c r="R30" s="71"/>
      <c r="S30" s="72"/>
      <c r="T30" s="72"/>
      <c r="U30" s="72"/>
      <c r="V30" s="72"/>
    </row>
    <row r="31" spans="1:22">
      <c r="A31" s="341" t="str">
        <f>BUFF!A48</f>
        <v>孤風颯踏</v>
      </c>
      <c r="B31" s="12">
        <f>BUFF!B48</f>
        <v>0</v>
      </c>
      <c r="C31" s="12">
        <f>BUFF!C48</f>
        <v>0</v>
      </c>
      <c r="D31" s="11">
        <f>BUFF!D48</f>
        <v>0</v>
      </c>
      <c r="E31" s="15">
        <f>BUFF!E48</f>
        <v>24</v>
      </c>
      <c r="F31" s="10">
        <f>BUFF!Q48</f>
        <v>0</v>
      </c>
      <c r="G31" s="10">
        <f>BUFF!N48</f>
        <v>1.4375</v>
      </c>
      <c r="H31" s="11"/>
      <c r="I31" s="421"/>
      <c r="J31" s="421"/>
      <c r="K31" s="53">
        <f>BUFF!I48</f>
        <v>0</v>
      </c>
      <c r="L31" s="432">
        <f t="shared" si="0"/>
        <v>0</v>
      </c>
      <c r="M31" s="394">
        <f ca="1">((B31+C31)/2+$C$4*D31)*(1+I31)*(1+$E$4)*(($F$4+J31)*$G$4+($J$6-J31)+$H$6*0.25)*(1-static!$E$6)</f>
        <v>0</v>
      </c>
      <c r="N31" s="386" t="s">
        <v>595</v>
      </c>
      <c r="O31" s="350"/>
      <c r="P31" s="414" t="str">
        <f>IF(BUFF!Q14&gt;4,"秘笈數量超過4！","")</f>
        <v/>
      </c>
      <c r="Q31" s="344"/>
      <c r="R31" s="347"/>
      <c r="S31" s="72"/>
      <c r="T31" s="72"/>
      <c r="U31" s="72"/>
      <c r="V31" s="72"/>
    </row>
    <row r="32" spans="1:22">
      <c r="A32" s="341" t="str">
        <f>BUFF!A49</f>
        <v>日月無鉤</v>
      </c>
      <c r="B32" s="12">
        <f>BUFF!B49</f>
        <v>0</v>
      </c>
      <c r="C32" s="12">
        <f>BUFF!C49</f>
        <v>0</v>
      </c>
      <c r="D32" s="11">
        <f>BUFF!D49</f>
        <v>0</v>
      </c>
      <c r="E32" s="15">
        <f>BUFF!E49</f>
        <v>12</v>
      </c>
      <c r="F32" s="10">
        <f>BUFF!Q49</f>
        <v>0</v>
      </c>
      <c r="G32" s="10">
        <f>BUFF!N49</f>
        <v>0</v>
      </c>
      <c r="H32" s="11"/>
      <c r="I32" s="421"/>
      <c r="J32" s="421"/>
      <c r="K32" s="53">
        <f>BUFF!I49</f>
        <v>0</v>
      </c>
      <c r="L32" s="432">
        <f t="shared" si="0"/>
        <v>0</v>
      </c>
      <c r="M32" s="394">
        <f ca="1">((B32+C32)/2+$C$4*D32)*(1+I32)*(1+$E$4)*(($F$4+J32)*$G$4+($J$6-J32)+$H$6*0.25)*(1-static!$E$6)</f>
        <v>0</v>
      </c>
      <c r="N32" s="71"/>
      <c r="O32" s="71"/>
      <c r="P32" s="71"/>
      <c r="Q32" s="71"/>
      <c r="R32" s="71"/>
      <c r="S32" s="72"/>
      <c r="T32" s="72"/>
      <c r="U32" s="72"/>
      <c r="V32" s="72"/>
    </row>
    <row r="33" spans="1:171">
      <c r="A33" s="341" t="str">
        <f>BUFF!A50</f>
        <v>十方玄機</v>
      </c>
      <c r="B33" s="12">
        <f>BUFF!B50</f>
        <v>0</v>
      </c>
      <c r="C33" s="12">
        <f>BUFF!C50</f>
        <v>0</v>
      </c>
      <c r="D33" s="11">
        <f>BUFF!D50</f>
        <v>0</v>
      </c>
      <c r="E33" s="15">
        <f>BUFF!E50</f>
        <v>0</v>
      </c>
      <c r="F33" s="10">
        <f>BUFF!Q50</f>
        <v>0</v>
      </c>
      <c r="G33" s="10">
        <f>BUFF!N50</f>
        <v>1.4375</v>
      </c>
      <c r="H33" s="11"/>
      <c r="I33" s="421"/>
      <c r="J33" s="421"/>
      <c r="K33" s="53">
        <f>BUFF!I50</f>
        <v>0</v>
      </c>
      <c r="L33" s="432">
        <f t="shared" si="0"/>
        <v>0</v>
      </c>
      <c r="M33" s="394">
        <f ca="1">((B33+C33)/2+$C$4*D33)*(1+I33)*(1+$E$4)*(($F$4+J33)*$G$4+($J$6-J33)+$H$6*0.25)*(1-static!$E$6)</f>
        <v>0</v>
      </c>
      <c r="N33" s="387" t="s">
        <v>596</v>
      </c>
      <c r="O33" s="349"/>
      <c r="P33" s="414" t="str">
        <f>IF(BUFF!M21&gt;4,"秘笈數量超過4！","")</f>
        <v/>
      </c>
      <c r="Q33" s="343"/>
      <c r="R33" s="347"/>
      <c r="S33" s="72"/>
      <c r="T33" s="72"/>
      <c r="U33" s="72"/>
      <c r="V33" s="72"/>
    </row>
    <row r="34" spans="1:171">
      <c r="A34" s="341" t="str">
        <f>BUFF!A51</f>
        <v>崔嵬鬼步</v>
      </c>
      <c r="B34" s="12">
        <f>BUFF!B51</f>
        <v>0</v>
      </c>
      <c r="C34" s="12">
        <f>BUFF!C51</f>
        <v>0</v>
      </c>
      <c r="D34" s="11">
        <f>BUFF!D51</f>
        <v>0</v>
      </c>
      <c r="E34" s="15">
        <f>BUFF!E51</f>
        <v>35</v>
      </c>
      <c r="F34" s="10">
        <f>BUFF!Q51</f>
        <v>0</v>
      </c>
      <c r="G34" s="10">
        <f>BUFF!N51</f>
        <v>1.4375</v>
      </c>
      <c r="H34" s="11"/>
      <c r="I34" s="421"/>
      <c r="J34" s="421"/>
      <c r="K34" s="53">
        <f>BUFF!I51</f>
        <v>0</v>
      </c>
      <c r="L34" s="432">
        <f t="shared" si="0"/>
        <v>0</v>
      </c>
      <c r="M34" s="394">
        <f ca="1">((B34+C34)/2+$C$4*D34)*(1+I34)*(1+$E$4)*(($F$4+J34)*$G$4+($J$6-J34)+$H$6*0.25)*(1-static!$E$6)</f>
        <v>0</v>
      </c>
      <c r="N34" s="71"/>
      <c r="O34" s="71"/>
      <c r="P34" s="71"/>
      <c r="Q34" s="71"/>
      <c r="R34" s="71"/>
      <c r="S34" s="72"/>
      <c r="T34" s="72"/>
      <c r="U34" s="72"/>
      <c r="V34" s="72"/>
    </row>
    <row r="35" spans="1:171">
      <c r="A35" s="341" t="str">
        <f>BUFF!A52</f>
        <v>青山共我</v>
      </c>
      <c r="B35" s="12">
        <f>BUFF!B52</f>
        <v>0</v>
      </c>
      <c r="C35" s="12">
        <f>BUFF!C52</f>
        <v>0</v>
      </c>
      <c r="D35" s="11">
        <f>BUFF!D52</f>
        <v>0</v>
      </c>
      <c r="E35" s="15">
        <f>BUFF!E52</f>
        <v>0</v>
      </c>
      <c r="F35" s="10">
        <f>BUFF!Q52</f>
        <v>0</v>
      </c>
      <c r="G35" s="10">
        <f>BUFF!N52</f>
        <v>1.4375</v>
      </c>
      <c r="H35" s="11"/>
      <c r="I35" s="421"/>
      <c r="J35" s="421"/>
      <c r="K35" s="53">
        <f>BUFF!I52</f>
        <v>0</v>
      </c>
      <c r="L35" s="432">
        <f t="shared" si="0"/>
        <v>0</v>
      </c>
      <c r="M35" s="394">
        <f ca="1">((B35+C35)/2+$C$4*D35)*(1+I35)*(1+$E$4)*(($F$4+J35)*$G$4+($J$6-J35)+$H$6*0.25)*(1-static!$E$6)</f>
        <v>0</v>
      </c>
      <c r="N35" s="386" t="s">
        <v>597</v>
      </c>
      <c r="O35" s="350"/>
      <c r="P35" s="414" t="str">
        <f>IF(BUFF!P24&gt;4,"秘笈數量超過4！","")</f>
        <v/>
      </c>
      <c r="Q35" s="344"/>
      <c r="R35" s="347"/>
      <c r="S35" s="71"/>
      <c r="T35" s="72"/>
      <c r="U35" s="72"/>
      <c r="V35" s="72"/>
    </row>
    <row r="36" spans="1:171">
      <c r="A36" s="341" t="str">
        <f>BUFF!A53</f>
        <v>山河淵隙</v>
      </c>
      <c r="B36" s="12">
        <f>BUFF!B53</f>
        <v>272</v>
      </c>
      <c r="C36" s="12">
        <f>BUFF!C53</f>
        <v>292</v>
      </c>
      <c r="D36" s="11">
        <f>BUFF!D53</f>
        <v>0.375</v>
      </c>
      <c r="E36" s="15">
        <f>BUFF!E53</f>
        <v>0</v>
      </c>
      <c r="F36" s="10">
        <f>BUFF!Q53</f>
        <v>0</v>
      </c>
      <c r="G36" s="10">
        <f>BUFF!N53</f>
        <v>0</v>
      </c>
      <c r="H36" s="15">
        <f>BUFF!H53</f>
        <v>10</v>
      </c>
      <c r="I36" s="421">
        <f>BUFF!$AA$27</f>
        <v>0.2</v>
      </c>
      <c r="J36" s="421"/>
      <c r="K36" s="53">
        <f>BUFF!I53</f>
        <v>0</v>
      </c>
      <c r="L36" s="432">
        <f t="shared" si="0"/>
        <v>0</v>
      </c>
      <c r="M36" s="394">
        <f ca="1">((B36+C36)/2+$C$4*D36+L36)*(1+I36)*(1+$E$4)*(($F$4+J36)*$G$4+($J$6-J36)+$H$6*0.25)*(1-static!$E$6)*2*H36</f>
        <v>248141.06427240168</v>
      </c>
      <c r="N36" s="71"/>
      <c r="O36" s="71"/>
      <c r="P36" s="71"/>
      <c r="Q36" s="71"/>
      <c r="R36" s="71"/>
      <c r="S36" s="72"/>
      <c r="T36" s="72"/>
      <c r="U36" s="72"/>
      <c r="V36" s="72"/>
    </row>
    <row r="37" spans="1:171" s="157" customFormat="1">
      <c r="A37" s="341" t="str">
        <f>BUFF!A54</f>
        <v>風雷之變</v>
      </c>
      <c r="B37" s="12">
        <f>BUFF!B54</f>
        <v>294</v>
      </c>
      <c r="C37" s="12">
        <f>BUFF!C54</f>
        <v>294</v>
      </c>
      <c r="D37" s="11">
        <f>BUFF!D54</f>
        <v>1</v>
      </c>
      <c r="E37" s="15">
        <f>BUFF!E54</f>
        <v>0</v>
      </c>
      <c r="F37" s="10">
        <f>BUFF!Q54</f>
        <v>0</v>
      </c>
      <c r="G37" s="10">
        <f>BUFF!N54</f>
        <v>0</v>
      </c>
      <c r="H37" s="15">
        <f>BUFF!H54</f>
        <v>10</v>
      </c>
      <c r="I37" s="421">
        <f>BUFF!$AA$27</f>
        <v>0.2</v>
      </c>
      <c r="J37" s="421"/>
      <c r="K37" s="53">
        <f>BUFF!I54</f>
        <v>0</v>
      </c>
      <c r="L37" s="432">
        <f t="shared" si="0"/>
        <v>0</v>
      </c>
      <c r="M37" s="394">
        <f ca="1">((B37+C37)/2+$C$4*D37+L37)*(1+I37)*(1+$E$4)*(($F$4+J37)*$G$4+($J$6-J37)+$H$6*0.25)*(1-static!$E$6)/2*H37</f>
        <v>159859.96845342719</v>
      </c>
      <c r="N37" s="71"/>
      <c r="O37" s="71"/>
      <c r="P37" s="71"/>
      <c r="Q37" s="71"/>
      <c r="R37" s="71"/>
      <c r="S37" s="72"/>
      <c r="T37" s="72"/>
      <c r="U37" s="72"/>
      <c r="V37" s="72"/>
    </row>
    <row r="38" spans="1:171" s="41" customFormat="1">
      <c r="A38" s="598" t="s">
        <v>1269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</row>
    <row r="39" spans="1:171" s="41" customFormat="1">
      <c r="A39" s="595" t="s">
        <v>1270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473"/>
      <c r="S39" s="473"/>
      <c r="T39" s="473"/>
      <c r="U39" s="473"/>
      <c r="V39" s="473"/>
      <c r="W39" s="473"/>
      <c r="X39" s="473"/>
      <c r="Y39" s="473"/>
      <c r="Z39" s="473"/>
      <c r="AA39" s="473"/>
      <c r="AB39" s="473"/>
      <c r="AC39" s="473"/>
      <c r="AD39" s="473"/>
      <c r="AE39" s="473"/>
      <c r="AF39" s="473"/>
      <c r="AG39" s="473"/>
      <c r="AH39" s="473"/>
      <c r="AI39" s="473"/>
      <c r="AJ39" s="473"/>
      <c r="AK39" s="473"/>
      <c r="AL39" s="473"/>
      <c r="AM39" s="473"/>
      <c r="AN39" s="473"/>
      <c r="AO39" s="473"/>
      <c r="AP39" s="473"/>
      <c r="AQ39" s="473"/>
      <c r="AR39" s="473"/>
      <c r="AS39" s="473"/>
      <c r="AT39" s="473"/>
      <c r="AU39" s="473"/>
      <c r="AV39" s="473"/>
      <c r="AW39" s="473"/>
      <c r="AX39" s="473"/>
      <c r="AY39" s="473"/>
      <c r="AZ39" s="473"/>
      <c r="BA39" s="473"/>
      <c r="BB39" s="473"/>
      <c r="BC39" s="473"/>
      <c r="BD39" s="473"/>
      <c r="BE39" s="473"/>
      <c r="BF39" s="473"/>
      <c r="BG39" s="473"/>
      <c r="BH39" s="473"/>
      <c r="BI39" s="473"/>
      <c r="BJ39" s="473"/>
      <c r="BK39" s="473"/>
      <c r="BL39" s="473"/>
      <c r="BM39" s="473"/>
      <c r="BN39" s="473"/>
      <c r="BO39" s="473"/>
      <c r="BP39" s="473"/>
      <c r="BQ39" s="473"/>
      <c r="BR39" s="473"/>
      <c r="BS39" s="473"/>
      <c r="BT39" s="473"/>
      <c r="BU39" s="473"/>
      <c r="BV39" s="473"/>
      <c r="BW39" s="473"/>
      <c r="BX39" s="473"/>
      <c r="BY39" s="473"/>
      <c r="BZ39" s="473"/>
      <c r="CA39" s="473"/>
      <c r="CB39" s="473"/>
      <c r="CC39" s="473"/>
      <c r="CD39" s="473"/>
      <c r="CE39" s="473"/>
      <c r="CF39" s="473"/>
      <c r="CG39" s="473"/>
      <c r="CH39" s="473"/>
      <c r="CI39" s="473"/>
      <c r="CJ39" s="473"/>
      <c r="CK39" s="473"/>
      <c r="CL39" s="473"/>
      <c r="CM39" s="473"/>
      <c r="CN39" s="473"/>
      <c r="CO39" s="473"/>
      <c r="CP39" s="473"/>
      <c r="CQ39" s="473"/>
      <c r="CR39" s="473"/>
      <c r="CS39" s="473"/>
      <c r="CT39" s="473"/>
      <c r="CU39" s="473"/>
      <c r="CV39" s="473"/>
      <c r="CW39" s="473"/>
      <c r="CX39" s="473"/>
      <c r="CY39" s="473"/>
      <c r="CZ39" s="473"/>
      <c r="DA39" s="473"/>
      <c r="DB39" s="473"/>
      <c r="DC39" s="473"/>
      <c r="DD39" s="473"/>
      <c r="DE39" s="473"/>
      <c r="DF39" s="473"/>
      <c r="DG39" s="473"/>
      <c r="DH39" s="473"/>
      <c r="DI39" s="473"/>
      <c r="DJ39" s="473"/>
      <c r="DK39" s="473"/>
      <c r="DL39" s="473"/>
      <c r="DM39" s="473"/>
      <c r="DN39" s="473"/>
      <c r="DO39" s="473"/>
      <c r="DP39" s="473"/>
      <c r="DQ39" s="473"/>
      <c r="DR39" s="473"/>
      <c r="DS39" s="473"/>
      <c r="DT39" s="473"/>
      <c r="DU39" s="473"/>
      <c r="DV39" s="473"/>
      <c r="DW39" s="473"/>
      <c r="DX39" s="473"/>
      <c r="DY39" s="473"/>
      <c r="DZ39" s="473"/>
      <c r="EA39" s="473"/>
      <c r="EB39" s="473"/>
      <c r="EC39" s="473"/>
      <c r="ED39" s="473"/>
      <c r="EE39" s="473"/>
      <c r="EF39" s="473"/>
      <c r="EG39" s="473"/>
      <c r="EH39" s="473"/>
      <c r="EI39" s="473"/>
      <c r="EJ39" s="473"/>
      <c r="EK39" s="473"/>
      <c r="EL39" s="473"/>
      <c r="EM39" s="473"/>
      <c r="EN39" s="473"/>
      <c r="EO39" s="473"/>
      <c r="EP39" s="473"/>
      <c r="EQ39" s="473"/>
      <c r="ER39" s="473"/>
      <c r="ES39" s="473"/>
      <c r="ET39" s="473"/>
      <c r="EU39" s="473"/>
      <c r="EV39" s="473"/>
      <c r="EW39" s="473"/>
      <c r="EX39" s="473"/>
      <c r="EY39" s="473"/>
      <c r="EZ39" s="473"/>
      <c r="FA39" s="473"/>
      <c r="FB39" s="473"/>
      <c r="FC39" s="473"/>
      <c r="FD39" s="473"/>
      <c r="FE39" s="473"/>
      <c r="FF39" s="473"/>
      <c r="FG39" s="473"/>
      <c r="FH39" s="473"/>
      <c r="FI39" s="473"/>
      <c r="FJ39" s="473"/>
      <c r="FK39" s="473"/>
      <c r="FL39" s="473"/>
      <c r="FM39" s="473"/>
      <c r="FN39" s="473"/>
      <c r="FO39" s="473"/>
    </row>
    <row r="40" spans="1:171" s="486" customFormat="1" ht="17.25" thickBot="1">
      <c r="A40" s="486" t="s">
        <v>1184</v>
      </c>
      <c r="B40" s="486">
        <f>$D$6*(1-IF(BUFF!$O$88=TRUE,BUFF!$M$27,BUFF!$M$27+40%))/($D$6*(1-IF(BUFF!$O$88=TRUE,BUFF!$M$27,BUFF!$M$27+40%))+(4.084*(185*$C$6-16800)))</f>
        <v>0.30107872883941406</v>
      </c>
      <c r="D40" s="486" t="s">
        <v>1187</v>
      </c>
      <c r="E40" s="486">
        <f>$D$6*(1-IF(BUFF!$O$88=TRUE,BUFF!$M$27-40%,BUFF!$M$27))/($D$6*(1-IF(BUFF!$O$88=TRUE,BUFF!$M$27-40%,BUFF!$M$27))+(4.084*(185*$C$6-16800)))</f>
        <v>0.39252728522409303</v>
      </c>
      <c r="G40" s="486" t="s">
        <v>1185</v>
      </c>
      <c r="H40" s="486">
        <f ca="1">IF(BUFF!$O$87=TRUE,BUFF!$C$27-10%,BUFF!$C$27)</f>
        <v>0.15</v>
      </c>
      <c r="J40" s="486" t="s">
        <v>1186</v>
      </c>
      <c r="K40" s="486">
        <f ca="1">IF(BUFF!$O$87=TRUE,BUFF!$C$27,BUFF!$C$27+10%)</f>
        <v>0.25</v>
      </c>
      <c r="M40" s="486" t="s">
        <v>1188</v>
      </c>
      <c r="N40" s="487">
        <f ca="1">646+$B$4*(1+H40)+($A$4*1.5)+BUFF!$Z$27</f>
        <v>12206</v>
      </c>
      <c r="P40" s="486" t="s">
        <v>1189</v>
      </c>
      <c r="Q40" s="487">
        <f ca="1">646+$B$4*(1+K40)+($A$4*1.5)+BUFF!$Z$27</f>
        <v>12856.8</v>
      </c>
    </row>
    <row r="41" spans="1:171" s="339" customFormat="1" ht="17.25" thickBot="1">
      <c r="A41" s="327" t="s">
        <v>35</v>
      </c>
      <c r="B41" s="328" t="s">
        <v>59</v>
      </c>
      <c r="C41" s="329" t="s">
        <v>60</v>
      </c>
      <c r="D41" s="330" t="s">
        <v>34</v>
      </c>
      <c r="E41" s="329" t="s">
        <v>62</v>
      </c>
      <c r="F41" s="329" t="s">
        <v>61</v>
      </c>
      <c r="G41" s="330" t="s">
        <v>572</v>
      </c>
      <c r="H41" s="331" t="s">
        <v>58</v>
      </c>
      <c r="I41" s="329" t="s">
        <v>210</v>
      </c>
      <c r="J41" s="329" t="s">
        <v>211</v>
      </c>
      <c r="K41" s="329" t="s">
        <v>619</v>
      </c>
      <c r="L41" s="329" t="s">
        <v>586</v>
      </c>
      <c r="M41" s="332" t="s">
        <v>53</v>
      </c>
      <c r="N41" s="333"/>
      <c r="O41" s="334"/>
      <c r="P41" s="334"/>
      <c r="Q41" s="334"/>
      <c r="R41" s="335"/>
      <c r="S41" s="335"/>
      <c r="T41" s="335"/>
      <c r="U41" s="336"/>
      <c r="V41" s="336"/>
      <c r="W41" s="336"/>
      <c r="X41" s="336"/>
      <c r="Y41" s="336"/>
      <c r="Z41" s="337"/>
      <c r="AA41" s="338"/>
    </row>
    <row r="42" spans="1:171" s="157" customFormat="1">
      <c r="A42" s="341" t="s">
        <v>1257</v>
      </c>
      <c r="B42" s="12"/>
      <c r="C42" s="12"/>
      <c r="D42" s="11"/>
      <c r="E42" s="11"/>
      <c r="F42" s="11"/>
      <c r="G42" s="11"/>
      <c r="H42" s="488"/>
      <c r="I42" s="48"/>
      <c r="J42" s="48"/>
      <c r="K42" s="48"/>
      <c r="L42" s="485"/>
      <c r="M42" s="394">
        <f ca="1">($J$4+$N$40*0.2329)*(1+$E$4)*($F$4*$G$4+J6+H6*0.25)*(1-$E$40)</f>
        <v>6513.1789825810065</v>
      </c>
      <c r="N42" s="44" t="s">
        <v>1267</v>
      </c>
      <c r="O42" s="44" t="s">
        <v>1268</v>
      </c>
      <c r="P42" s="116"/>
    </row>
    <row r="43" spans="1:171">
      <c r="A43" s="341" t="s">
        <v>1227</v>
      </c>
      <c r="B43" s="12">
        <f t="shared" ref="B43:L43" si="1">B18</f>
        <v>25</v>
      </c>
      <c r="C43" s="12">
        <f t="shared" si="1"/>
        <v>25</v>
      </c>
      <c r="D43" s="11">
        <f t="shared" si="1"/>
        <v>0.46867999999999999</v>
      </c>
      <c r="E43" s="11">
        <f t="shared" si="1"/>
        <v>0</v>
      </c>
      <c r="F43" s="11">
        <f t="shared" si="1"/>
        <v>2.9375</v>
      </c>
      <c r="G43" s="11">
        <f t="shared" si="1"/>
        <v>0</v>
      </c>
      <c r="H43" s="488">
        <f t="shared" si="1"/>
        <v>0</v>
      </c>
      <c r="I43" s="48">
        <f>I18</f>
        <v>0.2</v>
      </c>
      <c r="J43" s="48">
        <f t="shared" si="1"/>
        <v>0</v>
      </c>
      <c r="K43" s="48">
        <f t="shared" si="1"/>
        <v>0</v>
      </c>
      <c r="L43" s="485">
        <f t="shared" si="1"/>
        <v>0</v>
      </c>
      <c r="M43" s="394">
        <f ca="1">((B43+C43)/2+$Q$40*D43)*(1+$E$4)*(1+I43)*(($F$4+J43)*$G$4+($J$6-J43)+$H$6*0.25)*1*(1-$B$40)</f>
        <v>14710.416270599546</v>
      </c>
      <c r="N43" s="394">
        <f ca="1">((B43+C43)/2+$Q$40*D43)*(1+$E$4)*(1+I43)*(($F$4+J17)*$G$4+($J$6-J17)+$H$6*0.25)*2*(1-$B$40)</f>
        <v>30441.246865835277</v>
      </c>
      <c r="O43" s="394">
        <f ca="1">((B43+C43)/2+$Q$40*D43)*(1+$E$4)*(1+I43)*(($F$4+J17)*$G$4+($J$6-J17)+$H$6*0.25)*3*(1-$B$40)</f>
        <v>45661.870298752918</v>
      </c>
    </row>
    <row r="44" spans="1:171" s="157" customFormat="1">
      <c r="A44" s="341" t="s">
        <v>1228</v>
      </c>
      <c r="B44" s="12">
        <f t="shared" ref="B44:L44" si="2">B18</f>
        <v>25</v>
      </c>
      <c r="C44" s="12">
        <f t="shared" si="2"/>
        <v>25</v>
      </c>
      <c r="D44" s="11">
        <f t="shared" si="2"/>
        <v>0.46867999999999999</v>
      </c>
      <c r="E44" s="11">
        <f t="shared" si="2"/>
        <v>0</v>
      </c>
      <c r="F44" s="11">
        <f t="shared" si="2"/>
        <v>2.9375</v>
      </c>
      <c r="G44" s="11">
        <f t="shared" si="2"/>
        <v>0</v>
      </c>
      <c r="H44" s="488">
        <f t="shared" si="2"/>
        <v>0</v>
      </c>
      <c r="I44" s="48">
        <f t="shared" si="2"/>
        <v>0.2</v>
      </c>
      <c r="J44" s="48">
        <f t="shared" si="2"/>
        <v>0</v>
      </c>
      <c r="K44" s="48">
        <f t="shared" si="2"/>
        <v>0</v>
      </c>
      <c r="L44" s="485">
        <f t="shared" si="2"/>
        <v>0</v>
      </c>
      <c r="M44" s="394">
        <f ca="1">((B43+C43)/2+$N$40*D43)*(1+$E$4)*(1+I43)*(($F$4+J43)*$G$4+($J$6-J43)+$H$6*0.25)*1*(1-$B$40)</f>
        <v>13968.864440359548</v>
      </c>
      <c r="N44" s="394">
        <f ca="1">((B43+C43)/2+$N$40*D43)*(1+$E$4)*(1+I43)*(($F$4+J17)*$G$4+($J$6-J17)+$H$6*0.25)*2*(1-$B$40)</f>
        <v>28906.704136866825</v>
      </c>
      <c r="O44" s="394">
        <f ca="1">((B43+C43)/2+$N$40*D43)*(1+$E$4)*(1+I43)*(($F$4+J17)*$G$4+($J$6-J17)+$H$6*0.25)*3*(1-$B$40)</f>
        <v>43360.056205300236</v>
      </c>
      <c r="P44" s="116"/>
    </row>
    <row r="45" spans="1:171">
      <c r="A45" s="341" t="s">
        <v>1249</v>
      </c>
      <c r="B45" s="12">
        <f t="shared" ref="B45:H45" si="3">B23</f>
        <v>1063</v>
      </c>
      <c r="C45" s="12">
        <f t="shared" si="3"/>
        <v>1098</v>
      </c>
      <c r="D45" s="11">
        <f t="shared" si="3"/>
        <v>2.1937340000000001</v>
      </c>
      <c r="E45" s="11">
        <f t="shared" si="3"/>
        <v>8</v>
      </c>
      <c r="F45" s="11">
        <f t="shared" si="3"/>
        <v>0</v>
      </c>
      <c r="G45" s="11">
        <f t="shared" si="3"/>
        <v>1.4375</v>
      </c>
      <c r="H45" s="488">
        <f t="shared" si="3"/>
        <v>0</v>
      </c>
      <c r="I45" s="48">
        <f>$I$23+IF(BUFF!$M$2=FALSE,5%)+IF(BUFF!$N$2=FALSE,4%)+BUFF!$X$27+BUFF!$AA$27</f>
        <v>0.49000000000000005</v>
      </c>
      <c r="J45" s="48">
        <f>$J$23+IF(BUFF!$O$2=FALSE,4%)+IF(BUFF!$P$4=FALSE,3%)</f>
        <v>7.0000000000000007E-2</v>
      </c>
      <c r="K45" s="48">
        <f>K23</f>
        <v>2</v>
      </c>
      <c r="L45" s="485">
        <f>L23</f>
        <v>1712</v>
      </c>
      <c r="M45" s="394">
        <f ca="1">((B45+C45)/2+$Q$40*D45+L45)*(1+I45)*(1+$E$4)*(($F$4+J45)*$G$4+($J$6-J45)+$H$6*0.25)*(1-$B$40)</f>
        <v>98114.402001847295</v>
      </c>
    </row>
    <row r="46" spans="1:171">
      <c r="A46" s="341" t="s">
        <v>1250</v>
      </c>
      <c r="B46" s="12">
        <f t="shared" ref="B46:H46" si="4">B23</f>
        <v>1063</v>
      </c>
      <c r="C46" s="12">
        <f t="shared" si="4"/>
        <v>1098</v>
      </c>
      <c r="D46" s="11">
        <f t="shared" si="4"/>
        <v>2.1937340000000001</v>
      </c>
      <c r="E46" s="11">
        <f t="shared" si="4"/>
        <v>8</v>
      </c>
      <c r="F46" s="11">
        <f t="shared" si="4"/>
        <v>0</v>
      </c>
      <c r="G46" s="11">
        <f t="shared" si="4"/>
        <v>1.4375</v>
      </c>
      <c r="H46" s="488">
        <f t="shared" si="4"/>
        <v>0</v>
      </c>
      <c r="I46" s="48">
        <f>$I$23+IF(BUFF!$M$2=FALSE,5%)+IF(BUFF!$N$2=FALSE,4%)+BUFF!$X$27+BUFF!$AA$27</f>
        <v>0.49000000000000005</v>
      </c>
      <c r="J46" s="48">
        <f>$J$23+IF(BUFF!$O$2=FALSE,4%)+IF(BUFF!$P$4=FALSE,3%)</f>
        <v>7.0000000000000007E-2</v>
      </c>
      <c r="K46" s="48">
        <f>K23</f>
        <v>2</v>
      </c>
      <c r="L46" s="485">
        <f>L23</f>
        <v>1712</v>
      </c>
      <c r="M46" s="394">
        <f ca="1">((B46+C46)/2+$N$40*D46+L46)*(1+I46)*(1+$E$4)*(($F$4+J46)*$G$4+($J$6-J46)+$H$6*0.25)*(1-$B$40)</f>
        <v>93595.363729069315</v>
      </c>
    </row>
    <row r="47" spans="1:171" s="157" customFormat="1">
      <c r="A47" s="341" t="s">
        <v>1251</v>
      </c>
      <c r="B47" s="12">
        <f t="shared" ref="B47:H47" si="5">B23</f>
        <v>1063</v>
      </c>
      <c r="C47" s="12">
        <f t="shared" si="5"/>
        <v>1098</v>
      </c>
      <c r="D47" s="11">
        <f t="shared" si="5"/>
        <v>2.1937340000000001</v>
      </c>
      <c r="E47" s="11">
        <f t="shared" si="5"/>
        <v>8</v>
      </c>
      <c r="F47" s="11">
        <f t="shared" si="5"/>
        <v>0</v>
      </c>
      <c r="G47" s="11">
        <f t="shared" si="5"/>
        <v>1.4375</v>
      </c>
      <c r="H47" s="488">
        <f t="shared" si="5"/>
        <v>0</v>
      </c>
      <c r="I47" s="48">
        <f>$I$23+IF(BUFF!$M$2=FALSE,5%)+IF(BUFF!$N$2=FALSE,4%)+BUFF!$X$27+BUFF!$AA$27</f>
        <v>0.49000000000000005</v>
      </c>
      <c r="J47" s="48">
        <f>$J$23+IF(BUFF!$O$2=FALSE,4%)+IF(BUFF!$P$4=FALSE,3%)</f>
        <v>7.0000000000000007E-2</v>
      </c>
      <c r="K47" s="48">
        <f>K23</f>
        <v>2</v>
      </c>
      <c r="L47" s="485">
        <f>L23</f>
        <v>1712</v>
      </c>
      <c r="M47" s="394">
        <f ca="1">((B47+C47)/2+$N$40*D47+L47)*(1+I47)*(1+$E$4)*(($F$4+J47)*$G$4+($J$6-J47)+$H$6*0.25)*(1-$E$40)</f>
        <v>81349.119051024943</v>
      </c>
      <c r="N47" s="11"/>
      <c r="O47" s="11"/>
      <c r="P47" s="116"/>
    </row>
    <row r="48" spans="1:171" s="157" customFormat="1">
      <c r="A48" s="341" t="s">
        <v>1242</v>
      </c>
      <c r="B48" s="12">
        <f>B23</f>
        <v>1063</v>
      </c>
      <c r="C48" s="12">
        <f>C23</f>
        <v>1098</v>
      </c>
      <c r="D48" s="11">
        <f>D23</f>
        <v>2.1937340000000001</v>
      </c>
      <c r="E48" s="11">
        <f>E47-IF(BUFF!K2=FALSE,1,0)-IF(BUFF!K2=FALSE,1,0)</f>
        <v>6</v>
      </c>
      <c r="F48" s="11">
        <f>F23</f>
        <v>0</v>
      </c>
      <c r="G48" s="11">
        <f>G23</f>
        <v>1.4375</v>
      </c>
      <c r="H48" s="488">
        <f>H23</f>
        <v>0</v>
      </c>
      <c r="I48" s="48">
        <f>$I$23+IF(BUFF!$M$2=FALSE,5%)+IF(BUFF!$N$2=FALSE,4%)+BUFF!$X$27+BUFF!$AA$27</f>
        <v>0.49000000000000005</v>
      </c>
      <c r="J48" s="48">
        <v>0</v>
      </c>
      <c r="K48" s="48">
        <f>K23</f>
        <v>2</v>
      </c>
      <c r="L48" s="485">
        <f>L23</f>
        <v>1712</v>
      </c>
      <c r="M48" s="394">
        <f ca="1">((B48+C48)/2+$Q$40*D48+L48)*(1+I48)*(1+$E$4)*(($F$4+J48)*$G$4+($J$6-J48)+$H$6*0.25)*(1-$B$40)</f>
        <v>93570.902921488741</v>
      </c>
      <c r="N48" s="11"/>
      <c r="O48" s="11"/>
      <c r="P48" s="116"/>
    </row>
    <row r="49" spans="1:17" s="157" customFormat="1">
      <c r="A49" s="341" t="s">
        <v>1243</v>
      </c>
      <c r="B49" s="12">
        <f>B23</f>
        <v>1063</v>
      </c>
      <c r="C49" s="12">
        <f>C23</f>
        <v>1098</v>
      </c>
      <c r="D49" s="11">
        <f>D23</f>
        <v>2.1937340000000001</v>
      </c>
      <c r="E49" s="11">
        <f>E47-IF(BUFF!K2=FALSE,1,0)-IF(BUFF!K2=FALSE,1,0)</f>
        <v>6</v>
      </c>
      <c r="F49" s="11">
        <f>F23</f>
        <v>0</v>
      </c>
      <c r="G49" s="11">
        <f>G23</f>
        <v>1.4375</v>
      </c>
      <c r="H49" s="488">
        <f>H23</f>
        <v>0</v>
      </c>
      <c r="I49" s="48">
        <f>$I$23+IF(BUFF!$M$2=FALSE,5%)+IF(BUFF!$N$2=FALSE,4%)+BUFF!$X$27+BUFF!$AA$27</f>
        <v>0.49000000000000005</v>
      </c>
      <c r="J49" s="48">
        <v>0</v>
      </c>
      <c r="K49" s="48">
        <f>K23</f>
        <v>2</v>
      </c>
      <c r="L49" s="485">
        <f>L23</f>
        <v>1712</v>
      </c>
      <c r="M49" s="394">
        <f ca="1">((B49+C49)/2+$N$40*D49+L49)*(1+I49)*(1+$E$4)*(($F$4+J49)*$G$4+($J$6-J49)+$H$6*0.25)*(1-$B$40)</f>
        <v>89261.133072281111</v>
      </c>
      <c r="N49" s="11"/>
      <c r="O49" s="11"/>
      <c r="P49" s="116"/>
    </row>
    <row r="50" spans="1:17" s="157" customFormat="1">
      <c r="A50" s="341" t="s">
        <v>1241</v>
      </c>
      <c r="B50" s="12">
        <f>B47</f>
        <v>1063</v>
      </c>
      <c r="C50" s="12">
        <f>C47</f>
        <v>1098</v>
      </c>
      <c r="D50" s="11">
        <f>D47</f>
        <v>2.1937340000000001</v>
      </c>
      <c r="E50" s="11">
        <f>E47-IF(BUFF!K2=FALSE,1,0)-IF(BUFF!K2=FALSE,1,0)</f>
        <v>6</v>
      </c>
      <c r="F50" s="11">
        <f>F47</f>
        <v>0</v>
      </c>
      <c r="G50" s="11">
        <f>G47</f>
        <v>1.4375</v>
      </c>
      <c r="H50" s="488">
        <f>H47</f>
        <v>0</v>
      </c>
      <c r="I50" s="48">
        <f>$I$23+IF(BUFF!$M$2=FALSE,5%)+IF(BUFF!$N$2=FALSE,4%)+BUFF!$X$27</f>
        <v>0.29000000000000004</v>
      </c>
      <c r="J50" s="48">
        <v>0</v>
      </c>
      <c r="K50" s="48">
        <f>K47</f>
        <v>2</v>
      </c>
      <c r="L50" s="485">
        <f>L47</f>
        <v>1712</v>
      </c>
      <c r="M50" s="394">
        <f ca="1">((B50+C50)/2+$N$40*D50+L50)*(1+I50)*(1+$E$4)*(($F$4+J50)*$G$4+($J$6-J50)+$H$6*0.25)*(1-$E$40)</f>
        <v>67168.299771584134</v>
      </c>
      <c r="N50" s="11"/>
      <c r="O50" s="11"/>
      <c r="P50" s="116"/>
    </row>
    <row r="51" spans="1:17">
      <c r="A51" s="341" t="s">
        <v>1205</v>
      </c>
      <c r="B51" s="12"/>
      <c r="C51" s="12"/>
      <c r="D51" s="11"/>
      <c r="E51" s="11"/>
      <c r="F51" s="11"/>
      <c r="G51" s="11"/>
      <c r="H51" s="488"/>
      <c r="I51" s="48"/>
      <c r="J51" s="48"/>
      <c r="K51" s="48"/>
      <c r="L51" s="485"/>
      <c r="M51" s="394">
        <f ca="1">((B36+C36)/2+Q40*D36+L36)*(1+I36)*(1+$E$4)*(($F$4+J36)*$G$4+($J$6-J36)+$H$6*0.25)*(1-B40)*2*H36+((B37+C37)/2+Q40*D37+L37)*(1+I37)*(1+$E$4)*(($F$4+J37)*$G$4+($J$6-J37)+$H$6*0.25)*(1-B40)/2*H37</f>
        <v>408001.03272582887</v>
      </c>
    </row>
    <row r="52" spans="1:17">
      <c r="A52" s="341" t="s">
        <v>1178</v>
      </c>
      <c r="B52" s="12">
        <f t="shared" ref="B52:L52" si="6">B36</f>
        <v>272</v>
      </c>
      <c r="C52" s="12">
        <f t="shared" si="6"/>
        <v>292</v>
      </c>
      <c r="D52" s="11">
        <f t="shared" si="6"/>
        <v>0.375</v>
      </c>
      <c r="E52" s="11">
        <f t="shared" si="6"/>
        <v>0</v>
      </c>
      <c r="F52" s="11">
        <f t="shared" si="6"/>
        <v>0</v>
      </c>
      <c r="G52" s="11">
        <f t="shared" si="6"/>
        <v>0</v>
      </c>
      <c r="H52" s="488">
        <f t="shared" si="6"/>
        <v>10</v>
      </c>
      <c r="I52" s="48">
        <f t="shared" si="6"/>
        <v>0.2</v>
      </c>
      <c r="J52" s="48">
        <f t="shared" si="6"/>
        <v>0</v>
      </c>
      <c r="K52" s="48">
        <f t="shared" si="6"/>
        <v>0</v>
      </c>
      <c r="L52" s="485">
        <f t="shared" si="6"/>
        <v>0</v>
      </c>
      <c r="M52" s="394">
        <f ca="1">((B52+C52)/2+$Q$40*D52+L52)*(1+I52)*(1+$E$4)*(($F$4+J52)*$G$4+($J$6-J52)+$H$6*0.25)*(1-$B$40)</f>
        <v>12407.053213620084</v>
      </c>
    </row>
    <row r="53" spans="1:17">
      <c r="A53" s="341" t="s">
        <v>1179</v>
      </c>
      <c r="B53" s="12">
        <f t="shared" ref="B53:L53" si="7">B37</f>
        <v>294</v>
      </c>
      <c r="C53" s="12">
        <f t="shared" si="7"/>
        <v>294</v>
      </c>
      <c r="D53" s="11">
        <f t="shared" si="7"/>
        <v>1</v>
      </c>
      <c r="E53" s="11">
        <f t="shared" si="7"/>
        <v>0</v>
      </c>
      <c r="F53" s="11">
        <f t="shared" si="7"/>
        <v>0</v>
      </c>
      <c r="G53" s="11">
        <f t="shared" si="7"/>
        <v>0</v>
      </c>
      <c r="H53" s="488">
        <f t="shared" si="7"/>
        <v>10</v>
      </c>
      <c r="I53" s="48">
        <f t="shared" si="7"/>
        <v>0.2</v>
      </c>
      <c r="J53" s="48">
        <f t="shared" si="7"/>
        <v>0</v>
      </c>
      <c r="K53" s="48">
        <f t="shared" si="7"/>
        <v>0</v>
      </c>
      <c r="L53" s="485">
        <f t="shared" si="7"/>
        <v>0</v>
      </c>
      <c r="M53" s="394">
        <f ca="1">((B53+C53)/2+$Q$40*D53+L53)*(1+I53)*(1+$E$4)*(($F$4+J53)*$G$4+($J$6-J53)+$H$6*0.25)*(1-$B$40)</f>
        <v>31971.993690685442</v>
      </c>
    </row>
    <row r="54" spans="1:17">
      <c r="A54" s="341" t="s">
        <v>1180</v>
      </c>
      <c r="B54" s="12">
        <f t="shared" ref="B54:L54" si="8">B36</f>
        <v>272</v>
      </c>
      <c r="C54" s="12">
        <f t="shared" si="8"/>
        <v>292</v>
      </c>
      <c r="D54" s="11">
        <f t="shared" si="8"/>
        <v>0.375</v>
      </c>
      <c r="E54" s="11">
        <f t="shared" si="8"/>
        <v>0</v>
      </c>
      <c r="F54" s="11">
        <f t="shared" si="8"/>
        <v>0</v>
      </c>
      <c r="G54" s="11">
        <f t="shared" si="8"/>
        <v>0</v>
      </c>
      <c r="H54" s="488">
        <f t="shared" si="8"/>
        <v>10</v>
      </c>
      <c r="I54" s="48">
        <f t="shared" si="8"/>
        <v>0.2</v>
      </c>
      <c r="J54" s="48">
        <f t="shared" si="8"/>
        <v>0</v>
      </c>
      <c r="K54" s="48">
        <f t="shared" si="8"/>
        <v>0</v>
      </c>
      <c r="L54" s="485">
        <f t="shared" si="8"/>
        <v>0</v>
      </c>
      <c r="M54" s="394">
        <f ca="1">((B54+C54)/2+$Q$40*D54+L54)*(1+I54)*(1+$E$4)*(($F$4+J54)*$G$4+($J$6-J54)+$H$6*0.25)*(1-$E$40)</f>
        <v>10783.684241762368</v>
      </c>
    </row>
    <row r="55" spans="1:17">
      <c r="A55" s="341" t="s">
        <v>1181</v>
      </c>
      <c r="B55" s="12">
        <f t="shared" ref="B55:L55" si="9">B37</f>
        <v>294</v>
      </c>
      <c r="C55" s="12">
        <f t="shared" si="9"/>
        <v>294</v>
      </c>
      <c r="D55" s="11">
        <f t="shared" si="9"/>
        <v>1</v>
      </c>
      <c r="E55" s="11">
        <f t="shared" si="9"/>
        <v>0</v>
      </c>
      <c r="F55" s="11">
        <f t="shared" si="9"/>
        <v>0</v>
      </c>
      <c r="G55" s="11">
        <f t="shared" si="9"/>
        <v>0</v>
      </c>
      <c r="H55" s="488">
        <f t="shared" si="9"/>
        <v>10</v>
      </c>
      <c r="I55" s="48">
        <f t="shared" si="9"/>
        <v>0.2</v>
      </c>
      <c r="J55" s="48">
        <f t="shared" si="9"/>
        <v>0</v>
      </c>
      <c r="K55" s="48">
        <f t="shared" si="9"/>
        <v>0</v>
      </c>
      <c r="L55" s="485">
        <f t="shared" si="9"/>
        <v>0</v>
      </c>
      <c r="M55" s="394">
        <f ca="1">((B55+C55)/2+$Q$40*D55+L55)*(1+I55)*(1+$E$4)*(($F$4+J55)*$G$4+($J$6-J55)+$H$6*0.25)*(1-$E$40)</f>
        <v>27788.700395149914</v>
      </c>
    </row>
    <row r="56" spans="1:17">
      <c r="A56" s="341" t="s">
        <v>1182</v>
      </c>
      <c r="B56" s="12">
        <f t="shared" ref="B56:L56" si="10">B36</f>
        <v>272</v>
      </c>
      <c r="C56" s="12">
        <f t="shared" si="10"/>
        <v>292</v>
      </c>
      <c r="D56" s="11">
        <f t="shared" si="10"/>
        <v>0.375</v>
      </c>
      <c r="E56" s="11">
        <f t="shared" si="10"/>
        <v>0</v>
      </c>
      <c r="F56" s="11">
        <f t="shared" si="10"/>
        <v>0</v>
      </c>
      <c r="G56" s="11">
        <f t="shared" si="10"/>
        <v>0</v>
      </c>
      <c r="H56" s="488">
        <f t="shared" si="10"/>
        <v>10</v>
      </c>
      <c r="I56" s="48">
        <f t="shared" si="10"/>
        <v>0.2</v>
      </c>
      <c r="J56" s="48">
        <f t="shared" si="10"/>
        <v>0</v>
      </c>
      <c r="K56" s="48">
        <f t="shared" si="10"/>
        <v>0</v>
      </c>
      <c r="L56" s="485">
        <f t="shared" si="10"/>
        <v>0</v>
      </c>
      <c r="M56" s="394">
        <f ca="1">((B56+C56)/2+$N$40*D56+L56)*(1+I56)*(1+$E$4)*(($F$4+J56)*$G$4+($J$6-J56)+$H$6*0.25)*(1-$B$40)</f>
        <v>11813.723145471244</v>
      </c>
    </row>
    <row r="57" spans="1:17">
      <c r="A57" s="341" t="s">
        <v>1183</v>
      </c>
      <c r="B57" s="12">
        <f t="shared" ref="B57:L57" si="11">B37</f>
        <v>294</v>
      </c>
      <c r="C57" s="12">
        <f t="shared" si="11"/>
        <v>294</v>
      </c>
      <c r="D57" s="11">
        <f t="shared" si="11"/>
        <v>1</v>
      </c>
      <c r="E57" s="11">
        <f t="shared" si="11"/>
        <v>0</v>
      </c>
      <c r="F57" s="11">
        <f t="shared" si="11"/>
        <v>0</v>
      </c>
      <c r="G57" s="11">
        <f t="shared" si="11"/>
        <v>0</v>
      </c>
      <c r="H57" s="488">
        <f t="shared" si="11"/>
        <v>10</v>
      </c>
      <c r="I57" s="48">
        <f t="shared" si="11"/>
        <v>0.2</v>
      </c>
      <c r="J57" s="48">
        <f t="shared" si="11"/>
        <v>0</v>
      </c>
      <c r="K57" s="48">
        <f t="shared" si="11"/>
        <v>0</v>
      </c>
      <c r="L57" s="485">
        <f t="shared" si="11"/>
        <v>0</v>
      </c>
      <c r="M57" s="394">
        <f ca="1">((B57+C57)/2+$N$40*D57+L57)*(1+I57)*(1+$E$4)*(($F$4+J57)*$G$4+($J$6-J57)+$H$6*0.25)*(1-$B$40)</f>
        <v>30389.780175621865</v>
      </c>
    </row>
    <row r="58" spans="1:17">
      <c r="A58" s="341" t="s">
        <v>1190</v>
      </c>
      <c r="B58" s="12">
        <f t="shared" ref="B58:L58" si="12">B24</f>
        <v>500</v>
      </c>
      <c r="C58" s="12">
        <f t="shared" si="12"/>
        <v>515</v>
      </c>
      <c r="D58" s="11">
        <f t="shared" si="12"/>
        <v>1.169</v>
      </c>
      <c r="E58" s="11">
        <f t="shared" si="12"/>
        <v>0</v>
      </c>
      <c r="F58" s="11">
        <f t="shared" si="12"/>
        <v>0</v>
      </c>
      <c r="G58" s="11">
        <f t="shared" si="12"/>
        <v>1.4375</v>
      </c>
      <c r="H58" s="488">
        <f t="shared" si="12"/>
        <v>0</v>
      </c>
      <c r="I58" s="48">
        <f>I24</f>
        <v>0.42000000000000004</v>
      </c>
      <c r="J58" s="48">
        <f t="shared" si="12"/>
        <v>0.04</v>
      </c>
      <c r="K58" s="48">
        <f t="shared" si="12"/>
        <v>1</v>
      </c>
      <c r="L58" s="485">
        <f t="shared" si="12"/>
        <v>856</v>
      </c>
      <c r="M58" s="394">
        <f ca="1">((B58+C58)/2+$N$40*D58+L58)*(1+I58)*(1+$E$4)*(($F$4+J58)*$G$4+($J$6-J58)+$H$6*0.25)*(1-$E$40)</f>
        <v>40172.839450923959</v>
      </c>
    </row>
    <row r="59" spans="1:17">
      <c r="A59" s="341" t="s">
        <v>1191</v>
      </c>
      <c r="B59" s="12">
        <f t="shared" ref="B59:L59" si="13">B25</f>
        <v>500</v>
      </c>
      <c r="C59" s="12">
        <f t="shared" si="13"/>
        <v>515</v>
      </c>
      <c r="D59" s="11">
        <f t="shared" si="13"/>
        <v>1.169</v>
      </c>
      <c r="E59" s="11">
        <f t="shared" si="13"/>
        <v>0</v>
      </c>
      <c r="F59" s="11">
        <f t="shared" si="13"/>
        <v>0</v>
      </c>
      <c r="G59" s="11">
        <f t="shared" si="13"/>
        <v>1.4375</v>
      </c>
      <c r="H59" s="488">
        <f t="shared" si="13"/>
        <v>0</v>
      </c>
      <c r="I59" s="48">
        <f t="shared" si="13"/>
        <v>0.57000000000000006</v>
      </c>
      <c r="J59" s="48">
        <f t="shared" si="13"/>
        <v>0.04</v>
      </c>
      <c r="K59" s="48">
        <f t="shared" si="13"/>
        <v>1</v>
      </c>
      <c r="L59" s="485">
        <f t="shared" si="13"/>
        <v>856</v>
      </c>
      <c r="M59" s="394">
        <f ca="1">((B59+C59)/2+$N$40*D59+L59)*(1+I59)*(1+$E$4)*(($F$4+J59)*$G$4+($J$6-J59)+$H$6*0.25)*(1-$E$40)</f>
        <v>44416.449252077909</v>
      </c>
    </row>
    <row r="60" spans="1:17">
      <c r="A60" s="341" t="s">
        <v>1192</v>
      </c>
      <c r="B60" s="12">
        <f t="shared" ref="B60:L60" si="14">B26</f>
        <v>500</v>
      </c>
      <c r="C60" s="12">
        <f t="shared" si="14"/>
        <v>515</v>
      </c>
      <c r="D60" s="11">
        <f t="shared" si="14"/>
        <v>1.169</v>
      </c>
      <c r="E60" s="11">
        <f t="shared" si="14"/>
        <v>0</v>
      </c>
      <c r="F60" s="11">
        <f t="shared" si="14"/>
        <v>0</v>
      </c>
      <c r="G60" s="11">
        <f t="shared" si="14"/>
        <v>1.4375</v>
      </c>
      <c r="H60" s="488">
        <f t="shared" si="14"/>
        <v>0</v>
      </c>
      <c r="I60" s="48">
        <f t="shared" si="14"/>
        <v>0.72</v>
      </c>
      <c r="J60" s="48">
        <f t="shared" si="14"/>
        <v>0.04</v>
      </c>
      <c r="K60" s="48">
        <f t="shared" si="14"/>
        <v>1</v>
      </c>
      <c r="L60" s="485">
        <f t="shared" si="14"/>
        <v>856</v>
      </c>
      <c r="M60" s="394">
        <f ca="1">((B60+C60)/2+$N$40*D60+L60)*(1+I60)*(1+$E$4)*(($F$4+J60)*$G$4+($J$6-J60)+$H$6*0.25)*(1-$E$40)</f>
        <v>48660.059053231846</v>
      </c>
    </row>
    <row r="61" spans="1:17" ht="17.25" thickBot="1">
      <c r="A61" s="341" t="s">
        <v>1193</v>
      </c>
      <c r="B61" s="12">
        <f t="shared" ref="B61:L61" si="15">B29</f>
        <v>833</v>
      </c>
      <c r="C61" s="12">
        <f t="shared" si="15"/>
        <v>843</v>
      </c>
      <c r="D61" s="11">
        <f t="shared" si="15"/>
        <v>0.5</v>
      </c>
      <c r="E61" s="11">
        <f t="shared" si="15"/>
        <v>0</v>
      </c>
      <c r="F61" s="11">
        <f t="shared" si="15"/>
        <v>0</v>
      </c>
      <c r="G61" s="11">
        <f t="shared" si="15"/>
        <v>0</v>
      </c>
      <c r="H61" s="488">
        <f t="shared" si="15"/>
        <v>0</v>
      </c>
      <c r="I61" s="48">
        <f t="shared" si="15"/>
        <v>0.30000000000000004</v>
      </c>
      <c r="J61" s="48">
        <f t="shared" si="15"/>
        <v>0.05</v>
      </c>
      <c r="K61" s="48">
        <f t="shared" si="15"/>
        <v>1</v>
      </c>
      <c r="L61" s="485">
        <f t="shared" si="15"/>
        <v>856</v>
      </c>
      <c r="M61" s="394">
        <f ca="1">((B61+C61)/2+$N$40*D61+L61)*(1+I61)*(1+$E$4)*(($F$4+J61)*$G$4+($J$6-J61)+$H$6*0.25)*(1-$E$40)</f>
        <v>18467.715814301959</v>
      </c>
      <c r="N61" s="44" t="s">
        <v>1265</v>
      </c>
      <c r="O61" s="44" t="s">
        <v>1266</v>
      </c>
    </row>
    <row r="62" spans="1:17" ht="17.25" thickBot="1">
      <c r="A62" s="341" t="s">
        <v>1194</v>
      </c>
      <c r="B62" s="12">
        <f t="shared" ref="B62:L62" si="16">B29</f>
        <v>833</v>
      </c>
      <c r="C62" s="12">
        <f t="shared" si="16"/>
        <v>843</v>
      </c>
      <c r="D62" s="11">
        <f t="shared" si="16"/>
        <v>0.5</v>
      </c>
      <c r="E62" s="11">
        <f t="shared" si="16"/>
        <v>0</v>
      </c>
      <c r="F62" s="11">
        <f t="shared" si="16"/>
        <v>0</v>
      </c>
      <c r="G62" s="11">
        <f t="shared" si="16"/>
        <v>0</v>
      </c>
      <c r="H62" s="488">
        <f t="shared" si="16"/>
        <v>0</v>
      </c>
      <c r="I62" s="48">
        <f t="shared" si="16"/>
        <v>0.30000000000000004</v>
      </c>
      <c r="J62" s="48">
        <f t="shared" si="16"/>
        <v>0.05</v>
      </c>
      <c r="K62" s="48">
        <f t="shared" si="16"/>
        <v>1</v>
      </c>
      <c r="L62" s="485">
        <f t="shared" si="16"/>
        <v>856</v>
      </c>
      <c r="M62" s="394">
        <f ca="1">((B62+C62)/2+$Q$40*D62+L62)*(1+I62)*(1+$E$4)*(($F$4+J62)*$G$4+($J$6-J62)+$H$6*0.25)*(1-$B$40)</f>
        <v>22134.591125514311</v>
      </c>
      <c r="N62" s="11">
        <v>0</v>
      </c>
      <c r="O62" s="11">
        <f t="shared" ref="O62:O74" si="17">3-N62</f>
        <v>3</v>
      </c>
      <c r="P62" s="332" t="s">
        <v>1204</v>
      </c>
      <c r="Q62" s="333"/>
    </row>
    <row r="63" spans="1:17">
      <c r="A63" s="341" t="s">
        <v>1198</v>
      </c>
      <c r="B63" s="12">
        <f t="shared" ref="B63:H63" si="18">B17</f>
        <v>834</v>
      </c>
      <c r="C63" s="12">
        <f t="shared" si="18"/>
        <v>864</v>
      </c>
      <c r="D63" s="11">
        <f t="shared" si="18"/>
        <v>1.99999999999</v>
      </c>
      <c r="E63" s="11">
        <f t="shared" si="18"/>
        <v>5</v>
      </c>
      <c r="F63" s="11">
        <f t="shared" si="18"/>
        <v>1.4375</v>
      </c>
      <c r="G63" s="11">
        <f t="shared" si="18"/>
        <v>1.4375</v>
      </c>
      <c r="H63" s="488">
        <f t="shared" si="18"/>
        <v>0</v>
      </c>
      <c r="I63" s="48">
        <f>BUFF!$P$7+BUFF!$S$27+BUFF!$U$27-IF(BUFF!$O$86=TRUE,5%*($P$4-N62),-5%*($P$4-O62))-BUFF!$S$62+BUFF!$AA$27</f>
        <v>0.92000000000000015</v>
      </c>
      <c r="J63" s="48">
        <f>J17</f>
        <v>0.05</v>
      </c>
      <c r="K63" s="48">
        <f>K17</f>
        <v>2</v>
      </c>
      <c r="L63" s="485">
        <f>L17</f>
        <v>1712</v>
      </c>
      <c r="M63" s="394">
        <f ca="1">((B63+C63)/2+$Q$40*D63+L63)*(1+I63)*(1+$E$4)*(($F$4+J63)*$G$4+($J$6-J63)+$H$6*0.25)*(1-$B$40)</f>
        <v>113799.7942679383</v>
      </c>
      <c r="N63" s="11">
        <v>1</v>
      </c>
      <c r="O63" s="11">
        <f t="shared" si="17"/>
        <v>2</v>
      </c>
      <c r="P63" s="341" t="s">
        <v>1198</v>
      </c>
      <c r="Q63" s="394">
        <f ca="1">((B63+C63)/2+$Q$40*D63+L63)*(1+I63+10%)*(1+$E$4)*(($F$4+J63)*$G$4+($J$6-J63)+$H$6*0.25)*(1-$B$40)</f>
        <v>119726.86688606007</v>
      </c>
    </row>
    <row r="64" spans="1:17">
      <c r="A64" s="341" t="s">
        <v>1195</v>
      </c>
      <c r="B64" s="12">
        <f>B63</f>
        <v>834</v>
      </c>
      <c r="C64" s="12">
        <f t="shared" ref="C64:L66" si="19">C63</f>
        <v>864</v>
      </c>
      <c r="D64" s="11">
        <f t="shared" si="19"/>
        <v>1.99999999999</v>
      </c>
      <c r="E64" s="11">
        <f t="shared" si="19"/>
        <v>5</v>
      </c>
      <c r="F64" s="11">
        <f t="shared" si="19"/>
        <v>1.4375</v>
      </c>
      <c r="G64" s="11">
        <f t="shared" si="19"/>
        <v>1.4375</v>
      </c>
      <c r="H64" s="488">
        <f t="shared" si="19"/>
        <v>0</v>
      </c>
      <c r="I64" s="48">
        <f>BUFF!$P$7+BUFF!$S$27+BUFF!$U$27-IF(BUFF!$O$86=TRUE,5%*($P$4-N63),-5%*($P$4-O63))-BUFF!$S$62+BUFF!$AA$27</f>
        <v>0.9700000000000002</v>
      </c>
      <c r="J64" s="48">
        <f t="shared" si="19"/>
        <v>0.05</v>
      </c>
      <c r="K64" s="48">
        <f t="shared" si="19"/>
        <v>2</v>
      </c>
      <c r="L64" s="485">
        <f t="shared" si="19"/>
        <v>1712</v>
      </c>
      <c r="M64" s="394">
        <f ca="1">((B64+C64)/2+$Q$40*D64+L64)*(1+I64)*(1+$E$4)*(($F$4+J64)*$G$4+($J$6-J64)+$H$6*0.25)*(1-$B$40)</f>
        <v>116763.33057699921</v>
      </c>
      <c r="N64" s="11">
        <v>2</v>
      </c>
      <c r="O64" s="11">
        <f t="shared" si="17"/>
        <v>1</v>
      </c>
      <c r="P64" s="341" t="s">
        <v>1195</v>
      </c>
      <c r="Q64" s="394">
        <f ca="1">((B64+C64)/2+$Q$40*D64+L64)*(1+I64+10%)*(1+$E$4)*(($F$4+J64)*$G$4+($J$6-J64)+$H$6*0.25)*(1-$B$40)</f>
        <v>122690.40319512099</v>
      </c>
    </row>
    <row r="65" spans="1:17">
      <c r="A65" s="341" t="s">
        <v>1196</v>
      </c>
      <c r="B65" s="12">
        <f>B64</f>
        <v>834</v>
      </c>
      <c r="C65" s="12">
        <f t="shared" si="19"/>
        <v>864</v>
      </c>
      <c r="D65" s="11">
        <f t="shared" si="19"/>
        <v>1.99999999999</v>
      </c>
      <c r="E65" s="11">
        <f t="shared" si="19"/>
        <v>5</v>
      </c>
      <c r="F65" s="11">
        <f t="shared" si="19"/>
        <v>1.4375</v>
      </c>
      <c r="G65" s="11">
        <f t="shared" si="19"/>
        <v>1.4375</v>
      </c>
      <c r="H65" s="488">
        <f t="shared" si="19"/>
        <v>0</v>
      </c>
      <c r="I65" s="48">
        <f>BUFF!$P$7+BUFF!$S$27+BUFF!$U$27-IF(BUFF!$O$86=TRUE,5%*($P$4-N64),-5%*($P$4-O64))-BUFF!$S$62+BUFF!$AA$27</f>
        <v>1.02</v>
      </c>
      <c r="J65" s="48">
        <f t="shared" si="19"/>
        <v>0.05</v>
      </c>
      <c r="K65" s="48">
        <f t="shared" si="19"/>
        <v>2</v>
      </c>
      <c r="L65" s="485">
        <f t="shared" si="19"/>
        <v>1712</v>
      </c>
      <c r="M65" s="394">
        <f ca="1">((B65+C65)/2+$Q$40*D65+L65)*(1+I65)*(1+$E$4)*(($F$4+J65)*$G$4+($J$6-J65)+$H$6*0.25)*(1-$B$40)</f>
        <v>119726.86688606007</v>
      </c>
      <c r="N65" s="11">
        <v>3</v>
      </c>
      <c r="O65" s="11">
        <f t="shared" si="17"/>
        <v>0</v>
      </c>
      <c r="P65" s="341" t="s">
        <v>1196</v>
      </c>
      <c r="Q65" s="394">
        <f ca="1">((B65+C65)/2+$Q$40*D65+L65)*(1+I65+10%)*(1+$E$4)*(($F$4+J65)*$G$4+($J$6-J65)+$H$6*0.25)*(1-$B$40)</f>
        <v>125653.93950418186</v>
      </c>
    </row>
    <row r="66" spans="1:17">
      <c r="A66" s="341" t="s">
        <v>1197</v>
      </c>
      <c r="B66" s="12">
        <f>B65</f>
        <v>834</v>
      </c>
      <c r="C66" s="12">
        <f t="shared" si="19"/>
        <v>864</v>
      </c>
      <c r="D66" s="11">
        <f t="shared" si="19"/>
        <v>1.99999999999</v>
      </c>
      <c r="E66" s="11">
        <f t="shared" si="19"/>
        <v>5</v>
      </c>
      <c r="F66" s="11">
        <f t="shared" si="19"/>
        <v>1.4375</v>
      </c>
      <c r="G66" s="11">
        <f t="shared" si="19"/>
        <v>1.4375</v>
      </c>
      <c r="H66" s="488">
        <f t="shared" si="19"/>
        <v>0</v>
      </c>
      <c r="I66" s="48">
        <f>BUFF!$P$7+BUFF!$S$27+BUFF!$U$27-IF(BUFF!$O$86=TRUE,5%*($P$4-N65),-5%*($P$4-O65))-BUFF!$S$62+BUFF!$AA$27</f>
        <v>1.07</v>
      </c>
      <c r="J66" s="48">
        <f t="shared" si="19"/>
        <v>0.05</v>
      </c>
      <c r="K66" s="48">
        <f t="shared" si="19"/>
        <v>2</v>
      </c>
      <c r="L66" s="485">
        <f t="shared" si="19"/>
        <v>1712</v>
      </c>
      <c r="M66" s="394">
        <f ca="1">((B66+C66)/2+$Q$40*D66+L66)*(1+I66)*(1+$E$4)*(($F$4+J66)*$G$4+($J$6-J66)+$H$6*0.25)*(1-$B$40)</f>
        <v>122690.40319512099</v>
      </c>
      <c r="N66" s="11">
        <v>0</v>
      </c>
      <c r="O66" s="11">
        <f t="shared" si="17"/>
        <v>3</v>
      </c>
      <c r="P66" s="341" t="s">
        <v>1197</v>
      </c>
      <c r="Q66" s="394">
        <f ca="1">((B66+C66)/2+$Q$40*D66+L66)*(1+I66+10%)*(1+$E$4)*(($F$4+J66)*$G$4+($J$6-J66)+$H$6*0.25)*(1-$B$40)</f>
        <v>128617.47581324277</v>
      </c>
    </row>
    <row r="67" spans="1:17">
      <c r="A67" s="341" t="s">
        <v>1253</v>
      </c>
      <c r="B67" s="12">
        <f>B14</f>
        <v>916</v>
      </c>
      <c r="C67" s="12">
        <f>C14</f>
        <v>936</v>
      </c>
      <c r="D67" s="11">
        <f>D14</f>
        <v>1.0187776900000001</v>
      </c>
      <c r="E67" s="11">
        <f>BUFF!$E$31-2</f>
        <v>14</v>
      </c>
      <c r="F67" s="11">
        <f>F14</f>
        <v>2.4375</v>
      </c>
      <c r="G67" s="11">
        <f>G14</f>
        <v>1.4375</v>
      </c>
      <c r="H67" s="488">
        <f>H14</f>
        <v>0</v>
      </c>
      <c r="I67" s="48">
        <f>BUFF!$P$7+BUFF!$S$27+BUFF!$R$27-IF(BUFF!$O$86=TRUE,5%*($P$4-N67),-5%*($P$4-O67))-BUFF!$S$62+BUFF!$AA$27</f>
        <v>0.87000000000000011</v>
      </c>
      <c r="J67" s="48">
        <v>0.04</v>
      </c>
      <c r="K67" s="48">
        <f>K14</f>
        <v>1</v>
      </c>
      <c r="L67" s="485">
        <f>L14</f>
        <v>856</v>
      </c>
      <c r="M67" s="394">
        <f ca="1">((B67+C67)/2+$Q$40*D67+L67)*(1+I67)*(1+$E$4)*(($F$4+J67)*$G$4+($J$6-J67)+$H$6*0.25)*(1-$B$40)*F67/BUFF!$K$37</f>
        <v>322804.77627861325</v>
      </c>
      <c r="N67" s="11">
        <v>2</v>
      </c>
      <c r="O67" s="11">
        <f t="shared" si="17"/>
        <v>1</v>
      </c>
      <c r="P67" s="341" t="s">
        <v>1253</v>
      </c>
      <c r="Q67" s="394">
        <f ca="1">((B67+C67)/2+$Q$40*D67+L67)*(1+I67+10%)*(1+$E$4)*(($F$4+J67)*$G$4+($J$6-J67)+$H$6*0.25)*(1-$B$40)*F67/BUFF!$K$37</f>
        <v>340067.06378014345</v>
      </c>
    </row>
    <row r="68" spans="1:17">
      <c r="A68" s="341" t="s">
        <v>1252</v>
      </c>
      <c r="B68" s="12">
        <f>B67</f>
        <v>916</v>
      </c>
      <c r="C68" s="12">
        <f t="shared" ref="C68:L69" si="20">C67</f>
        <v>936</v>
      </c>
      <c r="D68" s="11">
        <f t="shared" si="20"/>
        <v>1.0187776900000001</v>
      </c>
      <c r="E68" s="11">
        <f>BUFF!$E$31-2</f>
        <v>14</v>
      </c>
      <c r="F68" s="11">
        <f t="shared" si="20"/>
        <v>2.4375</v>
      </c>
      <c r="G68" s="11">
        <f t="shared" si="20"/>
        <v>1.4375</v>
      </c>
      <c r="H68" s="488">
        <f t="shared" si="20"/>
        <v>0</v>
      </c>
      <c r="I68" s="48">
        <f>BUFF!$P$7+BUFF!$S$27+BUFF!$R$27-IF(BUFF!$O$86=TRUE,5%*($P$4-N68),-5%*($P$4-O68))-BUFF!$S$62+BUFF!$AA$27</f>
        <v>0.92000000000000015</v>
      </c>
      <c r="J68" s="48">
        <v>0.04</v>
      </c>
      <c r="K68" s="48">
        <f t="shared" si="20"/>
        <v>1</v>
      </c>
      <c r="L68" s="485">
        <f t="shared" si="20"/>
        <v>856</v>
      </c>
      <c r="M68" s="394">
        <f ca="1">((B68+C68)/2+$Q$40*D68+L68)*(1+I68)*(1+$E$4)*(($F$4+J68)*$G$4+($J$6-J68)+$H$6*0.25)*(1-$B$40)*F68/BUFF!$K$37</f>
        <v>331435.92002937838</v>
      </c>
      <c r="N68" s="11">
        <v>3</v>
      </c>
      <c r="O68" s="11">
        <f t="shared" si="17"/>
        <v>0</v>
      </c>
      <c r="P68" s="341" t="s">
        <v>1252</v>
      </c>
      <c r="Q68" s="394">
        <f ca="1">((B68+C68)/2+$Q$40*D68+L68)*(1+I68+10%)*(1+$E$4)*(($F$4+J68)*$G$4+($J$6-J68)+$H$6*0.25)*(1-$B$40)*F68/BUFF!$K$37</f>
        <v>348698.2075309084</v>
      </c>
    </row>
    <row r="69" spans="1:17" s="157" customFormat="1">
      <c r="A69" s="341" t="s">
        <v>1314</v>
      </c>
      <c r="B69" s="12">
        <f>B68</f>
        <v>916</v>
      </c>
      <c r="C69" s="12">
        <f t="shared" si="20"/>
        <v>936</v>
      </c>
      <c r="D69" s="11">
        <f t="shared" si="20"/>
        <v>1.0187776900000001</v>
      </c>
      <c r="E69" s="11">
        <f>BUFF!$E$31-3</f>
        <v>13</v>
      </c>
      <c r="F69" s="11">
        <f t="shared" si="20"/>
        <v>2.4375</v>
      </c>
      <c r="G69" s="11">
        <f t="shared" si="20"/>
        <v>1.4375</v>
      </c>
      <c r="H69" s="488">
        <f t="shared" si="20"/>
        <v>0</v>
      </c>
      <c r="I69" s="48">
        <f>BUFF!$P$7+BUFF!$S$27+BUFF!$R$27-IF(BUFF!$O$86=TRUE,5%*($P$4-N69),-5%*($P$4-O69))-BUFF!$S$62+BUFF!$AA$27</f>
        <v>0.92000000000000015</v>
      </c>
      <c r="J69" s="48">
        <v>0</v>
      </c>
      <c r="K69" s="48">
        <f t="shared" si="20"/>
        <v>1</v>
      </c>
      <c r="L69" s="485">
        <f t="shared" si="20"/>
        <v>856</v>
      </c>
      <c r="M69" s="394">
        <f ca="1">((B69+C69)/2+$Q$40*D69+L69)*(1+I69)*(1+$E$4)*(($F$4+J69)*$G$4+($J$6-J69)+$H$6*0.25)*(1-$B$40)*F69/BUFF!$K$37</f>
        <v>322487.93904844258</v>
      </c>
      <c r="N69" s="11">
        <v>3</v>
      </c>
      <c r="O69" s="11">
        <f t="shared" ref="O69" si="21">3-N69</f>
        <v>0</v>
      </c>
      <c r="P69" s="341" t="s">
        <v>1252</v>
      </c>
      <c r="Q69" s="394">
        <f ca="1">((B69+C69)/2+$Q$40*D69+L69)*(1+I69+10%)*(1+$E$4)*(($F$4+J69)*$G$4+($J$6-J69)+$H$6*0.25)*(1-$B$40)*F69/BUFF!$K$37</f>
        <v>339284.18587388226</v>
      </c>
    </row>
    <row r="70" spans="1:17" s="157" customFormat="1">
      <c r="A70" s="341" t="s">
        <v>1254</v>
      </c>
      <c r="B70" s="12">
        <f>B14</f>
        <v>916</v>
      </c>
      <c r="C70" s="12">
        <f>C14</f>
        <v>936</v>
      </c>
      <c r="D70" s="11">
        <f>D14</f>
        <v>1.0187776900000001</v>
      </c>
      <c r="E70" s="11">
        <f>BUFF!$E$31+IF(BUFF!C2=TRUE,2,0)</f>
        <v>18</v>
      </c>
      <c r="F70" s="11">
        <f>F14</f>
        <v>2.4375</v>
      </c>
      <c r="G70" s="11">
        <f>G14</f>
        <v>1.4375</v>
      </c>
      <c r="H70" s="488">
        <f>H14</f>
        <v>0</v>
      </c>
      <c r="I70" s="48">
        <f>BUFF!$P$7+BUFF!$S$27+BUFF!$R$27-IF(BUFF!$O$86=TRUE,5%*($P$4-N70),-5%*($P$4-O70))-BUFF!$S$62+BUFF!$AA$27</f>
        <v>0.92000000000000015</v>
      </c>
      <c r="J70" s="48">
        <v>7.0000000000000007E-2</v>
      </c>
      <c r="K70" s="48">
        <f>K14</f>
        <v>1</v>
      </c>
      <c r="L70" s="485">
        <f>L14</f>
        <v>856</v>
      </c>
      <c r="M70" s="394">
        <f ca="1">((B70+C70)/2+$Q$40*D70+L70)*(1+I70)*(1+$E$4)*(($F$4+J70)*$G$4+($J$6-J70)+$H$6*0.25)*(1-$B$40)*F70/BUFF!$K$37</f>
        <v>338146.90576508018</v>
      </c>
      <c r="N70" s="11">
        <v>3</v>
      </c>
      <c r="O70" s="11">
        <f t="shared" si="17"/>
        <v>0</v>
      </c>
      <c r="P70" s="341" t="s">
        <v>1254</v>
      </c>
      <c r="Q70" s="394">
        <f ca="1">((B70+C70)/2+$Q$40*D70+L70)*(1+I70+10%)*(1+$E$4)*(($F$4+J70)*$G$4+($J$6-J70)+$H$6*0.25)*(1-$B$40)*F70/BUFF!$K$37</f>
        <v>355758.72377367801</v>
      </c>
    </row>
    <row r="71" spans="1:17">
      <c r="A71" s="341" t="s">
        <v>1199</v>
      </c>
      <c r="B71" s="12">
        <f t="shared" ref="B71:H71" si="22">B19</f>
        <v>130</v>
      </c>
      <c r="C71" s="12">
        <f t="shared" si="22"/>
        <v>140</v>
      </c>
      <c r="D71" s="11">
        <f t="shared" si="22"/>
        <v>0.75624999999999998</v>
      </c>
      <c r="E71" s="11">
        <f t="shared" si="22"/>
        <v>40</v>
      </c>
      <c r="F71" s="11">
        <f t="shared" si="22"/>
        <v>3.875</v>
      </c>
      <c r="G71" s="11">
        <f t="shared" si="22"/>
        <v>1.4375</v>
      </c>
      <c r="H71" s="488">
        <f t="shared" si="22"/>
        <v>0</v>
      </c>
      <c r="I71" s="48">
        <f>BUFF!$I$7+BUFF!$S$27-IF(BUFF!$O$86=TRUE,5%*($P$4-N68),-5%*($P$4-O68))-BUFF!$S$62+BUFF!$AA$27</f>
        <v>0.74</v>
      </c>
      <c r="J71" s="48">
        <f>J19</f>
        <v>7.0000000000000007E-2</v>
      </c>
      <c r="K71" s="48">
        <f>K19</f>
        <v>1</v>
      </c>
      <c r="L71" s="485">
        <f>L19</f>
        <v>856</v>
      </c>
      <c r="M71" s="394">
        <f ca="1">((B71+C71)/2+$Q$40*D71+L71)*(1+I71)*(1+$E$4)*(($F$4+J71)*$G$4+($J$6-J71)+$H$6*0.25)*(1-$B$40)*F71/BUFF!$K$37</f>
        <v>350768.79936711024</v>
      </c>
      <c r="N71" s="11">
        <v>0</v>
      </c>
      <c r="O71" s="11">
        <f t="shared" si="17"/>
        <v>3</v>
      </c>
      <c r="P71" s="341" t="s">
        <v>1199</v>
      </c>
      <c r="Q71" s="394">
        <f ca="1">((B71+C71)/2+$Q$40*D71+L71)*(1+I71)*(1+$E$4)*(($F$4+J71)*$G$4+($J$6-J71)+$H$6*0.25)*(1-$B$40)*F71/BUFF!$K$37</f>
        <v>350768.79936711024</v>
      </c>
    </row>
    <row r="72" spans="1:17">
      <c r="A72" s="341" t="s">
        <v>1200</v>
      </c>
      <c r="B72" s="12">
        <f t="shared" ref="B72:H72" si="23">B22</f>
        <v>826</v>
      </c>
      <c r="C72" s="12">
        <f t="shared" si="23"/>
        <v>908</v>
      </c>
      <c r="D72" s="11">
        <f t="shared" si="23"/>
        <v>0.65618280000000007</v>
      </c>
      <c r="E72" s="11">
        <f t="shared" si="23"/>
        <v>20</v>
      </c>
      <c r="F72" s="11">
        <f t="shared" si="23"/>
        <v>0</v>
      </c>
      <c r="G72" s="11">
        <f t="shared" si="23"/>
        <v>1.4375</v>
      </c>
      <c r="H72" s="488">
        <f t="shared" si="23"/>
        <v>0</v>
      </c>
      <c r="I72" s="48">
        <f>BUFF!$P$7+BUFF!$S$27-IF(BUFF!$O$86=TRUE,5%*($P$4-N71),-5%*($P$4-O71))-BUFF!$S$62+BUFF!$AA$27</f>
        <v>0.62000000000000011</v>
      </c>
      <c r="J72" s="48">
        <f>J22</f>
        <v>0.04</v>
      </c>
      <c r="K72" s="48">
        <f>K22</f>
        <v>1</v>
      </c>
      <c r="L72" s="485">
        <f>L22</f>
        <v>856</v>
      </c>
      <c r="M72" s="394">
        <f ca="1">((B72+C72)/2+$Q$40*D72+L72)*(1+I72)*(1+$E$4)*(($F$4+J72)*$G$4+($J$6-J72)+$H$6*0.25)*(1-$B$40)</f>
        <v>34269.355957432141</v>
      </c>
      <c r="N72" s="11">
        <v>3</v>
      </c>
      <c r="O72" s="11">
        <f t="shared" si="17"/>
        <v>0</v>
      </c>
      <c r="P72" s="341" t="s">
        <v>1200</v>
      </c>
      <c r="Q72" s="394">
        <f ca="1">((B72+C72)/2+$Q$40*D72+L72)*(1+I72+10%)*(1+$E$4)*(($F$4+J72)*$G$4+($J$6-J72)+$H$6*0.25)*(1-$B$40)*F71/BUFF!$K$37</f>
        <v>322264.91351856815</v>
      </c>
    </row>
    <row r="73" spans="1:17">
      <c r="A73" s="341" t="s">
        <v>1201</v>
      </c>
      <c r="B73" s="12">
        <f t="shared" ref="B73:H73" si="24">B22</f>
        <v>826</v>
      </c>
      <c r="C73" s="12">
        <f t="shared" si="24"/>
        <v>908</v>
      </c>
      <c r="D73" s="11">
        <f t="shared" si="24"/>
        <v>0.65618280000000007</v>
      </c>
      <c r="E73" s="11">
        <f t="shared" si="24"/>
        <v>20</v>
      </c>
      <c r="F73" s="11">
        <f t="shared" si="24"/>
        <v>0</v>
      </c>
      <c r="G73" s="11">
        <f t="shared" si="24"/>
        <v>1.4375</v>
      </c>
      <c r="H73" s="488">
        <f t="shared" si="24"/>
        <v>0</v>
      </c>
      <c r="I73" s="48">
        <f>BUFF!$P$7+BUFF!$S$27-IF(BUFF!$O$86=TRUE,5%*($P$4-N72),-5%*($P$4-O72))-BUFF!$S$62+BUFF!$AA$27</f>
        <v>0.77</v>
      </c>
      <c r="J73" s="48">
        <f>J22</f>
        <v>0.04</v>
      </c>
      <c r="K73" s="48">
        <f>K22</f>
        <v>1</v>
      </c>
      <c r="L73" s="485">
        <f>L22</f>
        <v>856</v>
      </c>
      <c r="M73" s="394">
        <f ca="1">((B73+C73)/2+$Q$40*D73+L73)*(1+I73)*(1+$E$4)*(($F$4+J73)*$G$4+($J$6-J73)+$H$6*0.25)*(1-$B$40)</f>
        <v>37442.444472009185</v>
      </c>
      <c r="N73" s="11">
        <v>3</v>
      </c>
      <c r="O73" s="11">
        <f t="shared" si="17"/>
        <v>0</v>
      </c>
      <c r="P73" s="341" t="s">
        <v>1201</v>
      </c>
      <c r="Q73" s="394">
        <f ca="1">((B73+C73)/2+$Q$40*D73+L73)*(1+I73+10%)*(1+$E$4)*(($F$4+J73)*$G$4+($J$6-J73)+$H$6*0.25)*(1-$B$40)</f>
        <v>39557.836815060553</v>
      </c>
    </row>
    <row r="74" spans="1:17">
      <c r="A74" s="341" t="s">
        <v>1202</v>
      </c>
      <c r="B74" s="12">
        <f t="shared" ref="B74:H74" si="25">B20</f>
        <v>413</v>
      </c>
      <c r="C74" s="12">
        <f t="shared" si="25"/>
        <v>454</v>
      </c>
      <c r="D74" s="11">
        <f t="shared" si="25"/>
        <v>0.43748280000000001</v>
      </c>
      <c r="E74" s="11">
        <f t="shared" si="25"/>
        <v>20</v>
      </c>
      <c r="F74" s="11">
        <f t="shared" si="25"/>
        <v>0</v>
      </c>
      <c r="G74" s="11">
        <f t="shared" si="25"/>
        <v>1.4375</v>
      </c>
      <c r="H74" s="488">
        <f t="shared" si="25"/>
        <v>0</v>
      </c>
      <c r="I74" s="48">
        <f>BUFF!$P$7+BUFF!$S$27-IF(BUFF!$O$86=TRUE,5%*($P$4-N73),-5%*($P$4-O73))-BUFF!$S$62+BUFF!$AA$27</f>
        <v>0.77</v>
      </c>
      <c r="J74" s="48">
        <f>J20</f>
        <v>0.04</v>
      </c>
      <c r="K74" s="48">
        <f>K20</f>
        <v>1</v>
      </c>
      <c r="L74" s="485">
        <f>L20</f>
        <v>856</v>
      </c>
      <c r="M74" s="394">
        <f ca="1">((B74+C74)/2+$Q$40*D74+L74)*(1+I74)*(1+$E$4)*(($F$4+J74)*$G$4+($J$6-J74)+$H$6*0.25)*(1-$B$40)</f>
        <v>25481.977787844829</v>
      </c>
      <c r="N74" s="11">
        <v>3</v>
      </c>
      <c r="O74" s="11">
        <f t="shared" si="17"/>
        <v>0</v>
      </c>
      <c r="P74" s="341" t="s">
        <v>1202</v>
      </c>
      <c r="Q74" s="394">
        <f ca="1">((B74+C74)/2+$Q$40*D74+L74)*(1+I74+10%)*(1+$E$4)*(($F$4+J74)*$G$4+($J$6-J74)+$H$6*0.25)*(1-$B$40)</f>
        <v>26921.637549869964</v>
      </c>
    </row>
    <row r="75" spans="1:17">
      <c r="A75" s="341" t="s">
        <v>1203</v>
      </c>
      <c r="B75" s="12">
        <f>B22</f>
        <v>826</v>
      </c>
      <c r="C75" s="12">
        <f>C22:M22</f>
        <v>908</v>
      </c>
      <c r="D75" s="11">
        <f>D22:N22</f>
        <v>0.65618280000000007</v>
      </c>
      <c r="E75" s="11">
        <f>E22:O22</f>
        <v>20</v>
      </c>
      <c r="F75" s="11">
        <f>F22:P22</f>
        <v>0</v>
      </c>
      <c r="G75" s="11">
        <f>G22:Q22</f>
        <v>1.4375</v>
      </c>
      <c r="H75" s="488">
        <f>H21</f>
        <v>0</v>
      </c>
      <c r="I75" s="48">
        <f>BUFF!$P$7+BUFF!$S$27-IF(BUFF!$O$86=TRUE,5%*($P$4-N74),-5%*($P$4-O74))-BUFF!$S$76-BUFF!$S$62+BUFF!$AA$27</f>
        <v>0.47000000000000008</v>
      </c>
      <c r="J75" s="48">
        <f>J22:T22</f>
        <v>0.04</v>
      </c>
      <c r="K75" s="48">
        <f>K22:U22</f>
        <v>1</v>
      </c>
      <c r="L75" s="485">
        <f>L22:V22</f>
        <v>856</v>
      </c>
      <c r="M75" s="394">
        <f ca="1">((B75+C75)/2+$Q$40*D75+L75)*(1+I75)*(1+$E$4)*(($F$4+J75)*$G$4+($J$6-J75)+$H$6*0.25)*(1-$B$40)</f>
        <v>31096.267442855089</v>
      </c>
      <c r="P75" s="341" t="s">
        <v>1203</v>
      </c>
      <c r="Q75" s="394">
        <f ca="1">M75</f>
        <v>31096.267442855089</v>
      </c>
    </row>
    <row r="76" spans="1:17">
      <c r="B76" s="12"/>
      <c r="C76" s="12"/>
      <c r="D76" s="11"/>
      <c r="E76" s="11"/>
      <c r="F76" s="11"/>
      <c r="G76" s="11"/>
      <c r="H76" s="488"/>
      <c r="I76" s="48"/>
      <c r="J76" s="48"/>
      <c r="K76" s="48"/>
      <c r="L76" s="485"/>
      <c r="M76" s="394"/>
    </row>
  </sheetData>
  <mergeCells count="37">
    <mergeCell ref="K4:L4"/>
    <mergeCell ref="N12:R13"/>
    <mergeCell ref="P20:R20"/>
    <mergeCell ref="A39:Q39"/>
    <mergeCell ref="O5:P5"/>
    <mergeCell ref="O6:P6"/>
    <mergeCell ref="O10:P10"/>
    <mergeCell ref="R5:S5"/>
    <mergeCell ref="A38:Q38"/>
    <mergeCell ref="O9:P9"/>
    <mergeCell ref="U10:V10"/>
    <mergeCell ref="R3:S3"/>
    <mergeCell ref="O7:P7"/>
    <mergeCell ref="U6:V6"/>
    <mergeCell ref="U7:V7"/>
    <mergeCell ref="U8:V8"/>
    <mergeCell ref="U9:V9"/>
    <mergeCell ref="U3:V3"/>
    <mergeCell ref="U4:V4"/>
    <mergeCell ref="O3:P3"/>
    <mergeCell ref="R4:S4"/>
    <mergeCell ref="R6:S6"/>
    <mergeCell ref="O8:P8"/>
    <mergeCell ref="R7:S7"/>
    <mergeCell ref="U2:V2"/>
    <mergeCell ref="Q1:Y1"/>
    <mergeCell ref="X8:Y8"/>
    <mergeCell ref="X2:Y2"/>
    <mergeCell ref="U5:V5"/>
    <mergeCell ref="R8:S8"/>
    <mergeCell ref="X7:Y7"/>
    <mergeCell ref="X3:Y3"/>
    <mergeCell ref="N1:P1"/>
    <mergeCell ref="O2:P2"/>
    <mergeCell ref="J1:L1"/>
    <mergeCell ref="J2:L2"/>
    <mergeCell ref="K3:L3"/>
  </mergeCells>
  <phoneticPr fontId="2" type="noConversion"/>
  <conditionalFormatting sqref="N22:Q22">
    <cfRule type="duplicateValues" dxfId="199" priority="175" stopIfTrue="1"/>
  </conditionalFormatting>
  <conditionalFormatting sqref="N24">
    <cfRule type="duplicateValues" dxfId="198" priority="166" stopIfTrue="1"/>
  </conditionalFormatting>
  <conditionalFormatting sqref="O24">
    <cfRule type="duplicateValues" dxfId="197" priority="162" stopIfTrue="1"/>
  </conditionalFormatting>
  <conditionalFormatting sqref="P24">
    <cfRule type="duplicateValues" dxfId="196" priority="161" stopIfTrue="1"/>
  </conditionalFormatting>
  <conditionalFormatting sqref="Q24">
    <cfRule type="duplicateValues" dxfId="195" priority="160" stopIfTrue="1"/>
  </conditionalFormatting>
  <conditionalFormatting sqref="N24:Q24">
    <cfRule type="duplicateValues" dxfId="194" priority="159" stopIfTrue="1"/>
  </conditionalFormatting>
  <conditionalFormatting sqref="Q18 N19 Q21 N21">
    <cfRule type="duplicateValues" dxfId="193" priority="179" stopIfTrue="1"/>
  </conditionalFormatting>
  <conditionalFormatting sqref="N26">
    <cfRule type="duplicateValues" dxfId="192" priority="149" stopIfTrue="1"/>
  </conditionalFormatting>
  <conditionalFormatting sqref="N26">
    <cfRule type="duplicateValues" dxfId="191" priority="148" stopIfTrue="1"/>
  </conditionalFormatting>
  <conditionalFormatting sqref="O26">
    <cfRule type="duplicateValues" dxfId="190" priority="147" stopIfTrue="1"/>
  </conditionalFormatting>
  <conditionalFormatting sqref="O26">
    <cfRule type="duplicateValues" dxfId="189" priority="146" stopIfTrue="1"/>
  </conditionalFormatting>
  <conditionalFormatting sqref="P26">
    <cfRule type="duplicateValues" dxfId="188" priority="145" stopIfTrue="1"/>
  </conditionalFormatting>
  <conditionalFormatting sqref="P26">
    <cfRule type="duplicateValues" dxfId="187" priority="144" stopIfTrue="1"/>
  </conditionalFormatting>
  <conditionalFormatting sqref="Q26">
    <cfRule type="duplicateValues" dxfId="186" priority="143" stopIfTrue="1"/>
  </conditionalFormatting>
  <conditionalFormatting sqref="Q26">
    <cfRule type="duplicateValues" dxfId="185" priority="142" stopIfTrue="1"/>
  </conditionalFormatting>
  <conditionalFormatting sqref="R26">
    <cfRule type="duplicateValues" dxfId="184" priority="141" stopIfTrue="1"/>
  </conditionalFormatting>
  <conditionalFormatting sqref="R26">
    <cfRule type="duplicateValues" dxfId="183" priority="140" stopIfTrue="1"/>
  </conditionalFormatting>
  <conditionalFormatting sqref="Q16">
    <cfRule type="duplicateValues" dxfId="182" priority="109" stopIfTrue="1"/>
  </conditionalFormatting>
  <conditionalFormatting sqref="N28">
    <cfRule type="duplicateValues" dxfId="181" priority="108" stopIfTrue="1"/>
  </conditionalFormatting>
  <conditionalFormatting sqref="N28">
    <cfRule type="duplicateValues" dxfId="180" priority="107" stopIfTrue="1"/>
  </conditionalFormatting>
  <conditionalFormatting sqref="O28">
    <cfRule type="duplicateValues" dxfId="179" priority="106" stopIfTrue="1"/>
  </conditionalFormatting>
  <conditionalFormatting sqref="O28">
    <cfRule type="duplicateValues" dxfId="178" priority="105" stopIfTrue="1"/>
  </conditionalFormatting>
  <conditionalFormatting sqref="P28">
    <cfRule type="duplicateValues" dxfId="177" priority="104" stopIfTrue="1"/>
  </conditionalFormatting>
  <conditionalFormatting sqref="P28">
    <cfRule type="duplicateValues" dxfId="176" priority="103" stopIfTrue="1"/>
  </conditionalFormatting>
  <conditionalFormatting sqref="Q28">
    <cfRule type="duplicateValues" dxfId="175" priority="102" stopIfTrue="1"/>
  </conditionalFormatting>
  <conditionalFormatting sqref="Q28">
    <cfRule type="duplicateValues" dxfId="174" priority="101" stopIfTrue="1"/>
  </conditionalFormatting>
  <conditionalFormatting sqref="R28">
    <cfRule type="duplicateValues" dxfId="173" priority="100" stopIfTrue="1"/>
  </conditionalFormatting>
  <conditionalFormatting sqref="R28">
    <cfRule type="duplicateValues" dxfId="172" priority="99" stopIfTrue="1"/>
  </conditionalFormatting>
  <conditionalFormatting sqref="N30">
    <cfRule type="duplicateValues" dxfId="171" priority="98" stopIfTrue="1"/>
  </conditionalFormatting>
  <conditionalFormatting sqref="N30">
    <cfRule type="duplicateValues" dxfId="170" priority="97" stopIfTrue="1"/>
  </conditionalFormatting>
  <conditionalFormatting sqref="P30">
    <cfRule type="duplicateValues" dxfId="169" priority="94" stopIfTrue="1"/>
  </conditionalFormatting>
  <conditionalFormatting sqref="P30">
    <cfRule type="duplicateValues" dxfId="168" priority="93" stopIfTrue="1"/>
  </conditionalFormatting>
  <conditionalFormatting sqref="Q30">
    <cfRule type="duplicateValues" dxfId="167" priority="92" stopIfTrue="1"/>
  </conditionalFormatting>
  <conditionalFormatting sqref="Q30">
    <cfRule type="duplicateValues" dxfId="166" priority="91" stopIfTrue="1"/>
  </conditionalFormatting>
  <conditionalFormatting sqref="R30">
    <cfRule type="duplicateValues" dxfId="165" priority="90" stopIfTrue="1"/>
  </conditionalFormatting>
  <conditionalFormatting sqref="R30">
    <cfRule type="duplicateValues" dxfId="164" priority="89" stopIfTrue="1"/>
  </conditionalFormatting>
  <conditionalFormatting sqref="N32">
    <cfRule type="duplicateValues" dxfId="163" priority="88" stopIfTrue="1"/>
  </conditionalFormatting>
  <conditionalFormatting sqref="N32">
    <cfRule type="duplicateValues" dxfId="162" priority="87" stopIfTrue="1"/>
  </conditionalFormatting>
  <conditionalFormatting sqref="O32">
    <cfRule type="duplicateValues" dxfId="161" priority="86" stopIfTrue="1"/>
  </conditionalFormatting>
  <conditionalFormatting sqref="O32">
    <cfRule type="duplicateValues" dxfId="160" priority="85" stopIfTrue="1"/>
  </conditionalFormatting>
  <conditionalFormatting sqref="P32">
    <cfRule type="duplicateValues" dxfId="159" priority="84" stopIfTrue="1"/>
  </conditionalFormatting>
  <conditionalFormatting sqref="P32">
    <cfRule type="duplicateValues" dxfId="158" priority="83" stopIfTrue="1"/>
  </conditionalFormatting>
  <conditionalFormatting sqref="Q32">
    <cfRule type="duplicateValues" dxfId="157" priority="82" stopIfTrue="1"/>
  </conditionalFormatting>
  <conditionalFormatting sqref="Q32">
    <cfRule type="duplicateValues" dxfId="156" priority="81" stopIfTrue="1"/>
  </conditionalFormatting>
  <conditionalFormatting sqref="R32">
    <cfRule type="duplicateValues" dxfId="155" priority="80" stopIfTrue="1"/>
  </conditionalFormatting>
  <conditionalFormatting sqref="R32">
    <cfRule type="duplicateValues" dxfId="154" priority="79" stopIfTrue="1"/>
  </conditionalFormatting>
  <conditionalFormatting sqref="N34">
    <cfRule type="duplicateValues" dxfId="153" priority="78" stopIfTrue="1"/>
  </conditionalFormatting>
  <conditionalFormatting sqref="N34">
    <cfRule type="duplicateValues" dxfId="152" priority="77" stopIfTrue="1"/>
  </conditionalFormatting>
  <conditionalFormatting sqref="O34">
    <cfRule type="duplicateValues" dxfId="151" priority="76" stopIfTrue="1"/>
  </conditionalFormatting>
  <conditionalFormatting sqref="O34">
    <cfRule type="duplicateValues" dxfId="150" priority="75" stopIfTrue="1"/>
  </conditionalFormatting>
  <conditionalFormatting sqref="P34">
    <cfRule type="duplicateValues" dxfId="149" priority="74" stopIfTrue="1"/>
  </conditionalFormatting>
  <conditionalFormatting sqref="P34">
    <cfRule type="duplicateValues" dxfId="148" priority="73" stopIfTrue="1"/>
  </conditionalFormatting>
  <conditionalFormatting sqref="Q34">
    <cfRule type="duplicateValues" dxfId="147" priority="72" stopIfTrue="1"/>
  </conditionalFormatting>
  <conditionalFormatting sqref="Q34">
    <cfRule type="duplicateValues" dxfId="146" priority="71" stopIfTrue="1"/>
  </conditionalFormatting>
  <conditionalFormatting sqref="R34">
    <cfRule type="duplicateValues" dxfId="145" priority="70" stopIfTrue="1"/>
  </conditionalFormatting>
  <conditionalFormatting sqref="R34">
    <cfRule type="duplicateValues" dxfId="144" priority="69" stopIfTrue="1"/>
  </conditionalFormatting>
  <conditionalFormatting sqref="N36">
    <cfRule type="duplicateValues" dxfId="143" priority="68" stopIfTrue="1"/>
  </conditionalFormatting>
  <conditionalFormatting sqref="N36">
    <cfRule type="duplicateValues" dxfId="142" priority="67" stopIfTrue="1"/>
  </conditionalFormatting>
  <conditionalFormatting sqref="O36">
    <cfRule type="duplicateValues" dxfId="141" priority="66" stopIfTrue="1"/>
  </conditionalFormatting>
  <conditionalFormatting sqref="O36">
    <cfRule type="duplicateValues" dxfId="140" priority="65" stopIfTrue="1"/>
  </conditionalFormatting>
  <conditionalFormatting sqref="P36">
    <cfRule type="duplicateValues" dxfId="139" priority="64" stopIfTrue="1"/>
  </conditionalFormatting>
  <conditionalFormatting sqref="P36">
    <cfRule type="duplicateValues" dxfId="138" priority="63" stopIfTrue="1"/>
  </conditionalFormatting>
  <conditionalFormatting sqref="Q36">
    <cfRule type="duplicateValues" dxfId="137" priority="62" stopIfTrue="1"/>
  </conditionalFormatting>
  <conditionalFormatting sqref="Q36">
    <cfRule type="duplicateValues" dxfId="136" priority="61" stopIfTrue="1"/>
  </conditionalFormatting>
  <conditionalFormatting sqref="R36">
    <cfRule type="duplicateValues" dxfId="135" priority="60" stopIfTrue="1"/>
  </conditionalFormatting>
  <conditionalFormatting sqref="R36">
    <cfRule type="duplicateValues" dxfId="134" priority="59" stopIfTrue="1"/>
  </conditionalFormatting>
  <conditionalFormatting sqref="I11:J37 A40:C40 G40:N40 P40:XFD40">
    <cfRule type="cellIs" dxfId="133" priority="48" operator="equal">
      <formula>0</formula>
    </cfRule>
  </conditionalFormatting>
  <conditionalFormatting sqref="S35">
    <cfRule type="duplicateValues" dxfId="132" priority="12" stopIfTrue="1"/>
  </conditionalFormatting>
  <conditionalFormatting sqref="S35">
    <cfRule type="duplicateValues" dxfId="131" priority="11" stopIfTrue="1"/>
  </conditionalFormatting>
  <conditionalFormatting sqref="N37">
    <cfRule type="duplicateValues" dxfId="130" priority="183" stopIfTrue="1"/>
  </conditionalFormatting>
  <conditionalFormatting sqref="O37">
    <cfRule type="duplicateValues" dxfId="129" priority="185" stopIfTrue="1"/>
  </conditionalFormatting>
  <conditionalFormatting sqref="P37">
    <cfRule type="duplicateValues" dxfId="128" priority="187" stopIfTrue="1"/>
  </conditionalFormatting>
  <conditionalFormatting sqref="Q37">
    <cfRule type="duplicateValues" dxfId="127" priority="189" stopIfTrue="1"/>
  </conditionalFormatting>
  <conditionalFormatting sqref="R37">
    <cfRule type="duplicateValues" dxfId="126" priority="191" stopIfTrue="1"/>
  </conditionalFormatting>
  <conditionalFormatting sqref="K11">
    <cfRule type="cellIs" dxfId="125" priority="10" operator="equal">
      <formula>0</formula>
    </cfRule>
  </conditionalFormatting>
  <conditionalFormatting sqref="L11">
    <cfRule type="cellIs" dxfId="124" priority="9" operator="equal">
      <formula>0</formula>
    </cfRule>
  </conditionalFormatting>
  <conditionalFormatting sqref="P20">
    <cfRule type="cellIs" dxfId="123" priority="8" operator="equal">
      <formula>0</formula>
    </cfRule>
  </conditionalFormatting>
  <conditionalFormatting sqref="I41:J41">
    <cfRule type="cellIs" dxfId="122" priority="3" operator="equal">
      <formula>0</formula>
    </cfRule>
  </conditionalFormatting>
  <conditionalFormatting sqref="K41">
    <cfRule type="cellIs" dxfId="121" priority="2" operator="equal">
      <formula>0</formula>
    </cfRule>
  </conditionalFormatting>
  <conditionalFormatting sqref="L41">
    <cfRule type="cellIs" dxfId="120" priority="1" operator="equal">
      <formula>0</formula>
    </cfRule>
  </conditionalFormatting>
  <dataValidations count="14">
    <dataValidation type="list" allowBlank="1" showInputMessage="1" showErrorMessage="1" sqref="O20 P4" xr:uid="{00000000-0002-0000-0000-000000000000}">
      <formula1>"1,2,3"</formula1>
    </dataValidation>
    <dataValidation type="list" allowBlank="1" showInputMessage="1" showErrorMessage="1" sqref="B10" xr:uid="{00000000-0002-0000-0000-000001000000}">
      <formula1>奇穴1</formula1>
    </dataValidation>
    <dataValidation type="list" allowBlank="1" showInputMessage="1" showErrorMessage="1" sqref="C10" xr:uid="{00000000-0002-0000-0000-000002000000}">
      <formula1>奇穴2</formula1>
    </dataValidation>
    <dataValidation type="list" allowBlank="1" showInputMessage="1" showErrorMessage="1" sqref="D10" xr:uid="{00000000-0002-0000-0000-000003000000}">
      <formula1>奇穴3</formula1>
    </dataValidation>
    <dataValidation type="list" allowBlank="1" showInputMessage="1" showErrorMessage="1" sqref="M10" xr:uid="{00000000-0002-0000-0000-000004000000}">
      <formula1>奇穴12</formula1>
    </dataValidation>
    <dataValidation type="list" allowBlank="1" showInputMessage="1" showErrorMessage="1" sqref="L10" xr:uid="{00000000-0002-0000-0000-000005000000}">
      <formula1>奇穴11</formula1>
    </dataValidation>
    <dataValidation type="list" allowBlank="1" showInputMessage="1" showErrorMessage="1" sqref="K10" xr:uid="{00000000-0002-0000-0000-000006000000}">
      <formula1>奇穴10</formula1>
    </dataValidation>
    <dataValidation type="list" allowBlank="1" showInputMessage="1" showErrorMessage="1" sqref="J10" xr:uid="{00000000-0002-0000-0000-000007000000}">
      <formula1>奇穴9</formula1>
    </dataValidation>
    <dataValidation type="list" allowBlank="1" showInputMessage="1" showErrorMessage="1" sqref="I10" xr:uid="{00000000-0002-0000-0000-000008000000}">
      <formula1>奇穴8</formula1>
    </dataValidation>
    <dataValidation type="list" allowBlank="1" showInputMessage="1" showErrorMessage="1" sqref="H10" xr:uid="{00000000-0002-0000-0000-000009000000}">
      <formula1>奇穴7</formula1>
    </dataValidation>
    <dataValidation type="list" allowBlank="1" showInputMessage="1" showErrorMessage="1" sqref="G10" xr:uid="{00000000-0002-0000-0000-00000A000000}">
      <formula1>奇穴6</formula1>
    </dataValidation>
    <dataValidation type="list" allowBlank="1" showInputMessage="1" showErrorMessage="1" sqref="F10" xr:uid="{00000000-0002-0000-0000-00000B000000}">
      <formula1>奇穴5</formula1>
    </dataValidation>
    <dataValidation type="list" allowBlank="1" showInputMessage="1" showErrorMessage="1" sqref="E10" xr:uid="{00000000-0002-0000-0000-00000C000000}">
      <formula1>奇穴4</formula1>
    </dataValidation>
    <dataValidation type="list" allowBlank="1" showInputMessage="1" showErrorMessage="1" sqref="S9:S10 Y9" xr:uid="{00000000-0002-0000-0000-00000D000000}">
      <formula1>"1,2,3,4,5"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9" r:id="rId4" name="Check Box 65">
              <controlPr defaultSize="0" autoFill="0" autoLine="0" autoPict="0">
                <anchor moveWithCells="1">
                  <from>
                    <xdr:col>13</xdr:col>
                    <xdr:colOff>76200</xdr:colOff>
                    <xdr:row>3</xdr:row>
                    <xdr:rowOff>9525</xdr:rowOff>
                  </from>
                  <to>
                    <xdr:col>13</xdr:col>
                    <xdr:colOff>647700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5" name="Check Box 174">
              <controlPr defaultSize="0" autoFill="0" autoLine="0" autoPict="0">
                <anchor moveWithCells="1">
                  <from>
                    <xdr:col>13</xdr:col>
                    <xdr:colOff>76200</xdr:colOff>
                    <xdr:row>3</xdr:row>
                    <xdr:rowOff>200025</xdr:rowOff>
                  </from>
                  <to>
                    <xdr:col>14</xdr:col>
                    <xdr:colOff>276225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" name="Check Box 175">
              <controlPr defaultSize="0" autoFill="0" autoLine="0" autoPict="0">
                <anchor moveWithCells="1">
                  <from>
                    <xdr:col>13</xdr:col>
                    <xdr:colOff>76200</xdr:colOff>
                    <xdr:row>4</xdr:row>
                    <xdr:rowOff>200025</xdr:rowOff>
                  </from>
                  <to>
                    <xdr:col>14</xdr:col>
                    <xdr:colOff>276225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7" name="Check Box 176">
              <controlPr defaultSize="0" autoFill="0" autoLine="0" autoPict="0">
                <anchor moveWithCells="1">
                  <from>
                    <xdr:col>13</xdr:col>
                    <xdr:colOff>85725</xdr:colOff>
                    <xdr:row>6</xdr:row>
                    <xdr:rowOff>0</xdr:rowOff>
                  </from>
                  <to>
                    <xdr:col>14</xdr:col>
                    <xdr:colOff>295275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8" name="Check Box 178">
              <controlPr defaultSize="0" autoFill="0" autoLine="0" autoPict="0">
                <anchor moveWithCells="1">
                  <from>
                    <xdr:col>13</xdr:col>
                    <xdr:colOff>85725</xdr:colOff>
                    <xdr:row>6</xdr:row>
                    <xdr:rowOff>209550</xdr:rowOff>
                  </from>
                  <to>
                    <xdr:col>14</xdr:col>
                    <xdr:colOff>295275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9" name="Check Box 180">
              <controlPr defaultSize="0" autoFill="0" autoLine="0" autoPict="0">
                <anchor moveWithCells="1">
                  <from>
                    <xdr:col>16</xdr:col>
                    <xdr:colOff>28575</xdr:colOff>
                    <xdr:row>2</xdr:row>
                    <xdr:rowOff>171450</xdr:rowOff>
                  </from>
                  <to>
                    <xdr:col>17</xdr:col>
                    <xdr:colOff>104775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0" name="Check Box 181">
              <controlPr defaultSize="0" autoFill="0" autoLine="0" autoPict="0">
                <anchor moveWithCells="1">
                  <from>
                    <xdr:col>16</xdr:col>
                    <xdr:colOff>19050</xdr:colOff>
                    <xdr:row>3</xdr:row>
                    <xdr:rowOff>190500</xdr:rowOff>
                  </from>
                  <to>
                    <xdr:col>17</xdr:col>
                    <xdr:colOff>104775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" name="Check Box 182">
              <controlPr defaultSize="0" autoFill="0" autoLine="0" autoPict="0">
                <anchor moveWithCells="1">
                  <from>
                    <xdr:col>16</xdr:col>
                    <xdr:colOff>28575</xdr:colOff>
                    <xdr:row>5</xdr:row>
                    <xdr:rowOff>180975</xdr:rowOff>
                  </from>
                  <to>
                    <xdr:col>17</xdr:col>
                    <xdr:colOff>104775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2" name="Check Box 183">
              <controlPr defaultSize="0" autoFill="0" autoLine="0" autoPict="0">
                <anchor moveWithCells="1">
                  <from>
                    <xdr:col>16</xdr:col>
                    <xdr:colOff>28575</xdr:colOff>
                    <xdr:row>4</xdr:row>
                    <xdr:rowOff>180975</xdr:rowOff>
                  </from>
                  <to>
                    <xdr:col>17</xdr:col>
                    <xdr:colOff>104775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" name="Check Box 184">
              <controlPr defaultSize="0" autoFill="0" autoLine="0" autoPict="0">
                <anchor moveWithCells="1">
                  <from>
                    <xdr:col>19</xdr:col>
                    <xdr:colOff>114300</xdr:colOff>
                    <xdr:row>5</xdr:row>
                    <xdr:rowOff>200025</xdr:rowOff>
                  </from>
                  <to>
                    <xdr:col>20</xdr:col>
                    <xdr:colOff>238125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" name="Check Box 185">
              <controlPr defaultSize="0" autoFill="0" autoLine="0" autoPict="0">
                <anchor moveWithCells="1">
                  <from>
                    <xdr:col>16</xdr:col>
                    <xdr:colOff>19050</xdr:colOff>
                    <xdr:row>6</xdr:row>
                    <xdr:rowOff>190500</xdr:rowOff>
                  </from>
                  <to>
                    <xdr:col>17</xdr:col>
                    <xdr:colOff>104775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16</xdr:col>
                    <xdr:colOff>19050</xdr:colOff>
                    <xdr:row>7</xdr:row>
                    <xdr:rowOff>219075</xdr:rowOff>
                  </from>
                  <to>
                    <xdr:col>17</xdr:col>
                    <xdr:colOff>104775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6" name="Check Box 256">
              <controlPr defaultSize="0" autoFill="0" autoLine="0" autoPict="0">
                <anchor moveWithCells="1">
                  <from>
                    <xdr:col>13</xdr:col>
                    <xdr:colOff>76200</xdr:colOff>
                    <xdr:row>0</xdr:row>
                    <xdr:rowOff>200025</xdr:rowOff>
                  </from>
                  <to>
                    <xdr:col>14</xdr:col>
                    <xdr:colOff>276225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17" name="Check Box 2308">
              <controlPr defaultSize="0" autoFill="0" autoLine="0" autoPict="0">
                <anchor moveWithCells="1">
                  <from>
                    <xdr:col>19</xdr:col>
                    <xdr:colOff>123825</xdr:colOff>
                    <xdr:row>1</xdr:row>
                    <xdr:rowOff>219075</xdr:rowOff>
                  </from>
                  <to>
                    <xdr:col>20</xdr:col>
                    <xdr:colOff>314325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18" name="Check Box 2309">
              <controlPr defaultSize="0" autoFill="0" autoLine="0" autoPict="0">
                <anchor moveWithCells="1">
                  <from>
                    <xdr:col>19</xdr:col>
                    <xdr:colOff>123825</xdr:colOff>
                    <xdr:row>3</xdr:row>
                    <xdr:rowOff>19050</xdr:rowOff>
                  </from>
                  <to>
                    <xdr:col>20</xdr:col>
                    <xdr:colOff>314325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19" name="Check Box 2310">
              <controlPr defaultSize="0" autoFill="0" autoLine="0" autoPict="0">
                <anchor moveWithCells="1">
                  <from>
                    <xdr:col>19</xdr:col>
                    <xdr:colOff>114300</xdr:colOff>
                    <xdr:row>3</xdr:row>
                    <xdr:rowOff>219075</xdr:rowOff>
                  </from>
                  <to>
                    <xdr:col>20</xdr:col>
                    <xdr:colOff>304800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20" name="Check Box 2311">
              <controlPr defaultSize="0" autoFill="0" autoLine="0" autoPict="0">
                <anchor moveWithCells="1">
                  <from>
                    <xdr:col>19</xdr:col>
                    <xdr:colOff>123825</xdr:colOff>
                    <xdr:row>5</xdr:row>
                    <xdr:rowOff>0</xdr:rowOff>
                  </from>
                  <to>
                    <xdr:col>20</xdr:col>
                    <xdr:colOff>314325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21" name="Check Box 2329">
              <controlPr defaultSize="0" autoFill="0" autoLine="0" autoPict="0">
                <anchor moveWithCells="1">
                  <from>
                    <xdr:col>19</xdr:col>
                    <xdr:colOff>114300</xdr:colOff>
                    <xdr:row>7</xdr:row>
                    <xdr:rowOff>9525</xdr:rowOff>
                  </from>
                  <to>
                    <xdr:col>20</xdr:col>
                    <xdr:colOff>304800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22" name="Check Box 2330">
              <controlPr defaultSize="0" autoFill="0" autoLine="0" autoPict="0">
                <anchor moveWithCells="1">
                  <from>
                    <xdr:col>19</xdr:col>
                    <xdr:colOff>114300</xdr:colOff>
                    <xdr:row>7</xdr:row>
                    <xdr:rowOff>200025</xdr:rowOff>
                  </from>
                  <to>
                    <xdr:col>20</xdr:col>
                    <xdr:colOff>304800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23" name="Check Box 2331">
              <controlPr defaultSize="0" autoFill="0" autoLine="0" autoPict="0">
                <anchor moveWithCells="1">
                  <from>
                    <xdr:col>19</xdr:col>
                    <xdr:colOff>114300</xdr:colOff>
                    <xdr:row>8</xdr:row>
                    <xdr:rowOff>209550</xdr:rowOff>
                  </from>
                  <to>
                    <xdr:col>20</xdr:col>
                    <xdr:colOff>304800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24" name="Check Box 2348">
              <controlPr defaultSize="0" autoFill="0" autoLine="0" autoPict="0">
                <anchor moveWithCells="1">
                  <from>
                    <xdr:col>22</xdr:col>
                    <xdr:colOff>9525</xdr:colOff>
                    <xdr:row>7</xdr:row>
                    <xdr:rowOff>0</xdr:rowOff>
                  </from>
                  <to>
                    <xdr:col>23</xdr:col>
                    <xdr:colOff>304800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25" name="Check Box 2349">
              <controlPr defaultSize="0" autoFill="0" autoLine="0" autoPict="0">
                <anchor moveWithCells="1">
                  <from>
                    <xdr:col>22</xdr:col>
                    <xdr:colOff>9525</xdr:colOff>
                    <xdr:row>8</xdr:row>
                    <xdr:rowOff>38100</xdr:rowOff>
                  </from>
                  <to>
                    <xdr:col>23</xdr:col>
                    <xdr:colOff>304800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26" name="Check Box 2351">
              <controlPr defaultSize="0" autoFill="0" autoLine="0" autoPict="0">
                <anchor moveWithCells="1">
                  <from>
                    <xdr:col>19</xdr:col>
                    <xdr:colOff>114300</xdr:colOff>
                    <xdr:row>0</xdr:row>
                    <xdr:rowOff>200025</xdr:rowOff>
                  </from>
                  <to>
                    <xdr:col>20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27" name="Check Box 2381">
              <controlPr defaultSize="0" autoFill="0" autoLine="0" autoPict="0">
                <anchor moveWithCells="1">
                  <from>
                    <xdr:col>13</xdr:col>
                    <xdr:colOff>123825</xdr:colOff>
                    <xdr:row>14</xdr:row>
                    <xdr:rowOff>200025</xdr:rowOff>
                  </from>
                  <to>
                    <xdr:col>14</xdr:col>
                    <xdr:colOff>38100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28" name="Check Box 2382">
              <controlPr defaultSize="0" autoFill="0" autoLine="0" autoPict="0">
                <anchor moveWithCells="1">
                  <from>
                    <xdr:col>14</xdr:col>
                    <xdr:colOff>38100</xdr:colOff>
                    <xdr:row>14</xdr:row>
                    <xdr:rowOff>209550</xdr:rowOff>
                  </from>
                  <to>
                    <xdr:col>14</xdr:col>
                    <xdr:colOff>657225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29" name="Check Box 2383">
              <controlPr defaultSize="0" autoFill="0" autoLine="0" autoPict="0">
                <anchor moveWithCells="1">
                  <from>
                    <xdr:col>14</xdr:col>
                    <xdr:colOff>657225</xdr:colOff>
                    <xdr:row>14</xdr:row>
                    <xdr:rowOff>200025</xdr:rowOff>
                  </from>
                  <to>
                    <xdr:col>15</xdr:col>
                    <xdr:colOff>95250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30" name="Check Box 2384">
              <controlPr defaultSize="0" autoFill="0" autoLine="0" autoPict="0">
                <anchor moveWithCells="1">
                  <from>
                    <xdr:col>15</xdr:col>
                    <xdr:colOff>276225</xdr:colOff>
                    <xdr:row>14</xdr:row>
                    <xdr:rowOff>200025</xdr:rowOff>
                  </from>
                  <to>
                    <xdr:col>16</xdr:col>
                    <xdr:colOff>142875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31" name="Check Box 2385">
              <controlPr defaultSize="0" autoFill="0" autoLine="0" autoPict="0">
                <anchor moveWithCells="1">
                  <from>
                    <xdr:col>16</xdr:col>
                    <xdr:colOff>228600</xdr:colOff>
                    <xdr:row>14</xdr:row>
                    <xdr:rowOff>200025</xdr:rowOff>
                  </from>
                  <to>
                    <xdr:col>17</xdr:col>
                    <xdr:colOff>28575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32" name="Check Box 2386">
              <controlPr defaultSize="0" autoFill="0" autoLine="0" autoPict="0">
                <anchor moveWithCells="1">
                  <from>
                    <xdr:col>17</xdr:col>
                    <xdr:colOff>161925</xdr:colOff>
                    <xdr:row>14</xdr:row>
                    <xdr:rowOff>200025</xdr:rowOff>
                  </from>
                  <to>
                    <xdr:col>17</xdr:col>
                    <xdr:colOff>781050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33" name="Check Box 2387">
              <controlPr defaultSize="0" autoFill="0" autoLine="0" autoPict="0">
                <anchor moveWithCells="1">
                  <from>
                    <xdr:col>13</xdr:col>
                    <xdr:colOff>85725</xdr:colOff>
                    <xdr:row>16</xdr:row>
                    <xdr:rowOff>133350</xdr:rowOff>
                  </from>
                  <to>
                    <xdr:col>14</xdr:col>
                    <xdr:colOff>85725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34" name="Check Box 2388">
              <controlPr defaultSize="0" autoFill="0" autoLine="0" autoPict="0">
                <anchor moveWithCells="1">
                  <from>
                    <xdr:col>14</xdr:col>
                    <xdr:colOff>161925</xdr:colOff>
                    <xdr:row>16</xdr:row>
                    <xdr:rowOff>142875</xdr:rowOff>
                  </from>
                  <to>
                    <xdr:col>14</xdr:col>
                    <xdr:colOff>1038225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35" name="Check Box 2389">
              <controlPr defaultSize="0" autoFill="0" autoLine="0" autoPict="0">
                <anchor moveWithCells="1">
                  <from>
                    <xdr:col>15</xdr:col>
                    <xdr:colOff>38100</xdr:colOff>
                    <xdr:row>16</xdr:row>
                    <xdr:rowOff>133350</xdr:rowOff>
                  </from>
                  <to>
                    <xdr:col>15</xdr:col>
                    <xdr:colOff>647700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36" name="Check Box 2390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133350</xdr:rowOff>
                  </from>
                  <to>
                    <xdr:col>16</xdr:col>
                    <xdr:colOff>790575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37" name="Check Box 2392">
              <controlPr defaultSize="0" autoFill="0" autoLine="0" autoPict="0">
                <anchor moveWithCells="1">
                  <from>
                    <xdr:col>17</xdr:col>
                    <xdr:colOff>104775</xdr:colOff>
                    <xdr:row>16</xdr:row>
                    <xdr:rowOff>133350</xdr:rowOff>
                  </from>
                  <to>
                    <xdr:col>17</xdr:col>
                    <xdr:colOff>809625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38" name="Check Box 2393">
              <controlPr defaultSize="0" autoFill="0" autoLine="0" autoPict="0">
                <anchor moveWithCells="1">
                  <from>
                    <xdr:col>13</xdr:col>
                    <xdr:colOff>66675</xdr:colOff>
                    <xdr:row>20</xdr:row>
                    <xdr:rowOff>190500</xdr:rowOff>
                  </from>
                  <to>
                    <xdr:col>13</xdr:col>
                    <xdr:colOff>666750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39" name="Check Box 2394">
              <controlPr defaultSize="0" autoFill="0" autoLine="0" autoPict="0">
                <anchor moveWithCells="1">
                  <from>
                    <xdr:col>13</xdr:col>
                    <xdr:colOff>628650</xdr:colOff>
                    <xdr:row>20</xdr:row>
                    <xdr:rowOff>200025</xdr:rowOff>
                  </from>
                  <to>
                    <xdr:col>14</xdr:col>
                    <xdr:colOff>514350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40" name="Check Box 2395">
              <controlPr defaultSize="0" autoFill="0" autoLine="0" autoPict="0">
                <anchor moveWithCells="1">
                  <from>
                    <xdr:col>14</xdr:col>
                    <xdr:colOff>504825</xdr:colOff>
                    <xdr:row>20</xdr:row>
                    <xdr:rowOff>171450</xdr:rowOff>
                  </from>
                  <to>
                    <xdr:col>14</xdr:col>
                    <xdr:colOff>1028700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41" name="Check Box 2396">
              <controlPr defaultSize="0" autoFill="0" autoLine="0" autoPict="0">
                <anchor moveWithCells="1">
                  <from>
                    <xdr:col>15</xdr:col>
                    <xdr:colOff>76200</xdr:colOff>
                    <xdr:row>20</xdr:row>
                    <xdr:rowOff>190500</xdr:rowOff>
                  </from>
                  <to>
                    <xdr:col>15</xdr:col>
                    <xdr:colOff>666750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42" name="Check Box 2397">
              <controlPr defaultSize="0" autoFill="0" autoLine="0" autoPict="0">
                <anchor moveWithCells="1">
                  <from>
                    <xdr:col>15</xdr:col>
                    <xdr:colOff>733425</xdr:colOff>
                    <xdr:row>20</xdr:row>
                    <xdr:rowOff>190500</xdr:rowOff>
                  </from>
                  <to>
                    <xdr:col>16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43" name="Check Box 2398">
              <controlPr defaultSize="0" autoFill="0" autoLine="0" autoPict="0">
                <anchor moveWithCells="1">
                  <from>
                    <xdr:col>16</xdr:col>
                    <xdr:colOff>666750</xdr:colOff>
                    <xdr:row>20</xdr:row>
                    <xdr:rowOff>180975</xdr:rowOff>
                  </from>
                  <to>
                    <xdr:col>17</xdr:col>
                    <xdr:colOff>428625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44" name="Check Box 2399">
              <controlPr defaultSize="0" autoFill="0" autoLine="0" autoPict="0">
                <anchor moveWithCells="1">
                  <from>
                    <xdr:col>17</xdr:col>
                    <xdr:colOff>504825</xdr:colOff>
                    <xdr:row>20</xdr:row>
                    <xdr:rowOff>180975</xdr:rowOff>
                  </from>
                  <to>
                    <xdr:col>18</xdr:col>
                    <xdr:colOff>571500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45" name="Check Box 2400">
              <controlPr defaultSize="0" autoFill="0" autoLine="0" autoPict="0">
                <anchor moveWithCells="1">
                  <from>
                    <xdr:col>14</xdr:col>
                    <xdr:colOff>895350</xdr:colOff>
                    <xdr:row>22</xdr:row>
                    <xdr:rowOff>190500</xdr:rowOff>
                  </from>
                  <to>
                    <xdr:col>15</xdr:col>
                    <xdr:colOff>409575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46" name="Check Box 2401">
              <controlPr defaultSize="0" autoFill="0" autoLine="0" autoPict="0">
                <anchor moveWithCells="1">
                  <from>
                    <xdr:col>17</xdr:col>
                    <xdr:colOff>323850</xdr:colOff>
                    <xdr:row>22</xdr:row>
                    <xdr:rowOff>190500</xdr:rowOff>
                  </from>
                  <to>
                    <xdr:col>17</xdr:col>
                    <xdr:colOff>942975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47" name="Check Box 2402">
              <controlPr defaultSize="0" autoFill="0" autoLine="0" autoPict="0">
                <anchor moveWithCells="1">
                  <from>
                    <xdr:col>13</xdr:col>
                    <xdr:colOff>85725</xdr:colOff>
                    <xdr:row>22</xdr:row>
                    <xdr:rowOff>200025</xdr:rowOff>
                  </from>
                  <to>
                    <xdr:col>13</xdr:col>
                    <xdr:colOff>628650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48" name="Check Box 2403">
              <controlPr defaultSize="0" autoFill="0" autoLine="0" autoPict="0">
                <anchor moveWithCells="1">
                  <from>
                    <xdr:col>14</xdr:col>
                    <xdr:colOff>142875</xdr:colOff>
                    <xdr:row>22</xdr:row>
                    <xdr:rowOff>200025</xdr:rowOff>
                  </from>
                  <to>
                    <xdr:col>14</xdr:col>
                    <xdr:colOff>762000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49" name="Check Box 2404">
              <controlPr defaultSize="0" autoFill="0" autoLine="0" autoPict="0">
                <anchor moveWithCells="1">
                  <from>
                    <xdr:col>15</xdr:col>
                    <xdr:colOff>504825</xdr:colOff>
                    <xdr:row>22</xdr:row>
                    <xdr:rowOff>190500</xdr:rowOff>
                  </from>
                  <to>
                    <xdr:col>16</xdr:col>
                    <xdr:colOff>371475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50" name="Check Box 2405">
              <controlPr defaultSize="0" autoFill="0" autoLine="0" autoPict="0">
                <anchor moveWithCells="1">
                  <from>
                    <xdr:col>16</xdr:col>
                    <xdr:colOff>447675</xdr:colOff>
                    <xdr:row>22</xdr:row>
                    <xdr:rowOff>190500</xdr:rowOff>
                  </from>
                  <to>
                    <xdr:col>17</xdr:col>
                    <xdr:colOff>238125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51" name="Check Box 2406">
              <controlPr defaultSize="0" autoFill="0" autoLine="0" autoPict="0">
                <anchor moveWithCells="1">
                  <from>
                    <xdr:col>13</xdr:col>
                    <xdr:colOff>123825</xdr:colOff>
                    <xdr:row>24</xdr:row>
                    <xdr:rowOff>190500</xdr:rowOff>
                  </from>
                  <to>
                    <xdr:col>14</xdr:col>
                    <xdr:colOff>47625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52" name="Check Box 2407">
              <controlPr defaultSize="0" autoFill="0" autoLine="0" autoPict="0">
                <anchor moveWithCells="1">
                  <from>
                    <xdr:col>14</xdr:col>
                    <xdr:colOff>38100</xdr:colOff>
                    <xdr:row>24</xdr:row>
                    <xdr:rowOff>200025</xdr:rowOff>
                  </from>
                  <to>
                    <xdr:col>14</xdr:col>
                    <xdr:colOff>666750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53" name="Check Box 2408">
              <controlPr defaultSize="0" autoFill="0" autoLine="0" autoPict="0">
                <anchor moveWithCells="1">
                  <from>
                    <xdr:col>14</xdr:col>
                    <xdr:colOff>666750</xdr:colOff>
                    <xdr:row>24</xdr:row>
                    <xdr:rowOff>190500</xdr:rowOff>
                  </from>
                  <to>
                    <xdr:col>15</xdr:col>
                    <xdr:colOff>104775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54" name="Check Box 2409">
              <controlPr defaultSize="0" autoFill="0" autoLine="0" autoPict="0">
                <anchor moveWithCells="1">
                  <from>
                    <xdr:col>15</xdr:col>
                    <xdr:colOff>276225</xdr:colOff>
                    <xdr:row>24</xdr:row>
                    <xdr:rowOff>190500</xdr:rowOff>
                  </from>
                  <to>
                    <xdr:col>16</xdr:col>
                    <xdr:colOff>152400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55" name="Check Box 2410">
              <controlPr defaultSize="0" autoFill="0" autoLine="0" autoPict="0">
                <anchor moveWithCells="1">
                  <from>
                    <xdr:col>16</xdr:col>
                    <xdr:colOff>238125</xdr:colOff>
                    <xdr:row>24</xdr:row>
                    <xdr:rowOff>190500</xdr:rowOff>
                  </from>
                  <to>
                    <xdr:col>17</xdr:col>
                    <xdr:colOff>28575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56" name="Check Box 2411">
              <controlPr defaultSize="0" autoFill="0" autoLine="0" autoPict="0">
                <anchor moveWithCells="1">
                  <from>
                    <xdr:col>17</xdr:col>
                    <xdr:colOff>161925</xdr:colOff>
                    <xdr:row>24</xdr:row>
                    <xdr:rowOff>190500</xdr:rowOff>
                  </from>
                  <to>
                    <xdr:col>17</xdr:col>
                    <xdr:colOff>790575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57" name="Check Box 2412">
              <controlPr defaultSize="0" autoFill="0" autoLine="0" autoPict="0">
                <anchor moveWithCells="1">
                  <from>
                    <xdr:col>14</xdr:col>
                    <xdr:colOff>866775</xdr:colOff>
                    <xdr:row>26</xdr:row>
                    <xdr:rowOff>200025</xdr:rowOff>
                  </from>
                  <to>
                    <xdr:col>15</xdr:col>
                    <xdr:colOff>381000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58" name="Check Box 2413">
              <controlPr defaultSize="0" autoFill="0" autoLine="0" autoPict="0">
                <anchor moveWithCells="1">
                  <from>
                    <xdr:col>17</xdr:col>
                    <xdr:colOff>295275</xdr:colOff>
                    <xdr:row>26</xdr:row>
                    <xdr:rowOff>200025</xdr:rowOff>
                  </from>
                  <to>
                    <xdr:col>17</xdr:col>
                    <xdr:colOff>914400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59" name="Check Box 2414">
              <controlPr defaultSize="0" autoFill="0" autoLine="0" autoPict="0">
                <anchor moveWithCells="1">
                  <from>
                    <xdr:col>13</xdr:col>
                    <xdr:colOff>57150</xdr:colOff>
                    <xdr:row>27</xdr:row>
                    <xdr:rowOff>0</xdr:rowOff>
                  </from>
                  <to>
                    <xdr:col>13</xdr:col>
                    <xdr:colOff>600075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60" name="Check Box 2415">
              <controlPr defaultSize="0" autoFill="0" autoLine="0" autoPict="0">
                <anchor moveWithCells="1">
                  <from>
                    <xdr:col>14</xdr:col>
                    <xdr:colOff>114300</xdr:colOff>
                    <xdr:row>27</xdr:row>
                    <xdr:rowOff>0</xdr:rowOff>
                  </from>
                  <to>
                    <xdr:col>14</xdr:col>
                    <xdr:colOff>733425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61" name="Check Box 2416">
              <controlPr defaultSize="0" autoFill="0" autoLine="0" autoPict="0">
                <anchor moveWithCells="1">
                  <from>
                    <xdr:col>15</xdr:col>
                    <xdr:colOff>476250</xdr:colOff>
                    <xdr:row>26</xdr:row>
                    <xdr:rowOff>200025</xdr:rowOff>
                  </from>
                  <to>
                    <xdr:col>16</xdr:col>
                    <xdr:colOff>352425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62" name="Check Box 2417">
              <controlPr defaultSize="0" autoFill="0" autoLine="0" autoPict="0">
                <anchor moveWithCells="1">
                  <from>
                    <xdr:col>16</xdr:col>
                    <xdr:colOff>419100</xdr:colOff>
                    <xdr:row>26</xdr:row>
                    <xdr:rowOff>200025</xdr:rowOff>
                  </from>
                  <to>
                    <xdr:col>17</xdr:col>
                    <xdr:colOff>209550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63" name="Check Box 2418">
              <controlPr defaultSize="0" autoFill="0" autoLine="0" autoPict="0">
                <anchor moveWithCells="1">
                  <from>
                    <xdr:col>13</xdr:col>
                    <xdr:colOff>66675</xdr:colOff>
                    <xdr:row>28</xdr:row>
                    <xdr:rowOff>190500</xdr:rowOff>
                  </from>
                  <to>
                    <xdr:col>13</xdr:col>
                    <xdr:colOff>704850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64" name="Check Box 2419">
              <controlPr defaultSize="0" autoFill="0" autoLine="0" autoPict="0">
                <anchor moveWithCells="1">
                  <from>
                    <xdr:col>13</xdr:col>
                    <xdr:colOff>704850</xdr:colOff>
                    <xdr:row>28</xdr:row>
                    <xdr:rowOff>200025</xdr:rowOff>
                  </from>
                  <to>
                    <xdr:col>14</xdr:col>
                    <xdr:colOff>628650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65" name="Check Box 2420">
              <controlPr defaultSize="0" autoFill="0" autoLine="0" autoPict="0">
                <anchor moveWithCells="1">
                  <from>
                    <xdr:col>14</xdr:col>
                    <xdr:colOff>628650</xdr:colOff>
                    <xdr:row>28</xdr:row>
                    <xdr:rowOff>190500</xdr:rowOff>
                  </from>
                  <to>
                    <xdr:col>15</xdr:col>
                    <xdr:colOff>304800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66" name="Check Box 2421">
              <controlPr defaultSize="0" autoFill="0" autoLine="0" autoPict="0">
                <anchor moveWithCells="1">
                  <from>
                    <xdr:col>15</xdr:col>
                    <xdr:colOff>257175</xdr:colOff>
                    <xdr:row>28</xdr:row>
                    <xdr:rowOff>190500</xdr:rowOff>
                  </from>
                  <to>
                    <xdr:col>16</xdr:col>
                    <xdr:colOff>142875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67" name="Check Box 2424">
              <controlPr defaultSize="0" autoFill="0" autoLine="0" autoPict="0">
                <anchor moveWithCells="1">
                  <from>
                    <xdr:col>16</xdr:col>
                    <xdr:colOff>476250</xdr:colOff>
                    <xdr:row>30</xdr:row>
                    <xdr:rowOff>180975</xdr:rowOff>
                  </from>
                  <to>
                    <xdr:col>18</xdr:col>
                    <xdr:colOff>247650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68" name="Check Box 2425">
              <controlPr defaultSize="0" autoFill="0" autoLine="0" autoPict="0">
                <anchor moveWithCells="1">
                  <from>
                    <xdr:col>15</xdr:col>
                    <xdr:colOff>514350</xdr:colOff>
                    <xdr:row>30</xdr:row>
                    <xdr:rowOff>190500</xdr:rowOff>
                  </from>
                  <to>
                    <xdr:col>16</xdr:col>
                    <xdr:colOff>381000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69" name="Check Box 2426">
              <controlPr defaultSize="0" autoFill="0" autoLine="0" autoPict="0">
                <anchor moveWithCells="1">
                  <from>
                    <xdr:col>13</xdr:col>
                    <xdr:colOff>104775</xdr:colOff>
                    <xdr:row>30</xdr:row>
                    <xdr:rowOff>190500</xdr:rowOff>
                  </from>
                  <to>
                    <xdr:col>13</xdr:col>
                    <xdr:colOff>638175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70" name="Check Box 2427">
              <controlPr defaultSize="0" autoFill="0" autoLine="0" autoPict="0">
                <anchor moveWithCells="1">
                  <from>
                    <xdr:col>14</xdr:col>
                    <xdr:colOff>152400</xdr:colOff>
                    <xdr:row>30</xdr:row>
                    <xdr:rowOff>190500</xdr:rowOff>
                  </from>
                  <to>
                    <xdr:col>14</xdr:col>
                    <xdr:colOff>771525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71" name="Check Box 2429">
              <controlPr defaultSize="0" autoFill="0" autoLine="0" autoPict="0">
                <anchor moveWithCells="1">
                  <from>
                    <xdr:col>14</xdr:col>
                    <xdr:colOff>904875</xdr:colOff>
                    <xdr:row>30</xdr:row>
                    <xdr:rowOff>190500</xdr:rowOff>
                  </from>
                  <to>
                    <xdr:col>15</xdr:col>
                    <xdr:colOff>419100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72" name="Check Box 2430">
              <controlPr defaultSize="0" autoFill="0" autoLine="0" autoPict="0">
                <anchor moveWithCells="1">
                  <from>
                    <xdr:col>13</xdr:col>
                    <xdr:colOff>104775</xdr:colOff>
                    <xdr:row>32</xdr:row>
                    <xdr:rowOff>190500</xdr:rowOff>
                  </from>
                  <to>
                    <xdr:col>14</xdr:col>
                    <xdr:colOff>38100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73" name="Check Box 2431">
              <controlPr defaultSize="0" autoFill="0" autoLine="0" autoPict="0">
                <anchor moveWithCells="1">
                  <from>
                    <xdr:col>14</xdr:col>
                    <xdr:colOff>38100</xdr:colOff>
                    <xdr:row>32</xdr:row>
                    <xdr:rowOff>200025</xdr:rowOff>
                  </from>
                  <to>
                    <xdr:col>14</xdr:col>
                    <xdr:colOff>676275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74" name="Check Box 2432">
              <controlPr defaultSize="0" autoFill="0" autoLine="0" autoPict="0">
                <anchor moveWithCells="1">
                  <from>
                    <xdr:col>14</xdr:col>
                    <xdr:colOff>666750</xdr:colOff>
                    <xdr:row>32</xdr:row>
                    <xdr:rowOff>190500</xdr:rowOff>
                  </from>
                  <to>
                    <xdr:col>15</xdr:col>
                    <xdr:colOff>342900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75" name="Check Box 2433">
              <controlPr defaultSize="0" autoFill="0" autoLine="0" autoPict="0">
                <anchor moveWithCells="1">
                  <from>
                    <xdr:col>15</xdr:col>
                    <xdr:colOff>200025</xdr:colOff>
                    <xdr:row>32</xdr:row>
                    <xdr:rowOff>200025</xdr:rowOff>
                  </from>
                  <to>
                    <xdr:col>17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76" name="Check Box 2434">
              <controlPr defaultSize="0" autoFill="0" autoLine="0" autoPict="0">
                <anchor moveWithCells="1">
                  <from>
                    <xdr:col>13</xdr:col>
                    <xdr:colOff>85725</xdr:colOff>
                    <xdr:row>34</xdr:row>
                    <xdr:rowOff>200025</xdr:rowOff>
                  </from>
                  <to>
                    <xdr:col>13</xdr:col>
                    <xdr:colOff>695325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77" name="Check Box 2435">
              <controlPr defaultSize="0" autoFill="0" autoLine="0" autoPict="0">
                <anchor moveWithCells="1">
                  <from>
                    <xdr:col>14</xdr:col>
                    <xdr:colOff>38100</xdr:colOff>
                    <xdr:row>35</xdr:row>
                    <xdr:rowOff>0</xdr:rowOff>
                  </from>
                  <to>
                    <xdr:col>14</xdr:col>
                    <xdr:colOff>647700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78" name="Check Box 2436">
              <controlPr defaultSize="0" autoFill="0" autoLine="0" autoPict="0">
                <anchor moveWithCells="1">
                  <from>
                    <xdr:col>14</xdr:col>
                    <xdr:colOff>676275</xdr:colOff>
                    <xdr:row>34</xdr:row>
                    <xdr:rowOff>180975</xdr:rowOff>
                  </from>
                  <to>
                    <xdr:col>15</xdr:col>
                    <xdr:colOff>628650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79" name="Check Box 2437">
              <controlPr defaultSize="0" autoFill="0" autoLine="0" autoPict="0">
                <anchor moveWithCells="1">
                  <from>
                    <xdr:col>15</xdr:col>
                    <xdr:colOff>552450</xdr:colOff>
                    <xdr:row>34</xdr:row>
                    <xdr:rowOff>152400</xdr:rowOff>
                  </from>
                  <to>
                    <xdr:col>17</xdr:col>
                    <xdr:colOff>904875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80" name="Check Box 2438">
              <controlPr defaultSize="0" autoFill="0" autoLine="0" autoPict="0">
                <anchor moveWithCells="1">
                  <from>
                    <xdr:col>13</xdr:col>
                    <xdr:colOff>142875</xdr:colOff>
                    <xdr:row>35</xdr:row>
                    <xdr:rowOff>200025</xdr:rowOff>
                  </from>
                  <to>
                    <xdr:col>14</xdr:col>
                    <xdr:colOff>38100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81" name="Check Box 2439">
              <controlPr defaultSize="0" autoFill="0" autoLine="0" autoPict="0">
                <anchor moveWithCells="1">
                  <from>
                    <xdr:col>14</xdr:col>
                    <xdr:colOff>276225</xdr:colOff>
                    <xdr:row>35</xdr:row>
                    <xdr:rowOff>200025</xdr:rowOff>
                  </from>
                  <to>
                    <xdr:col>14</xdr:col>
                    <xdr:colOff>876300</xdr:colOff>
                    <xdr:row>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82" name="Check Box 2440">
              <controlPr defaultSize="0" autoFill="0" autoLine="0" autoPict="0">
                <anchor moveWithCells="1">
                  <from>
                    <xdr:col>15</xdr:col>
                    <xdr:colOff>57150</xdr:colOff>
                    <xdr:row>35</xdr:row>
                    <xdr:rowOff>180975</xdr:rowOff>
                  </from>
                  <to>
                    <xdr:col>17</xdr:col>
                    <xdr:colOff>742950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83" name="Check Box 2445">
              <controlPr defaultSize="0" autoFill="0" autoLine="0" autoPict="0">
                <anchor moveWithCells="1">
                  <from>
                    <xdr:col>13</xdr:col>
                    <xdr:colOff>66675</xdr:colOff>
                    <xdr:row>1</xdr:row>
                    <xdr:rowOff>190500</xdr:rowOff>
                  </from>
                  <to>
                    <xdr:col>14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84" name="Check Box 2448">
              <controlPr defaultSize="0" autoFill="0" autoLine="0" autoPict="0">
                <anchor moveWithCells="1">
                  <from>
                    <xdr:col>16</xdr:col>
                    <xdr:colOff>38100</xdr:colOff>
                    <xdr:row>1</xdr:row>
                    <xdr:rowOff>190500</xdr:rowOff>
                  </from>
                  <to>
                    <xdr:col>17</xdr:col>
                    <xdr:colOff>171450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85" name="Check Box 2454">
              <controlPr defaultSize="0" autoFill="0" autoLine="0" autoPict="0">
                <anchor moveWithCells="1">
                  <from>
                    <xdr:col>22</xdr:col>
                    <xdr:colOff>19050</xdr:colOff>
                    <xdr:row>4</xdr:row>
                    <xdr:rowOff>190500</xdr:rowOff>
                  </from>
                  <to>
                    <xdr:col>23</xdr:col>
                    <xdr:colOff>314325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86" name="Check Box 2455">
              <controlPr defaultSize="0" autoFill="0" autoLine="0" autoPict="0">
                <anchor moveWithCells="1">
                  <from>
                    <xdr:col>22</xdr:col>
                    <xdr:colOff>28575</xdr:colOff>
                    <xdr:row>5</xdr:row>
                    <xdr:rowOff>190500</xdr:rowOff>
                  </from>
                  <to>
                    <xdr:col>23</xdr:col>
                    <xdr:colOff>323850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87" name="Check Box 2456">
              <controlPr defaultSize="0" autoFill="0" autoLine="0" autoPict="0">
                <anchor moveWithCells="1">
                  <from>
                    <xdr:col>22</xdr:col>
                    <xdr:colOff>19050</xdr:colOff>
                    <xdr:row>0</xdr:row>
                    <xdr:rowOff>190500</xdr:rowOff>
                  </from>
                  <to>
                    <xdr:col>23</xdr:col>
                    <xdr:colOff>314325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88" name="Check Box 2457">
              <controlPr defaultSize="0" autoFill="0" autoLine="0" autoPict="0">
                <anchor moveWithCells="1">
                  <from>
                    <xdr:col>22</xdr:col>
                    <xdr:colOff>28575</xdr:colOff>
                    <xdr:row>1</xdr:row>
                    <xdr:rowOff>200025</xdr:rowOff>
                  </from>
                  <to>
                    <xdr:col>23</xdr:col>
                    <xdr:colOff>323850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89" name="Check Box 2458">
              <controlPr defaultSize="0" autoFill="0" autoLine="0" autoPict="0">
                <anchor moveWithCells="1">
                  <from>
                    <xdr:col>12</xdr:col>
                    <xdr:colOff>57150</xdr:colOff>
                    <xdr:row>0</xdr:row>
                    <xdr:rowOff>57150</xdr:rowOff>
                  </from>
                  <to>
                    <xdr:col>12</xdr:col>
                    <xdr:colOff>866775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90" name="Check Box 2460">
              <controlPr defaultSize="0" autoFill="0" autoLine="0" autoPict="0">
                <anchor moveWithCells="1">
                  <from>
                    <xdr:col>13</xdr:col>
                    <xdr:colOff>95250</xdr:colOff>
                    <xdr:row>7</xdr:row>
                    <xdr:rowOff>219075</xdr:rowOff>
                  </from>
                  <to>
                    <xdr:col>14</xdr:col>
                    <xdr:colOff>228600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G33"/>
  <sheetViews>
    <sheetView workbookViewId="0">
      <selection activeCell="D8" sqref="D8"/>
    </sheetView>
  </sheetViews>
  <sheetFormatPr defaultRowHeight="16.5"/>
  <cols>
    <col min="1" max="1" width="9" style="13"/>
  </cols>
  <sheetData>
    <row r="1" spans="1:7" ht="18.75">
      <c r="A1" s="13" t="s">
        <v>122</v>
      </c>
      <c r="B1" s="17" t="s">
        <v>195</v>
      </c>
      <c r="C1" t="s">
        <v>285</v>
      </c>
      <c r="D1">
        <v>102</v>
      </c>
      <c r="E1">
        <v>103</v>
      </c>
      <c r="F1">
        <v>104</v>
      </c>
      <c r="G1" s="137" t="s">
        <v>368</v>
      </c>
    </row>
    <row r="2" spans="1:7" ht="18.75">
      <c r="A2" s="13" t="s">
        <v>65</v>
      </c>
      <c r="B2" s="17" t="s">
        <v>508</v>
      </c>
      <c r="C2" t="s">
        <v>111</v>
      </c>
      <c r="D2" s="113">
        <v>1.05</v>
      </c>
      <c r="E2" s="113">
        <v>1.1000000000000001</v>
      </c>
      <c r="F2" s="113">
        <v>1.1499999999999999</v>
      </c>
      <c r="G2" s="137" t="s">
        <v>135</v>
      </c>
    </row>
    <row r="3" spans="1:7" ht="18.75">
      <c r="A3" s="13" t="s">
        <v>67</v>
      </c>
      <c r="B3" s="17" t="s">
        <v>197</v>
      </c>
      <c r="C3" t="s">
        <v>286</v>
      </c>
      <c r="D3">
        <v>2818</v>
      </c>
      <c r="E3">
        <v>4959</v>
      </c>
      <c r="F3">
        <v>6643</v>
      </c>
      <c r="G3" s="137" t="s">
        <v>136</v>
      </c>
    </row>
    <row r="4" spans="1:7" ht="18.75">
      <c r="A4" s="13" t="s">
        <v>69</v>
      </c>
      <c r="B4" s="17" t="s">
        <v>198</v>
      </c>
      <c r="C4" t="s">
        <v>287</v>
      </c>
      <c r="D4" s="113">
        <v>0.25</v>
      </c>
      <c r="E4" s="113">
        <v>0.35</v>
      </c>
      <c r="F4" s="113">
        <v>0.4</v>
      </c>
      <c r="G4" s="137" t="s">
        <v>134</v>
      </c>
    </row>
    <row r="5" spans="1:7" ht="18.75">
      <c r="A5" s="13" t="s">
        <v>71</v>
      </c>
      <c r="B5" s="17" t="s">
        <v>200</v>
      </c>
      <c r="C5" t="s">
        <v>288</v>
      </c>
      <c r="D5" s="113">
        <v>0.2</v>
      </c>
      <c r="E5" s="113">
        <v>0.3</v>
      </c>
      <c r="F5" s="113">
        <v>0.4</v>
      </c>
      <c r="G5" s="137" t="s">
        <v>293</v>
      </c>
    </row>
    <row r="6" spans="1:7" ht="18.75">
      <c r="A6" s="13" t="s">
        <v>73</v>
      </c>
      <c r="B6" s="17" t="s">
        <v>199</v>
      </c>
      <c r="C6" t="s">
        <v>1109</v>
      </c>
      <c r="D6" s="472">
        <f>D3*(1-BUFF!$M$27)/(D3*(1-BUFF!$M$27)+(4.084*(185*D1-16800)))</f>
        <v>0.21052867500663042</v>
      </c>
      <c r="E6" s="472">
        <f>E3*(1-BUFF!$M$27)/(E3*(1-BUFF!$M$27)+(4.084*(185*E1-16800)))</f>
        <v>0.30107872883941406</v>
      </c>
      <c r="F6" s="472">
        <f>F3*(1-BUFF!$M$27)/(F3*(1-BUFF!$M$27)+(4.084*(185*F1-16800)))</f>
        <v>0.34781561531373045</v>
      </c>
      <c r="G6" s="137" t="s">
        <v>114</v>
      </c>
    </row>
    <row r="7" spans="1:7" ht="18.75">
      <c r="A7" s="13" t="s">
        <v>75</v>
      </c>
      <c r="B7" s="17" t="s">
        <v>202</v>
      </c>
      <c r="G7" s="137" t="s">
        <v>112</v>
      </c>
    </row>
    <row r="8" spans="1:7" ht="18.75">
      <c r="A8" s="13" t="s">
        <v>77</v>
      </c>
      <c r="B8" s="17" t="s">
        <v>126</v>
      </c>
      <c r="G8" s="143" t="s">
        <v>114</v>
      </c>
    </row>
    <row r="9" spans="1:7" ht="18.75">
      <c r="A9" s="13" t="s">
        <v>79</v>
      </c>
      <c r="B9" s="461" t="s">
        <v>1024</v>
      </c>
      <c r="G9" s="143" t="s">
        <v>111</v>
      </c>
    </row>
    <row r="10" spans="1:7" ht="18.75">
      <c r="A10" s="13" t="s">
        <v>81</v>
      </c>
      <c r="G10" s="143" t="s">
        <v>115</v>
      </c>
    </row>
    <row r="11" spans="1:7" ht="18.75">
      <c r="A11" s="13" t="s">
        <v>83</v>
      </c>
      <c r="G11" s="143" t="s">
        <v>297</v>
      </c>
    </row>
    <row r="12" spans="1:7" ht="18.75">
      <c r="A12" s="13" t="s">
        <v>85</v>
      </c>
      <c r="G12" s="143" t="s">
        <v>321</v>
      </c>
    </row>
    <row r="13" spans="1:7" ht="18.75">
      <c r="A13" s="13" t="s">
        <v>190</v>
      </c>
      <c r="G13" s="143" t="s">
        <v>323</v>
      </c>
    </row>
    <row r="14" spans="1:7" ht="18.75">
      <c r="A14" s="13" t="s">
        <v>192</v>
      </c>
      <c r="G14" s="143" t="s">
        <v>322</v>
      </c>
    </row>
    <row r="15" spans="1:7" ht="18.75">
      <c r="A15" s="13" t="s">
        <v>194</v>
      </c>
      <c r="G15" s="143" t="s">
        <v>320</v>
      </c>
    </row>
    <row r="16" spans="1:7" ht="18.75">
      <c r="A16" s="13" t="s">
        <v>87</v>
      </c>
      <c r="G16" s="143" t="s">
        <v>293</v>
      </c>
    </row>
    <row r="17" spans="1:7" ht="18.75">
      <c r="A17" s="13" t="s">
        <v>89</v>
      </c>
      <c r="G17" s="143" t="s">
        <v>324</v>
      </c>
    </row>
    <row r="18" spans="1:7" ht="18.75">
      <c r="A18" s="13" t="s">
        <v>91</v>
      </c>
      <c r="G18" s="143" t="s">
        <v>319</v>
      </c>
    </row>
    <row r="19" spans="1:7" ht="18.75">
      <c r="A19" s="157" t="s">
        <v>208</v>
      </c>
      <c r="G19" s="143" t="s">
        <v>316</v>
      </c>
    </row>
    <row r="20" spans="1:7" ht="18.75">
      <c r="A20" s="157" t="s">
        <v>209</v>
      </c>
      <c r="G20" s="143" t="s">
        <v>318</v>
      </c>
    </row>
    <row r="21" spans="1:7" ht="18.75">
      <c r="A21" s="13" t="s">
        <v>93</v>
      </c>
      <c r="G21" s="143" t="s">
        <v>317</v>
      </c>
    </row>
    <row r="22" spans="1:7">
      <c r="A22" s="13" t="s">
        <v>96</v>
      </c>
    </row>
    <row r="23" spans="1:7" ht="18.75">
      <c r="A23" s="13" t="s">
        <v>96</v>
      </c>
      <c r="G23" s="143"/>
    </row>
    <row r="24" spans="1:7" ht="18.75">
      <c r="A24" s="13" t="s">
        <v>98</v>
      </c>
      <c r="G24" s="143"/>
    </row>
    <row r="25" spans="1:7">
      <c r="A25" s="13" t="s">
        <v>100</v>
      </c>
    </row>
    <row r="26" spans="1:7">
      <c r="A26" s="13" t="s">
        <v>101</v>
      </c>
    </row>
    <row r="27" spans="1:7">
      <c r="A27" s="13" t="s">
        <v>102</v>
      </c>
    </row>
    <row r="28" spans="1:7">
      <c r="A28" s="13" t="s">
        <v>104</v>
      </c>
    </row>
    <row r="29" spans="1:7">
      <c r="A29" s="13" t="s">
        <v>103</v>
      </c>
    </row>
    <row r="30" spans="1:7">
      <c r="A30" s="13" t="s">
        <v>105</v>
      </c>
    </row>
    <row r="31" spans="1:7">
      <c r="A31" s="13" t="s">
        <v>106</v>
      </c>
    </row>
    <row r="32" spans="1:7">
      <c r="A32" s="13" t="s">
        <v>107</v>
      </c>
    </row>
    <row r="33" spans="1:1">
      <c r="A33" s="13" t="s">
        <v>108</v>
      </c>
    </row>
  </sheetData>
  <sheetProtection password="E803" sheet="1" objects="1" scenarios="1"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N21"/>
  <sheetViews>
    <sheetView workbookViewId="0">
      <selection activeCell="C2" sqref="C2"/>
    </sheetView>
  </sheetViews>
  <sheetFormatPr defaultRowHeight="18.75"/>
  <cols>
    <col min="1" max="1" width="11.625" style="434" customWidth="1"/>
    <col min="2" max="2" width="15.875" style="434" customWidth="1"/>
    <col min="3" max="3" width="14.25" style="434" customWidth="1"/>
    <col min="4" max="4" width="11.25" style="434" customWidth="1"/>
    <col min="5" max="5" width="11.375" style="434" customWidth="1"/>
    <col min="6" max="6" width="10.25" style="434" customWidth="1"/>
    <col min="7" max="9" width="9" style="434"/>
    <col min="10" max="10" width="9.25" style="434" bestFit="1" customWidth="1"/>
    <col min="11" max="16384" width="9" style="434"/>
  </cols>
  <sheetData>
    <row r="1" spans="1:14">
      <c r="A1" s="38" t="s">
        <v>637</v>
      </c>
      <c r="B1" s="38" t="s">
        <v>638</v>
      </c>
      <c r="C1" s="38" t="s">
        <v>639</v>
      </c>
      <c r="D1" s="38" t="s">
        <v>640</v>
      </c>
      <c r="E1" s="38" t="s">
        <v>641</v>
      </c>
      <c r="F1" s="434" t="s">
        <v>1147</v>
      </c>
      <c r="I1" s="434" t="s">
        <v>1141</v>
      </c>
    </row>
    <row r="2" spans="1:14">
      <c r="A2" s="38"/>
      <c r="B2" s="38">
        <v>153.44900000000001</v>
      </c>
      <c r="C2" s="38">
        <v>153.44300000000001</v>
      </c>
      <c r="D2" s="38">
        <v>139.48500000000001</v>
      </c>
      <c r="E2" s="38">
        <v>87.188079999999999</v>
      </c>
      <c r="F2" s="434">
        <v>188.309</v>
      </c>
      <c r="I2" s="434" t="s">
        <v>1142</v>
      </c>
      <c r="J2" s="434" t="s">
        <v>1143</v>
      </c>
      <c r="K2" s="434" t="s">
        <v>1144</v>
      </c>
      <c r="L2" s="434" t="s">
        <v>1222</v>
      </c>
      <c r="M2" s="434" t="s">
        <v>1224</v>
      </c>
      <c r="N2" s="434" t="s">
        <v>1225</v>
      </c>
    </row>
    <row r="3" spans="1:14" s="471" customFormat="1">
      <c r="A3" s="38" t="s">
        <v>1140</v>
      </c>
      <c r="B3" s="38" t="s">
        <v>1136</v>
      </c>
      <c r="C3" s="38" t="s">
        <v>1137</v>
      </c>
      <c r="D3" s="38" t="s">
        <v>1138</v>
      </c>
      <c r="E3" s="38" t="s">
        <v>1139</v>
      </c>
      <c r="H3" s="471" t="s">
        <v>1221</v>
      </c>
      <c r="I3" s="471">
        <f>CEILING((24/23.9999-1)*1024,1)</f>
        <v>1</v>
      </c>
      <c r="J3" s="434">
        <f>CEILING((24/22.9999-1)*1024,1)</f>
        <v>45</v>
      </c>
      <c r="K3" s="471">
        <f>CEILING((24/21.9999-1)*1024,1)</f>
        <v>94</v>
      </c>
      <c r="L3" s="471">
        <f>CEILING((24/20.9999-1)*1024,1)</f>
        <v>147</v>
      </c>
      <c r="M3" s="471">
        <f>CEILING((24/19.9999-1)*1024,1)</f>
        <v>205</v>
      </c>
      <c r="N3" s="471">
        <v>256</v>
      </c>
    </row>
    <row r="4" spans="1:14">
      <c r="A4" s="38"/>
      <c r="B4" s="38">
        <v>188</v>
      </c>
      <c r="C4" s="38">
        <v>85</v>
      </c>
      <c r="D4" s="478">
        <v>42</v>
      </c>
      <c r="E4" s="38">
        <v>127</v>
      </c>
      <c r="I4" s="434">
        <f t="shared" ref="I4:N4" si="0">CEILING(I3/1024*$F$2*100,1)</f>
        <v>19</v>
      </c>
      <c r="J4" s="475">
        <f t="shared" si="0"/>
        <v>828</v>
      </c>
      <c r="K4" s="475">
        <f t="shared" si="0"/>
        <v>1729</v>
      </c>
      <c r="L4" s="475">
        <f t="shared" si="0"/>
        <v>2704</v>
      </c>
      <c r="M4" s="475">
        <f t="shared" si="0"/>
        <v>3770</v>
      </c>
      <c r="N4" s="475">
        <f t="shared" si="0"/>
        <v>4708</v>
      </c>
    </row>
    <row r="5" spans="1:14">
      <c r="I5" s="434" t="s">
        <v>1152</v>
      </c>
      <c r="J5" s="434">
        <v>6.25E-2</v>
      </c>
      <c r="K5" s="471">
        <v>62.5</v>
      </c>
      <c r="L5" s="475" t="s">
        <v>1223</v>
      </c>
      <c r="M5" s="441"/>
    </row>
    <row r="6" spans="1:14">
      <c r="A6" s="434" t="s">
        <v>1273</v>
      </c>
      <c r="B6" s="438" t="s">
        <v>1272</v>
      </c>
      <c r="C6" s="271"/>
      <c r="D6" s="271"/>
      <c r="I6" s="434" t="s">
        <v>1255</v>
      </c>
      <c r="J6" s="434">
        <v>0.66659999999999997</v>
      </c>
      <c r="M6" s="441"/>
    </row>
    <row r="7" spans="1:14">
      <c r="A7" s="438"/>
      <c r="B7" s="499" t="s">
        <v>1274</v>
      </c>
      <c r="C7" s="439"/>
      <c r="D7" s="439"/>
      <c r="M7" s="441"/>
    </row>
    <row r="8" spans="1:14">
      <c r="A8" s="178"/>
      <c r="B8" s="271"/>
      <c r="C8" s="271"/>
      <c r="D8" s="271"/>
      <c r="H8" s="434" t="s">
        <v>1226</v>
      </c>
      <c r="M8" s="441"/>
    </row>
    <row r="9" spans="1:14">
      <c r="A9" s="438" t="s">
        <v>1276</v>
      </c>
      <c r="B9" s="271" t="s">
        <v>1277</v>
      </c>
      <c r="C9" s="271"/>
      <c r="D9" s="271"/>
      <c r="M9" s="441"/>
    </row>
    <row r="10" spans="1:14">
      <c r="A10" s="178"/>
      <c r="B10" s="271"/>
      <c r="C10" s="271"/>
      <c r="D10" s="271"/>
      <c r="M10" s="441"/>
    </row>
    <row r="11" spans="1:14">
      <c r="A11" s="178"/>
      <c r="B11" s="271"/>
      <c r="C11" s="271"/>
      <c r="D11" s="271"/>
    </row>
    <row r="12" spans="1:14">
      <c r="A12" s="434" t="s">
        <v>645</v>
      </c>
      <c r="B12" s="434" t="s">
        <v>646</v>
      </c>
    </row>
    <row r="13" spans="1:14">
      <c r="L13" s="444"/>
    </row>
    <row r="14" spans="1:14" s="443" customFormat="1"/>
    <row r="15" spans="1:14">
      <c r="A15" s="284" t="s">
        <v>1279</v>
      </c>
      <c r="B15" s="284" t="s">
        <v>652</v>
      </c>
      <c r="C15" s="114" t="s">
        <v>1280</v>
      </c>
      <c r="D15" s="284" t="s">
        <v>668</v>
      </c>
      <c r="E15" s="284" t="s">
        <v>653</v>
      </c>
      <c r="F15" s="284" t="s">
        <v>655</v>
      </c>
    </row>
    <row r="16" spans="1:14">
      <c r="A16" s="284" t="str">
        <f>破會收益!$P$9</f>
        <v>依據配裝器</v>
      </c>
      <c r="B16" s="284" t="str">
        <f>IF(A16="依據配裝器","自訂",IF(A16=2600,"怒海爭鋒","凌雪藏鋒"))</f>
        <v>自訂</v>
      </c>
      <c r="C16" s="500">
        <f>IF(B16="自訂",配裝模擬!S4+配裝模擬!F6,IF(B16="怒海爭鋒",81.436%,87.11%))</f>
        <v>0.92025423898969305</v>
      </c>
      <c r="D16" s="284">
        <f>IF(B16="自訂",配裝模擬!B4,IF(B16="怒海爭鋒",2595,2780))</f>
        <v>2665.2000000000003</v>
      </c>
      <c r="E16" s="450">
        <f ca="1">C16+BUFF!$F$27</f>
        <v>1.1477542389896931</v>
      </c>
      <c r="F16" s="500">
        <f>BUFF!$G$27</f>
        <v>0.32499999999999996</v>
      </c>
    </row>
    <row r="17" spans="1:7" s="470" customFormat="1">
      <c r="B17" s="444"/>
      <c r="C17" s="284"/>
      <c r="D17" s="49"/>
      <c r="E17" s="444"/>
    </row>
    <row r="18" spans="1:7">
      <c r="B18" s="444"/>
      <c r="C18" s="284"/>
      <c r="D18" s="49"/>
      <c r="E18" s="444"/>
    </row>
    <row r="19" spans="1:7">
      <c r="A19" s="434" t="s">
        <v>1098</v>
      </c>
      <c r="B19" s="434" t="s">
        <v>1102</v>
      </c>
      <c r="C19" s="481" t="s">
        <v>1101</v>
      </c>
      <c r="D19" s="461" t="s">
        <v>1104</v>
      </c>
      <c r="E19" s="481" t="s">
        <v>1103</v>
      </c>
      <c r="F19" s="434" t="s">
        <v>1281</v>
      </c>
    </row>
    <row r="20" spans="1:7">
      <c r="A20" s="434" t="s">
        <v>1099</v>
      </c>
      <c r="B20" s="434">
        <v>36.64</v>
      </c>
      <c r="C20" s="434">
        <v>54.23</v>
      </c>
      <c r="D20" s="434">
        <v>39.840000000000003</v>
      </c>
      <c r="E20" s="434">
        <v>51.03</v>
      </c>
      <c r="F20" s="434">
        <v>36.54</v>
      </c>
      <c r="G20" s="434">
        <v>54.33</v>
      </c>
    </row>
    <row r="21" spans="1:7">
      <c r="A21" s="434" t="s">
        <v>1100</v>
      </c>
      <c r="B21" s="434">
        <v>39.71</v>
      </c>
      <c r="C21" s="434">
        <v>57.4</v>
      </c>
      <c r="D21" s="434">
        <v>43.01</v>
      </c>
      <c r="E21" s="434">
        <v>54.1</v>
      </c>
      <c r="F21" s="434">
        <v>39.71</v>
      </c>
      <c r="G21" s="434">
        <v>57.4</v>
      </c>
    </row>
  </sheetData>
  <sheetProtection password="E803" sheet="1" objects="1" scenarios="1"/>
  <phoneticPr fontId="6" type="noConversion"/>
  <dataValidations count="1">
    <dataValidation type="list" allowBlank="1" showInputMessage="1" showErrorMessage="1" sqref="A17" xr:uid="{C54DB6AE-73DA-4045-8DE3-E6FA4586EDB3}">
      <formula1>"怒海爭鋒,凌雪藏鋒"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3">
    <tabColor rgb="FF3886CC"/>
  </sheetPr>
  <dimension ref="A1:U54"/>
  <sheetViews>
    <sheetView topLeftCell="A10" zoomScale="85" zoomScaleNormal="85" workbookViewId="0">
      <selection activeCell="R28" sqref="R28"/>
    </sheetView>
  </sheetViews>
  <sheetFormatPr defaultRowHeight="18.75"/>
  <cols>
    <col min="1" max="1" width="9.625" style="17" customWidth="1"/>
    <col min="2" max="2" width="10.625" style="17" customWidth="1"/>
    <col min="3" max="3" width="24" style="17" customWidth="1"/>
    <col min="4" max="4" width="10.875" style="17" customWidth="1"/>
    <col min="5" max="5" width="10.25" style="17" bestFit="1" customWidth="1"/>
    <col min="6" max="6" width="9.875" style="17" customWidth="1"/>
    <col min="7" max="7" width="10" style="17" customWidth="1"/>
    <col min="8" max="8" width="10.5" style="17" customWidth="1"/>
    <col min="9" max="9" width="9.5" style="17" customWidth="1"/>
    <col min="10" max="10" width="9" style="17"/>
    <col min="11" max="11" width="10.625" style="17" customWidth="1"/>
    <col min="12" max="12" width="9.875" style="17" customWidth="1"/>
    <col min="13" max="13" width="10.625" style="17" customWidth="1"/>
    <col min="14" max="14" width="10.5" style="17" customWidth="1"/>
    <col min="15" max="15" width="11.5" style="17" customWidth="1"/>
    <col min="16" max="16" width="11.625" style="17" customWidth="1"/>
    <col min="17" max="17" width="7.5" style="17" customWidth="1"/>
    <col min="18" max="16384" width="9" style="17"/>
  </cols>
  <sheetData>
    <row r="1" spans="1:20" s="16" customFormat="1">
      <c r="A1" s="54" t="s">
        <v>127</v>
      </c>
      <c r="B1" s="54" t="s">
        <v>508</v>
      </c>
      <c r="C1" s="54" t="s">
        <v>110</v>
      </c>
      <c r="D1" s="54" t="s">
        <v>114</v>
      </c>
      <c r="E1" s="54" t="s">
        <v>112</v>
      </c>
      <c r="F1" s="54" t="s">
        <v>113</v>
      </c>
      <c r="G1" s="54" t="s">
        <v>111</v>
      </c>
      <c r="H1" s="54" t="s">
        <v>115</v>
      </c>
      <c r="I1" s="54" t="s">
        <v>129</v>
      </c>
      <c r="J1" s="54" t="s">
        <v>132</v>
      </c>
      <c r="K1" s="54" t="s">
        <v>131</v>
      </c>
      <c r="L1" s="54" t="s">
        <v>130</v>
      </c>
      <c r="M1" s="54" t="s">
        <v>128</v>
      </c>
      <c r="N1" s="54" t="s">
        <v>123</v>
      </c>
    </row>
    <row r="2" spans="1:20" ht="19.5" thickBot="1">
      <c r="B2" s="17">
        <v>34</v>
      </c>
      <c r="C2" s="17">
        <f>652</f>
        <v>652</v>
      </c>
      <c r="D2" s="17">
        <f>217+34*0.3</f>
        <v>227.2</v>
      </c>
      <c r="E2" s="17">
        <f>$B$2*0.64</f>
        <v>21.76</v>
      </c>
      <c r="F2" s="17">
        <v>9398.0249999999996</v>
      </c>
      <c r="G2" s="17">
        <v>398</v>
      </c>
      <c r="H2" s="17">
        <v>0</v>
      </c>
      <c r="I2" s="17">
        <f>$D$2/153.443</f>
        <v>1.4806801222603831</v>
      </c>
      <c r="J2" s="49">
        <f>$E$2/1534.42</f>
        <v>1.4181254154664303E-2</v>
      </c>
      <c r="K2" s="244">
        <f>F2/5370.3</f>
        <v>1.7499999999999998</v>
      </c>
      <c r="L2" s="244">
        <v>0.93169999999999997</v>
      </c>
      <c r="M2" s="245">
        <f>H2/87.1698</f>
        <v>0</v>
      </c>
      <c r="N2" s="245">
        <v>0</v>
      </c>
      <c r="O2" s="245"/>
      <c r="S2" s="445"/>
    </row>
    <row r="3" spans="1:20" s="18" customFormat="1" ht="19.5" thickBot="1">
      <c r="A3" s="604" t="s">
        <v>109</v>
      </c>
      <c r="B3" s="256" t="s">
        <v>508</v>
      </c>
      <c r="C3" s="256" t="s">
        <v>221</v>
      </c>
      <c r="D3" s="256" t="s">
        <v>587</v>
      </c>
      <c r="E3" s="256" t="s">
        <v>222</v>
      </c>
      <c r="F3" s="256" t="s">
        <v>232</v>
      </c>
      <c r="G3" s="256" t="s">
        <v>112</v>
      </c>
      <c r="H3" s="256" t="s">
        <v>113</v>
      </c>
      <c r="I3" s="256" t="s">
        <v>111</v>
      </c>
      <c r="J3" s="257" t="s">
        <v>115</v>
      </c>
      <c r="K3" s="606" t="s">
        <v>411</v>
      </c>
      <c r="L3" s="246" t="s">
        <v>213</v>
      </c>
      <c r="M3" s="247" t="s">
        <v>216</v>
      </c>
      <c r="N3" s="248" t="s">
        <v>217</v>
      </c>
      <c r="O3" s="249" t="s">
        <v>241</v>
      </c>
      <c r="P3" s="250" t="s">
        <v>236</v>
      </c>
      <c r="Q3" s="600" t="s">
        <v>589</v>
      </c>
      <c r="R3" s="143"/>
      <c r="S3" s="445" t="s">
        <v>666</v>
      </c>
    </row>
    <row r="4" spans="1:20" ht="19.5" thickBot="1">
      <c r="A4" s="605"/>
      <c r="B4" s="178">
        <f>B2+SUM(D10:D43)*IF(BUFF!$B$67=1,110%,100%)</f>
        <v>2665.2000000000003</v>
      </c>
      <c r="C4" s="178">
        <f>SUM(G10:G54)</f>
        <v>6508</v>
      </c>
      <c r="D4" s="17">
        <f>SUM(E10:E43)</f>
        <v>642</v>
      </c>
      <c r="E4" s="178">
        <f>D2+SUM(H10:H54)</f>
        <v>7193.2</v>
      </c>
      <c r="F4" s="178">
        <f>$E$4+$B$4*0.47</f>
        <v>8445.8439999999991</v>
      </c>
      <c r="G4" s="178">
        <f>$B$4*0.64+SUM(I10:I54)+BUFF!$Q$27+R27</f>
        <v>6927.7280000000001</v>
      </c>
      <c r="H4" s="258">
        <f>9398.025+SUM(J10:J54)</f>
        <v>10371.025</v>
      </c>
      <c r="I4" s="178">
        <f>$G$2+SUM(K10:K54)+BUFF!P27</f>
        <v>2215.4850000000001</v>
      </c>
      <c r="J4" s="259">
        <f>SUM(L10:L54)+R28</f>
        <v>2656.5642400000002</v>
      </c>
      <c r="K4" s="607"/>
      <c r="L4" s="251">
        <f>傷害計算!A4</f>
        <v>2717.2000000000003</v>
      </c>
      <c r="M4" s="252">
        <f>傷害計算!B4</f>
        <v>6508</v>
      </c>
      <c r="N4" s="252">
        <f ca="1">傷害計算!C4</f>
        <v>12856.8</v>
      </c>
      <c r="O4" s="252">
        <f ca="1">傷害計算!D4</f>
        <v>9217.1640000000007</v>
      </c>
      <c r="P4" s="253">
        <f ca="1">傷害計算!E4</f>
        <v>0.60068976753582759</v>
      </c>
      <c r="Q4" s="601"/>
      <c r="S4" s="49">
        <f>$E$4/staticResult!C2/100</f>
        <v>0.4687864549050787</v>
      </c>
    </row>
    <row r="5" spans="1:20" s="20" customFormat="1" ht="19.5" thickBot="1">
      <c r="A5" s="605"/>
      <c r="B5" s="256" t="s">
        <v>1118</v>
      </c>
      <c r="C5" s="256" t="s">
        <v>110</v>
      </c>
      <c r="D5" s="256" t="s">
        <v>588</v>
      </c>
      <c r="E5" s="256" t="s">
        <v>129</v>
      </c>
      <c r="F5" s="256" t="s">
        <v>132</v>
      </c>
      <c r="G5" s="256" t="s">
        <v>131</v>
      </c>
      <c r="H5" s="256" t="s">
        <v>130</v>
      </c>
      <c r="I5" s="256" t="s">
        <v>128</v>
      </c>
      <c r="J5" s="257" t="s">
        <v>294</v>
      </c>
      <c r="K5" s="607"/>
      <c r="L5" s="254" t="s">
        <v>237</v>
      </c>
      <c r="M5" s="255" t="s">
        <v>238</v>
      </c>
      <c r="N5" s="255" t="s">
        <v>239</v>
      </c>
      <c r="O5" s="255" t="s">
        <v>240</v>
      </c>
      <c r="P5" s="254" t="s">
        <v>410</v>
      </c>
      <c r="Q5" s="602">
        <f>(D4+D6)/2</f>
        <v>856</v>
      </c>
    </row>
    <row r="6" spans="1:20" s="20" customFormat="1" ht="19.5" thickBot="1">
      <c r="A6" s="605"/>
      <c r="B6" s="178">
        <f>SUM(M10:M43)</f>
        <v>335</v>
      </c>
      <c r="C6" s="178">
        <f>(652+($B$4*1.5))+$C$4</f>
        <v>11157.8</v>
      </c>
      <c r="D6" s="20">
        <f>SUM(F10:F43)</f>
        <v>1070</v>
      </c>
      <c r="E6" s="178">
        <f>$F$4/staticResult!C2</f>
        <v>55.042224148380825</v>
      </c>
      <c r="F6" s="261">
        <f>$G$4/staticResult!B2/100</f>
        <v>0.45146778408461435</v>
      </c>
      <c r="G6" s="261">
        <f>$H$4/5370.3</f>
        <v>1.9311816844496581</v>
      </c>
      <c r="H6" s="261">
        <f>(I4-G2)/staticResult!D2/100+L2</f>
        <v>1.0619996738000501</v>
      </c>
      <c r="I6" s="263">
        <f>$J$4/staticResult!E2/100</f>
        <v>0.30469351314996268</v>
      </c>
      <c r="J6" s="259">
        <f>SUM(O10:O54)</f>
        <v>50978</v>
      </c>
      <c r="K6" s="607"/>
      <c r="L6" s="264">
        <f ca="1">傷害計算!F4</f>
        <v>0.67896778408461445</v>
      </c>
      <c r="M6" s="265">
        <f>傷害計算!G4</f>
        <v>2.2561816844496581</v>
      </c>
      <c r="N6" s="265">
        <f>傷害計算!H4</f>
        <v>0.30469351314996268</v>
      </c>
      <c r="O6" s="264">
        <f>傷害計算!I4</f>
        <v>1.0919996738000501</v>
      </c>
      <c r="P6" s="424">
        <f ca="1">傷害計算!J6</f>
        <v>0.26772540286539831</v>
      </c>
      <c r="Q6" s="603"/>
    </row>
    <row r="7" spans="1:20" s="355" customFormat="1">
      <c r="A7" s="351" t="s">
        <v>168</v>
      </c>
      <c r="B7" s="352" t="s">
        <v>169</v>
      </c>
      <c r="C7" s="352" t="s">
        <v>170</v>
      </c>
      <c r="D7" s="352" t="s">
        <v>171</v>
      </c>
      <c r="E7" s="352" t="s">
        <v>172</v>
      </c>
      <c r="F7" s="352" t="s">
        <v>173</v>
      </c>
      <c r="G7" s="352" t="s">
        <v>174</v>
      </c>
      <c r="H7" s="352" t="s">
        <v>175</v>
      </c>
      <c r="I7" s="352" t="s">
        <v>176</v>
      </c>
      <c r="J7" s="352" t="s">
        <v>177</v>
      </c>
      <c r="K7" s="352" t="s">
        <v>178</v>
      </c>
      <c r="L7" s="352" t="s">
        <v>179</v>
      </c>
      <c r="M7" s="352" t="s">
        <v>180</v>
      </c>
      <c r="N7" s="353"/>
      <c r="O7" s="354"/>
    </row>
    <row r="8" spans="1:20" s="20" customFormat="1">
      <c r="A8" s="465" t="s">
        <v>212</v>
      </c>
      <c r="B8" s="260" t="str">
        <f>傷害計算!B10</f>
        <v>星旗</v>
      </c>
      <c r="C8" s="260" t="str">
        <f>傷害計算!C10</f>
        <v>雪覆</v>
      </c>
      <c r="D8" s="260" t="str">
        <f>傷害計算!D10</f>
        <v>破月</v>
      </c>
      <c r="E8" s="260" t="str">
        <f>傷害計算!E10</f>
        <v>風骨</v>
      </c>
      <c r="F8" s="260" t="str">
        <f>傷害計算!F10</f>
        <v>北闕</v>
      </c>
      <c r="G8" s="260" t="str">
        <f>傷害計算!G10</f>
        <v>淵岳</v>
      </c>
      <c r="H8" s="260" t="str">
        <f>傷害計算!H10</f>
        <v>玄肅</v>
      </c>
      <c r="I8" s="260" t="str">
        <f>傷害計算!I10</f>
        <v>王師</v>
      </c>
      <c r="J8" s="260" t="str">
        <f>傷害計算!J10</f>
        <v>百節</v>
      </c>
      <c r="K8" s="260" t="str">
        <f>傷害計算!K10</f>
        <v>忘斷</v>
      </c>
      <c r="L8" s="260" t="str">
        <f>傷害計算!L10</f>
        <v>徵逐</v>
      </c>
      <c r="M8" s="260" t="str">
        <f>傷害計算!M10</f>
        <v>青山共我</v>
      </c>
      <c r="N8" s="178"/>
      <c r="O8" s="269"/>
    </row>
    <row r="9" spans="1:20" s="262" customFormat="1">
      <c r="A9" s="278" t="s">
        <v>63</v>
      </c>
      <c r="B9" s="278" t="s">
        <v>133</v>
      </c>
      <c r="C9" s="278" t="s">
        <v>94</v>
      </c>
      <c r="D9" s="277" t="s">
        <v>508</v>
      </c>
      <c r="E9" s="460" t="s">
        <v>1022</v>
      </c>
      <c r="F9" s="433" t="s">
        <v>1023</v>
      </c>
      <c r="G9" s="277" t="s">
        <v>149</v>
      </c>
      <c r="H9" s="277" t="s">
        <v>114</v>
      </c>
      <c r="I9" s="277" t="s">
        <v>112</v>
      </c>
      <c r="J9" s="277" t="s">
        <v>113</v>
      </c>
      <c r="K9" s="277" t="s">
        <v>111</v>
      </c>
      <c r="L9" s="277" t="s">
        <v>115</v>
      </c>
      <c r="M9" s="474" t="s">
        <v>1118</v>
      </c>
      <c r="N9" s="277" t="s">
        <v>123</v>
      </c>
      <c r="O9" s="277" t="s">
        <v>294</v>
      </c>
      <c r="P9" s="608" t="s">
        <v>416</v>
      </c>
      <c r="Q9" s="608"/>
      <c r="R9" s="608"/>
      <c r="T9" s="477"/>
    </row>
    <row r="10" spans="1:20">
      <c r="A10" s="279" t="s">
        <v>64</v>
      </c>
      <c r="B10" s="266" t="str">
        <f>VLOOKUP(配裝模擬!$C10,資料庫!$B$14:$P$563,2,FALSE)</f>
        <v>破命套裝</v>
      </c>
      <c r="C10" s="267" t="s">
        <v>1389</v>
      </c>
      <c r="D10" s="178">
        <f>VLOOKUP(配裝模擬!$C10,資料庫!$B$14:$P$563,3,FALSE)</f>
        <v>262</v>
      </c>
      <c r="E10" s="178">
        <f>VLOOKUP(配裝模擬!$C10,資料庫!$B$14:$P$563,4,FALSE)</f>
        <v>0</v>
      </c>
      <c r="F10" s="178">
        <f>VLOOKUP(配裝模擬!$C10,資料庫!$B$14:$P$563,5,FALSE)</f>
        <v>0</v>
      </c>
      <c r="G10" s="178">
        <f>VLOOKUP(配裝模擬!$C10,資料庫!$B$14:$P$563,6,FALSE)</f>
        <v>458</v>
      </c>
      <c r="H10" s="178">
        <f>VLOOKUP(配裝模擬!$C10,資料庫!$B$14:$P$563,7,FALSE)</f>
        <v>1073</v>
      </c>
      <c r="I10" s="178">
        <f>VLOOKUP(配裝模擬!$C10,資料庫!$B$14:$P$563,8,FALSE)</f>
        <v>0</v>
      </c>
      <c r="J10" s="178">
        <f>VLOOKUP(配裝模擬!$C10,資料庫!$B$14:$P$563,9,FALSE)</f>
        <v>0</v>
      </c>
      <c r="K10" s="178">
        <f>VLOOKUP(配裝模擬!$C10,資料庫!$B$14:$P$563,10,FALSE)</f>
        <v>511</v>
      </c>
      <c r="L10" s="178">
        <f>VLOOKUP(配裝模擬!$C10,資料庫!$B$14:$P$563,11,FALSE)</f>
        <v>0</v>
      </c>
      <c r="M10" s="178">
        <f>VLOOKUP(配裝模擬!$C10,資料庫!$B$14:$P$563,12,FALSE)</f>
        <v>0</v>
      </c>
      <c r="N10" s="178">
        <f>VLOOKUP(配裝模擬!$C10,資料庫!$B$14:$P$563,13,FALSE)</f>
        <v>2860</v>
      </c>
      <c r="O10" s="178">
        <f>VLOOKUP(配裝模擬!$C10,資料庫!$B$14:$P$563,14,FALSE)</f>
        <v>5044</v>
      </c>
      <c r="P10" s="599" t="str">
        <f>VLOOKUP(配裝模擬!$C10,資料庫!$B$14:$P$563,15,FALSE)</f>
        <v>俠義值*58800 / 曉天牌</v>
      </c>
      <c r="Q10" s="599"/>
      <c r="R10" s="599"/>
    </row>
    <row r="11" spans="1:20">
      <c r="A11" s="279" t="s">
        <v>67</v>
      </c>
      <c r="B11" s="266" t="str">
        <f>VLOOKUP(配裝模擬!$C11,資料庫!$B$14:$P$563,2,FALSE)</f>
        <v>會無套裝</v>
      </c>
      <c r="C11" s="267" t="s">
        <v>1333</v>
      </c>
      <c r="D11" s="178">
        <f>VLOOKUP(配裝模擬!$C11,資料庫!$B$14:$P$563,3,FALSE)</f>
        <v>281</v>
      </c>
      <c r="E11" s="178">
        <f>VLOOKUP(配裝模擬!$C11,資料庫!$B$14:$P$563,4,FALSE)</f>
        <v>0</v>
      </c>
      <c r="F11" s="178">
        <f>VLOOKUP(配裝模擬!$C11,資料庫!$B$14:$P$563,5,FALSE)</f>
        <v>0</v>
      </c>
      <c r="G11" s="178">
        <f>VLOOKUP(配裝模擬!$C11,資料庫!$B$14:$P$563,6,FALSE)</f>
        <v>508</v>
      </c>
      <c r="H11" s="178">
        <f>VLOOKUP(配裝模擬!$C11,資料庫!$B$14:$P$563,7,FALSE)</f>
        <v>0</v>
      </c>
      <c r="I11" s="178">
        <f>VLOOKUP(配裝模擬!$C11,資料庫!$B$14:$P$563,8,FALSE)</f>
        <v>1192</v>
      </c>
      <c r="J11" s="178">
        <f>VLOOKUP(配裝模擬!$C11,資料庫!$B$14:$P$563,9,FALSE)</f>
        <v>34</v>
      </c>
      <c r="K11" s="178">
        <f>VLOOKUP(配裝模擬!$C11,資料庫!$B$14:$P$563,10,FALSE)</f>
        <v>0</v>
      </c>
      <c r="L11" s="178">
        <f>VLOOKUP(配裝模擬!$C11,資料庫!$B$14:$P$563,11,FALSE)</f>
        <v>568</v>
      </c>
      <c r="M11" s="178">
        <f>VLOOKUP(配裝模擬!$C11,資料庫!$B$14:$P$563,12,FALSE)</f>
        <v>0</v>
      </c>
      <c r="N11" s="178">
        <f>VLOOKUP(配裝模擬!$C11,資料庫!$B$14:$P$563,13,FALSE)</f>
        <v>2860</v>
      </c>
      <c r="O11" s="178">
        <f>VLOOKUP(配裝模擬!$C11,資料庫!$B$14:$P$563,14,FALSE)</f>
        <v>5598</v>
      </c>
      <c r="P11" s="599" t="str">
        <f>VLOOKUP(配裝模擬!$C11,資料庫!$B$14:$P$563,15,FALSE)</f>
        <v>俠義值*65300  /  曉天牌</v>
      </c>
      <c r="Q11" s="599"/>
      <c r="R11" s="599"/>
    </row>
    <row r="12" spans="1:20">
      <c r="A12" s="279" t="s">
        <v>69</v>
      </c>
      <c r="B12" s="266" t="str">
        <f>VLOOKUP(配裝模擬!$C12,資料庫!$B$14:$P$563,2,FALSE)</f>
        <v>會無套裝</v>
      </c>
      <c r="C12" s="267" t="s">
        <v>1388</v>
      </c>
      <c r="D12" s="178">
        <f>VLOOKUP(配裝模擬!$C12,資料庫!$B$14:$P$563,3,FALSE)</f>
        <v>196</v>
      </c>
      <c r="E12" s="178">
        <f>VLOOKUP(配裝模擬!$C12,資料庫!$B$14:$P$563,4,FALSE)</f>
        <v>0</v>
      </c>
      <c r="F12" s="178">
        <f>VLOOKUP(配裝模擬!$C12,資料庫!$B$14:$P$563,5,FALSE)</f>
        <v>0</v>
      </c>
      <c r="G12" s="178">
        <f>VLOOKUP(配裝模擬!$C12,資料庫!$B$14:$P$563,6,FALSE)</f>
        <v>356</v>
      </c>
      <c r="H12" s="178">
        <f>VLOOKUP(配裝模擬!$C12,資料庫!$B$14:$P$563,7,FALSE)</f>
        <v>0</v>
      </c>
      <c r="I12" s="178">
        <f>VLOOKUP(配裝模擬!$C12,資料庫!$B$14:$P$563,8,FALSE)</f>
        <v>834</v>
      </c>
      <c r="J12" s="178">
        <f>VLOOKUP(配裝模擬!$C12,資料庫!$B$14:$P$563,9,FALSE)</f>
        <v>0</v>
      </c>
      <c r="K12" s="178">
        <f>VLOOKUP(配裝模擬!$C12,資料庫!$B$14:$P$563,10,FALSE)</f>
        <v>0</v>
      </c>
      <c r="L12" s="178">
        <f>VLOOKUP(配裝模擬!$C12,資料庫!$B$14:$P$563,11,FALSE)</f>
        <v>398</v>
      </c>
      <c r="M12" s="178">
        <f>VLOOKUP(配裝模擬!$C12,資料庫!$B$14:$P$563,12,FALSE)</f>
        <v>0</v>
      </c>
      <c r="N12" s="178">
        <f>VLOOKUP(配裝模擬!$C12,資料庫!$B$14:$P$563,13,FALSE)</f>
        <v>2860</v>
      </c>
      <c r="O12" s="178">
        <f>VLOOKUP(配裝模擬!$C12,資料庫!$B$14:$P$563,14,FALSE)</f>
        <v>3937</v>
      </c>
      <c r="P12" s="599" t="str">
        <f>VLOOKUP(配裝模擬!$C12,資料庫!$B$14:$P$563,15,FALSE)</f>
        <v>俠義值*45800 / 曉天牌</v>
      </c>
      <c r="Q12" s="599"/>
      <c r="R12" s="599"/>
    </row>
    <row r="13" spans="1:20">
      <c r="A13" s="279" t="s">
        <v>71</v>
      </c>
      <c r="B13" s="266" t="str">
        <f>VLOOKUP(配裝模擬!$C13,資料庫!$B$14:$P$563,2,FALSE)</f>
        <v>會會破精簡</v>
      </c>
      <c r="C13" s="267" t="s">
        <v>827</v>
      </c>
      <c r="D13" s="178">
        <f>VLOOKUP(配裝模擬!$C13,資料庫!$B$14:$P$563,3,FALSE)</f>
        <v>0</v>
      </c>
      <c r="E13" s="178">
        <f>VLOOKUP(配裝模擬!$C13,資料庫!$B$14:$P$563,4,FALSE)</f>
        <v>0</v>
      </c>
      <c r="F13" s="178">
        <f>VLOOKUP(配裝模擬!$C13,資料庫!$B$14:$P$563,5,FALSE)</f>
        <v>0</v>
      </c>
      <c r="G13" s="178">
        <f>VLOOKUP(配裝模擬!$C13,資料庫!$B$14:$P$563,6,FALSE)</f>
        <v>773</v>
      </c>
      <c r="H13" s="178">
        <f>VLOOKUP(配裝模擬!$C13,資料庫!$B$14:$P$563,7,FALSE)</f>
        <v>441</v>
      </c>
      <c r="I13" s="178">
        <f>VLOOKUP(配裝模擬!$C13,資料庫!$B$14:$P$563,8,FALSE)</f>
        <v>441</v>
      </c>
      <c r="J13" s="178">
        <f>VLOOKUP(配裝模擬!$C13,資料庫!$B$14:$P$563,9,FALSE)</f>
        <v>384</v>
      </c>
      <c r="K13" s="178">
        <f>VLOOKUP(配裝模擬!$C13,資料庫!$B$14:$P$563,10,FALSE)</f>
        <v>34</v>
      </c>
      <c r="L13" s="178">
        <f>VLOOKUP(配裝模擬!$C13,資料庫!$B$14:$P$563,11,FALSE)</f>
        <v>0</v>
      </c>
      <c r="M13" s="178">
        <f>VLOOKUP(配裝模擬!$C13,資料庫!$B$14:$P$563,12,FALSE)</f>
        <v>0</v>
      </c>
      <c r="N13" s="178">
        <f>VLOOKUP(配裝模擬!$C13,資料庫!$B$14:$P$563,13,FALSE)</f>
        <v>2900</v>
      </c>
      <c r="O13" s="178">
        <f>VLOOKUP(配裝模擬!$C13,資料庫!$B$14:$P$563,14,FALSE)</f>
        <v>3805</v>
      </c>
      <c r="P13" s="599" t="str">
        <f>VLOOKUP(配裝模擬!$C13,資料庫!$B$14:$P$563,15,FALSE)</f>
        <v>英雄敖龍島：鐵黎、藤原武裔、陳徽</v>
      </c>
      <c r="Q13" s="599"/>
      <c r="R13" s="599"/>
    </row>
    <row r="14" spans="1:20">
      <c r="A14" s="279" t="s">
        <v>73</v>
      </c>
      <c r="B14" s="266" t="str">
        <f>VLOOKUP(配裝模擬!$C14,資料庫!$B$14:$P$563,2,FALSE)</f>
        <v>破防</v>
      </c>
      <c r="C14" s="267" t="s">
        <v>1395</v>
      </c>
      <c r="D14" s="178">
        <f>VLOOKUP(配裝模擬!$C14,資料庫!$B$14:$P$563,3,FALSE)</f>
        <v>294</v>
      </c>
      <c r="E14" s="178">
        <f>VLOOKUP(配裝模擬!$C14,資料庫!$B$14:$P$563,4,FALSE)</f>
        <v>0</v>
      </c>
      <c r="F14" s="178">
        <f>VLOOKUP(配裝模擬!$C14,資料庫!$B$14:$P$563,5,FALSE)</f>
        <v>0</v>
      </c>
      <c r="G14" s="178">
        <f>VLOOKUP(配裝模擬!$C14,資料庫!$B$14:$P$563,6,FALSE)</f>
        <v>670</v>
      </c>
      <c r="H14" s="178">
        <f>VLOOKUP(配裝模擬!$C14,資料庫!$B$14:$P$563,7,FALSE)</f>
        <v>1439</v>
      </c>
      <c r="I14" s="178">
        <f>VLOOKUP(配裝模擬!$C14,資料庫!$B$14:$P$563,8,FALSE)</f>
        <v>0</v>
      </c>
      <c r="J14" s="178">
        <f>VLOOKUP(配裝模擬!$C14,資料庫!$B$14:$P$563,9,FALSE)</f>
        <v>0</v>
      </c>
      <c r="K14" s="178">
        <f>VLOOKUP(配裝模擬!$C14,資料庫!$B$14:$P$563,10,FALSE)</f>
        <v>0</v>
      </c>
      <c r="L14" s="178">
        <f>VLOOKUP(配裝模擬!$C14,資料庫!$B$14:$P$563,11,FALSE)</f>
        <v>0</v>
      </c>
      <c r="M14" s="178">
        <f>VLOOKUP(配裝模擬!$C14,資料庫!$B$14:$P$563,12,FALSE)</f>
        <v>0</v>
      </c>
      <c r="N14" s="178">
        <f>VLOOKUP(配裝模擬!$C14,資料庫!$B$14:$P$563,13,FALSE)</f>
        <v>2900</v>
      </c>
      <c r="O14" s="178">
        <f>VLOOKUP(配裝模擬!$C14,資料庫!$B$14:$P$563,14,FALSE)</f>
        <v>5676</v>
      </c>
      <c r="P14" s="599" t="str">
        <f>VLOOKUP(配裝模擬!$C14,資料庫!$B$14:$P$563,15,FALSE)</f>
        <v>英雄敖龍島：鐵黎、藤原武裔</v>
      </c>
      <c r="Q14" s="599"/>
      <c r="R14" s="599"/>
    </row>
    <row r="15" spans="1:20">
      <c r="A15" s="279" t="s">
        <v>75</v>
      </c>
      <c r="B15" s="266" t="str">
        <f>VLOOKUP(配裝模擬!$C15,資料庫!$B$14:$P$563,2,FALSE)</f>
        <v>破無套裝</v>
      </c>
      <c r="C15" s="267" t="s">
        <v>1334</v>
      </c>
      <c r="D15" s="178">
        <f>VLOOKUP(配裝模擬!$C15,資料庫!$B$14:$P$563,3,FALSE)</f>
        <v>196</v>
      </c>
      <c r="E15" s="178">
        <f>VLOOKUP(配裝模擬!$C15,資料庫!$B$14:$P$563,4,FALSE)</f>
        <v>0</v>
      </c>
      <c r="F15" s="178">
        <f>VLOOKUP(配裝模擬!$C15,資料庫!$B$14:$P$563,5,FALSE)</f>
        <v>0</v>
      </c>
      <c r="G15" s="178">
        <f>VLOOKUP(配裝模擬!$C15,資料庫!$B$14:$P$563,6,FALSE)</f>
        <v>356</v>
      </c>
      <c r="H15" s="178">
        <f>VLOOKUP(配裝模擬!$C15,資料庫!$B$14:$P$563,7,FALSE)</f>
        <v>868</v>
      </c>
      <c r="I15" s="178">
        <f>VLOOKUP(配裝模擬!$C15,資料庫!$B$14:$P$563,8,FALSE)</f>
        <v>0</v>
      </c>
      <c r="J15" s="178">
        <f>VLOOKUP(配裝模擬!$C15,資料庫!$B$14:$P$563,9,FALSE)</f>
        <v>0</v>
      </c>
      <c r="K15" s="178">
        <f>VLOOKUP(配裝模擬!$C15,資料庫!$B$14:$P$563,10,FALSE)</f>
        <v>0</v>
      </c>
      <c r="L15" s="178">
        <f>VLOOKUP(配裝模擬!$C15,資料庫!$B$14:$P$563,11,FALSE)</f>
        <v>398</v>
      </c>
      <c r="M15" s="178">
        <f>VLOOKUP(配裝模擬!$C15,資料庫!$B$14:$P$563,12,FALSE)</f>
        <v>0</v>
      </c>
      <c r="N15" s="178">
        <f>VLOOKUP(配裝模擬!$C15,資料庫!$B$14:$P$563,13,FALSE)</f>
        <v>2860</v>
      </c>
      <c r="O15" s="178">
        <f>VLOOKUP(配裝模擬!$C15,資料庫!$B$14:$P$563,14,FALSE)</f>
        <v>3937</v>
      </c>
      <c r="P15" s="599" t="str">
        <f>VLOOKUP(配裝模擬!$C15,資料庫!$B$14:$P$563,15,FALSE)</f>
        <v>俠義值*45800 / 曉天牌</v>
      </c>
      <c r="Q15" s="599"/>
      <c r="R15" s="599"/>
    </row>
    <row r="16" spans="1:20">
      <c r="A16" s="279" t="s">
        <v>77</v>
      </c>
      <c r="B16" s="266" t="str">
        <f>VLOOKUP(配裝模擬!$C16,資料庫!$B$14:$P$563,2,FALSE)</f>
        <v>破命</v>
      </c>
      <c r="C16" s="268" t="s">
        <v>1455</v>
      </c>
      <c r="D16" s="178">
        <f>VLOOKUP(配裝模擬!$C16,資料庫!$B$14:$P$563,3,FALSE)</f>
        <v>144</v>
      </c>
      <c r="E16" s="178">
        <f>VLOOKUP(配裝模擬!$C16,資料庫!$B$14:$P$563,4,FALSE)</f>
        <v>0</v>
      </c>
      <c r="F16" s="178">
        <f>VLOOKUP(配裝模擬!$C16,資料庫!$B$14:$P$563,5,FALSE)</f>
        <v>0</v>
      </c>
      <c r="G16" s="178">
        <f>VLOOKUP(配裝模擬!$C16,資料庫!$B$14:$P$563,6,FALSE)</f>
        <v>261</v>
      </c>
      <c r="H16" s="178">
        <f>VLOOKUP(配裝模擬!$C16,資料庫!$B$14:$P$563,7,FALSE)</f>
        <v>613</v>
      </c>
      <c r="I16" s="178">
        <f>VLOOKUP(配裝模擬!$C16,資料庫!$B$14:$P$563,8,FALSE)</f>
        <v>0</v>
      </c>
      <c r="J16" s="178">
        <f>VLOOKUP(配裝模擬!$C16,資料庫!$B$14:$P$563,9,FALSE)</f>
        <v>0</v>
      </c>
      <c r="K16" s="178">
        <f>VLOOKUP(配裝模擬!$C16,資料庫!$B$14:$P$563,10,FALSE)</f>
        <v>291</v>
      </c>
      <c r="L16" s="178">
        <f>VLOOKUP(配裝模擬!$C16,資料庫!$B$14:$P$563,11,FALSE)</f>
        <v>0</v>
      </c>
      <c r="M16" s="178">
        <f>VLOOKUP(配裝模擬!$C16,資料庫!$B$14:$P$563,12,FALSE)</f>
        <v>0</v>
      </c>
      <c r="N16" s="178">
        <f>VLOOKUP(配裝模擬!$C16,資料庫!$B$14:$P$563,13,FALSE)</f>
        <v>2940</v>
      </c>
      <c r="O16" s="178">
        <f>VLOOKUP(配裝模擬!$C16,資料庫!$B$14:$P$563,14,FALSE)</f>
        <v>2876</v>
      </c>
      <c r="P16" s="599" t="str">
        <f>VLOOKUP(配裝模擬!$C16,資料庫!$B$14:$P$563,15,FALSE)</f>
        <v>南溟船隊（尊敬）</v>
      </c>
      <c r="Q16" s="599"/>
      <c r="R16" s="599"/>
    </row>
    <row r="17" spans="1:21">
      <c r="A17" s="279" t="s">
        <v>79</v>
      </c>
      <c r="B17" s="266" t="str">
        <f>VLOOKUP(配裝模擬!$C17,資料庫!$B$14:$P$563,2,FALSE)</f>
        <v>破命</v>
      </c>
      <c r="C17" s="267" t="s">
        <v>1396</v>
      </c>
      <c r="D17" s="178">
        <f>VLOOKUP(配裝模擬!$C17,資料庫!$B$14:$P$563,3,FALSE)</f>
        <v>142</v>
      </c>
      <c r="E17" s="178">
        <f>VLOOKUP(配裝模擬!$C17,資料庫!$B$14:$P$563,4,FALSE)</f>
        <v>0</v>
      </c>
      <c r="F17" s="178">
        <f>VLOOKUP(配裝模擬!$C17,資料庫!$B$14:$P$563,5,FALSE)</f>
        <v>0</v>
      </c>
      <c r="G17" s="178">
        <f>VLOOKUP(配裝模擬!$C17,資料庫!$B$14:$P$563,6,FALSE)</f>
        <v>258</v>
      </c>
      <c r="H17" s="178">
        <f>VLOOKUP(配裝模擬!$C17,資料庫!$B$14:$P$563,7,FALSE)</f>
        <v>604</v>
      </c>
      <c r="I17" s="178">
        <f>VLOOKUP(配裝模擬!$C17,資料庫!$B$14:$P$563,8,FALSE)</f>
        <v>0</v>
      </c>
      <c r="J17" s="178">
        <f>VLOOKUP(配裝模擬!$C17,資料庫!$B$14:$P$563,9,FALSE)</f>
        <v>0</v>
      </c>
      <c r="K17" s="178">
        <f>VLOOKUP(配裝模擬!$C17,資料庫!$B$14:$P$563,10,FALSE)</f>
        <v>288</v>
      </c>
      <c r="L17" s="178">
        <f>VLOOKUP(配裝模擬!$C17,資料庫!$B$14:$P$563,11,FALSE)</f>
        <v>0</v>
      </c>
      <c r="M17" s="178">
        <f>VLOOKUP(配裝模擬!$C17,資料庫!$B$14:$P$563,12,FALSE)</f>
        <v>0</v>
      </c>
      <c r="N17" s="178">
        <f>VLOOKUP(配裝模擬!$C17,資料庫!$B$14:$P$563,13,FALSE)</f>
        <v>2900</v>
      </c>
      <c r="O17" s="178">
        <f>VLOOKUP(配裝模擬!$C17,資料庫!$B$14:$P$563,14,FALSE)</f>
        <v>2838</v>
      </c>
      <c r="P17" s="599" t="str">
        <f>VLOOKUP(配裝模擬!$C17,資料庫!$B$14:$P$563,15,FALSE)</f>
        <v>英雄敖龍島：源思弦、藤原武裔</v>
      </c>
      <c r="Q17" s="599"/>
      <c r="R17" s="599"/>
    </row>
    <row r="18" spans="1:21">
      <c r="A18" s="279" t="s">
        <v>81</v>
      </c>
      <c r="B18" s="266" t="str">
        <f>VLOOKUP(配裝模擬!$C18,資料庫!$B$14:$P$563,2,FALSE)</f>
        <v>會無</v>
      </c>
      <c r="C18" s="267" t="s">
        <v>917</v>
      </c>
      <c r="D18" s="178">
        <f>VLOOKUP(配裝模擬!$C18,資料庫!$B$14:$P$563,3,FALSE)</f>
        <v>142</v>
      </c>
      <c r="E18" s="178">
        <f>VLOOKUP(配裝模擬!$C18,資料庫!$B$14:$P$563,4,FALSE)</f>
        <v>0</v>
      </c>
      <c r="F18" s="178">
        <f>VLOOKUP(配裝模擬!$C18,資料庫!$B$14:$P$563,5,FALSE)</f>
        <v>0</v>
      </c>
      <c r="G18" s="178">
        <f>VLOOKUP(配裝模擬!$C18,資料庫!$B$14:$P$563,6,FALSE)</f>
        <v>258</v>
      </c>
      <c r="H18" s="178">
        <f>VLOOKUP(配裝模擬!$C18,資料庫!$B$14:$P$563,7,FALSE)</f>
        <v>0</v>
      </c>
      <c r="I18" s="178">
        <f>VLOOKUP(配裝模擬!$C18,資料庫!$B$14:$P$563,8,FALSE)</f>
        <v>604</v>
      </c>
      <c r="J18" s="178">
        <f>VLOOKUP(配裝模擬!$C18,資料庫!$B$14:$P$563,9,FALSE)</f>
        <v>0</v>
      </c>
      <c r="K18" s="178">
        <f>VLOOKUP(配裝模擬!$C18,資料庫!$B$14:$P$563,10,FALSE)</f>
        <v>0</v>
      </c>
      <c r="L18" s="178">
        <f>VLOOKUP(配裝模擬!$C18,資料庫!$B$14:$P$563,11,FALSE)</f>
        <v>288</v>
      </c>
      <c r="M18" s="178">
        <f>VLOOKUP(配裝模擬!$C18,資料庫!$B$14:$P$563,12,FALSE)</f>
        <v>0</v>
      </c>
      <c r="N18" s="178">
        <f>VLOOKUP(配裝模擬!$C18,資料庫!$B$14:$P$563,13,FALSE)</f>
        <v>2900</v>
      </c>
      <c r="O18" s="178">
        <f>VLOOKUP(配裝模擬!$C18,資料庫!$B$14:$P$563,14,FALSE)</f>
        <v>2806</v>
      </c>
      <c r="P18" s="599" t="str">
        <f>VLOOKUP(配裝模擬!$C18,資料庫!$B$14:$P$563,15,FALSE)</f>
        <v>英雄敖龍島：鐵黎</v>
      </c>
      <c r="Q18" s="599"/>
      <c r="R18" s="599"/>
    </row>
    <row r="19" spans="1:21">
      <c r="A19" s="279" t="s">
        <v>81</v>
      </c>
      <c r="B19" s="266" t="str">
        <f>VLOOKUP(配裝模擬!$C19,資料庫!$B$14:$P$563,2,FALSE)</f>
        <v>破無</v>
      </c>
      <c r="C19" s="267" t="s">
        <v>1456</v>
      </c>
      <c r="D19" s="178">
        <f>VLOOKUP(配裝模擬!$C19,資料庫!$B$14:$P$563,3,FALSE)</f>
        <v>142</v>
      </c>
      <c r="E19" s="178">
        <f>VLOOKUP(配裝模擬!$C19,資料庫!$B$14:$P$563,4,FALSE)</f>
        <v>0</v>
      </c>
      <c r="F19" s="178">
        <f>VLOOKUP(配裝模擬!$C19,資料庫!$B$14:$P$563,5,FALSE)</f>
        <v>0</v>
      </c>
      <c r="G19" s="178">
        <f>VLOOKUP(配裝模擬!$C19,資料庫!$B$14:$P$563,6,FALSE)</f>
        <v>258</v>
      </c>
      <c r="H19" s="178">
        <f>VLOOKUP(配裝模擬!$C19,資料庫!$B$14:$P$563,7,FALSE)</f>
        <v>604</v>
      </c>
      <c r="I19" s="178">
        <f>VLOOKUP(配裝模擬!$C19,資料庫!$B$14:$P$563,8,FALSE)</f>
        <v>0</v>
      </c>
      <c r="J19" s="178">
        <f>VLOOKUP(配裝模擬!$C19,資料庫!$B$14:$P$563,9,FALSE)</f>
        <v>0</v>
      </c>
      <c r="K19" s="178">
        <f>VLOOKUP(配裝模擬!$C19,資料庫!$B$14:$P$563,10,FALSE)</f>
        <v>0</v>
      </c>
      <c r="L19" s="178">
        <f>VLOOKUP(配裝模擬!$C19,資料庫!$B$14:$P$563,11,FALSE)</f>
        <v>288</v>
      </c>
      <c r="M19" s="178">
        <f>VLOOKUP(配裝模擬!$C19,資料庫!$B$14:$P$563,12,FALSE)</f>
        <v>0</v>
      </c>
      <c r="N19" s="178">
        <f>VLOOKUP(配裝模擬!$C19,資料庫!$B$14:$P$563,13,FALSE)</f>
        <v>2900</v>
      </c>
      <c r="O19" s="178">
        <f>VLOOKUP(配裝模擬!$C19,資料庫!$B$14:$P$563,14,FALSE)</f>
        <v>2806</v>
      </c>
      <c r="P19" s="599" t="str">
        <f>VLOOKUP(配裝模擬!$C19,資料庫!$B$14:$P$563,15,FALSE)</f>
        <v>浪客箋*8500</v>
      </c>
      <c r="Q19" s="599"/>
      <c r="R19" s="599"/>
    </row>
    <row r="20" spans="1:21">
      <c r="A20" s="279" t="s">
        <v>83</v>
      </c>
      <c r="B20" s="266" t="str">
        <f>VLOOKUP(配裝模擬!$C20,資料庫!$B$14:$P$563,2,FALSE)</f>
        <v>會無</v>
      </c>
      <c r="C20" s="267" t="s">
        <v>1458</v>
      </c>
      <c r="D20" s="178">
        <f>VLOOKUP(配裝模擬!$C20,資料庫!$B$14:$P$563,3,FALSE)</f>
        <v>170</v>
      </c>
      <c r="E20" s="178">
        <f>VLOOKUP(配裝模擬!$C20,資料庫!$B$14:$P$563,4,FALSE)</f>
        <v>0</v>
      </c>
      <c r="F20" s="178">
        <f>VLOOKUP(配裝模擬!$C20,資料庫!$B$14:$P$563,5,FALSE)</f>
        <v>0</v>
      </c>
      <c r="G20" s="178">
        <f>VLOOKUP(配裝模擬!$C20,資料庫!$B$14:$P$563,6,FALSE)</f>
        <v>310</v>
      </c>
      <c r="H20" s="178">
        <f>VLOOKUP(配裝模擬!$C20,資料庫!$B$14:$P$563,7,FALSE)</f>
        <v>0</v>
      </c>
      <c r="I20" s="178">
        <f>VLOOKUP(配裝模擬!$C20,資料庫!$B$14:$P$563,8,FALSE)</f>
        <v>760</v>
      </c>
      <c r="J20" s="178">
        <f>VLOOKUP(配裝模擬!$C20,資料庫!$B$14:$P$563,9,FALSE)</f>
        <v>0</v>
      </c>
      <c r="K20" s="178">
        <f>VLOOKUP(配裝模擬!$C20,資料庫!$B$14:$P$563,10,FALSE)</f>
        <v>0</v>
      </c>
      <c r="L20" s="178">
        <f>VLOOKUP(配裝模擬!$C20,資料庫!$B$14:$P$563,11,FALSE)</f>
        <v>345</v>
      </c>
      <c r="M20" s="178">
        <f>VLOOKUP(配裝模擬!$C20,資料庫!$B$14:$P$563,12,FALSE)</f>
        <v>0</v>
      </c>
      <c r="N20" s="178">
        <f>VLOOKUP(配裝模擬!$C20,資料庫!$B$14:$P$563,13,FALSE)</f>
        <v>2900</v>
      </c>
      <c r="O20" s="178">
        <f>VLOOKUP(配裝模擬!$C20,資料庫!$B$14:$P$563,14,FALSE)</f>
        <v>3399</v>
      </c>
      <c r="P20" s="599" t="str">
        <f>VLOOKUP(配裝模擬!$C20,資料庫!$B$14:$P$563,15,FALSE)</f>
        <v>英雄敖龍島：鐵黎</v>
      </c>
      <c r="Q20" s="599"/>
      <c r="R20" s="599"/>
    </row>
    <row r="21" spans="1:21">
      <c r="A21" s="280" t="s">
        <v>85</v>
      </c>
      <c r="B21" s="266" t="str">
        <f>VLOOKUP(配裝模擬!$C21,資料庫!$B$14:$P$563,2,FALSE)</f>
        <v>小橙武2</v>
      </c>
      <c r="C21" s="268" t="s">
        <v>1457</v>
      </c>
      <c r="D21" s="178">
        <f>VLOOKUP(配裝模擬!$C21,資料庫!$B$14:$P$563,3,FALSE)</f>
        <v>423</v>
      </c>
      <c r="E21" s="178">
        <f>VLOOKUP(配裝模擬!$C21,資料庫!$B$14:$P$563,4,FALSE)</f>
        <v>642</v>
      </c>
      <c r="F21" s="178">
        <f>VLOOKUP(配裝模擬!$C21,資料庫!$B$14:$P$563,5,FALSE)</f>
        <v>1070</v>
      </c>
      <c r="G21" s="178">
        <f>VLOOKUP(配裝模擬!$C21,資料庫!$B$14:$P$563,6,FALSE)</f>
        <v>1365</v>
      </c>
      <c r="H21" s="178">
        <f>VLOOKUP(配裝模擬!$C21,資料庫!$B$14:$P$563,7,FALSE)</f>
        <v>997</v>
      </c>
      <c r="I21" s="178">
        <f>VLOOKUP(配裝模擬!$C21,資料庫!$B$14:$P$563,8,FALSE)</f>
        <v>963</v>
      </c>
      <c r="J21" s="178">
        <f>VLOOKUP(配裝模擬!$C21,資料庫!$B$14:$P$563,9,FALSE)</f>
        <v>0</v>
      </c>
      <c r="K21" s="178">
        <f>VLOOKUP(配裝模擬!$C21,資料庫!$B$14:$P$563,10,FALSE)</f>
        <v>502</v>
      </c>
      <c r="L21" s="178">
        <f>VLOOKUP(配裝模擬!$C21,資料庫!$B$14:$P$563,11,FALSE)</f>
        <v>0</v>
      </c>
      <c r="M21" s="178">
        <f>VLOOKUP(配裝模擬!$C21,資料庫!$B$14:$P$563,12,FALSE)</f>
        <v>335</v>
      </c>
      <c r="N21" s="178">
        <f>VLOOKUP(配裝模擬!$C21,資料庫!$B$14:$P$563,13,FALSE)</f>
        <v>2420</v>
      </c>
      <c r="O21" s="178">
        <f>VLOOKUP(配裝模擬!$C21,資料庫!$B$14:$P$563,14,FALSE)</f>
        <v>8256</v>
      </c>
      <c r="P21" s="599" t="str">
        <f>VLOOKUP(配裝模擬!$C21,資料庫!$B$14:$P$563,15,FALSE)</f>
        <v>小橙武(209天&gt;3500)</v>
      </c>
      <c r="Q21" s="599"/>
      <c r="R21" s="599"/>
    </row>
    <row r="22" spans="1:21">
      <c r="A22" s="275" t="s">
        <v>190</v>
      </c>
      <c r="B22" s="178"/>
      <c r="C22" s="267" t="s">
        <v>1097</v>
      </c>
      <c r="D22" s="178">
        <f>IF(C22="身法",資料庫!D419,0)</f>
        <v>0</v>
      </c>
      <c r="E22" s="178"/>
      <c r="F22" s="178"/>
      <c r="G22" s="178">
        <f>IF(C22="外功攻擊",資料庫!G419,0)</f>
        <v>0</v>
      </c>
      <c r="H22" s="178">
        <f>IF(C22="破防等級",資料庫!H419,0)</f>
        <v>139</v>
      </c>
      <c r="I22" s="178">
        <f>IF(C22="會心等級",資料庫!I419,0)</f>
        <v>0</v>
      </c>
      <c r="J22" s="178">
        <f>IF(C22="會心效果等級",資料庫!J419,0)</f>
        <v>0</v>
      </c>
      <c r="K22" s="178">
        <f>IF(C22="命中等級",資料庫!K419,0)</f>
        <v>0</v>
      </c>
      <c r="L22" s="178">
        <f>IF(C22="無雙等級",資料庫!L419,0)</f>
        <v>0</v>
      </c>
      <c r="M22" s="475"/>
      <c r="N22" s="178">
        <v>0</v>
      </c>
      <c r="O22" s="178"/>
      <c r="P22" s="178"/>
      <c r="Q22" s="178"/>
      <c r="R22" s="178"/>
    </row>
    <row r="23" spans="1:21">
      <c r="A23" s="275" t="s">
        <v>192</v>
      </c>
      <c r="B23" s="178"/>
      <c r="C23" s="267" t="s">
        <v>196</v>
      </c>
      <c r="D23" s="178"/>
      <c r="E23" s="178"/>
      <c r="F23" s="178"/>
      <c r="G23" s="178">
        <f>IF(C23="外功攻擊",資料庫!G420,0)</f>
        <v>124</v>
      </c>
      <c r="H23" s="178">
        <f>IF(C23="破防等級",資料庫!H420,0)</f>
        <v>0</v>
      </c>
      <c r="I23" s="178"/>
      <c r="J23" s="178">
        <f>IF(C23="會心效果等級",資料庫!J420,0)</f>
        <v>0</v>
      </c>
      <c r="K23" s="178"/>
      <c r="L23" s="178"/>
      <c r="M23" s="475"/>
      <c r="N23" s="178">
        <v>0</v>
      </c>
      <c r="O23" s="610" t="s">
        <v>246</v>
      </c>
      <c r="P23" s="610"/>
      <c r="Q23" s="609" t="s">
        <v>1086</v>
      </c>
      <c r="R23" s="609"/>
    </row>
    <row r="24" spans="1:21" s="20" customFormat="1">
      <c r="A24" s="275" t="s">
        <v>194</v>
      </c>
      <c r="B24" s="178"/>
      <c r="C24" s="267" t="s">
        <v>201</v>
      </c>
      <c r="D24" s="178"/>
      <c r="E24" s="178">
        <f>IF($C$24="武器傷害",資料庫!E421,0)</f>
        <v>0</v>
      </c>
      <c r="F24" s="178">
        <f>IF($C$24="武器傷害",資料庫!F421,0)</f>
        <v>0</v>
      </c>
      <c r="G24" s="178">
        <f>IF(C24="外功攻擊",資料庫!G421,0)</f>
        <v>0</v>
      </c>
      <c r="H24" s="178">
        <f>IF(C24="破防等級",資料庫!H421,0)</f>
        <v>0</v>
      </c>
      <c r="I24" s="178"/>
      <c r="J24" s="178">
        <f>IF(C24="會心效果等級",資料庫!J421,0)</f>
        <v>555</v>
      </c>
      <c r="K24" s="178"/>
      <c r="L24" s="178"/>
      <c r="M24" s="475"/>
      <c r="N24" s="178">
        <v>0</v>
      </c>
      <c r="O24" s="270" t="s">
        <v>223</v>
      </c>
      <c r="P24" s="268">
        <f>COUNTIF($C$10:$C$15, "天韶*")</f>
        <v>0</v>
      </c>
      <c r="Q24" s="466" t="s">
        <v>1083</v>
      </c>
      <c r="R24" s="459">
        <f>COUNTIF($C$10:$C$15, "寒夜*")</f>
        <v>0</v>
      </c>
    </row>
    <row r="25" spans="1:21">
      <c r="A25" s="274" t="s">
        <v>87</v>
      </c>
      <c r="B25" s="178"/>
      <c r="C25" s="267" t="s">
        <v>153</v>
      </c>
      <c r="D25" s="178"/>
      <c r="E25" s="178"/>
      <c r="F25" s="178"/>
      <c r="G25" s="178">
        <f>VLOOKUP(配裝模擬!$C25,資料庫!$B$14:$P$563,6,FALSE)</f>
        <v>85</v>
      </c>
      <c r="H25" s="178">
        <f>VLOOKUP(配裝模擬!$C25,資料庫!$B$14:$P$563,7,FALSE)</f>
        <v>0</v>
      </c>
      <c r="I25" s="178">
        <f>VLOOKUP(配裝模擬!$C25,資料庫!$B$14:$P$563,8,FALSE)</f>
        <v>0</v>
      </c>
      <c r="J25" s="178"/>
      <c r="K25" s="178">
        <f>VLOOKUP(配裝模擬!$C25,資料庫!$B$14:$P$563,10,FALSE)</f>
        <v>0</v>
      </c>
      <c r="L25" s="178"/>
      <c r="M25" s="178">
        <f>VLOOKUP(配裝模擬!$C25,資料庫!$B$14:$P$563,12,FALSE)</f>
        <v>0</v>
      </c>
      <c r="N25" s="178">
        <f>VLOOKUP(配裝模擬!$C25,資料庫!$B$14:$P$563,10,FALSE)</f>
        <v>0</v>
      </c>
      <c r="O25" s="270" t="s">
        <v>296</v>
      </c>
      <c r="P25" s="459">
        <f>COUNTIF($C$10:$C$15, "凌絕*")</f>
        <v>0</v>
      </c>
      <c r="Q25" s="467" t="s">
        <v>1084</v>
      </c>
      <c r="R25" s="284">
        <f>COUNTIF($C$10:$C$15, "茲櫟*")</f>
        <v>0</v>
      </c>
      <c r="T25" s="178"/>
    </row>
    <row r="26" spans="1:21">
      <c r="A26" s="274" t="s">
        <v>89</v>
      </c>
      <c r="B26" s="178"/>
      <c r="C26" s="267" t="s">
        <v>440</v>
      </c>
      <c r="D26" s="178"/>
      <c r="E26" s="178"/>
      <c r="F26" s="178"/>
      <c r="G26" s="178"/>
      <c r="H26" s="178">
        <f>VLOOKUP(配裝模擬!$C26,資料庫!$B$14:$P$563,7,FALSE)</f>
        <v>0</v>
      </c>
      <c r="I26" s="178">
        <f>VLOOKUP(配裝模擬!$C26,資料庫!$B$14:$P$563,8,FALSE)</f>
        <v>188</v>
      </c>
      <c r="J26" s="178">
        <f>VLOOKUP(配裝模擬!$C26,資料庫!$B$14:$P$563,9,FALSE)</f>
        <v>0</v>
      </c>
      <c r="K26" s="178">
        <f>VLOOKUP(配裝模擬!$C26,資料庫!$B$14:$P$563,10,FALSE)</f>
        <v>0</v>
      </c>
      <c r="L26" s="178">
        <f>VLOOKUP(配裝模擬!$C26,資料庫!$B$14:$P$563,9,FALSE)</f>
        <v>0</v>
      </c>
      <c r="M26" s="475"/>
      <c r="N26" s="178">
        <f>VLOOKUP(配裝模擬!$C26,資料庫!$B$14:$P$563,10,FALSE)</f>
        <v>0</v>
      </c>
      <c r="O26" s="270" t="s">
        <v>1080</v>
      </c>
      <c r="P26" s="459">
        <f>COUNTIF($C$10:$C$15, "曉天*")</f>
        <v>4</v>
      </c>
      <c r="Q26" s="467" t="s">
        <v>1085</v>
      </c>
      <c r="R26" s="284">
        <f>COUNTIF($C$10:$C$15, "宿寂*")</f>
        <v>0</v>
      </c>
    </row>
    <row r="27" spans="1:21" s="20" customFormat="1">
      <c r="A27" s="274" t="s">
        <v>208</v>
      </c>
      <c r="B27" s="178"/>
      <c r="C27" s="267" t="s">
        <v>1460</v>
      </c>
      <c r="D27" s="178"/>
      <c r="E27" s="178"/>
      <c r="F27" s="178"/>
      <c r="G27" s="178">
        <f>VLOOKUP(配裝模擬!$C27,資料庫!$B$14:$P$563,6,FALSE)</f>
        <v>0</v>
      </c>
      <c r="H27" s="178">
        <f>VLOOKUP(配裝模擬!$C27,資料庫!$B$14:$P$563,7,FALSE)</f>
        <v>0</v>
      </c>
      <c r="I27" s="178">
        <f>VLOOKUP(配裝模擬!$C27,資料庫!$B$14:$P$563,8,FALSE)</f>
        <v>0</v>
      </c>
      <c r="J27" s="178"/>
      <c r="K27" s="178">
        <f>VLOOKUP(配裝模擬!$C27,資料庫!$B$14:$P$563,10,FALSE)</f>
        <v>0</v>
      </c>
      <c r="L27" s="178">
        <f>VLOOKUP(配裝模擬!$C27,資料庫!$B$14:$P$563,11,FALSE)</f>
        <v>55</v>
      </c>
      <c r="M27" s="475"/>
      <c r="N27" s="178">
        <f>VLOOKUP(配裝模擬!$C27,資料庫!$B$14:$P$563,10,FALSE)</f>
        <v>0</v>
      </c>
      <c r="O27" s="270" t="s">
        <v>642</v>
      </c>
      <c r="P27" s="268" t="b">
        <f>IF(OR(P24&gt;=4,P25&gt;=2,P26&gt;=4),TRUE,FALSE)</f>
        <v>1</v>
      </c>
      <c r="Q27" s="467" t="s">
        <v>1087</v>
      </c>
      <c r="R27" s="284">
        <f>IF(R24&gt;1,160,0)+IF(R25&gt;1,190,0)+IF(R26&gt;1,225,0)</f>
        <v>0</v>
      </c>
      <c r="T27" s="119"/>
      <c r="U27" s="119"/>
    </row>
    <row r="28" spans="1:21" s="20" customFormat="1">
      <c r="A28" s="274" t="s">
        <v>209</v>
      </c>
      <c r="B28" s="178"/>
      <c r="C28" s="267" t="s">
        <v>1090</v>
      </c>
      <c r="D28" s="178"/>
      <c r="E28" s="178"/>
      <c r="F28" s="178"/>
      <c r="G28" s="178">
        <f>VLOOKUP(配裝模擬!$C28,資料庫!$B$14:$P$563,6,FALSE)</f>
        <v>0</v>
      </c>
      <c r="H28" s="178">
        <f>VLOOKUP(配裝模擬!$C28,資料庫!$B$14:$P$563,7,FALSE)</f>
        <v>0</v>
      </c>
      <c r="I28" s="178">
        <f>VLOOKUP(配裝模擬!$C28,資料庫!$B$14:$P$563,8,FALSE)</f>
        <v>0</v>
      </c>
      <c r="J28" s="178"/>
      <c r="K28" s="178">
        <f>VLOOKUP(配裝模擬!$C28,資料庫!$B$14:$P$563,10,FALSE)</f>
        <v>0</v>
      </c>
      <c r="L28" s="178">
        <f>VLOOKUP(配裝模擬!$C28,資料庫!$B$14:$P$563,11,FALSE)</f>
        <v>55</v>
      </c>
      <c r="M28" s="475"/>
      <c r="N28" s="178">
        <f>VLOOKUP(配裝模擬!$C28,資料庫!$B$14:$P$563,10,FALSE)</f>
        <v>0</v>
      </c>
      <c r="O28" s="270" t="s">
        <v>224</v>
      </c>
      <c r="P28" s="268" t="b">
        <f>IF(OR(P24&gt;=2,P25&gt;=4,P26&gt;=2),TRUE,FALSE)</f>
        <v>1</v>
      </c>
      <c r="Q28" s="467" t="s">
        <v>1088</v>
      </c>
      <c r="R28" s="284">
        <f>IF(R24&gt;3,160,0)+IF(R25&gt;3,190,0)+IF(R26&gt;3,225,0)</f>
        <v>0</v>
      </c>
    </row>
    <row r="29" spans="1:21">
      <c r="A29" s="274" t="s">
        <v>91</v>
      </c>
      <c r="B29" s="178"/>
      <c r="C29" s="267" t="s">
        <v>442</v>
      </c>
      <c r="D29" s="178"/>
      <c r="E29" s="178"/>
      <c r="F29" s="178"/>
      <c r="G29" s="178"/>
      <c r="H29" s="178">
        <f>VLOOKUP(配裝模擬!$C29,資料庫!$B$14:$P$563,7,FALSE)</f>
        <v>0</v>
      </c>
      <c r="I29" s="178">
        <f>VLOOKUP(配裝模擬!$C29,資料庫!$B$14:$P$563,8,FALSE)</f>
        <v>188</v>
      </c>
      <c r="J29" s="178"/>
      <c r="K29" s="178"/>
      <c r="L29" s="178">
        <f>VLOOKUP(配裝模擬!$C29,資料庫!$B$14:$P$563,11,FALSE)</f>
        <v>0</v>
      </c>
      <c r="M29" s="475"/>
      <c r="N29" s="178">
        <f>VLOOKUP(配裝模擬!$C29,資料庫!$B$14:$P$563,10,FALSE)</f>
        <v>0</v>
      </c>
      <c r="O29" s="611" t="s">
        <v>1240</v>
      </c>
      <c r="P29" s="611"/>
      <c r="Q29" s="611"/>
      <c r="R29" s="611"/>
    </row>
    <row r="30" spans="1:21">
      <c r="A30" s="274" t="s">
        <v>93</v>
      </c>
      <c r="B30" s="178"/>
      <c r="C30" s="267" t="s">
        <v>154</v>
      </c>
      <c r="E30" s="178"/>
      <c r="F30" s="178"/>
      <c r="G30" s="178">
        <f>VLOOKUP(配裝模擬!$C30,資料庫!$B$14:$P$563,6,FALSE)</f>
        <v>85</v>
      </c>
      <c r="H30" s="178">
        <f>VLOOKUP(配裝模擬!$C30,資料庫!$B$14:$P$563,7,FALSE)</f>
        <v>0</v>
      </c>
      <c r="I30" s="178">
        <f>VLOOKUP(配裝模擬!$C30,資料庫!$B$14:$P$563,8,FALSE)</f>
        <v>0</v>
      </c>
      <c r="J30" s="178"/>
      <c r="K30" s="178">
        <f>VLOOKUP(配裝模擬!$C30,資料庫!$B$14:$P$563,10,FALSE)</f>
        <v>0</v>
      </c>
      <c r="L30" s="178"/>
      <c r="M30" s="178">
        <f>VLOOKUP(配裝模擬!$C30,資料庫!$B$14:$P$563,12,FALSE)</f>
        <v>0</v>
      </c>
      <c r="N30" s="178">
        <f>VLOOKUP(配裝模擬!$C30,資料庫!$B$14:$P$563,10,FALSE)</f>
        <v>0</v>
      </c>
      <c r="O30" s="272" t="s">
        <v>1239</v>
      </c>
      <c r="P30" s="613">
        <f ca="1">'DPS計算(Test)'!$N$25</f>
        <v>90547.756766098566</v>
      </c>
      <c r="Q30" s="613"/>
      <c r="R30" s="461"/>
      <c r="T30" s="178"/>
    </row>
    <row r="31" spans="1:21">
      <c r="A31" s="274" t="s">
        <v>96</v>
      </c>
      <c r="B31" s="178"/>
      <c r="C31" s="267" t="s">
        <v>404</v>
      </c>
      <c r="D31" s="178">
        <f>VLOOKUP(配裝模擬!$C31,資料庫!$B$14:$P$563,3,FALSE)</f>
        <v>0</v>
      </c>
      <c r="E31" s="178"/>
      <c r="F31" s="178"/>
      <c r="G31" s="178">
        <f>VLOOKUP(配裝模擬!$C31,資料庫!$B$14:$P$563,6,FALSE)</f>
        <v>85</v>
      </c>
      <c r="H31" s="178"/>
      <c r="I31" s="178"/>
      <c r="J31" s="178"/>
      <c r="K31" s="178">
        <f>VLOOKUP(配裝模擬!$C31,資料庫!$B$14:$P$563,10,FALSE)</f>
        <v>0</v>
      </c>
      <c r="L31" s="178"/>
      <c r="M31" s="475"/>
      <c r="N31" s="178">
        <f>VLOOKUP(配裝模擬!$C31,資料庫!$B$14:$P$563,10,FALSE)</f>
        <v>0</v>
      </c>
      <c r="O31" s="272" t="s">
        <v>1248</v>
      </c>
      <c r="P31" s="613">
        <f ca="1">'DPS計算(Test)'!$N$52</f>
        <v>85784.772830671078</v>
      </c>
      <c r="Q31" s="613"/>
      <c r="R31" s="461"/>
    </row>
    <row r="32" spans="1:21">
      <c r="A32" s="274" t="s">
        <v>96</v>
      </c>
      <c r="B32" s="178"/>
      <c r="C32" s="267" t="s">
        <v>404</v>
      </c>
      <c r="D32" s="178">
        <f>VLOOKUP(配裝模擬!$C32,資料庫!$B$14:$P$563,3,FALSE)</f>
        <v>0</v>
      </c>
      <c r="E32" s="178"/>
      <c r="F32" s="178"/>
      <c r="G32" s="178">
        <f>VLOOKUP(配裝模擬!$C32,資料庫!$B$14:$P$563,6,FALSE)</f>
        <v>85</v>
      </c>
      <c r="H32" s="178"/>
      <c r="I32" s="178"/>
      <c r="J32" s="178"/>
      <c r="K32" s="178">
        <f>VLOOKUP(配裝模擬!$C32,資料庫!$B$14:$P$563,10,FALSE)</f>
        <v>0</v>
      </c>
      <c r="L32" s="178"/>
      <c r="M32" s="475"/>
      <c r="N32" s="178">
        <f>VLOOKUP(配裝模擬!$C32,資料庫!$B$14:$P$563,10,FALSE)</f>
        <v>0</v>
      </c>
      <c r="O32" s="272" t="s">
        <v>1317</v>
      </c>
      <c r="P32" s="613">
        <f ca="1">'DPS計算(Test)'!$N$65</f>
        <v>81240.321466394744</v>
      </c>
      <c r="Q32" s="613"/>
      <c r="R32" s="461"/>
    </row>
    <row r="33" spans="1:21">
      <c r="A33" s="274" t="s">
        <v>98</v>
      </c>
      <c r="B33" s="178"/>
      <c r="C33" s="267" t="s">
        <v>225</v>
      </c>
      <c r="D33" s="178">
        <f>VLOOKUP(配裝模擬!$C33,資料庫!$B$14:$P$563,3,FALSE)</f>
        <v>0</v>
      </c>
      <c r="E33" s="178"/>
      <c r="F33" s="178"/>
      <c r="G33" s="178"/>
      <c r="H33" s="178">
        <f>VLOOKUP(配裝模擬!$C33,資料庫!$B$14:$P$563,7,FALSE)</f>
        <v>188</v>
      </c>
      <c r="I33" s="178"/>
      <c r="J33" s="178"/>
      <c r="K33" s="178"/>
      <c r="L33" s="178"/>
      <c r="M33" s="475"/>
      <c r="N33" s="178">
        <f>VLOOKUP(配裝模擬!$C33,資料庫!$B$14:$P$563,10,FALSE)</f>
        <v>0</v>
      </c>
      <c r="O33" s="495"/>
      <c r="P33" s="612" t="s">
        <v>1089</v>
      </c>
      <c r="Q33" s="612"/>
      <c r="R33" s="468">
        <v>10</v>
      </c>
    </row>
    <row r="34" spans="1:21">
      <c r="A34" s="274" t="s">
        <v>100</v>
      </c>
      <c r="B34" s="178"/>
      <c r="C34" s="267" t="s">
        <v>446</v>
      </c>
      <c r="D34" s="178"/>
      <c r="E34" s="178">
        <f>VLOOKUP(配裝模擬!$C34,資料庫!$B$14:$P$563,4,FALSE)</f>
        <v>0</v>
      </c>
      <c r="F34" s="178">
        <f>VLOOKUP(配裝模擬!$C34,資料庫!$B$14:$P$563,5,FALSE)</f>
        <v>0</v>
      </c>
      <c r="G34" s="178">
        <f>VLOOKUP(配裝模擬!$C34,資料庫!$B$14:$P$563,6,FALSE)</f>
        <v>85</v>
      </c>
      <c r="H34" s="178"/>
      <c r="I34" s="178"/>
      <c r="J34" s="178"/>
      <c r="K34" s="178"/>
      <c r="L34" s="178"/>
      <c r="M34" s="475"/>
      <c r="N34" s="178">
        <f>VLOOKUP(配裝模擬!$C34,資料庫!$B$14:$P$563,10,FALSE)</f>
        <v>0</v>
      </c>
      <c r="O34" s="495"/>
      <c r="P34" s="435" t="s">
        <v>1393</v>
      </c>
      <c r="Q34" s="435"/>
      <c r="R34" s="435"/>
    </row>
    <row r="35" spans="1:21">
      <c r="A35" s="274" t="s">
        <v>101</v>
      </c>
      <c r="B35" s="178"/>
      <c r="C35" s="267" t="s">
        <v>207</v>
      </c>
      <c r="D35" s="178"/>
      <c r="E35" s="178"/>
      <c r="F35" s="178"/>
      <c r="G35" s="178">
        <f>VLOOKUP(配裝模擬!$C35,資料庫!$B$14:$P$563,6,FALSE)</f>
        <v>128</v>
      </c>
      <c r="H35" s="178"/>
      <c r="I35" s="178"/>
      <c r="J35" s="178"/>
      <c r="K35" s="178"/>
      <c r="L35" s="178"/>
      <c r="M35" s="475"/>
      <c r="N35" s="178">
        <f>VLOOKUP(配裝模擬!$C35,資料庫!$B$14:$P$563,10,FALSE)</f>
        <v>0</v>
      </c>
      <c r="O35" s="495"/>
      <c r="P35" s="435" t="s">
        <v>1394</v>
      </c>
      <c r="Q35" s="435"/>
      <c r="R35" s="435"/>
    </row>
    <row r="36" spans="1:21">
      <c r="A36" s="276"/>
      <c r="B36" s="178"/>
      <c r="C36" s="273"/>
      <c r="D36" s="178"/>
      <c r="E36" s="178"/>
      <c r="F36" s="178"/>
      <c r="G36" s="178"/>
      <c r="H36" s="178"/>
      <c r="I36" s="178"/>
      <c r="J36" s="178"/>
      <c r="K36" s="178"/>
      <c r="L36" s="178"/>
      <c r="M36" s="475"/>
      <c r="N36" s="178"/>
      <c r="O36" s="495"/>
      <c r="P36" s="612" t="s">
        <v>1436</v>
      </c>
      <c r="Q36" s="612"/>
      <c r="R36" s="612"/>
      <c r="S36" s="271"/>
    </row>
    <row r="37" spans="1:21">
      <c r="A37" s="275" t="s">
        <v>102</v>
      </c>
      <c r="B37" s="178"/>
      <c r="C37" s="267" t="s">
        <v>1459</v>
      </c>
      <c r="D37" s="178"/>
      <c r="E37" s="178"/>
      <c r="F37" s="178"/>
      <c r="G37" s="178"/>
      <c r="H37" s="178"/>
      <c r="I37" s="178"/>
      <c r="J37" s="178"/>
      <c r="K37" s="178">
        <f>VLOOKUP(配裝模擬!$C37,資料庫!$B$14:$P$563,10,FALSE)</f>
        <v>139.48500000000001</v>
      </c>
      <c r="L37" s="178">
        <f>VLOOKUP(配裝模擬!$C37,資料庫!$B$14:$P$563,11,FALSE)</f>
        <v>261.56423999999998</v>
      </c>
      <c r="M37" s="475"/>
      <c r="N37" s="178">
        <f>VLOOKUP(配裝模擬!$C37,資料庫!$B$14:$P$563,12,FALSE)</f>
        <v>0</v>
      </c>
      <c r="O37" s="178"/>
      <c r="P37" s="437"/>
      <c r="Q37" s="439"/>
      <c r="R37" s="439"/>
      <c r="S37" s="439"/>
    </row>
    <row r="38" spans="1:21">
      <c r="A38" s="275" t="s">
        <v>104</v>
      </c>
      <c r="B38" s="178"/>
      <c r="C38" s="267" t="s">
        <v>1440</v>
      </c>
      <c r="D38" s="178">
        <f>VLOOKUP(配裝模擬!$C38,資料庫!$B$14:$P$563,3,FALSE)</f>
        <v>0</v>
      </c>
      <c r="E38" s="178"/>
      <c r="F38" s="178"/>
      <c r="G38" s="178">
        <f>VLOOKUP(配裝模擬!$C38,資料庫!$B$14:$P$563,6,FALSE)</f>
        <v>0</v>
      </c>
      <c r="H38" s="178">
        <f>VLOOKUP(配裝模擬!$C38,資料庫!$B$14:$P$563,7,FALSE)</f>
        <v>0</v>
      </c>
      <c r="I38" s="178">
        <f>VLOOKUP(配裝模擬!$C38,資料庫!$B$14:$P$563,8,FALSE)</f>
        <v>0</v>
      </c>
      <c r="J38" s="178">
        <f>VLOOKUP(配裝模擬!$C38,資料庫!$B$14:$P$563,9,FALSE)</f>
        <v>0</v>
      </c>
      <c r="K38" s="178">
        <f>VLOOKUP(配裝模擬!$C38,資料庫!$B$14:$P$563,10,FALSE)</f>
        <v>0</v>
      </c>
      <c r="L38" s="178">
        <f>VLOOKUP(配裝模擬!$C38,資料庫!$B$14:$P$563,11,FALSE)</f>
        <v>0</v>
      </c>
      <c r="M38" s="475"/>
      <c r="N38" s="178">
        <f>VLOOKUP(配裝模擬!$C38,資料庫!$B$14:$P$563,12,FALSE)</f>
        <v>0</v>
      </c>
      <c r="O38" s="178"/>
      <c r="P38" s="178"/>
      <c r="Q38" s="271"/>
      <c r="R38" s="271"/>
      <c r="S38" s="271"/>
    </row>
    <row r="39" spans="1:21">
      <c r="A39" s="275" t="s">
        <v>103</v>
      </c>
      <c r="B39" s="178"/>
      <c r="C39" s="267" t="s">
        <v>1439</v>
      </c>
      <c r="D39" s="178"/>
      <c r="E39" s="178"/>
      <c r="F39" s="178"/>
      <c r="G39" s="178"/>
      <c r="H39" s="178"/>
      <c r="I39" s="178"/>
      <c r="J39" s="178"/>
      <c r="K39" s="178">
        <f>VLOOKUP(配裝模擬!$C39,資料庫!$B$14:$P$563,10,FALSE)</f>
        <v>0</v>
      </c>
      <c r="L39" s="178">
        <f>VLOOKUP(配裝模擬!$C39,資料庫!$B$14:$P$563,11,FALSE)</f>
        <v>0</v>
      </c>
      <c r="M39" s="475"/>
      <c r="N39" s="178">
        <f>VLOOKUP(配裝模擬!$C39,資料庫!$B$14:$P$563,12,FALSE)</f>
        <v>0</v>
      </c>
      <c r="O39" s="178"/>
      <c r="P39" s="438"/>
      <c r="Q39" s="271"/>
      <c r="R39" s="271"/>
      <c r="S39" s="271"/>
    </row>
    <row r="40" spans="1:21">
      <c r="A40" s="275" t="s">
        <v>105</v>
      </c>
      <c r="B40" s="178"/>
      <c r="C40" s="267" t="s">
        <v>1439</v>
      </c>
      <c r="D40" s="178">
        <f>VLOOKUP(配裝模擬!$C40,資料庫!$B$14:$P$563,3,FALSE)</f>
        <v>0</v>
      </c>
      <c r="E40" s="178"/>
      <c r="F40" s="178"/>
      <c r="G40" s="178"/>
      <c r="H40" s="178"/>
      <c r="I40" s="178"/>
      <c r="J40" s="178"/>
      <c r="K40" s="178"/>
      <c r="L40" s="178"/>
      <c r="M40" s="178">
        <f>VLOOKUP(配裝模擬!$C40,資料庫!$B$14:$P$563,12,FALSE)</f>
        <v>0</v>
      </c>
      <c r="N40" s="178">
        <f>VLOOKUP(配裝模擬!$C40,資料庫!$B$14:$P$563,12,FALSE)</f>
        <v>0</v>
      </c>
      <c r="O40" s="178"/>
      <c r="P40" s="178"/>
      <c r="Q40" s="271"/>
      <c r="R40" s="271"/>
      <c r="S40" s="271"/>
    </row>
    <row r="41" spans="1:21">
      <c r="A41" s="275" t="s">
        <v>106</v>
      </c>
      <c r="B41" s="178"/>
      <c r="C41" s="267" t="s">
        <v>1439</v>
      </c>
      <c r="D41" s="178">
        <f>VLOOKUP(配裝模擬!$C41,資料庫!$B$14:$P$563,3,FALSE)</f>
        <v>0</v>
      </c>
      <c r="E41" s="178"/>
      <c r="F41" s="178"/>
      <c r="G41" s="178"/>
      <c r="H41" s="178"/>
      <c r="I41" s="178"/>
      <c r="J41" s="178"/>
      <c r="K41" s="178"/>
      <c r="L41" s="178"/>
      <c r="M41" s="475"/>
      <c r="N41" s="178">
        <f>VLOOKUP(配裝模擬!$C41,資料庫!$B$14:$P$563,12,FALSE)</f>
        <v>0</v>
      </c>
      <c r="O41" s="178"/>
      <c r="P41" s="178"/>
      <c r="Q41" s="271"/>
      <c r="R41" s="271"/>
      <c r="S41" s="271"/>
    </row>
    <row r="42" spans="1:21">
      <c r="A42" s="275" t="s">
        <v>107</v>
      </c>
      <c r="B42" s="178"/>
      <c r="C42" s="267" t="s">
        <v>1439</v>
      </c>
      <c r="D42" s="178"/>
      <c r="E42" s="178"/>
      <c r="F42" s="178"/>
      <c r="G42" s="178">
        <f>VLOOKUP(配裝模擬!$C42,資料庫!$B$14:$P$563,6,FALSE)</f>
        <v>0</v>
      </c>
      <c r="H42" s="178">
        <f>VLOOKUP(配裝模擬!$C42,資料庫!$B$14:$P$563,7,FALSE)</f>
        <v>0</v>
      </c>
      <c r="I42" s="178">
        <f>VLOOKUP(配裝模擬!$C42,資料庫!$B$14:$P$563,8,FALSE)</f>
        <v>0</v>
      </c>
      <c r="J42" s="178">
        <f>VLOOKUP(配裝模擬!$C42,資料庫!$B$14:$P$563,9,FALSE)</f>
        <v>0</v>
      </c>
      <c r="K42" s="178">
        <f>VLOOKUP(配裝模擬!$C42,資料庫!$B$14:$P$563,10,FALSE)</f>
        <v>0</v>
      </c>
      <c r="L42" s="178">
        <f>VLOOKUP(配裝模擬!$C42,資料庫!$B$14:$P$563,11,FALSE)</f>
        <v>0</v>
      </c>
      <c r="M42" s="178">
        <f>VLOOKUP(配裝模擬!$C42,資料庫!$B$14:$P$563,12,FALSE)</f>
        <v>0</v>
      </c>
      <c r="N42" s="178">
        <f>VLOOKUP(配裝模擬!$C42,資料庫!$B$14:$P$563,12,FALSE)</f>
        <v>0</v>
      </c>
      <c r="O42" s="178"/>
      <c r="P42" s="178"/>
      <c r="Q42" s="178"/>
      <c r="R42" s="178"/>
    </row>
    <row r="43" spans="1:21">
      <c r="A43" s="275" t="s">
        <v>108</v>
      </c>
      <c r="B43" s="178"/>
      <c r="C43" s="267" t="s">
        <v>1439</v>
      </c>
      <c r="D43" s="178"/>
      <c r="E43" s="178"/>
      <c r="F43" s="178"/>
      <c r="G43" s="178">
        <f>VLOOKUP(配裝模擬!$C43,資料庫!$B$14:$P$563,6,FALSE)</f>
        <v>0</v>
      </c>
      <c r="H43" s="178">
        <f>VLOOKUP(配裝模擬!$C43,資料庫!$B$14:$P$563,7,FALSE)</f>
        <v>0</v>
      </c>
      <c r="I43" s="178">
        <f>VLOOKUP(配裝模擬!$C43,資料庫!$B$14:$P$563,8,FALSE)</f>
        <v>0</v>
      </c>
      <c r="J43" s="178">
        <f>VLOOKUP(配裝模擬!$C43,資料庫!$B$14:$P$563,9,FALSE)</f>
        <v>0</v>
      </c>
      <c r="K43" s="178">
        <f>VLOOKUP(配裝模擬!$C43,資料庫!$B$14:$P$563,10,FALSE)</f>
        <v>0</v>
      </c>
      <c r="L43" s="178">
        <f>VLOOKUP(配裝模擬!$C43,資料庫!$B$14:$P$563,11,FALSE)</f>
        <v>0</v>
      </c>
      <c r="M43" s="178">
        <f>VLOOKUP(配裝模擬!$C43,資料庫!$B$14:$P$563,12,FALSE)</f>
        <v>0</v>
      </c>
      <c r="N43" s="178">
        <f>VLOOKUP(配裝模擬!$C43,資料庫!$B$14:$P$563,12,FALSE)</f>
        <v>0</v>
      </c>
      <c r="O43" s="178"/>
      <c r="P43" s="178"/>
      <c r="Q43" s="178"/>
      <c r="R43" s="178"/>
      <c r="S43" s="178"/>
      <c r="T43" s="178"/>
      <c r="U43" s="178"/>
    </row>
    <row r="44" spans="1:21">
      <c r="B44" s="143"/>
      <c r="F44" s="434"/>
    </row>
    <row r="45" spans="1:21">
      <c r="B45" s="143"/>
      <c r="F45" s="434"/>
    </row>
    <row r="46" spans="1:21">
      <c r="B46" s="143"/>
      <c r="F46" s="434"/>
    </row>
    <row r="47" spans="1:21">
      <c r="B47" s="143"/>
      <c r="F47" s="434"/>
    </row>
    <row r="48" spans="1:21">
      <c r="B48" s="143"/>
      <c r="F48" s="434"/>
    </row>
    <row r="49" spans="2:6">
      <c r="B49" s="143"/>
      <c r="F49" s="434"/>
    </row>
    <row r="50" spans="2:6">
      <c r="B50" s="143"/>
      <c r="F50" s="434"/>
    </row>
    <row r="51" spans="2:6">
      <c r="B51" s="143"/>
      <c r="F51" s="434"/>
    </row>
    <row r="52" spans="2:6">
      <c r="B52" s="143"/>
      <c r="F52" s="434"/>
    </row>
    <row r="53" spans="2:6">
      <c r="F53" s="434"/>
    </row>
    <row r="54" spans="2:6">
      <c r="F54" s="434"/>
    </row>
  </sheetData>
  <mergeCells count="25">
    <mergeCell ref="P36:R36"/>
    <mergeCell ref="P33:Q33"/>
    <mergeCell ref="P32:Q32"/>
    <mergeCell ref="P30:Q30"/>
    <mergeCell ref="P31:Q31"/>
    <mergeCell ref="Q23:R23"/>
    <mergeCell ref="O23:P23"/>
    <mergeCell ref="O29:R29"/>
    <mergeCell ref="P21:R21"/>
    <mergeCell ref="P14:R14"/>
    <mergeCell ref="P15:R15"/>
    <mergeCell ref="P16:R16"/>
    <mergeCell ref="P17:R17"/>
    <mergeCell ref="P18:R18"/>
    <mergeCell ref="P19:R19"/>
    <mergeCell ref="P13:R13"/>
    <mergeCell ref="Q3:Q4"/>
    <mergeCell ref="Q5:Q6"/>
    <mergeCell ref="A3:A6"/>
    <mergeCell ref="P20:R20"/>
    <mergeCell ref="K3:K6"/>
    <mergeCell ref="P9:R9"/>
    <mergeCell ref="P10:R10"/>
    <mergeCell ref="P11:R11"/>
    <mergeCell ref="P12:R12"/>
  </mergeCells>
  <phoneticPr fontId="2" type="noConversion"/>
  <conditionalFormatting sqref="C22:C24">
    <cfRule type="duplicateValues" dxfId="119" priority="35" stopIfTrue="1"/>
  </conditionalFormatting>
  <conditionalFormatting sqref="H6">
    <cfRule type="cellIs" dxfId="118" priority="33" stopIfTrue="1" operator="greaterThan">
      <formula>107%</formula>
    </cfRule>
    <cfRule type="cellIs" dxfId="117" priority="34" stopIfTrue="1" operator="lessThan">
      <formula>106%</formula>
    </cfRule>
  </conditionalFormatting>
  <conditionalFormatting sqref="O6">
    <cfRule type="cellIs" dxfId="116" priority="31" stopIfTrue="1" operator="lessThan">
      <formula>109%</formula>
    </cfRule>
    <cfRule type="cellIs" dxfId="115" priority="32" stopIfTrue="1" operator="greaterThan">
      <formula>110%</formula>
    </cfRule>
  </conditionalFormatting>
  <conditionalFormatting sqref="I6">
    <cfRule type="cellIs" dxfId="114" priority="30" stopIfTrue="1" operator="greaterThan">
      <formula>0.35</formula>
    </cfRule>
  </conditionalFormatting>
  <conditionalFormatting sqref="N6">
    <cfRule type="cellIs" dxfId="113" priority="29" stopIfTrue="1" operator="greaterThan">
      <formula>0.35</formula>
    </cfRule>
  </conditionalFormatting>
  <conditionalFormatting sqref="N10:N21">
    <cfRule type="cellIs" dxfId="112" priority="28" stopIfTrue="1" operator="lessThan">
      <formula>"2601"</formula>
    </cfRule>
  </conditionalFormatting>
  <conditionalFormatting sqref="C10:C21">
    <cfRule type="containsText" dxfId="111" priority="8" operator="containsText" text="曉天">
      <formula>NOT(ISERROR(SEARCH("曉天",C10)))</formula>
    </cfRule>
    <cfRule type="containsText" dxfId="110" priority="17" stopIfTrue="1" operator="containsText" text="鶴夢">
      <formula>NOT(ISERROR(SEARCH("鶴夢",C10)))</formula>
    </cfRule>
    <cfRule type="containsText" dxfId="109" priority="21" stopIfTrue="1" operator="containsText" text="無界">
      <formula>NOT(ISERROR(SEARCH("無界",C10)))</formula>
    </cfRule>
    <cfRule type="containsText" dxfId="108" priority="25" stopIfTrue="1" operator="containsText" text="凌絕">
      <formula>NOT(ISERROR(SEARCH("凌絕",C10)))</formula>
    </cfRule>
    <cfRule type="containsText" dxfId="107" priority="27" stopIfTrue="1" operator="containsText" text="天韶">
      <formula>NOT(ISERROR(SEARCH("天韶",C10)))</formula>
    </cfRule>
  </conditionalFormatting>
  <conditionalFormatting sqref="B10:B21">
    <cfRule type="containsText" dxfId="106" priority="22" stopIfTrue="1" operator="containsText" text="精簡">
      <formula>NOT(ISERROR(SEARCH("精簡",B10)))</formula>
    </cfRule>
    <cfRule type="containsText" dxfId="105" priority="23" stopIfTrue="1" operator="containsText" text="特">
      <formula>NOT(ISERROR(SEARCH("特",B10)))</formula>
    </cfRule>
    <cfRule type="containsText" dxfId="104" priority="24" stopIfTrue="1" operator="containsText" text="套裝">
      <formula>NOT(ISERROR(SEARCH("套裝",B10)))</formula>
    </cfRule>
  </conditionalFormatting>
  <conditionalFormatting sqref="C17">
    <cfRule type="containsText" dxfId="103" priority="19" stopIfTrue="1" operator="containsText" text="窮奇墜">
      <formula>NOT(ISERROR(SEARCH("窮奇墜",C17)))</formula>
    </cfRule>
    <cfRule type="containsText" dxfId="102" priority="20" stopIfTrue="1" operator="containsText" text="殺滿川">
      <formula>NOT(ISERROR(SEARCH("殺滿川",C17)))</formula>
    </cfRule>
  </conditionalFormatting>
  <conditionalFormatting sqref="C21">
    <cfRule type="containsText" dxfId="101" priority="1" operator="containsText" text="文葬">
      <formula>NOT(ISERROR(SEARCH("文葬",C21)))</formula>
    </cfRule>
    <cfRule type="cellIs" dxfId="100" priority="4" stopIfTrue="1" operator="equal">
      <formula>"萬劫浩茫"</formula>
    </cfRule>
    <cfRule type="cellIs" dxfId="99" priority="9" stopIfTrue="1" operator="equal">
      <formula>"晚煙秋瑟"</formula>
    </cfRule>
    <cfRule type="cellIs" dxfId="98" priority="18" stopIfTrue="1" operator="equal">
      <formula>"歸川"</formula>
    </cfRule>
  </conditionalFormatting>
  <conditionalFormatting sqref="P24 P26">
    <cfRule type="cellIs" dxfId="97" priority="15" stopIfTrue="1" operator="equal">
      <formula>1</formula>
    </cfRule>
    <cfRule type="cellIs" dxfId="96" priority="16" stopIfTrue="1" operator="equal">
      <formula>3</formula>
    </cfRule>
  </conditionalFormatting>
  <conditionalFormatting sqref="P25">
    <cfRule type="cellIs" dxfId="95" priority="11" stopIfTrue="1" operator="equal">
      <formula>1</formula>
    </cfRule>
    <cfRule type="cellIs" dxfId="94" priority="12" stopIfTrue="1" operator="equal">
      <formula>3</formula>
    </cfRule>
  </conditionalFormatting>
  <conditionalFormatting sqref="P27:P28">
    <cfRule type="cellIs" dxfId="93" priority="10" stopIfTrue="1" operator="equal">
      <formula>FALSE</formula>
    </cfRule>
  </conditionalFormatting>
  <conditionalFormatting sqref="N10:N22">
    <cfRule type="cellIs" dxfId="92" priority="7" operator="greaterThan">
      <formula>2601</formula>
    </cfRule>
  </conditionalFormatting>
  <dataValidations count="21">
    <dataValidation type="list" allowBlank="1" showInputMessage="1" showErrorMessage="1" sqref="C10:C21" xr:uid="{00000000-0002-0000-0100-000000000000}">
      <formula1>INDIRECT(A10)</formula1>
    </dataValidation>
    <dataValidation type="list" allowBlank="1" showInputMessage="1" showErrorMessage="1" sqref="C25" xr:uid="{00000000-0002-0000-0100-000001000000}">
      <formula1>頭部附魔</formula1>
    </dataValidation>
    <dataValidation type="list" allowBlank="1" showInputMessage="1" showErrorMessage="1" sqref="C26" xr:uid="{00000000-0002-0000-0100-000002000000}">
      <formula1>護腕附魔</formula1>
    </dataValidation>
    <dataValidation type="list" allowBlank="1" showInputMessage="1" showErrorMessage="1" sqref="C27" xr:uid="{00000000-0002-0000-0100-000003000000}">
      <formula1>衣服附魔</formula1>
    </dataValidation>
    <dataValidation type="list" allowBlank="1" showInputMessage="1" showErrorMessage="1" sqref="C28" xr:uid="{00000000-0002-0000-0100-000004000000}">
      <formula1>腰帶附魔</formula1>
    </dataValidation>
    <dataValidation type="list" allowBlank="1" showInputMessage="1" showErrorMessage="1" sqref="C29" xr:uid="{00000000-0002-0000-0100-000005000000}">
      <formula1>下裝附魔</formula1>
    </dataValidation>
    <dataValidation type="list" allowBlank="1" showInputMessage="1" showErrorMessage="1" sqref="C30" xr:uid="{00000000-0002-0000-0100-000006000000}">
      <formula1>鞋子附魔</formula1>
    </dataValidation>
    <dataValidation type="list" allowBlank="1" showInputMessage="1" showErrorMessage="1" sqref="C31:C32" xr:uid="{00000000-0002-0000-0100-000007000000}">
      <formula1>戒指附魔</formula1>
    </dataValidation>
    <dataValidation type="list" allowBlank="1" showInputMessage="1" showErrorMessage="1" sqref="C33" xr:uid="{00000000-0002-0000-0100-000008000000}">
      <formula1>暗器附魔</formula1>
    </dataValidation>
    <dataValidation type="list" allowBlank="1" showInputMessage="1" showErrorMessage="1" sqref="C34" xr:uid="{00000000-0002-0000-0100-000009000000}">
      <formula1>武器附魔</formula1>
    </dataValidation>
    <dataValidation type="list" allowBlank="1" showInputMessage="1" showErrorMessage="1" sqref="C35" xr:uid="{00000000-0002-0000-0100-00000A000000}">
      <formula1>武器熔錠</formula1>
    </dataValidation>
    <dataValidation type="list" allowBlank="1" showInputMessage="1" showErrorMessage="1" sqref="C40" xr:uid="{00000000-0002-0000-0100-00000B000000}">
      <formula1>輔助藥品</formula1>
    </dataValidation>
    <dataValidation type="list" allowBlank="1" showInputMessage="1" showErrorMessage="1" sqref="C41" xr:uid="{00000000-0002-0000-0100-00000C000000}">
      <formula1>輔助食品</formula1>
    </dataValidation>
    <dataValidation type="list" allowBlank="1" showInputMessage="1" showErrorMessage="1" sqref="C42" xr:uid="{00000000-0002-0000-0100-00000D000000}">
      <formula1>增強食品</formula1>
    </dataValidation>
    <dataValidation type="list" allowBlank="1" showInputMessage="1" showErrorMessage="1" sqref="C43" xr:uid="{00000000-0002-0000-0100-00000E000000}">
      <formula1>增強藥品</formula1>
    </dataValidation>
    <dataValidation type="list" allowBlank="1" showInputMessage="1" showErrorMessage="1" sqref="C37" xr:uid="{00000000-0002-0000-0100-00000F000000}">
      <formula1>幫會宴席</formula1>
    </dataValidation>
    <dataValidation type="list" allowBlank="1" showInputMessage="1" showErrorMessage="1" sqref="C39" xr:uid="{00000000-0002-0000-0100-000010000000}">
      <formula1>其他宴席</formula1>
    </dataValidation>
    <dataValidation type="list" allowBlank="1" showInputMessage="1" showErrorMessage="1" sqref="C38" xr:uid="{00000000-0002-0000-0100-000011000000}">
      <formula1>宴席</formula1>
    </dataValidation>
    <dataValidation type="list" allowBlank="1" showInputMessage="1" showErrorMessage="1" sqref="C22:C24" xr:uid="{00000000-0002-0000-0100-000012000000}">
      <formula1>五彩石</formula1>
    </dataValidation>
    <dataValidation type="list" allowBlank="1" showInputMessage="1" showErrorMessage="1" sqref="A10" xr:uid="{00000000-0002-0000-0100-000013000000}">
      <formula1>"頭部,畢業頭部"</formula1>
    </dataValidation>
    <dataValidation type="list" allowBlank="1" showInputMessage="1" showErrorMessage="1" sqref="R33" xr:uid="{3B085571-92D4-4F59-A468-335540700E93}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2" r:id="rId4" name="Check Box 8">
              <controlPr defaultSize="0" autoFill="0" autoLine="0" autoPict="0">
                <anchor moveWithCells="1">
                  <from>
                    <xdr:col>14</xdr:col>
                    <xdr:colOff>85725</xdr:colOff>
                    <xdr:row>31</xdr:row>
                    <xdr:rowOff>228600</xdr:rowOff>
                  </from>
                  <to>
                    <xdr:col>15</xdr:col>
                    <xdr:colOff>180975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5" name="Check Box 10">
              <controlPr defaultSize="0" autoFill="0" autoLine="0" autoPict="0">
                <anchor moveWithCells="1">
                  <from>
                    <xdr:col>14</xdr:col>
                    <xdr:colOff>85725</xdr:colOff>
                    <xdr:row>34</xdr:row>
                    <xdr:rowOff>0</xdr:rowOff>
                  </from>
                  <to>
                    <xdr:col>15</xdr:col>
                    <xdr:colOff>180975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6" name="Check Box 11">
              <controlPr defaultSize="0" autoFill="0" autoLine="0" autoPict="0">
                <anchor moveWithCells="1">
                  <from>
                    <xdr:col>14</xdr:col>
                    <xdr:colOff>95250</xdr:colOff>
                    <xdr:row>32</xdr:row>
                    <xdr:rowOff>228600</xdr:rowOff>
                  </from>
                  <to>
                    <xdr:col>15</xdr:col>
                    <xdr:colOff>57150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7" name="Check Box 13">
              <controlPr defaultSize="0" autoFill="0" autoLine="0" autoPict="0">
                <anchor moveWithCells="1">
                  <from>
                    <xdr:col>14</xdr:col>
                    <xdr:colOff>104775</xdr:colOff>
                    <xdr:row>35</xdr:row>
                    <xdr:rowOff>9525</xdr:rowOff>
                  </from>
                  <to>
                    <xdr:col>15</xdr:col>
                    <xdr:colOff>66675</xdr:colOff>
                    <xdr:row>36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6ABF92B-C3F0-4F15-9DD3-CADE150C7640}">
            <xm:f>NOT(ISERROR(SEARCH("臨淵",C21)))</xm:f>
            <xm:f>"臨淵"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3" operator="containsText" id="{7BD4BF6D-C460-4866-8A0D-2AA6FFF062E8}">
            <xm:f>NOT(ISERROR(SEARCH("橙武",B21)))</xm:f>
            <xm:f>"橙武"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9533-669A-4AD0-BA37-887364CD7A2F}">
  <sheetPr codeName="工作表10">
    <tabColor rgb="FF92D050"/>
  </sheetPr>
  <dimension ref="A1:P552"/>
  <sheetViews>
    <sheetView tabSelected="1" topLeftCell="B1" workbookViewId="0">
      <selection activeCell="G12" sqref="G12"/>
    </sheetView>
  </sheetViews>
  <sheetFormatPr defaultRowHeight="18.75"/>
  <cols>
    <col min="1" max="5" width="9" style="49"/>
    <col min="6" max="6" width="13.5" style="450" customWidth="1"/>
    <col min="7" max="7" width="9.5" style="49" bestFit="1" customWidth="1"/>
    <col min="8" max="9" width="9" style="49"/>
    <col min="10" max="10" width="11.125" style="49" customWidth="1"/>
    <col min="11" max="11" width="9" style="49"/>
    <col min="12" max="12" width="9.125" style="49" customWidth="1"/>
    <col min="14" max="15" width="9" style="49"/>
    <col min="16" max="16" width="11.625" style="49" customWidth="1"/>
    <col min="17" max="16384" width="9" style="49"/>
  </cols>
  <sheetData>
    <row r="1" spans="1:16" s="447" customFormat="1">
      <c r="A1" s="447" t="s">
        <v>658</v>
      </c>
      <c r="B1" s="447" t="s">
        <v>667</v>
      </c>
      <c r="C1" s="447" t="s">
        <v>1117</v>
      </c>
      <c r="D1" s="447" t="s">
        <v>657</v>
      </c>
      <c r="E1" s="447" t="s">
        <v>1111</v>
      </c>
      <c r="F1" s="447" t="s">
        <v>660</v>
      </c>
      <c r="G1" s="447" t="s">
        <v>662</v>
      </c>
      <c r="H1" s="447" t="s">
        <v>667</v>
      </c>
      <c r="I1" s="447" t="s">
        <v>1116</v>
      </c>
      <c r="J1" s="447" t="s">
        <v>1112</v>
      </c>
      <c r="K1" s="447" t="s">
        <v>665</v>
      </c>
      <c r="L1" s="447" t="s">
        <v>1111</v>
      </c>
      <c r="M1" s="447" t="s">
        <v>1115</v>
      </c>
    </row>
    <row r="2" spans="1:16">
      <c r="A2" s="448">
        <f>(1+B2)*(C2*$F$3+(1-C2))</f>
        <v>2.0301605890899328</v>
      </c>
      <c r="B2" s="49">
        <v>0.25</v>
      </c>
      <c r="C2" s="49">
        <f>staticResult!$C$16-B2</f>
        <v>0.67025423898969305</v>
      </c>
      <c r="D2" s="449" t="s">
        <v>654</v>
      </c>
      <c r="E2" s="49">
        <f>((B2*staticResult!$C$2*100)+配裝模擬!$D$2+staticResult!$D$16*0.47)/staticResult!$C$2/100</f>
        <v>0.34644258780133336</v>
      </c>
      <c r="F2" s="453" t="s">
        <v>1311</v>
      </c>
      <c r="G2" s="448">
        <f t="shared" ref="G2:G65" ca="1" si="0">(1+I2)*(J2*$F$13+(1-J2))</f>
        <v>2.9180765873305821</v>
      </c>
      <c r="H2" s="49">
        <v>0.25</v>
      </c>
      <c r="I2" s="49">
        <f ca="1">((M2*staticResult!$C$2*100)+配裝模擬!$D$2+staticResult!$D$16*0.47)/staticResult!$C$2/100</f>
        <v>0.37144258780133343</v>
      </c>
      <c r="J2" s="49">
        <f ca="1">(staticResult!$C$16-H2)+BUFF!$F$27</f>
        <v>0.89775423898969309</v>
      </c>
      <c r="K2" s="449" t="s">
        <v>654</v>
      </c>
      <c r="L2" s="49">
        <f>((H2*staticResult!$C$2*100)+配裝模擬!$D$2+staticResult!$D$16*0.47)/staticResult!$C$2/100</f>
        <v>0.34644258780133336</v>
      </c>
      <c r="M2" s="476">
        <f ca="1">H2*(1+BUFF!$H$27)</f>
        <v>0.27500000000000002</v>
      </c>
    </row>
    <row r="3" spans="1:16">
      <c r="A3" s="448">
        <f t="shared" ref="A3:A66" si="1">(1+B3)*(C3*$F$3+(1-C3))</f>
        <v>2.0306198092739578</v>
      </c>
      <c r="B3" s="49">
        <v>0.251</v>
      </c>
      <c r="C3" s="49">
        <f>staticResult!$C$16-B3</f>
        <v>0.66925423898969305</v>
      </c>
      <c r="D3" s="448">
        <f>(A3-A2)/(B3-B2)</f>
        <v>0.45922018402499948</v>
      </c>
      <c r="E3" s="49">
        <f>((B3*staticResult!$C$2*100)+配裝模擬!$D$2+staticResult!$D$16*0.47)/staticResult!$C$2/100</f>
        <v>0.34744258780133341</v>
      </c>
      <c r="F3" s="454">
        <f>IF(P9="依據配裝器",配裝模擬!$G$6,破會收益!P10)</f>
        <v>1.9311816844496581</v>
      </c>
      <c r="G3" s="448">
        <f t="shared" ca="1" si="0"/>
        <v>2.9186929411460305</v>
      </c>
      <c r="H3" s="49">
        <v>0.251</v>
      </c>
      <c r="I3" s="49">
        <f ca="1">((M3*staticResult!$C$2*100)+配裝模擬!$D$2+staticResult!$D$16*0.47)/staticResult!$C$2/100</f>
        <v>0.37254258780133342</v>
      </c>
      <c r="J3" s="49">
        <f ca="1">(staticResult!$C$16-H3)+BUFF!$F$27</f>
        <v>0.89675423898969309</v>
      </c>
      <c r="K3" s="448">
        <f t="shared" ref="K3:K66" ca="1" si="2">(G3-G2)/(H3-H2)</f>
        <v>0.61635381544844436</v>
      </c>
      <c r="L3" s="49">
        <f>((H3*staticResult!$C$2*100)+配裝模擬!$D$2+staticResult!$D$16*0.47)/staticResult!$C$2/100</f>
        <v>0.34744258780133341</v>
      </c>
      <c r="M3" s="476">
        <f ca="1">H3*(1+BUFF!$H$27)</f>
        <v>0.27610000000000001</v>
      </c>
    </row>
    <row r="4" spans="1:16">
      <c r="A4" s="448">
        <f t="shared" si="1"/>
        <v>2.0310771670946144</v>
      </c>
      <c r="B4" s="49">
        <v>0.252</v>
      </c>
      <c r="C4" s="49">
        <f>staticResult!$C$16-B4</f>
        <v>0.66825423898969305</v>
      </c>
      <c r="D4" s="448">
        <f t="shared" ref="D4:D66" si="3">(A4-A3)/(B4-B3)</f>
        <v>0.45735782065658942</v>
      </c>
      <c r="E4" s="49">
        <f>((B4*staticResult!$C$2*100)+配裝模擬!$D$2+staticResult!$D$16*0.47)/staticResult!$C$2/100</f>
        <v>0.34844258780133336</v>
      </c>
      <c r="F4" s="453" t="s">
        <v>1312</v>
      </c>
      <c r="G4" s="448">
        <f t="shared" ca="1" si="0"/>
        <v>2.9193065313617725</v>
      </c>
      <c r="H4" s="49">
        <v>0.252</v>
      </c>
      <c r="I4" s="49">
        <f ca="1">((M4*staticResult!$C$2*100)+配裝模擬!$D$2+staticResult!$D$16*0.47)/staticResult!$C$2/100</f>
        <v>0.37364258780133336</v>
      </c>
      <c r="J4" s="49">
        <f ca="1">(staticResult!$C$16-H4)+BUFF!$F$27</f>
        <v>0.89575423898969309</v>
      </c>
      <c r="K4" s="448">
        <f t="shared" ca="1" si="2"/>
        <v>0.61359021574203199</v>
      </c>
      <c r="L4" s="49">
        <f>((H4*staticResult!$C$2*100)+配裝模擬!$D$2+staticResult!$D$16*0.47)/staticResult!$C$2/100</f>
        <v>0.34844258780133336</v>
      </c>
      <c r="M4" s="476">
        <f ca="1">H4*(1+BUFF!$H$27)</f>
        <v>0.2772</v>
      </c>
    </row>
    <row r="5" spans="1:16">
      <c r="A5" s="448">
        <f t="shared" si="1"/>
        <v>2.0315326625519021</v>
      </c>
      <c r="B5" s="49">
        <v>0.253</v>
      </c>
      <c r="C5" s="49">
        <f>staticResult!$C$16-B5</f>
        <v>0.66725423898969305</v>
      </c>
      <c r="D5" s="448">
        <f t="shared" si="3"/>
        <v>0.45549545728773527</v>
      </c>
      <c r="E5" s="49">
        <f>((B5*staticResult!$C$2*100)+配裝模擬!$D$2+staticResult!$D$16*0.47)/staticResult!$C$2/100</f>
        <v>0.34944258780133347</v>
      </c>
      <c r="F5" s="450" t="s">
        <v>663</v>
      </c>
      <c r="G5" s="448">
        <f t="shared" ca="1" si="0"/>
        <v>2.919917357977809</v>
      </c>
      <c r="H5" s="49">
        <v>0.253</v>
      </c>
      <c r="I5" s="49">
        <f ca="1">((M5*staticResult!$C$2*100)+配裝模擬!$D$2+staticResult!$D$16*0.47)/staticResult!$C$2/100</f>
        <v>0.3747425878013334</v>
      </c>
      <c r="J5" s="49">
        <f ca="1">(staticResult!$C$16-H5)+BUFF!$F$27</f>
        <v>0.89475423898969308</v>
      </c>
      <c r="K5" s="448">
        <f t="shared" ca="1" si="2"/>
        <v>0.61082661603650779</v>
      </c>
      <c r="L5" s="49">
        <f>((H5*staticResult!$C$2*100)+配裝模擬!$D$2+staticResult!$D$16*0.47)/staticResult!$C$2/100</f>
        <v>0.34944258780133347</v>
      </c>
      <c r="M5" s="476">
        <f ca="1">H5*(1+BUFF!$H$27)</f>
        <v>0.27830000000000005</v>
      </c>
      <c r="O5" s="49" t="s">
        <v>1326</v>
      </c>
    </row>
    <row r="6" spans="1:16">
      <c r="A6" s="448">
        <f t="shared" si="1"/>
        <v>2.031986295645821</v>
      </c>
      <c r="B6" s="49">
        <v>0.254</v>
      </c>
      <c r="C6" s="49">
        <f>staticResult!$C$16-B6</f>
        <v>0.66625423898969305</v>
      </c>
      <c r="D6" s="448">
        <f t="shared" si="3"/>
        <v>0.45363309391888113</v>
      </c>
      <c r="E6" s="49">
        <f>((B6*staticResult!$C$2*100)+配裝模擬!$D$2+staticResult!$D$16*0.47)/staticResult!$C$2/100</f>
        <v>0.35044258780133342</v>
      </c>
      <c r="F6" s="449">
        <f>MAX(A2:A552)</f>
        <v>2.087007513033682</v>
      </c>
      <c r="G6" s="448">
        <f t="shared" ca="1" si="0"/>
        <v>2.9205254209941405</v>
      </c>
      <c r="H6" s="49">
        <v>0.254</v>
      </c>
      <c r="I6" s="49">
        <f ca="1">((M6*staticResult!$C$2*100)+配裝模擬!$D$2+staticResult!$D$16*0.47)/staticResult!$C$2/100</f>
        <v>0.37584258780133345</v>
      </c>
      <c r="J6" s="49">
        <f ca="1">(staticResult!$C$16-H6)+BUFF!$F$27</f>
        <v>0.89375423898969308</v>
      </c>
      <c r="K6" s="448">
        <f t="shared" ca="1" si="2"/>
        <v>0.60806301633142767</v>
      </c>
      <c r="L6" s="49">
        <f>((H6*staticResult!$C$2*100)+配裝模擬!$D$2+staticResult!$D$16*0.47)/staticResult!$C$2/100</f>
        <v>0.35044258780133342</v>
      </c>
      <c r="M6" s="476">
        <f ca="1">H6*(1+BUFF!$H$27)</f>
        <v>0.27940000000000004</v>
      </c>
      <c r="O6" s="49" t="s">
        <v>1271</v>
      </c>
    </row>
    <row r="7" spans="1:16">
      <c r="A7" s="448">
        <f t="shared" si="1"/>
        <v>2.0324380663763706</v>
      </c>
      <c r="B7" s="49">
        <v>0.255</v>
      </c>
      <c r="C7" s="49">
        <f>staticResult!$C$16-B7</f>
        <v>0.66525423898969305</v>
      </c>
      <c r="D7" s="448">
        <f t="shared" si="3"/>
        <v>0.45177073054958289</v>
      </c>
      <c r="E7" s="49">
        <f>((B7*staticResult!$C$2*100)+配裝模擬!$D$2+staticResult!$D$16*0.47)/staticResult!$C$2/100</f>
        <v>0.35144258780133342</v>
      </c>
      <c r="F7" s="452" t="s">
        <v>656</v>
      </c>
      <c r="G7" s="448">
        <f t="shared" ca="1" si="0"/>
        <v>2.9211307204107659</v>
      </c>
      <c r="H7" s="49">
        <v>0.255</v>
      </c>
      <c r="I7" s="49">
        <f ca="1">((M7*staticResult!$C$2*100)+配裝模擬!$D$2+staticResult!$D$16*0.47)/staticResult!$C$2/100</f>
        <v>0.37694258780133338</v>
      </c>
      <c r="J7" s="49">
        <f ca="1">(staticResult!$C$16-H7)+BUFF!$F$27</f>
        <v>0.89275423898969308</v>
      </c>
      <c r="K7" s="448">
        <f t="shared" ca="1" si="2"/>
        <v>0.60529941662545939</v>
      </c>
      <c r="L7" s="49">
        <f>((H7*staticResult!$C$2*100)+配裝模擬!$D$2+staticResult!$D$16*0.47)/staticResult!$C$2/100</f>
        <v>0.35144258780133342</v>
      </c>
      <c r="M7" s="476">
        <f ca="1">H7*(1+BUFF!$H$27)</f>
        <v>0.28050000000000003</v>
      </c>
      <c r="O7" s="49" t="s">
        <v>1319</v>
      </c>
    </row>
    <row r="8" spans="1:16">
      <c r="A8" s="448">
        <f t="shared" si="1"/>
        <v>2.0328879747435518</v>
      </c>
      <c r="B8" s="49">
        <v>0.25600000000000001</v>
      </c>
      <c r="C8" s="49">
        <f>staticResult!$C$16-B8</f>
        <v>0.66425423898969305</v>
      </c>
      <c r="D8" s="448">
        <f t="shared" si="3"/>
        <v>0.44990836718117283</v>
      </c>
      <c r="E8" s="49">
        <f>((B8*staticResult!$C$2*100)+配裝模擬!$D$2+staticResult!$D$16*0.47)/staticResult!$C$2/100</f>
        <v>0.35244258780133342</v>
      </c>
      <c r="F8" s="452">
        <f>VLOOKUP($F$6,A:D,3,FALSE)</f>
        <v>0.42325423898969305</v>
      </c>
      <c r="G8" s="448">
        <f t="shared" ca="1" si="0"/>
        <v>2.9217332562276845</v>
      </c>
      <c r="H8" s="49">
        <v>0.25600000000000001</v>
      </c>
      <c r="I8" s="49">
        <f ca="1">((M8*staticResult!$C$2*100)+配裝模擬!$D$2+staticResult!$D$16*0.47)/staticResult!$C$2/100</f>
        <v>0.37804258780133343</v>
      </c>
      <c r="J8" s="49">
        <f ca="1">(staticResult!$C$16-H8)+BUFF!$F$27</f>
        <v>0.89175423898969308</v>
      </c>
      <c r="K8" s="448">
        <f t="shared" ca="1" si="2"/>
        <v>0.60253581691860292</v>
      </c>
      <c r="L8" s="49">
        <f>((H8*staticResult!$C$2*100)+配裝模擬!$D$2+staticResult!$D$16*0.47)/staticResult!$C$2/100</f>
        <v>0.35244258780133342</v>
      </c>
      <c r="M8" s="476">
        <f ca="1">H8*(1+BUFF!$H$27)</f>
        <v>0.28160000000000002</v>
      </c>
    </row>
    <row r="9" spans="1:16">
      <c r="A9" s="448">
        <f t="shared" si="1"/>
        <v>2.0333360207473641</v>
      </c>
      <c r="B9" s="49">
        <v>0.25700000000000001</v>
      </c>
      <c r="C9" s="49">
        <f>staticResult!$C$16-B9</f>
        <v>0.66325423898969305</v>
      </c>
      <c r="D9" s="448">
        <f t="shared" si="3"/>
        <v>0.44804600381231868</v>
      </c>
      <c r="E9" s="49">
        <f>((B9*staticResult!$C$2*100)+配裝模擬!$D$2+staticResult!$D$16*0.47)/staticResult!$C$2/100</f>
        <v>0.35344258780133342</v>
      </c>
      <c r="F9" s="451" t="s">
        <v>1111</v>
      </c>
      <c r="G9" s="448">
        <f t="shared" ca="1" si="0"/>
        <v>2.9223330284448976</v>
      </c>
      <c r="H9" s="49">
        <v>0.25700000000000001</v>
      </c>
      <c r="I9" s="49">
        <f ca="1">((M9*staticResult!$C$2*100)+配裝模擬!$D$2+staticResult!$D$16*0.47)/staticResult!$C$2/100</f>
        <v>0.37914258780133336</v>
      </c>
      <c r="J9" s="49">
        <f ca="1">(staticResult!$C$16-H9)+BUFF!$F$27</f>
        <v>0.89075423898969308</v>
      </c>
      <c r="K9" s="448">
        <f t="shared" ca="1" si="2"/>
        <v>0.59977221721307872</v>
      </c>
      <c r="L9" s="49">
        <f>((H9*staticResult!$C$2*100)+配裝模擬!$D$2+staticResult!$D$16*0.47)/staticResult!$C$2/100</f>
        <v>0.35344258780133342</v>
      </c>
      <c r="M9" s="476">
        <f ca="1">H9*(1+BUFF!$H$27)</f>
        <v>0.28270000000000001</v>
      </c>
      <c r="O9" s="453" t="s">
        <v>1278</v>
      </c>
      <c r="P9" s="507" t="s">
        <v>1374</v>
      </c>
    </row>
    <row r="10" spans="1:16">
      <c r="A10" s="448">
        <f t="shared" si="1"/>
        <v>2.0337822043878067</v>
      </c>
      <c r="B10" s="49">
        <v>0.25800000000000001</v>
      </c>
      <c r="C10" s="49">
        <f>staticResult!$C$16-B10</f>
        <v>0.66225423898969304</v>
      </c>
      <c r="D10" s="448">
        <f t="shared" si="3"/>
        <v>0.44618364044257636</v>
      </c>
      <c r="E10" s="49">
        <f>((B10*staticResult!$C$2*100)+配裝模擬!$D$2+staticResult!$D$16*0.47)/staticResult!$C$2/100</f>
        <v>0.35444258780133336</v>
      </c>
      <c r="F10" s="451">
        <f>VLOOKUP($F$6,A:E,5,FALSE)*(staticResult!$C$2*100)/(staticResult!$C$2*100)</f>
        <v>0.59344258780133341</v>
      </c>
      <c r="G10" s="448">
        <f t="shared" ca="1" si="0"/>
        <v>2.9229300370624065</v>
      </c>
      <c r="H10" s="49">
        <v>0.25800000000000001</v>
      </c>
      <c r="I10" s="49">
        <f ca="1">((M10*staticResult!$C$2*100)+配裝模擬!$D$2+staticResult!$D$16*0.47)/staticResult!$C$2/100</f>
        <v>0.38024258780133346</v>
      </c>
      <c r="J10" s="49">
        <f ca="1">(staticResult!$C$16-H10)+BUFF!$F$27</f>
        <v>0.88975423898969308</v>
      </c>
      <c r="K10" s="448">
        <f t="shared" ca="1" si="2"/>
        <v>0.59700861750888679</v>
      </c>
      <c r="L10" s="49">
        <f>((H10*staticResult!$C$2*100)+配裝模擬!$D$2+staticResult!$D$16*0.47)/staticResult!$C$2/100</f>
        <v>0.35444258780133336</v>
      </c>
      <c r="M10" s="476">
        <f ca="1">H10*(1+BUFF!$H$27)</f>
        <v>0.28380000000000005</v>
      </c>
      <c r="O10" s="453" t="s">
        <v>1310</v>
      </c>
      <c r="P10" s="508">
        <v>1.86</v>
      </c>
    </row>
    <row r="11" spans="1:16">
      <c r="A11" s="448">
        <f t="shared" si="1"/>
        <v>2.0342265256648808</v>
      </c>
      <c r="B11" s="49">
        <v>0.25900000000000001</v>
      </c>
      <c r="C11" s="49">
        <f>staticResult!$C$16-B11</f>
        <v>0.66125423898969304</v>
      </c>
      <c r="D11" s="448">
        <f t="shared" si="3"/>
        <v>0.4443212770741663</v>
      </c>
      <c r="E11" s="49">
        <f>((B11*staticResult!$C$2*100)+配裝模擬!$D$2+staticResult!$D$16*0.47)/staticResult!$C$2/100</f>
        <v>0.35544258780133348</v>
      </c>
      <c r="F11" s="447" t="s">
        <v>659</v>
      </c>
      <c r="G11" s="448">
        <f t="shared" ca="1" si="0"/>
        <v>2.9235242820802085</v>
      </c>
      <c r="H11" s="49">
        <v>0.25900000000000001</v>
      </c>
      <c r="I11" s="49">
        <f ca="1">((M11*staticResult!$C$2*100)+配裝模擬!$D$2+staticResult!$D$16*0.47)/staticResult!$C$2/100</f>
        <v>0.38134258780133345</v>
      </c>
      <c r="J11" s="49">
        <f ca="1">(staticResult!$C$16-H11)+BUFF!$F$27</f>
        <v>0.88875423898969308</v>
      </c>
      <c r="K11" s="448">
        <f t="shared" ca="1" si="2"/>
        <v>0.59424501780203032</v>
      </c>
      <c r="L11" s="49">
        <f>((H11*staticResult!$C$2*100)+配裝模擬!$D$2+staticResult!$D$16*0.47)/staticResult!$C$2/100</f>
        <v>0.35544258780133348</v>
      </c>
      <c r="M11" s="476">
        <f ca="1">H11*(1+BUFF!$H$27)</f>
        <v>0.28490000000000004</v>
      </c>
    </row>
    <row r="12" spans="1:16">
      <c r="A12" s="448">
        <f t="shared" si="1"/>
        <v>2.0346689845785866</v>
      </c>
      <c r="B12" s="49">
        <v>0.26</v>
      </c>
      <c r="C12" s="49">
        <f>staticResult!$C$16-B12</f>
        <v>0.66025423898969304</v>
      </c>
      <c r="D12" s="448">
        <f t="shared" si="3"/>
        <v>0.44245891370575624</v>
      </c>
      <c r="E12" s="49">
        <f>((B12*staticResult!$C$2*100)+配裝模擬!$D$2+staticResult!$D$16*0.47)/staticResult!$C$2/100</f>
        <v>0.35644258780133342</v>
      </c>
      <c r="F12" s="453" t="s">
        <v>664</v>
      </c>
      <c r="G12" s="448">
        <f t="shared" ca="1" si="0"/>
        <v>2.9241157634983046</v>
      </c>
      <c r="H12" s="49">
        <v>0.26</v>
      </c>
      <c r="I12" s="49">
        <f ca="1">((M12*staticResult!$C$2*100)+配裝模擬!$D$2+staticResult!$D$16*0.47)/staticResult!$C$2/100</f>
        <v>0.38244258780133344</v>
      </c>
      <c r="J12" s="49">
        <f ca="1">(staticResult!$C$16-H12)+BUFF!$F$27</f>
        <v>0.88775423898969308</v>
      </c>
      <c r="K12" s="448">
        <f t="shared" ca="1" si="2"/>
        <v>0.59148141809606203</v>
      </c>
      <c r="L12" s="49">
        <f>((H12*staticResult!$C$2*100)+配裝模擬!$D$2+staticResult!$D$16*0.47)/staticResult!$C$2/100</f>
        <v>0.35644258780133342</v>
      </c>
      <c r="M12" s="476">
        <f ca="1">H12*(1+BUFF!$H$27)</f>
        <v>0.28600000000000003</v>
      </c>
    </row>
    <row r="13" spans="1:16">
      <c r="A13" s="448">
        <f t="shared" si="1"/>
        <v>2.0351095811289226</v>
      </c>
      <c r="B13" s="49">
        <v>0.26100000000000001</v>
      </c>
      <c r="C13" s="49">
        <f>staticResult!$C$16-B13</f>
        <v>0.65925423898969304</v>
      </c>
      <c r="D13" s="448">
        <f t="shared" si="3"/>
        <v>0.44059655033601391</v>
      </c>
      <c r="E13" s="49">
        <f>((B13*staticResult!$C$2*100)+配裝模擬!$D$2+staticResult!$D$16*0.47)/staticResult!$C$2/100</f>
        <v>0.35744258780133342</v>
      </c>
      <c r="F13" s="453">
        <f>F3+staticResult!F16</f>
        <v>2.2561816844496581</v>
      </c>
      <c r="G13" s="448">
        <f t="shared" ca="1" si="0"/>
        <v>2.9247044813166947</v>
      </c>
      <c r="H13" s="49">
        <v>0.26100000000000001</v>
      </c>
      <c r="I13" s="49">
        <f ca="1">((M13*staticResult!$C$2*100)+配裝模擬!$D$2+staticResult!$D$16*0.47)/staticResult!$C$2/100</f>
        <v>0.38354258780133338</v>
      </c>
      <c r="J13" s="49">
        <f ca="1">(staticResult!$C$16-H13)+BUFF!$F$27</f>
        <v>0.88675423898969308</v>
      </c>
      <c r="K13" s="448">
        <f t="shared" ca="1" si="2"/>
        <v>0.58871781839009374</v>
      </c>
      <c r="L13" s="49">
        <f>((H13*staticResult!$C$2*100)+配裝模擬!$D$2+staticResult!$D$16*0.47)/staticResult!$C$2/100</f>
        <v>0.35744258780133342</v>
      </c>
      <c r="M13" s="476">
        <f ca="1">H13*(1+BUFF!$H$27)</f>
        <v>0.28710000000000002</v>
      </c>
    </row>
    <row r="14" spans="1:16">
      <c r="A14" s="448">
        <f t="shared" si="1"/>
        <v>2.0355483153158902</v>
      </c>
      <c r="B14" s="49">
        <v>0.26200000000000001</v>
      </c>
      <c r="C14" s="49">
        <f>staticResult!$C$16-B14</f>
        <v>0.65825423898969304</v>
      </c>
      <c r="D14" s="448">
        <f t="shared" si="3"/>
        <v>0.43873418696760386</v>
      </c>
      <c r="E14" s="49">
        <f>((B14*staticResult!$C$2*100)+配裝模擬!$D$2+staticResult!$D$16*0.47)/staticResult!$C$2/100</f>
        <v>0.35844258780133337</v>
      </c>
      <c r="F14" s="450" t="s">
        <v>663</v>
      </c>
      <c r="G14" s="448">
        <f t="shared" ca="1" si="0"/>
        <v>2.9252904355353793</v>
      </c>
      <c r="H14" s="49">
        <v>0.26200000000000001</v>
      </c>
      <c r="I14" s="49">
        <f ca="1">((M14*staticResult!$C$2*100)+配裝模擬!$D$2+staticResult!$D$16*0.47)/staticResult!$C$2/100</f>
        <v>0.38464258780133342</v>
      </c>
      <c r="J14" s="49">
        <f ca="1">(staticResult!$C$16-H14)+BUFF!$F$27</f>
        <v>0.88575423898969308</v>
      </c>
      <c r="K14" s="448">
        <f t="shared" ca="1" si="2"/>
        <v>0.58595421868456954</v>
      </c>
      <c r="L14" s="49">
        <f>((H14*staticResult!$C$2*100)+配裝模擬!$D$2+staticResult!$D$16*0.47)/staticResult!$C$2/100</f>
        <v>0.35844258780133337</v>
      </c>
      <c r="M14" s="476">
        <f ca="1">H14*(1+BUFF!$H$27)</f>
        <v>0.28820000000000001</v>
      </c>
    </row>
    <row r="15" spans="1:16">
      <c r="A15" s="448">
        <f t="shared" si="1"/>
        <v>2.0359851871394889</v>
      </c>
      <c r="B15" s="49">
        <v>0.26300000000000001</v>
      </c>
      <c r="C15" s="49">
        <f>staticResult!$C$16-B15</f>
        <v>0.65725423898969304</v>
      </c>
      <c r="D15" s="448">
        <f t="shared" si="3"/>
        <v>0.43687182359874971</v>
      </c>
      <c r="E15" s="49">
        <f>((B15*staticResult!$C$2*100)+配裝模擬!$D$2+staticResult!$D$16*0.47)/staticResult!$C$2/100</f>
        <v>0.35944258780133348</v>
      </c>
      <c r="F15" s="449">
        <f ca="1">MAX(G2:G552)</f>
        <v>2.9871161757392111</v>
      </c>
      <c r="G15" s="448">
        <f t="shared" ca="1" si="0"/>
        <v>2.9258736261543579</v>
      </c>
      <c r="H15" s="49">
        <v>0.26300000000000001</v>
      </c>
      <c r="I15" s="49">
        <f ca="1">((M15*staticResult!$C$2*100)+配裝模擬!$D$2+staticResult!$D$16*0.47)/staticResult!$C$2/100</f>
        <v>0.38574258780133341</v>
      </c>
      <c r="J15" s="49">
        <f ca="1">(staticResult!$C$16-H15)+BUFF!$F$27</f>
        <v>0.88475423898969308</v>
      </c>
      <c r="K15" s="448">
        <f t="shared" ca="1" si="2"/>
        <v>0.58319061897860125</v>
      </c>
      <c r="L15" s="49">
        <f>((H15*staticResult!$C$2*100)+配裝模擬!$D$2+staticResult!$D$16*0.47)/staticResult!$C$2/100</f>
        <v>0.35944258780133348</v>
      </c>
      <c r="M15" s="476">
        <f ca="1">H15*(1+BUFF!$H$27)</f>
        <v>0.28930000000000006</v>
      </c>
    </row>
    <row r="16" spans="1:16">
      <c r="A16" s="448">
        <f t="shared" si="1"/>
        <v>2.0364201965997188</v>
      </c>
      <c r="B16" s="49">
        <v>0.26400000000000001</v>
      </c>
      <c r="C16" s="49">
        <f>staticResult!$C$16-B16</f>
        <v>0.65625423898969304</v>
      </c>
      <c r="D16" s="448">
        <f t="shared" si="3"/>
        <v>0.43500946022989556</v>
      </c>
      <c r="E16" s="49">
        <f>((B16*staticResult!$C$2*100)+配裝模擬!$D$2+staticResult!$D$16*0.47)/staticResult!$C$2/100</f>
        <v>0.36044258780133343</v>
      </c>
      <c r="F16" s="455" t="s">
        <v>661</v>
      </c>
      <c r="G16" s="448">
        <f t="shared" ca="1" si="0"/>
        <v>2.9264540531736318</v>
      </c>
      <c r="H16" s="49">
        <v>0.26400000000000001</v>
      </c>
      <c r="I16" s="49">
        <f ca="1">((M16*staticResult!$C$2*100)+配裝模擬!$D$2+staticResult!$D$16*0.47)/staticResult!$C$2/100</f>
        <v>0.3868425878013334</v>
      </c>
      <c r="J16" s="49">
        <f ca="1">(staticResult!$C$16-H16)+BUFF!$F$27</f>
        <v>0.88375423898969308</v>
      </c>
      <c r="K16" s="448">
        <f t="shared" ca="1" si="2"/>
        <v>0.58042701927396523</v>
      </c>
      <c r="L16" s="49">
        <f>((H16*staticResult!$C$2*100)+配裝模擬!$D$2+staticResult!$D$16*0.47)/staticResult!$C$2/100</f>
        <v>0.36044258780133343</v>
      </c>
      <c r="M16" s="476">
        <f ca="1">H16*(1+BUFF!$H$27)</f>
        <v>0.29040000000000005</v>
      </c>
    </row>
    <row r="17" spans="1:13">
      <c r="A17" s="448">
        <f t="shared" si="1"/>
        <v>2.0368533436965799</v>
      </c>
      <c r="B17" s="49">
        <v>0.26500000000000001</v>
      </c>
      <c r="C17" s="49">
        <f>staticResult!$C$16-B17</f>
        <v>0.65525423898969304</v>
      </c>
      <c r="D17" s="448">
        <f t="shared" si="3"/>
        <v>0.43314709686104141</v>
      </c>
      <c r="E17" s="49">
        <f>((B17*staticResult!$C$2*100)+配裝模擬!$D$2+staticResult!$D$16*0.47)/staticResult!$C$2/100</f>
        <v>0.36144258780133343</v>
      </c>
      <c r="F17" s="456">
        <f ca="1">VLOOKUP($F$15,G:K,4,FALSE)</f>
        <v>0.67375423898969311</v>
      </c>
      <c r="G17" s="448">
        <f t="shared" ca="1" si="0"/>
        <v>2.9270317165931985</v>
      </c>
      <c r="H17" s="49">
        <v>0.26500000000000001</v>
      </c>
      <c r="I17" s="49">
        <f ca="1">((M17*staticResult!$C$2*100)+配裝模擬!$D$2+staticResult!$D$16*0.47)/staticResult!$C$2/100</f>
        <v>0.38794258780133345</v>
      </c>
      <c r="J17" s="49">
        <f ca="1">(staticResult!$C$16-H17)+BUFF!$F$27</f>
        <v>0.88275423898969307</v>
      </c>
      <c r="K17" s="448">
        <f t="shared" ca="1" si="2"/>
        <v>0.57766341956666467</v>
      </c>
      <c r="L17" s="49">
        <f>((H17*staticResult!$C$2*100)+配裝模擬!$D$2+staticResult!$D$16*0.47)/staticResult!$C$2/100</f>
        <v>0.36144258780133343</v>
      </c>
      <c r="M17" s="476">
        <f ca="1">H17*(1+BUFF!$H$27)</f>
        <v>0.29150000000000004</v>
      </c>
    </row>
    <row r="18" spans="1:13">
      <c r="A18" s="448">
        <f t="shared" si="1"/>
        <v>2.0372846284300712</v>
      </c>
      <c r="B18" s="49">
        <v>0.26600000000000001</v>
      </c>
      <c r="C18" s="49">
        <f>staticResult!$C$16-B18</f>
        <v>0.65425423898969304</v>
      </c>
      <c r="D18" s="448">
        <f t="shared" si="3"/>
        <v>0.43128473349129909</v>
      </c>
      <c r="E18" s="49">
        <f>((B18*staticResult!$C$2*100)+配裝模擬!$D$2+staticResult!$D$16*0.47)/staticResult!$C$2/100</f>
        <v>0.36244258780133343</v>
      </c>
      <c r="F18" s="457" t="s">
        <v>1116</v>
      </c>
      <c r="G18" s="448">
        <f t="shared" ca="1" si="0"/>
        <v>2.9276066164130596</v>
      </c>
      <c r="H18" s="49">
        <v>0.26600000000000001</v>
      </c>
      <c r="I18" s="49">
        <f ca="1">((M18*staticResult!$C$2*100)+配裝模擬!$D$2+staticResult!$D$16*0.47)/staticResult!$C$2/100</f>
        <v>0.38904258780133349</v>
      </c>
      <c r="J18" s="49">
        <f ca="1">(staticResult!$C$16-H18)+BUFF!$F$27</f>
        <v>0.88175423898969307</v>
      </c>
      <c r="K18" s="448">
        <f t="shared" ca="1" si="2"/>
        <v>0.57489981986114047</v>
      </c>
      <c r="L18" s="49">
        <f>((H18*staticResult!$C$2*100)+配裝模擬!$D$2+staticResult!$D$16*0.47)/staticResult!$C$2/100</f>
        <v>0.36244258780133343</v>
      </c>
      <c r="M18" s="476">
        <f ca="1">H18*(1+BUFF!$H$27)</f>
        <v>0.29260000000000003</v>
      </c>
    </row>
    <row r="19" spans="1:13">
      <c r="A19" s="448">
        <f t="shared" si="1"/>
        <v>2.0377140508001941</v>
      </c>
      <c r="B19" s="49">
        <v>0.26700000000000002</v>
      </c>
      <c r="C19" s="49">
        <f>staticResult!$C$16-B19</f>
        <v>0.65325423898969304</v>
      </c>
      <c r="D19" s="448">
        <f t="shared" si="3"/>
        <v>0.42942237012288903</v>
      </c>
      <c r="E19" s="49">
        <f>((B19*staticResult!$C$2*100)+配裝模擬!$D$2+staticResult!$D$16*0.47)/staticResult!$C$2/100</f>
        <v>0.36344258780133337</v>
      </c>
      <c r="F19" s="457">
        <f ca="1">VLOOKUP($F$15,G:J,3,FALSE)</f>
        <v>0.61784258780133339</v>
      </c>
      <c r="G19" s="448">
        <f t="shared" ca="1" si="0"/>
        <v>2.9281787526332157</v>
      </c>
      <c r="H19" s="49">
        <v>0.26700000000000002</v>
      </c>
      <c r="I19" s="49">
        <f ca="1">((M19*staticResult!$C$2*100)+配裝模擬!$D$2+staticResult!$D$16*0.47)/staticResult!$C$2/100</f>
        <v>0.39014258780133337</v>
      </c>
      <c r="J19" s="49">
        <f ca="1">(staticResult!$C$16-H19)+BUFF!$F$27</f>
        <v>0.88075423898969307</v>
      </c>
      <c r="K19" s="448">
        <f t="shared" ca="1" si="2"/>
        <v>0.57213622015606036</v>
      </c>
      <c r="L19" s="49">
        <f>((H19*staticResult!$C$2*100)+配裝模擬!$D$2+staticResult!$D$16*0.47)/staticResult!$C$2/100</f>
        <v>0.36344258780133337</v>
      </c>
      <c r="M19" s="476">
        <f ca="1">H19*(1+BUFF!$H$27)</f>
        <v>0.29370000000000002</v>
      </c>
    </row>
    <row r="20" spans="1:13">
      <c r="A20" s="448">
        <f t="shared" si="1"/>
        <v>2.0381416108069486</v>
      </c>
      <c r="B20" s="49">
        <v>0.26800000000000002</v>
      </c>
      <c r="C20" s="49">
        <f>staticResult!$C$16-B20</f>
        <v>0.65225423898969304</v>
      </c>
      <c r="D20" s="448">
        <f t="shared" si="3"/>
        <v>0.42756000675447897</v>
      </c>
      <c r="E20" s="49">
        <f>((B20*staticResult!$C$2*100)+配裝模擬!$D$2+staticResult!$D$16*0.47)/staticResult!$C$2/100</f>
        <v>0.36444258780133337</v>
      </c>
      <c r="F20" s="452" t="s">
        <v>1114</v>
      </c>
      <c r="G20" s="448">
        <f t="shared" ca="1" si="0"/>
        <v>2.9287481252536662</v>
      </c>
      <c r="H20" s="49">
        <v>0.26800000000000002</v>
      </c>
      <c r="I20" s="49">
        <f ca="1">((M20*staticResult!$C$2*100)+配裝模擬!$D$2+staticResult!$D$16*0.47)/staticResult!$C$2/100</f>
        <v>0.39124258780133347</v>
      </c>
      <c r="J20" s="49">
        <f ca="1">(staticResult!$C$16-H20)+BUFF!$F$27</f>
        <v>0.87975423898969307</v>
      </c>
      <c r="K20" s="448">
        <f t="shared" ca="1" si="2"/>
        <v>0.56937262045053616</v>
      </c>
      <c r="L20" s="49">
        <f>((H20*staticResult!$C$2*100)+配裝模擬!$D$2+staticResult!$D$16*0.47)/staticResult!$C$2/100</f>
        <v>0.36444258780133337</v>
      </c>
      <c r="M20" s="476">
        <f ca="1">H20*(1+BUFF!$H$27)</f>
        <v>0.29480000000000006</v>
      </c>
    </row>
    <row r="21" spans="1:13">
      <c r="A21" s="448">
        <f t="shared" si="1"/>
        <v>2.0385673084503342</v>
      </c>
      <c r="B21" s="49">
        <v>0.26900000000000002</v>
      </c>
      <c r="C21" s="49">
        <f>staticResult!$C$16-B21</f>
        <v>0.65125423898969304</v>
      </c>
      <c r="D21" s="448">
        <f t="shared" si="3"/>
        <v>0.42569764338562482</v>
      </c>
      <c r="E21" s="49">
        <f>((B21*staticResult!$C$2*100)+配裝模擬!$D$2+staticResult!$D$16*0.47)/staticResult!$C$2/100</f>
        <v>0.36544258780133343</v>
      </c>
      <c r="F21" s="452">
        <f ca="1">F17-BUFF!$F$27</f>
        <v>0.44625423898969308</v>
      </c>
      <c r="G21" s="448">
        <f t="shared" ca="1" si="0"/>
        <v>2.9293147342744099</v>
      </c>
      <c r="H21" s="49">
        <v>0.26900000000000002</v>
      </c>
      <c r="I21" s="49">
        <f ca="1">((M21*staticResult!$C$2*100)+配裝模擬!$D$2+staticResult!$D$16*0.47)/staticResult!$C$2/100</f>
        <v>0.39234258780133346</v>
      </c>
      <c r="J21" s="49">
        <f ca="1">(staticResult!$C$16-H21)+BUFF!$F$27</f>
        <v>0.87875423898969307</v>
      </c>
      <c r="K21" s="448">
        <f t="shared" ca="1" si="2"/>
        <v>0.56660902074367969</v>
      </c>
      <c r="L21" s="49">
        <f>((H21*staticResult!$C$2*100)+配裝模擬!$D$2+staticResult!$D$16*0.47)/staticResult!$C$2/100</f>
        <v>0.36544258780133343</v>
      </c>
      <c r="M21" s="476">
        <f ca="1">H21*(1+BUFF!$H$27)</f>
        <v>0.29590000000000005</v>
      </c>
    </row>
    <row r="22" spans="1:13">
      <c r="A22" s="448">
        <f t="shared" si="1"/>
        <v>2.0389911437303501</v>
      </c>
      <c r="B22" s="49">
        <v>0.27</v>
      </c>
      <c r="C22" s="49">
        <f>staticResult!$C$16-B22</f>
        <v>0.65025423898969303</v>
      </c>
      <c r="D22" s="448">
        <f t="shared" si="3"/>
        <v>0.4238352800158825</v>
      </c>
      <c r="E22" s="49">
        <f>((B22*staticResult!$C$2*100)+配裝模擬!$D$2+staticResult!$D$16*0.47)/staticResult!$C$2/100</f>
        <v>0.36644258780133343</v>
      </c>
      <c r="F22" s="451" t="s">
        <v>1113</v>
      </c>
      <c r="G22" s="448">
        <f t="shared" ca="1" si="0"/>
        <v>2.9298785796954481</v>
      </c>
      <c r="H22" s="49">
        <v>0.27</v>
      </c>
      <c r="I22" s="49">
        <f ca="1">((M22*staticResult!$C$2*100)+配裝模擬!$D$2+staticResult!$D$16*0.47)/staticResult!$C$2/100</f>
        <v>0.39344258780133345</v>
      </c>
      <c r="J22" s="49">
        <f ca="1">(staticResult!$C$16-H22)+BUFF!$F$27</f>
        <v>0.87775423898969307</v>
      </c>
      <c r="K22" s="448">
        <f t="shared" ca="1" si="2"/>
        <v>0.56384542103815549</v>
      </c>
      <c r="L22" s="49">
        <f>((H22*staticResult!$C$2*100)+配裝模擬!$D$2+staticResult!$D$16*0.47)/staticResult!$C$2/100</f>
        <v>0.36644258780133343</v>
      </c>
      <c r="M22" s="476">
        <f ca="1">H22*(1+BUFF!$H$27)</f>
        <v>0.29700000000000004</v>
      </c>
    </row>
    <row r="23" spans="1:13">
      <c r="A23" s="448">
        <f t="shared" si="1"/>
        <v>2.0394131166469975</v>
      </c>
      <c r="B23" s="49">
        <v>0.27100000000000002</v>
      </c>
      <c r="C23" s="49">
        <f>staticResult!$C$16-B23</f>
        <v>0.64925423898969303</v>
      </c>
      <c r="D23" s="448">
        <f t="shared" si="3"/>
        <v>0.42197291664747244</v>
      </c>
      <c r="E23" s="49">
        <f>((B23*staticResult!$C$2*100)+配裝模擬!$D$2+staticResult!$D$16*0.47)/staticResult!$C$2/100</f>
        <v>0.36744258780133343</v>
      </c>
      <c r="F23" s="451">
        <f ca="1">VLOOKUP($F$15,G:L,6,FALSE)</f>
        <v>0.57044258780133328</v>
      </c>
      <c r="G23" s="448">
        <f t="shared" ca="1" si="0"/>
        <v>2.9304396615167807</v>
      </c>
      <c r="H23" s="49">
        <v>0.27100000000000002</v>
      </c>
      <c r="I23" s="49">
        <f ca="1">((M23*staticResult!$C$2*100)+配裝模擬!$D$2+staticResult!$D$16*0.47)/staticResult!$C$2/100</f>
        <v>0.39454258780133344</v>
      </c>
      <c r="J23" s="49">
        <f ca="1">(staticResult!$C$16-H23)+BUFF!$F$27</f>
        <v>0.87675423898969307</v>
      </c>
      <c r="K23" s="448">
        <f t="shared" ca="1" si="2"/>
        <v>0.5610818213326314</v>
      </c>
      <c r="L23" s="49">
        <f>((H23*staticResult!$C$2*100)+配裝模擬!$D$2+staticResult!$D$16*0.47)/staticResult!$C$2/100</f>
        <v>0.36744258780133343</v>
      </c>
      <c r="M23" s="476">
        <f ca="1">H23*(1+BUFF!$H$27)</f>
        <v>0.29810000000000003</v>
      </c>
    </row>
    <row r="24" spans="1:13">
      <c r="A24" s="448">
        <f t="shared" si="1"/>
        <v>2.0398332272002762</v>
      </c>
      <c r="B24" s="49">
        <v>0.27200000000000002</v>
      </c>
      <c r="C24" s="49">
        <f>staticResult!$C$16-B24</f>
        <v>0.64825423898969303</v>
      </c>
      <c r="D24" s="448">
        <f t="shared" si="3"/>
        <v>0.42011055327861829</v>
      </c>
      <c r="E24" s="49">
        <f>((B24*staticResult!$C$2*100)+配裝模擬!$D$2+staticResult!$D$16*0.47)/staticResult!$C$2/100</f>
        <v>0.36844258780133343</v>
      </c>
      <c r="G24" s="448">
        <f t="shared" ca="1" si="0"/>
        <v>2.9309979797384074</v>
      </c>
      <c r="H24" s="49">
        <v>0.27200000000000002</v>
      </c>
      <c r="I24" s="49">
        <f ca="1">((M24*staticResult!$C$2*100)+配裝模擬!$D$2+staticResult!$D$16*0.47)/staticResult!$C$2/100</f>
        <v>0.39564258780133343</v>
      </c>
      <c r="J24" s="49">
        <f ca="1">(staticResult!$C$16-H24)+BUFF!$F$27</f>
        <v>0.87575423898969307</v>
      </c>
      <c r="K24" s="448">
        <f t="shared" ca="1" si="2"/>
        <v>0.55831822162666311</v>
      </c>
      <c r="L24" s="49">
        <f>((H24*staticResult!$C$2*100)+配裝模擬!$D$2+staticResult!$D$16*0.47)/staticResult!$C$2/100</f>
        <v>0.36844258780133343</v>
      </c>
      <c r="M24" s="476">
        <f ca="1">H24*(1+BUFF!$H$27)</f>
        <v>0.29920000000000002</v>
      </c>
    </row>
    <row r="25" spans="1:13">
      <c r="A25" s="448">
        <f t="shared" si="1"/>
        <v>2.0402514753901859</v>
      </c>
      <c r="B25" s="49">
        <v>0.27300000000000002</v>
      </c>
      <c r="C25" s="49">
        <f>staticResult!$C$16-B25</f>
        <v>0.64725423898969303</v>
      </c>
      <c r="D25" s="448">
        <f t="shared" si="3"/>
        <v>0.41824818990976415</v>
      </c>
      <c r="E25" s="49">
        <f>((B25*staticResult!$C$2*100)+配裝模擬!$D$2+staticResult!$D$16*0.47)/staticResult!$C$2/100</f>
        <v>0.36944258780133338</v>
      </c>
      <c r="G25" s="448">
        <f t="shared" ca="1" si="0"/>
        <v>2.9315535343603285</v>
      </c>
      <c r="H25" s="49">
        <v>0.27300000000000002</v>
      </c>
      <c r="I25" s="49">
        <f ca="1">((M25*staticResult!$C$2*100)+配裝模擬!$D$2+staticResult!$D$16*0.47)/staticResult!$C$2/100</f>
        <v>0.39674258780133342</v>
      </c>
      <c r="J25" s="49">
        <f ca="1">(staticResult!$C$16-H25)+BUFF!$F$27</f>
        <v>0.87475423898969307</v>
      </c>
      <c r="K25" s="448">
        <f t="shared" ca="1" si="2"/>
        <v>0.55555462192113891</v>
      </c>
      <c r="L25" s="49">
        <f>((H25*staticResult!$C$2*100)+配裝模擬!$D$2+staticResult!$D$16*0.47)/staticResult!$C$2/100</f>
        <v>0.36944258780133338</v>
      </c>
      <c r="M25" s="476">
        <f ca="1">H25*(1+BUFF!$H$27)</f>
        <v>0.30030000000000007</v>
      </c>
    </row>
    <row r="26" spans="1:13">
      <c r="A26" s="448">
        <f t="shared" si="1"/>
        <v>2.0406678612167268</v>
      </c>
      <c r="B26" s="49">
        <v>0.27400000000000002</v>
      </c>
      <c r="C26" s="49">
        <f>staticResult!$C$16-B26</f>
        <v>0.64625423898969303</v>
      </c>
      <c r="D26" s="448">
        <f t="shared" si="3"/>
        <v>0.41638582654091</v>
      </c>
      <c r="E26" s="49">
        <f>((B26*staticResult!$C$2*100)+配裝模擬!$D$2+staticResult!$D$16*0.47)/staticResult!$C$2/100</f>
        <v>0.37044258780133338</v>
      </c>
      <c r="G26" s="448">
        <f t="shared" ca="1" si="0"/>
        <v>2.9321063253825432</v>
      </c>
      <c r="H26" s="49">
        <v>0.27400000000000002</v>
      </c>
      <c r="I26" s="49">
        <f ca="1">((M26*staticResult!$C$2*100)+配裝模擬!$D$2+staticResult!$D$16*0.47)/staticResult!$C$2/100</f>
        <v>0.39784258780133341</v>
      </c>
      <c r="J26" s="49">
        <f ca="1">(staticResult!$C$16-H26)+BUFF!$F$27</f>
        <v>0.87375423898969307</v>
      </c>
      <c r="K26" s="448">
        <f t="shared" ca="1" si="2"/>
        <v>0.55279102221472654</v>
      </c>
      <c r="L26" s="49">
        <f>((H26*staticResult!$C$2*100)+配裝模擬!$D$2+staticResult!$D$16*0.47)/staticResult!$C$2/100</f>
        <v>0.37044258780133338</v>
      </c>
      <c r="M26" s="476">
        <f ca="1">H26*(1+BUFF!$H$27)</f>
        <v>0.30140000000000006</v>
      </c>
    </row>
    <row r="27" spans="1:13">
      <c r="A27" s="448">
        <f t="shared" si="1"/>
        <v>2.041082384679898</v>
      </c>
      <c r="B27" s="49">
        <v>0.27500000000000002</v>
      </c>
      <c r="C27" s="49">
        <f>staticResult!$C$16-B27</f>
        <v>0.64525423898969303</v>
      </c>
      <c r="D27" s="448">
        <f t="shared" si="3"/>
        <v>0.41452346317116767</v>
      </c>
      <c r="E27" s="49">
        <f>((B27*staticResult!$C$2*100)+配裝模擬!$D$2+staticResult!$D$16*0.47)/staticResult!$C$2/100</f>
        <v>0.37144258780133343</v>
      </c>
      <c r="G27" s="448">
        <f t="shared" ca="1" si="0"/>
        <v>2.932656352805052</v>
      </c>
      <c r="H27" s="49">
        <v>0.27500000000000002</v>
      </c>
      <c r="I27" s="49">
        <f ca="1">((M27*staticResult!$C$2*100)+配裝模擬!$D$2+staticResult!$D$16*0.47)/staticResult!$C$2/100</f>
        <v>0.3989425878013334</v>
      </c>
      <c r="J27" s="49">
        <f ca="1">(staticResult!$C$16-H27)+BUFF!$F$27</f>
        <v>0.87275423898969307</v>
      </c>
      <c r="K27" s="448">
        <f t="shared" ca="1" si="2"/>
        <v>0.55002742250875825</v>
      </c>
      <c r="L27" s="49">
        <f>((H27*staticResult!$C$2*100)+配裝模擬!$D$2+staticResult!$D$16*0.47)/staticResult!$C$2/100</f>
        <v>0.37144258780133343</v>
      </c>
      <c r="M27" s="476">
        <f ca="1">H27*(1+BUFF!$H$27)</f>
        <v>0.30250000000000005</v>
      </c>
    </row>
    <row r="28" spans="1:13">
      <c r="A28" s="448">
        <f t="shared" si="1"/>
        <v>2.0414950457797012</v>
      </c>
      <c r="B28" s="49">
        <v>0.27600000000000002</v>
      </c>
      <c r="C28" s="49">
        <f>staticResult!$C$16-B28</f>
        <v>0.64425423898969303</v>
      </c>
      <c r="D28" s="448">
        <f t="shared" si="3"/>
        <v>0.4126610998032017</v>
      </c>
      <c r="E28" s="49">
        <f>((B28*staticResult!$C$2*100)+配裝模擬!$D$2+staticResult!$D$16*0.47)/staticResult!$C$2/100</f>
        <v>0.37244258780133344</v>
      </c>
      <c r="G28" s="448">
        <f t="shared" ca="1" si="0"/>
        <v>2.9332036166278561</v>
      </c>
      <c r="H28" s="49">
        <v>0.27600000000000002</v>
      </c>
      <c r="I28" s="49">
        <f ca="1">((M28*staticResult!$C$2*100)+配裝模擬!$D$2+staticResult!$D$16*0.47)/staticResult!$C$2/100</f>
        <v>0.40004258780133339</v>
      </c>
      <c r="J28" s="49">
        <f ca="1">(staticResult!$C$16-H28)+BUFF!$F$27</f>
        <v>0.87175423898969306</v>
      </c>
      <c r="K28" s="448">
        <f t="shared" ca="1" si="2"/>
        <v>0.54726382280412222</v>
      </c>
      <c r="L28" s="49">
        <f>((H28*staticResult!$C$2*100)+配裝模擬!$D$2+staticResult!$D$16*0.47)/staticResult!$C$2/100</f>
        <v>0.37244258780133344</v>
      </c>
      <c r="M28" s="476">
        <f ca="1">H28*(1+BUFF!$H$27)</f>
        <v>0.30360000000000004</v>
      </c>
    </row>
    <row r="29" spans="1:13">
      <c r="A29" s="448">
        <f t="shared" si="1"/>
        <v>2.0419058445161355</v>
      </c>
      <c r="B29" s="49">
        <v>0.27700000000000002</v>
      </c>
      <c r="C29" s="49">
        <f>staticResult!$C$16-B29</f>
        <v>0.64325423898969303</v>
      </c>
      <c r="D29" s="448">
        <f t="shared" si="3"/>
        <v>0.41079873643434756</v>
      </c>
      <c r="E29" s="49">
        <f>((B29*staticResult!$C$2*100)+配裝模擬!$D$2+staticResult!$D$16*0.47)/staticResult!$C$2/100</f>
        <v>0.37344258780133344</v>
      </c>
      <c r="G29" s="448">
        <f t="shared" ca="1" si="0"/>
        <v>2.9337481168509543</v>
      </c>
      <c r="H29" s="49">
        <v>0.27700000000000002</v>
      </c>
      <c r="I29" s="49">
        <f ca="1">((M29*staticResult!$C$2*100)+配裝模擬!$D$2+staticResult!$D$16*0.47)/staticResult!$C$2/100</f>
        <v>0.40114258780133338</v>
      </c>
      <c r="J29" s="49">
        <f ca="1">(staticResult!$C$16-H29)+BUFF!$F$27</f>
        <v>0.87075423898969306</v>
      </c>
      <c r="K29" s="448">
        <f t="shared" ca="1" si="2"/>
        <v>0.54450022309815393</v>
      </c>
      <c r="L29" s="49">
        <f>((H29*staticResult!$C$2*100)+配裝模擬!$D$2+staticResult!$D$16*0.47)/staticResult!$C$2/100</f>
        <v>0.37344258780133344</v>
      </c>
      <c r="M29" s="476">
        <f ca="1">H29*(1+BUFF!$H$27)</f>
        <v>0.30470000000000003</v>
      </c>
    </row>
    <row r="30" spans="1:13">
      <c r="A30" s="448">
        <f t="shared" si="1"/>
        <v>2.0423147808892006</v>
      </c>
      <c r="B30" s="49">
        <v>0.27800000000000002</v>
      </c>
      <c r="C30" s="49">
        <f>staticResult!$C$16-B30</f>
        <v>0.64225423898969303</v>
      </c>
      <c r="D30" s="448">
        <f t="shared" si="3"/>
        <v>0.40893637306504932</v>
      </c>
      <c r="E30" s="49">
        <f>((B30*staticResult!$C$2*100)+配裝模擬!$D$2+staticResult!$D$16*0.47)/staticResult!$C$2/100</f>
        <v>0.37444258780133344</v>
      </c>
      <c r="G30" s="448">
        <f t="shared" ca="1" si="0"/>
        <v>2.9342898534743465</v>
      </c>
      <c r="H30" s="49">
        <v>0.27800000000000002</v>
      </c>
      <c r="I30" s="49">
        <f ca="1">((M30*staticResult!$C$2*100)+配裝模擬!$D$2+staticResult!$D$16*0.47)/staticResult!$C$2/100</f>
        <v>0.40224258780133348</v>
      </c>
      <c r="J30" s="49">
        <f ca="1">(staticResult!$C$16-H30)+BUFF!$F$27</f>
        <v>0.86975423898969306</v>
      </c>
      <c r="K30" s="448">
        <f t="shared" ca="1" si="2"/>
        <v>0.54173662339218565</v>
      </c>
      <c r="L30" s="49">
        <f>((H30*staticResult!$C$2*100)+配裝模擬!$D$2+staticResult!$D$16*0.47)/staticResult!$C$2/100</f>
        <v>0.37444258780133344</v>
      </c>
      <c r="M30" s="476">
        <f ca="1">H30*(1+BUFF!$H$27)</f>
        <v>0.30580000000000007</v>
      </c>
    </row>
    <row r="31" spans="1:13">
      <c r="A31" s="448">
        <f t="shared" si="1"/>
        <v>2.0427218548988968</v>
      </c>
      <c r="B31" s="49">
        <v>0.27900000000000003</v>
      </c>
      <c r="C31" s="49">
        <f>staticResult!$C$16-B31</f>
        <v>0.64125423898969303</v>
      </c>
      <c r="D31" s="448">
        <f t="shared" si="3"/>
        <v>0.40707400969619517</v>
      </c>
      <c r="E31" s="49">
        <f>((B31*staticResult!$C$2*100)+配裝模擬!$D$2+staticResult!$D$16*0.47)/staticResult!$C$2/100</f>
        <v>0.37544258780133338</v>
      </c>
      <c r="G31" s="448">
        <f t="shared" ca="1" si="0"/>
        <v>2.9348288264980322</v>
      </c>
      <c r="H31" s="49">
        <v>0.27900000000000003</v>
      </c>
      <c r="I31" s="49">
        <f ca="1">((M31*staticResult!$C$2*100)+配裝模擬!$D$2+staticResult!$D$16*0.47)/staticResult!$C$2/100</f>
        <v>0.40334258780133347</v>
      </c>
      <c r="J31" s="49">
        <f ca="1">(staticResult!$C$16-H31)+BUFF!$F$27</f>
        <v>0.86875423898969306</v>
      </c>
      <c r="K31" s="448">
        <f t="shared" ca="1" si="2"/>
        <v>0.53897302368577327</v>
      </c>
      <c r="L31" s="49">
        <f>((H31*staticResult!$C$2*100)+配裝模擬!$D$2+staticResult!$D$16*0.47)/staticResult!$C$2/100</f>
        <v>0.37544258780133338</v>
      </c>
      <c r="M31" s="476">
        <f ca="1">H31*(1+BUFF!$H$27)</f>
        <v>0.30690000000000006</v>
      </c>
    </row>
    <row r="32" spans="1:13">
      <c r="A32" s="448">
        <f t="shared" si="1"/>
        <v>2.0431270665452241</v>
      </c>
      <c r="B32" s="49">
        <v>0.28000000000000003</v>
      </c>
      <c r="C32" s="49">
        <f>staticResult!$C$16-B32</f>
        <v>0.64025423898969303</v>
      </c>
      <c r="D32" s="448">
        <f t="shared" si="3"/>
        <v>0.40521164632734108</v>
      </c>
      <c r="E32" s="49">
        <f>((B32*staticResult!$C$2*100)+配裝模擬!$D$2+staticResult!$D$16*0.47)/staticResult!$C$2/100</f>
        <v>0.37644258780133344</v>
      </c>
      <c r="G32" s="448">
        <f t="shared" ca="1" si="0"/>
        <v>2.935365035922012</v>
      </c>
      <c r="H32" s="49">
        <v>0.28000000000000003</v>
      </c>
      <c r="I32" s="49">
        <f ca="1">((M32*staticResult!$C$2*100)+配裝模擬!$D$2+staticResult!$D$16*0.47)/staticResult!$C$2/100</f>
        <v>0.40444258780133346</v>
      </c>
      <c r="J32" s="49">
        <f ca="1">(staticResult!$C$16-H32)+BUFF!$F$27</f>
        <v>0.86775423898969306</v>
      </c>
      <c r="K32" s="448">
        <f t="shared" ca="1" si="2"/>
        <v>0.53620942397980498</v>
      </c>
      <c r="L32" s="49">
        <f>((H32*staticResult!$C$2*100)+配裝模擬!$D$2+staticResult!$D$16*0.47)/staticResult!$C$2/100</f>
        <v>0.37644258780133344</v>
      </c>
      <c r="M32" s="476">
        <f ca="1">H32*(1+BUFF!$H$27)</f>
        <v>0.30800000000000005</v>
      </c>
    </row>
    <row r="33" spans="1:13">
      <c r="A33" s="448">
        <f t="shared" si="1"/>
        <v>2.0435304158281826</v>
      </c>
      <c r="B33" s="49">
        <v>0.28100000000000003</v>
      </c>
      <c r="C33" s="49">
        <f>staticResult!$C$16-B33</f>
        <v>0.63925423898969302</v>
      </c>
      <c r="D33" s="448">
        <f t="shared" si="3"/>
        <v>0.40334928295848693</v>
      </c>
      <c r="E33" s="49">
        <f>((B33*staticResult!$C$2*100)+配裝模擬!$D$2+staticResult!$D$16*0.47)/staticResult!$C$2/100</f>
        <v>0.37744258780133344</v>
      </c>
      <c r="G33" s="448">
        <f t="shared" ca="1" si="0"/>
        <v>2.9358984817462872</v>
      </c>
      <c r="H33" s="49">
        <v>0.28100000000000003</v>
      </c>
      <c r="I33" s="49">
        <f ca="1">((M33*staticResult!$C$2*100)+配裝模擬!$D$2+staticResult!$D$16*0.47)/staticResult!$C$2/100</f>
        <v>0.40554258780133345</v>
      </c>
      <c r="J33" s="49">
        <f ca="1">(staticResult!$C$16-H33)+BUFF!$F$27</f>
        <v>0.86675423898969306</v>
      </c>
      <c r="K33" s="448">
        <f t="shared" ca="1" si="2"/>
        <v>0.53344582427516896</v>
      </c>
      <c r="L33" s="49">
        <f>((H33*staticResult!$C$2*100)+配裝模擬!$D$2+staticResult!$D$16*0.47)/staticResult!$C$2/100</f>
        <v>0.37744258780133344</v>
      </c>
      <c r="M33" s="476">
        <f ca="1">H33*(1+BUFF!$H$27)</f>
        <v>0.30910000000000004</v>
      </c>
    </row>
    <row r="34" spans="1:13">
      <c r="A34" s="448">
        <f t="shared" si="1"/>
        <v>2.0439319027477723</v>
      </c>
      <c r="B34" s="49">
        <v>0.28199999999999997</v>
      </c>
      <c r="C34" s="49">
        <f>staticResult!$C$16-B34</f>
        <v>0.63825423898969302</v>
      </c>
      <c r="D34" s="448">
        <f t="shared" si="3"/>
        <v>0.40148691958965504</v>
      </c>
      <c r="E34" s="49">
        <f>((B34*staticResult!$C$2*100)+配裝模擬!$D$2+staticResult!$D$16*0.47)/staticResult!$C$2/100</f>
        <v>0.37844258780133339</v>
      </c>
      <c r="G34" s="448">
        <f t="shared" ca="1" si="0"/>
        <v>2.9364291639708564</v>
      </c>
      <c r="H34" s="49">
        <v>0.28199999999999997</v>
      </c>
      <c r="I34" s="49">
        <f ca="1">((M34*staticResult!$C$2*100)+配裝模擬!$D$2+staticResult!$D$16*0.47)/staticResult!$C$2/100</f>
        <v>0.40664258780133339</v>
      </c>
      <c r="J34" s="49">
        <f ca="1">(staticResult!$C$16-H34)+BUFF!$F$27</f>
        <v>0.86575423898969306</v>
      </c>
      <c r="K34" s="448">
        <f t="shared" ca="1" si="2"/>
        <v>0.53068222456923009</v>
      </c>
      <c r="L34" s="49">
        <f>((H34*staticResult!$C$2*100)+配裝模擬!$D$2+staticResult!$D$16*0.47)/staticResult!$C$2/100</f>
        <v>0.37844258780133339</v>
      </c>
      <c r="M34" s="476">
        <f ca="1">H34*(1+BUFF!$H$27)</f>
        <v>0.31019999999999998</v>
      </c>
    </row>
    <row r="35" spans="1:13">
      <c r="A35" s="448">
        <f t="shared" si="1"/>
        <v>2.044331527303993</v>
      </c>
      <c r="B35" s="49">
        <v>0.28299999999999997</v>
      </c>
      <c r="C35" s="49">
        <f>staticResult!$C$16-B35</f>
        <v>0.63725423898969313</v>
      </c>
      <c r="D35" s="448">
        <f t="shared" si="3"/>
        <v>0.39962455622077864</v>
      </c>
      <c r="E35" s="49">
        <f>((B35*staticResult!$C$2*100)+配裝模擬!$D$2+staticResult!$D$16*0.47)/staticResult!$C$2/100</f>
        <v>0.37944258780133333</v>
      </c>
      <c r="G35" s="448">
        <f t="shared" ca="1" si="0"/>
        <v>2.9369570825957192</v>
      </c>
      <c r="H35" s="49">
        <v>0.28299999999999997</v>
      </c>
      <c r="I35" s="49">
        <f ca="1">((M35*staticResult!$C$2*100)+配裝模擬!$D$2+staticResult!$D$16*0.47)/staticResult!$C$2/100</f>
        <v>0.40774258780133343</v>
      </c>
      <c r="J35" s="49">
        <f ca="1">(staticResult!$C$16-H35)+BUFF!$F$27</f>
        <v>0.86475423898969317</v>
      </c>
      <c r="K35" s="448">
        <f t="shared" ca="1" si="2"/>
        <v>0.52791862486278829</v>
      </c>
      <c r="L35" s="49">
        <f>((H35*staticResult!$C$2*100)+配裝模擬!$D$2+staticResult!$D$16*0.47)/staticResult!$C$2/100</f>
        <v>0.37944258780133333</v>
      </c>
      <c r="M35" s="476">
        <f ca="1">H35*(1+BUFF!$H$27)</f>
        <v>0.31130000000000002</v>
      </c>
    </row>
    <row r="36" spans="1:13">
      <c r="A36" s="448">
        <f t="shared" si="1"/>
        <v>2.0447292894968445</v>
      </c>
      <c r="B36" s="49">
        <v>0.28399999999999997</v>
      </c>
      <c r="C36" s="49">
        <f>staticResult!$C$16-B36</f>
        <v>0.63625423898969302</v>
      </c>
      <c r="D36" s="448">
        <f t="shared" si="3"/>
        <v>0.3977621928514804</v>
      </c>
      <c r="E36" s="49">
        <f>((B36*staticResult!$C$2*100)+配裝模擬!$D$2+staticResult!$D$16*0.47)/staticResult!$C$2/100</f>
        <v>0.38044258780133339</v>
      </c>
      <c r="G36" s="448">
        <f t="shared" ca="1" si="0"/>
        <v>2.937482237620876</v>
      </c>
      <c r="H36" s="49">
        <v>0.28399999999999997</v>
      </c>
      <c r="I36" s="49">
        <f ca="1">((M36*staticResult!$C$2*100)+配裝模擬!$D$2+staticResult!$D$16*0.47)/staticResult!$C$2/100</f>
        <v>0.40884258780133337</v>
      </c>
      <c r="J36" s="49">
        <f ca="1">(staticResult!$C$16-H36)+BUFF!$F$27</f>
        <v>0.86375423898969306</v>
      </c>
      <c r="K36" s="448">
        <f t="shared" ca="1" si="2"/>
        <v>0.52515502515682</v>
      </c>
      <c r="L36" s="49">
        <f>((H36*staticResult!$C$2*100)+配裝模擬!$D$2+staticResult!$D$16*0.47)/staticResult!$C$2/100</f>
        <v>0.38044258780133339</v>
      </c>
      <c r="M36" s="476">
        <f ca="1">H36*(1+BUFF!$H$27)</f>
        <v>0.31240000000000001</v>
      </c>
    </row>
    <row r="37" spans="1:13">
      <c r="A37" s="448">
        <f t="shared" si="1"/>
        <v>2.0451251893263271</v>
      </c>
      <c r="B37" s="49">
        <v>0.28499999999999998</v>
      </c>
      <c r="C37" s="49">
        <f>staticResult!$C$16-B37</f>
        <v>0.63525423898969313</v>
      </c>
      <c r="D37" s="448">
        <f t="shared" si="3"/>
        <v>0.39589982948262625</v>
      </c>
      <c r="E37" s="49">
        <f>((B37*staticResult!$C$2*100)+配裝模擬!$D$2+staticResult!$D$16*0.47)/staticResult!$C$2/100</f>
        <v>0.38144258780133333</v>
      </c>
      <c r="G37" s="448">
        <f t="shared" ca="1" si="0"/>
        <v>2.9380046290463282</v>
      </c>
      <c r="H37" s="49">
        <v>0.28499999999999998</v>
      </c>
      <c r="I37" s="49">
        <f ca="1">((M37*staticResult!$C$2*100)+配裝模擬!$D$2+staticResult!$D$16*0.47)/staticResult!$C$2/100</f>
        <v>0.40994258780133341</v>
      </c>
      <c r="J37" s="49">
        <f ca="1">(staticResult!$C$16-H37)+BUFF!$F$27</f>
        <v>0.86275423898969317</v>
      </c>
      <c r="K37" s="448">
        <f t="shared" ca="1" si="2"/>
        <v>0.52239142545218398</v>
      </c>
      <c r="L37" s="49">
        <f>((H37*staticResult!$C$2*100)+配裝模擬!$D$2+staticResult!$D$16*0.47)/staticResult!$C$2/100</f>
        <v>0.38144258780133333</v>
      </c>
      <c r="M37" s="476">
        <f ca="1">H37*(1+BUFF!$H$27)</f>
        <v>0.3135</v>
      </c>
    </row>
    <row r="38" spans="1:13">
      <c r="A38" s="448">
        <f t="shared" si="1"/>
        <v>2.0455192267924414</v>
      </c>
      <c r="B38" s="49">
        <v>0.28599999999999998</v>
      </c>
      <c r="C38" s="49">
        <f>staticResult!$C$16-B38</f>
        <v>0.63425423898969302</v>
      </c>
      <c r="D38" s="448">
        <f t="shared" si="3"/>
        <v>0.39403746611421619</v>
      </c>
      <c r="E38" s="49">
        <f>((B38*staticResult!$C$2*100)+配裝模擬!$D$2+staticResult!$D$16*0.47)/staticResult!$C$2/100</f>
        <v>0.38244258780133333</v>
      </c>
      <c r="G38" s="448">
        <f t="shared" ca="1" si="0"/>
        <v>2.9385242568720731</v>
      </c>
      <c r="H38" s="49">
        <v>0.28599999999999998</v>
      </c>
      <c r="I38" s="49">
        <f ca="1">((M38*staticResult!$C$2*100)+配裝模擬!$D$2+staticResult!$D$16*0.47)/staticResult!$C$2/100</f>
        <v>0.41104258780133335</v>
      </c>
      <c r="J38" s="49">
        <f ca="1">(staticResult!$C$16-H38)+BUFF!$F$27</f>
        <v>0.86175423898969306</v>
      </c>
      <c r="K38" s="448">
        <f t="shared" ca="1" si="2"/>
        <v>0.51962782574488342</v>
      </c>
      <c r="L38" s="49">
        <f>((H38*staticResult!$C$2*100)+配裝模擬!$D$2+staticResult!$D$16*0.47)/staticResult!$C$2/100</f>
        <v>0.38244258780133333</v>
      </c>
      <c r="M38" s="476">
        <f ca="1">H38*(1+BUFF!$H$27)</f>
        <v>0.31459999999999999</v>
      </c>
    </row>
    <row r="39" spans="1:13">
      <c r="A39" s="448">
        <f t="shared" si="1"/>
        <v>2.0459114018951863</v>
      </c>
      <c r="B39" s="49">
        <v>0.28699999999999998</v>
      </c>
      <c r="C39" s="49">
        <f>staticResult!$C$16-B39</f>
        <v>0.63325423898969313</v>
      </c>
      <c r="D39" s="448">
        <f t="shared" si="3"/>
        <v>0.39217510274491796</v>
      </c>
      <c r="E39" s="49">
        <f>((B39*staticResult!$C$2*100)+配裝模擬!$D$2+staticResult!$D$16*0.47)/staticResult!$C$2/100</f>
        <v>0.38344258780133339</v>
      </c>
      <c r="G39" s="448">
        <f t="shared" ca="1" si="0"/>
        <v>2.9390411210981138</v>
      </c>
      <c r="H39" s="49">
        <v>0.28699999999999998</v>
      </c>
      <c r="I39" s="49">
        <f ca="1">((M39*staticResult!$C$2*100)+配裝模擬!$D$2+staticResult!$D$16*0.47)/staticResult!$C$2/100</f>
        <v>0.41214258780133339</v>
      </c>
      <c r="J39" s="49">
        <f ca="1">(staticResult!$C$16-H39)+BUFF!$F$27</f>
        <v>0.86075423898969317</v>
      </c>
      <c r="K39" s="448">
        <f t="shared" ca="1" si="2"/>
        <v>0.51686422604069149</v>
      </c>
      <c r="L39" s="49">
        <f>((H39*staticResult!$C$2*100)+配裝模擬!$D$2+staticResult!$D$16*0.47)/staticResult!$C$2/100</f>
        <v>0.38344258780133339</v>
      </c>
      <c r="M39" s="476">
        <f ca="1">H39*(1+BUFF!$H$27)</f>
        <v>0.31569999999999998</v>
      </c>
    </row>
    <row r="40" spans="1:13">
      <c r="A40" s="448">
        <f t="shared" si="1"/>
        <v>2.0463017146345628</v>
      </c>
      <c r="B40" s="49">
        <v>0.28799999999999998</v>
      </c>
      <c r="C40" s="49">
        <f>staticResult!$C$16-B40</f>
        <v>0.63225423898969302</v>
      </c>
      <c r="D40" s="448">
        <f t="shared" si="3"/>
        <v>0.3903127393765079</v>
      </c>
      <c r="E40" s="49">
        <f>((B40*staticResult!$C$2*100)+配裝模擬!$D$2+staticResult!$D$16*0.47)/staticResult!$C$2/100</f>
        <v>0.38444258780133339</v>
      </c>
      <c r="G40" s="448">
        <f t="shared" ca="1" si="0"/>
        <v>2.9395552217244476</v>
      </c>
      <c r="H40" s="49">
        <v>0.28799999999999998</v>
      </c>
      <c r="I40" s="49">
        <f ca="1">((M40*staticResult!$C$2*100)+配裝模擬!$D$2+staticResult!$D$16*0.47)/staticResult!$C$2/100</f>
        <v>0.41324258780133344</v>
      </c>
      <c r="J40" s="49">
        <f ca="1">(staticResult!$C$16-H40)+BUFF!$F$27</f>
        <v>0.85975423898969305</v>
      </c>
      <c r="K40" s="448">
        <f t="shared" ca="1" si="2"/>
        <v>0.51410062633383502</v>
      </c>
      <c r="L40" s="49">
        <f>((H40*staticResult!$C$2*100)+配裝模擬!$D$2+staticResult!$D$16*0.47)/staticResult!$C$2/100</f>
        <v>0.38444258780133339</v>
      </c>
      <c r="M40" s="476">
        <f ca="1">H40*(1+BUFF!$H$27)</f>
        <v>0.31680000000000003</v>
      </c>
    </row>
    <row r="41" spans="1:13">
      <c r="A41" s="448">
        <f t="shared" si="1"/>
        <v>2.0466901650105696</v>
      </c>
      <c r="B41" s="49">
        <v>0.28899999999999998</v>
      </c>
      <c r="C41" s="49">
        <f>staticResult!$C$16-B41</f>
        <v>0.63125423898969313</v>
      </c>
      <c r="D41" s="448">
        <f t="shared" si="3"/>
        <v>0.38845037600676557</v>
      </c>
      <c r="E41" s="49">
        <f>((B41*staticResult!$C$2*100)+配裝模擬!$D$2+staticResult!$D$16*0.47)/staticResult!$C$2/100</f>
        <v>0.38544258780133339</v>
      </c>
      <c r="G41" s="448">
        <f t="shared" ca="1" si="0"/>
        <v>2.9400665587510764</v>
      </c>
      <c r="H41" s="49">
        <v>0.28899999999999998</v>
      </c>
      <c r="I41" s="49">
        <f ca="1">((M41*staticResult!$C$2*100)+配裝模擬!$D$2+staticResult!$D$16*0.47)/staticResult!$C$2/100</f>
        <v>0.41434258780133343</v>
      </c>
      <c r="J41" s="49">
        <f ca="1">(staticResult!$C$16-H41)+BUFF!$F$27</f>
        <v>0.85875423898969316</v>
      </c>
      <c r="K41" s="448">
        <f t="shared" ca="1" si="2"/>
        <v>0.51133702662875491</v>
      </c>
      <c r="L41" s="49">
        <f>((H41*staticResult!$C$2*100)+配裝模擬!$D$2+staticResult!$D$16*0.47)/staticResult!$C$2/100</f>
        <v>0.38544258780133339</v>
      </c>
      <c r="M41" s="476">
        <f ca="1">H41*(1+BUFF!$H$27)</f>
        <v>0.31790000000000002</v>
      </c>
    </row>
    <row r="42" spans="1:13">
      <c r="A42" s="448">
        <f t="shared" si="1"/>
        <v>2.0470767530232079</v>
      </c>
      <c r="B42" s="49">
        <v>0.28999999999999998</v>
      </c>
      <c r="C42" s="49">
        <f>staticResult!$C$16-B42</f>
        <v>0.63025423898969302</v>
      </c>
      <c r="D42" s="448">
        <f t="shared" si="3"/>
        <v>0.38658801263835552</v>
      </c>
      <c r="E42" s="49">
        <f>((B42*staticResult!$C$2*100)+配裝模擬!$D$2+staticResult!$D$16*0.47)/staticResult!$C$2/100</f>
        <v>0.38644258780133334</v>
      </c>
      <c r="G42" s="448">
        <f t="shared" ca="1" si="0"/>
        <v>2.9405751321779987</v>
      </c>
      <c r="H42" s="49">
        <v>0.28999999999999998</v>
      </c>
      <c r="I42" s="49">
        <f ca="1">((M42*staticResult!$C$2*100)+配裝模擬!$D$2+staticResult!$D$16*0.47)/staticResult!$C$2/100</f>
        <v>0.41544258780133342</v>
      </c>
      <c r="J42" s="49">
        <f ca="1">(staticResult!$C$16-H42)+BUFF!$F$27</f>
        <v>0.85775423898969305</v>
      </c>
      <c r="K42" s="448">
        <f t="shared" ca="1" si="2"/>
        <v>0.50857342692234253</v>
      </c>
      <c r="L42" s="49">
        <f>((H42*staticResult!$C$2*100)+配裝模擬!$D$2+staticResult!$D$16*0.47)/staticResult!$C$2/100</f>
        <v>0.38644258780133334</v>
      </c>
      <c r="M42" s="476">
        <f ca="1">H42*(1+BUFF!$H$27)</f>
        <v>0.31900000000000001</v>
      </c>
    </row>
    <row r="43" spans="1:13">
      <c r="A43" s="448">
        <f t="shared" si="1"/>
        <v>2.0474614786724774</v>
      </c>
      <c r="B43" s="49">
        <v>0.29099999999999998</v>
      </c>
      <c r="C43" s="49">
        <f>staticResult!$C$16-B43</f>
        <v>0.62925423898969313</v>
      </c>
      <c r="D43" s="448">
        <f t="shared" si="3"/>
        <v>0.38472564926950137</v>
      </c>
      <c r="E43" s="49">
        <f>((B43*staticResult!$C$2*100)+配裝模擬!$D$2+staticResult!$D$16*0.47)/staticResult!$C$2/100</f>
        <v>0.38744258780133334</v>
      </c>
      <c r="G43" s="448">
        <f t="shared" ca="1" si="0"/>
        <v>2.9410809420052151</v>
      </c>
      <c r="H43" s="49">
        <v>0.29099999999999998</v>
      </c>
      <c r="I43" s="49">
        <f ca="1">((M43*staticResult!$C$2*100)+配裝模擬!$D$2+staticResult!$D$16*0.47)/staticResult!$C$2/100</f>
        <v>0.41654258780133341</v>
      </c>
      <c r="J43" s="49">
        <f ca="1">(staticResult!$C$16-H43)+BUFF!$F$27</f>
        <v>0.85675423898969316</v>
      </c>
      <c r="K43" s="448">
        <f t="shared" ca="1" si="2"/>
        <v>0.50580982721637424</v>
      </c>
      <c r="L43" s="49">
        <f>((H43*staticResult!$C$2*100)+配裝模擬!$D$2+staticResult!$D$16*0.47)/staticResult!$C$2/100</f>
        <v>0.38744258780133334</v>
      </c>
      <c r="M43" s="476">
        <f ca="1">H43*(1+BUFF!$H$27)</f>
        <v>0.3201</v>
      </c>
    </row>
    <row r="44" spans="1:13">
      <c r="A44" s="448">
        <f t="shared" si="1"/>
        <v>2.0478443419583781</v>
      </c>
      <c r="B44" s="49">
        <v>0.29199999999999998</v>
      </c>
      <c r="C44" s="49">
        <f>staticResult!$C$16-B44</f>
        <v>0.62825423898969301</v>
      </c>
      <c r="D44" s="448">
        <f t="shared" si="3"/>
        <v>0.38286328590064722</v>
      </c>
      <c r="E44" s="49">
        <f>((B44*staticResult!$C$2*100)+配裝模擬!$D$2+staticResult!$D$16*0.47)/staticResult!$C$2/100</f>
        <v>0.38844258780133339</v>
      </c>
      <c r="G44" s="448">
        <f t="shared" ca="1" si="0"/>
        <v>2.9415839882327259</v>
      </c>
      <c r="H44" s="49">
        <v>0.29199999999999998</v>
      </c>
      <c r="I44" s="49">
        <f ca="1">((M44*staticResult!$C$2*100)+配裝模擬!$D$2+staticResult!$D$16*0.47)/staticResult!$C$2/100</f>
        <v>0.41764258780133334</v>
      </c>
      <c r="J44" s="49">
        <f ca="1">(staticResult!$C$16-H44)+BUFF!$F$27</f>
        <v>0.85575423898969305</v>
      </c>
      <c r="K44" s="448">
        <f t="shared" ca="1" si="2"/>
        <v>0.50304622751085004</v>
      </c>
      <c r="L44" s="49">
        <f>((H44*staticResult!$C$2*100)+配裝模擬!$D$2+staticResult!$D$16*0.47)/staticResult!$C$2/100</f>
        <v>0.38844258780133339</v>
      </c>
      <c r="M44" s="476">
        <f ca="1">H44*(1+BUFF!$H$27)</f>
        <v>0.32119999999999999</v>
      </c>
    </row>
    <row r="45" spans="1:13">
      <c r="A45" s="448">
        <f t="shared" si="1"/>
        <v>2.0482253428809094</v>
      </c>
      <c r="B45" s="49">
        <v>0.29299999999999998</v>
      </c>
      <c r="C45" s="49">
        <f>staticResult!$C$16-B45</f>
        <v>0.62725423898969312</v>
      </c>
      <c r="D45" s="448">
        <f t="shared" si="3"/>
        <v>0.38100092253134898</v>
      </c>
      <c r="E45" s="49">
        <f>((B45*staticResult!$C$2*100)+配裝模擬!$D$2+staticResult!$D$16*0.47)/staticResult!$C$2/100</f>
        <v>0.3894425878013334</v>
      </c>
      <c r="G45" s="448">
        <f t="shared" ca="1" si="0"/>
        <v>2.9420842708605317</v>
      </c>
      <c r="H45" s="49">
        <v>0.29299999999999998</v>
      </c>
      <c r="I45" s="49">
        <f ca="1">((M45*staticResult!$C$2*100)+配裝模擬!$D$2+staticResult!$D$16*0.47)/staticResult!$C$2/100</f>
        <v>0.41874258780133339</v>
      </c>
      <c r="J45" s="49">
        <f ca="1">(staticResult!$C$16-H45)+BUFF!$F$27</f>
        <v>0.85475423898969316</v>
      </c>
      <c r="K45" s="448">
        <f t="shared" ca="1" si="2"/>
        <v>0.50028262780576993</v>
      </c>
      <c r="L45" s="49">
        <f>((H45*staticResult!$C$2*100)+配裝模擬!$D$2+staticResult!$D$16*0.47)/staticResult!$C$2/100</f>
        <v>0.3894425878013334</v>
      </c>
      <c r="M45" s="476">
        <f ca="1">H45*(1+BUFF!$H$27)</f>
        <v>0.32230000000000003</v>
      </c>
    </row>
    <row r="46" spans="1:13">
      <c r="A46" s="448">
        <f t="shared" si="1"/>
        <v>2.0486044814400723</v>
      </c>
      <c r="B46" s="49">
        <v>0.29399999999999998</v>
      </c>
      <c r="C46" s="49">
        <f>staticResult!$C$16-B46</f>
        <v>0.62625423898969301</v>
      </c>
      <c r="D46" s="448">
        <f t="shared" si="3"/>
        <v>0.37913855916293893</v>
      </c>
      <c r="E46" s="49">
        <f>((B46*staticResult!$C$2*100)+配裝模擬!$D$2+staticResult!$D$16*0.47)/staticResult!$C$2/100</f>
        <v>0.3904425878013334</v>
      </c>
      <c r="G46" s="448">
        <f t="shared" ca="1" si="0"/>
        <v>2.9425817898886302</v>
      </c>
      <c r="H46" s="49">
        <v>0.29399999999999998</v>
      </c>
      <c r="I46" s="49">
        <f ca="1">((M46*staticResult!$C$2*100)+配裝模擬!$D$2+staticResult!$D$16*0.47)/staticResult!$C$2/100</f>
        <v>0.41984258780133343</v>
      </c>
      <c r="J46" s="49">
        <f ca="1">(staticResult!$C$16-H46)+BUFF!$F$27</f>
        <v>0.85375423898969305</v>
      </c>
      <c r="K46" s="448">
        <f t="shared" ca="1" si="2"/>
        <v>0.49751902809846937</v>
      </c>
      <c r="L46" s="49">
        <f>((H46*staticResult!$C$2*100)+配裝模擬!$D$2+staticResult!$D$16*0.47)/staticResult!$C$2/100</f>
        <v>0.3904425878013334</v>
      </c>
      <c r="M46" s="476">
        <f ca="1">H46*(1+BUFF!$H$27)</f>
        <v>0.32340000000000002</v>
      </c>
    </row>
    <row r="47" spans="1:13">
      <c r="A47" s="448">
        <f t="shared" si="1"/>
        <v>2.0489817576358664</v>
      </c>
      <c r="B47" s="49">
        <v>0.29499999999999998</v>
      </c>
      <c r="C47" s="49">
        <f>staticResult!$C$16-B47</f>
        <v>0.62525423898969312</v>
      </c>
      <c r="D47" s="448">
        <f t="shared" si="3"/>
        <v>0.37727619579408478</v>
      </c>
      <c r="E47" s="49">
        <f>((B47*staticResult!$C$2*100)+配裝模擬!$D$2+staticResult!$D$16*0.47)/staticResult!$C$2/100</f>
        <v>0.39144258780133334</v>
      </c>
      <c r="G47" s="448">
        <f t="shared" ca="1" si="0"/>
        <v>2.943076545317024</v>
      </c>
      <c r="H47" s="49">
        <v>0.29499999999999998</v>
      </c>
      <c r="I47" s="49">
        <f ca="1">((M47*staticResult!$C$2*100)+配裝模擬!$D$2+staticResult!$D$16*0.47)/staticResult!$C$2/100</f>
        <v>0.42094258780133337</v>
      </c>
      <c r="J47" s="49">
        <f ca="1">(staticResult!$C$16-H47)+BUFF!$F$27</f>
        <v>0.85275423898969316</v>
      </c>
      <c r="K47" s="448">
        <f t="shared" ca="1" si="2"/>
        <v>0.49475542839383335</v>
      </c>
      <c r="L47" s="49">
        <f>((H47*staticResult!$C$2*100)+配裝模擬!$D$2+staticResult!$D$16*0.47)/staticResult!$C$2/100</f>
        <v>0.39144258780133334</v>
      </c>
      <c r="M47" s="476">
        <f ca="1">H47*(1+BUFF!$H$27)</f>
        <v>0.32450000000000001</v>
      </c>
    </row>
    <row r="48" spans="1:13">
      <c r="A48" s="448">
        <f t="shared" si="1"/>
        <v>2.0493571714682912</v>
      </c>
      <c r="B48" s="49">
        <v>0.29599999999999999</v>
      </c>
      <c r="C48" s="49">
        <f>staticResult!$C$16-B48</f>
        <v>0.62425423898969301</v>
      </c>
      <c r="D48" s="448">
        <f t="shared" si="3"/>
        <v>0.37541383242478654</v>
      </c>
      <c r="E48" s="49">
        <f>((B48*staticResult!$C$2*100)+配裝模擬!$D$2+staticResult!$D$16*0.47)/staticResult!$C$2/100</f>
        <v>0.39244258780133334</v>
      </c>
      <c r="G48" s="448">
        <f t="shared" ca="1" si="0"/>
        <v>2.9435685371457123</v>
      </c>
      <c r="H48" s="49">
        <v>0.29599999999999999</v>
      </c>
      <c r="I48" s="49">
        <f ca="1">((M48*staticResult!$C$2*100)+配裝模擬!$D$2+staticResult!$D$16*0.47)/staticResult!$C$2/100</f>
        <v>0.42204258780133341</v>
      </c>
      <c r="J48" s="49">
        <f ca="1">(staticResult!$C$16-H48)+BUFF!$F$27</f>
        <v>0.85175423898969305</v>
      </c>
      <c r="K48" s="448">
        <f t="shared" ca="1" si="2"/>
        <v>0.49199182868830915</v>
      </c>
      <c r="L48" s="49">
        <f>((H48*staticResult!$C$2*100)+配裝模擬!$D$2+staticResult!$D$16*0.47)/staticResult!$C$2/100</f>
        <v>0.39244258780133334</v>
      </c>
      <c r="M48" s="476">
        <f ca="1">H48*(1+BUFF!$H$27)</f>
        <v>0.3256</v>
      </c>
    </row>
    <row r="49" spans="1:13">
      <c r="A49" s="448">
        <f t="shared" si="1"/>
        <v>2.0497307229373476</v>
      </c>
      <c r="B49" s="49">
        <v>0.29699999999999999</v>
      </c>
      <c r="C49" s="49">
        <f>staticResult!$C$16-B49</f>
        <v>0.62325423898969312</v>
      </c>
      <c r="D49" s="448">
        <f t="shared" si="3"/>
        <v>0.37355146905637648</v>
      </c>
      <c r="E49" s="49">
        <f>((B49*staticResult!$C$2*100)+配裝模擬!$D$2+staticResult!$D$16*0.47)/staticResult!$C$2/100</f>
        <v>0.39344258780133345</v>
      </c>
      <c r="G49" s="448">
        <f t="shared" ca="1" si="0"/>
        <v>2.9440577653746947</v>
      </c>
      <c r="H49" s="49">
        <v>0.29699999999999999</v>
      </c>
      <c r="I49" s="49">
        <f ca="1">((M49*staticResult!$C$2*100)+配裝模擬!$D$2+staticResult!$D$16*0.47)/staticResult!$C$2/100</f>
        <v>0.42314258780133335</v>
      </c>
      <c r="J49" s="49">
        <f ca="1">(staticResult!$C$16-H49)+BUFF!$F$27</f>
        <v>0.85075423898969316</v>
      </c>
      <c r="K49" s="448">
        <f t="shared" ca="1" si="2"/>
        <v>0.48922822898234086</v>
      </c>
      <c r="L49" s="49">
        <f>((H49*staticResult!$C$2*100)+配裝模擬!$D$2+staticResult!$D$16*0.47)/staticResult!$C$2/100</f>
        <v>0.39344258780133345</v>
      </c>
      <c r="M49" s="476">
        <f ca="1">H49*(1+BUFF!$H$27)</f>
        <v>0.32669999999999999</v>
      </c>
    </row>
    <row r="50" spans="1:13">
      <c r="A50" s="448">
        <f t="shared" si="1"/>
        <v>2.0501024120430342</v>
      </c>
      <c r="B50" s="49">
        <v>0.29799999999999999</v>
      </c>
      <c r="C50" s="49">
        <f>staticResult!$C$16-B50</f>
        <v>0.62225423898969301</v>
      </c>
      <c r="D50" s="448">
        <f t="shared" si="3"/>
        <v>0.37168910568663416</v>
      </c>
      <c r="E50" s="49">
        <f>((B50*staticResult!$C$2*100)+配裝模擬!$D$2+staticResult!$D$16*0.47)/staticResult!$C$2/100</f>
        <v>0.39444258780133334</v>
      </c>
      <c r="G50" s="448">
        <f t="shared" ca="1" si="0"/>
        <v>2.9445442300039701</v>
      </c>
      <c r="H50" s="49">
        <v>0.29799999999999999</v>
      </c>
      <c r="I50" s="49">
        <f ca="1">((M50*staticResult!$C$2*100)+配裝模擬!$D$2+staticResult!$D$16*0.47)/staticResult!$C$2/100</f>
        <v>0.42424258780133345</v>
      </c>
      <c r="J50" s="49">
        <f ca="1">(staticResult!$C$16-H50)+BUFF!$F$27</f>
        <v>0.84975423898969304</v>
      </c>
      <c r="K50" s="448">
        <f t="shared" ca="1" si="2"/>
        <v>0.48646462927548439</v>
      </c>
      <c r="L50" s="49">
        <f>((H50*staticResult!$C$2*100)+配裝模擬!$D$2+staticResult!$D$16*0.47)/staticResult!$C$2/100</f>
        <v>0.39444258780133334</v>
      </c>
      <c r="M50" s="476">
        <f ca="1">H50*(1+BUFF!$H$27)</f>
        <v>0.32780000000000004</v>
      </c>
    </row>
    <row r="51" spans="1:13">
      <c r="A51" s="448">
        <f t="shared" si="1"/>
        <v>2.0504722387853529</v>
      </c>
      <c r="B51" s="49">
        <v>0.29899999999999999</v>
      </c>
      <c r="C51" s="49">
        <f>staticResult!$C$16-B51</f>
        <v>0.62125423898969312</v>
      </c>
      <c r="D51" s="448">
        <f t="shared" si="3"/>
        <v>0.36982674231866819</v>
      </c>
      <c r="E51" s="49">
        <f>((B51*staticResult!$C$2*100)+配裝模擬!$D$2+staticResult!$D$16*0.47)/staticResult!$C$2/100</f>
        <v>0.3954425878013334</v>
      </c>
      <c r="G51" s="448">
        <f t="shared" ca="1" si="0"/>
        <v>2.945027931033541</v>
      </c>
      <c r="H51" s="49">
        <v>0.29899999999999999</v>
      </c>
      <c r="I51" s="49">
        <f ca="1">((M51*staticResult!$C$2*100)+配裝模擬!$D$2+staticResult!$D$16*0.47)/staticResult!$C$2/100</f>
        <v>0.42534258780133344</v>
      </c>
      <c r="J51" s="49">
        <f ca="1">(staticResult!$C$16-H51)+BUFF!$F$27</f>
        <v>0.84875423898969315</v>
      </c>
      <c r="K51" s="448">
        <f t="shared" ca="1" si="2"/>
        <v>0.48370102957084837</v>
      </c>
      <c r="L51" s="49">
        <f>((H51*staticResult!$C$2*100)+配裝模擬!$D$2+staticResult!$D$16*0.47)/staticResult!$C$2/100</f>
        <v>0.3954425878013334</v>
      </c>
      <c r="M51" s="476">
        <f ca="1">H51*(1+BUFF!$H$27)</f>
        <v>0.32890000000000003</v>
      </c>
    </row>
    <row r="52" spans="1:13">
      <c r="A52" s="448">
        <f t="shared" si="1"/>
        <v>2.0508402031643023</v>
      </c>
      <c r="B52" s="49">
        <v>0.3</v>
      </c>
      <c r="C52" s="49">
        <f>staticResult!$C$16-B52</f>
        <v>0.62025423898969301</v>
      </c>
      <c r="D52" s="448">
        <f t="shared" si="3"/>
        <v>0.36796437894936995</v>
      </c>
      <c r="E52" s="49">
        <f>((B52*staticResult!$C$2*100)+配裝模擬!$D$2+staticResult!$D$16*0.47)/staticResult!$C$2/100</f>
        <v>0.3964425878013334</v>
      </c>
      <c r="G52" s="448">
        <f t="shared" ca="1" si="0"/>
        <v>2.9455088684634059</v>
      </c>
      <c r="H52" s="49">
        <v>0.3</v>
      </c>
      <c r="I52" s="49">
        <f ca="1">((M52*staticResult!$C$2*100)+配裝模擬!$D$2+staticResult!$D$16*0.47)/staticResult!$C$2/100</f>
        <v>0.42644258780133343</v>
      </c>
      <c r="J52" s="49">
        <f ca="1">(staticResult!$C$16-H52)+BUFF!$F$27</f>
        <v>0.84775423898969304</v>
      </c>
      <c r="K52" s="448">
        <f t="shared" ca="1" si="2"/>
        <v>0.48093742986488008</v>
      </c>
      <c r="L52" s="49">
        <f>((H52*staticResult!$C$2*100)+配裝模擬!$D$2+staticResult!$D$16*0.47)/staticResult!$C$2/100</f>
        <v>0.3964425878013334</v>
      </c>
      <c r="M52" s="476">
        <f ca="1">H52*(1+BUFF!$H$27)</f>
        <v>0.33</v>
      </c>
    </row>
    <row r="53" spans="1:13">
      <c r="A53" s="448">
        <f t="shared" si="1"/>
        <v>2.0512063051798828</v>
      </c>
      <c r="B53" s="49">
        <v>0.30099999999999999</v>
      </c>
      <c r="C53" s="49">
        <f>staticResult!$C$16-B53</f>
        <v>0.61925423898969312</v>
      </c>
      <c r="D53" s="448">
        <f t="shared" si="3"/>
        <v>0.3661020155805158</v>
      </c>
      <c r="E53" s="49">
        <f>((B53*staticResult!$C$2*100)+配裝模擬!$D$2+staticResult!$D$16*0.47)/staticResult!$C$2/100</f>
        <v>0.39744258780133335</v>
      </c>
      <c r="G53" s="448">
        <f t="shared" ca="1" si="0"/>
        <v>2.9459870422935639</v>
      </c>
      <c r="H53" s="49">
        <v>0.30099999999999999</v>
      </c>
      <c r="I53" s="49">
        <f ca="1">((M53*staticResult!$C$2*100)+配裝模擬!$D$2+staticResult!$D$16*0.47)/staticResult!$C$2/100</f>
        <v>0.42754258780133336</v>
      </c>
      <c r="J53" s="49">
        <f ca="1">(staticResult!$C$16-H53)+BUFF!$F$27</f>
        <v>0.84675423898969315</v>
      </c>
      <c r="K53" s="448">
        <f t="shared" ca="1" si="2"/>
        <v>0.47817383015802362</v>
      </c>
      <c r="L53" s="49">
        <f>((H53*staticResult!$C$2*100)+配裝模擬!$D$2+staticResult!$D$16*0.47)/staticResult!$C$2/100</f>
        <v>0.39744258780133335</v>
      </c>
      <c r="M53" s="476">
        <f ca="1">H53*(1+BUFF!$H$27)</f>
        <v>0.33110000000000001</v>
      </c>
    </row>
    <row r="54" spans="1:13">
      <c r="A54" s="448">
        <f t="shared" si="1"/>
        <v>2.0515705448320944</v>
      </c>
      <c r="B54" s="49">
        <v>0.30199999999999999</v>
      </c>
      <c r="C54" s="49">
        <f>staticResult!$C$16-B54</f>
        <v>0.61825423898969301</v>
      </c>
      <c r="D54" s="448">
        <f t="shared" si="3"/>
        <v>0.36423965221166166</v>
      </c>
      <c r="E54" s="49">
        <f>((B54*staticResult!$C$2*100)+配裝模擬!$D$2+staticResult!$D$16*0.47)/staticResult!$C$2/100</f>
        <v>0.39844258780133335</v>
      </c>
      <c r="G54" s="448">
        <f t="shared" ca="1" si="0"/>
        <v>2.9464624525240168</v>
      </c>
      <c r="H54" s="49">
        <v>0.30199999999999999</v>
      </c>
      <c r="I54" s="49">
        <f ca="1">((M54*staticResult!$C$2*100)+配裝模擬!$D$2+staticResult!$D$16*0.47)/staticResult!$C$2/100</f>
        <v>0.42864258780133341</v>
      </c>
      <c r="J54" s="49">
        <f ca="1">(staticResult!$C$16-H54)+BUFF!$F$27</f>
        <v>0.84575423898969304</v>
      </c>
      <c r="K54" s="448">
        <f t="shared" ca="1" si="2"/>
        <v>0.47541023045294351</v>
      </c>
      <c r="L54" s="49">
        <f>((H54*staticResult!$C$2*100)+配裝模擬!$D$2+staticResult!$D$16*0.47)/staticResult!$C$2/100</f>
        <v>0.39844258780133335</v>
      </c>
      <c r="M54" s="476">
        <f ca="1">H54*(1+BUFF!$H$27)</f>
        <v>0.3322</v>
      </c>
    </row>
    <row r="55" spans="1:13">
      <c r="A55" s="448">
        <f t="shared" si="1"/>
        <v>2.0519329221209368</v>
      </c>
      <c r="B55" s="49">
        <v>0.30299999999999999</v>
      </c>
      <c r="C55" s="49">
        <f>staticResult!$C$16-B55</f>
        <v>0.61725423898969312</v>
      </c>
      <c r="D55" s="448">
        <f t="shared" si="3"/>
        <v>0.36237728884236342</v>
      </c>
      <c r="E55" s="49">
        <f>((B55*staticResult!$C$2*100)+配裝模擬!$D$2+staticResult!$D$16*0.47)/staticResult!$C$2/100</f>
        <v>0.3994425878013334</v>
      </c>
      <c r="G55" s="448">
        <f t="shared" ca="1" si="0"/>
        <v>2.9469350991547647</v>
      </c>
      <c r="H55" s="49">
        <v>0.30299999999999999</v>
      </c>
      <c r="I55" s="49">
        <f ca="1">((M55*staticResult!$C$2*100)+配裝模擬!$D$2+staticResult!$D$16*0.47)/staticResult!$C$2/100</f>
        <v>0.4297425878013334</v>
      </c>
      <c r="J55" s="49">
        <f ca="1">(staticResult!$C$16-H55)+BUFF!$F$27</f>
        <v>0.84475423898969315</v>
      </c>
      <c r="K55" s="448">
        <f t="shared" ca="1" si="2"/>
        <v>0.47264663074786339</v>
      </c>
      <c r="L55" s="49">
        <f>((H55*staticResult!$C$2*100)+配裝模擬!$D$2+staticResult!$D$16*0.47)/staticResult!$C$2/100</f>
        <v>0.3994425878013334</v>
      </c>
      <c r="M55" s="476">
        <f ca="1">H55*(1+BUFF!$H$27)</f>
        <v>0.33330000000000004</v>
      </c>
    </row>
    <row r="56" spans="1:13">
      <c r="A56" s="448">
        <f t="shared" si="1"/>
        <v>2.0522934370464108</v>
      </c>
      <c r="B56" s="49">
        <v>0.30399999999999999</v>
      </c>
      <c r="C56" s="49">
        <f>staticResult!$C$16-B56</f>
        <v>0.616254238989693</v>
      </c>
      <c r="D56" s="448">
        <f t="shared" si="3"/>
        <v>0.36051492547395336</v>
      </c>
      <c r="E56" s="49">
        <f>((B56*staticResult!$C$2*100)+配裝模擬!$D$2+staticResult!$D$16*0.47)/staticResult!$C$2/100</f>
        <v>0.40044258780133335</v>
      </c>
      <c r="G56" s="448">
        <f t="shared" ca="1" si="0"/>
        <v>2.9474049821858057</v>
      </c>
      <c r="H56" s="49">
        <v>0.30399999999999999</v>
      </c>
      <c r="I56" s="49">
        <f ca="1">((M56*staticResult!$C$2*100)+配裝模擬!$D$2+staticResult!$D$16*0.47)/staticResult!$C$2/100</f>
        <v>0.43084258780133339</v>
      </c>
      <c r="J56" s="49">
        <f ca="1">(staticResult!$C$16-H56)+BUFF!$F$27</f>
        <v>0.84375423898969304</v>
      </c>
      <c r="K56" s="448">
        <f t="shared" ca="1" si="2"/>
        <v>0.46988303104100693</v>
      </c>
      <c r="L56" s="49">
        <f>((H56*staticResult!$C$2*100)+配裝模擬!$D$2+staticResult!$D$16*0.47)/staticResult!$C$2/100</f>
        <v>0.40044258780133335</v>
      </c>
      <c r="M56" s="476">
        <f ca="1">H56*(1+BUFF!$H$27)</f>
        <v>0.33440000000000003</v>
      </c>
    </row>
    <row r="57" spans="1:13">
      <c r="A57" s="448">
        <f t="shared" si="1"/>
        <v>2.0526520896085154</v>
      </c>
      <c r="B57" s="49">
        <v>0.30499999999999999</v>
      </c>
      <c r="C57" s="49">
        <f>staticResult!$C$16-B57</f>
        <v>0.61525423898969311</v>
      </c>
      <c r="D57" s="448">
        <f t="shared" si="3"/>
        <v>0.35865256210465513</v>
      </c>
      <c r="E57" s="49">
        <f>((B57*staticResult!$C$2*100)+配裝模擬!$D$2+staticResult!$D$16*0.47)/staticResult!$C$2/100</f>
        <v>0.40144258780133341</v>
      </c>
      <c r="G57" s="448">
        <f t="shared" ca="1" si="0"/>
        <v>2.9478721016171421</v>
      </c>
      <c r="H57" s="49">
        <v>0.30499999999999999</v>
      </c>
      <c r="I57" s="49">
        <f ca="1">((M57*staticResult!$C$2*100)+配裝模擬!$D$2+staticResult!$D$16*0.47)/staticResult!$C$2/100</f>
        <v>0.43194258780133338</v>
      </c>
      <c r="J57" s="49">
        <f ca="1">(staticResult!$C$16-H57)+BUFF!$F$27</f>
        <v>0.84275423898969315</v>
      </c>
      <c r="K57" s="448">
        <f t="shared" ca="1" si="2"/>
        <v>0.46711943133637096</v>
      </c>
      <c r="L57" s="49">
        <f>((H57*staticResult!$C$2*100)+配裝模擬!$D$2+staticResult!$D$16*0.47)/staticResult!$C$2/100</f>
        <v>0.40144258780133341</v>
      </c>
      <c r="M57" s="476">
        <f ca="1">H57*(1+BUFF!$H$27)</f>
        <v>0.33550000000000002</v>
      </c>
    </row>
    <row r="58" spans="1:13">
      <c r="A58" s="448">
        <f t="shared" si="1"/>
        <v>2.0530088798072517</v>
      </c>
      <c r="B58" s="49">
        <v>0.30599999999999999</v>
      </c>
      <c r="C58" s="49">
        <f>staticResult!$C$16-B58</f>
        <v>0.614254238989693</v>
      </c>
      <c r="D58" s="448">
        <f t="shared" si="3"/>
        <v>0.35679019873624507</v>
      </c>
      <c r="E58" s="49">
        <f>((B58*staticResult!$C$2*100)+配裝模擬!$D$2+staticResult!$D$16*0.47)/staticResult!$C$2/100</f>
        <v>0.40244258780133335</v>
      </c>
      <c r="G58" s="448">
        <f t="shared" ca="1" si="0"/>
        <v>2.9483364574487716</v>
      </c>
      <c r="H58" s="49">
        <v>0.30599999999999999</v>
      </c>
      <c r="I58" s="49">
        <f ca="1">((M58*staticResult!$C$2*100)+配裝模擬!$D$2+staticResult!$D$16*0.47)/staticResult!$C$2/100</f>
        <v>0.43304258780133337</v>
      </c>
      <c r="J58" s="49">
        <f ca="1">(staticResult!$C$16-H58)+BUFF!$F$27</f>
        <v>0.84175423898969304</v>
      </c>
      <c r="K58" s="448">
        <f t="shared" ca="1" si="2"/>
        <v>0.46435583162951449</v>
      </c>
      <c r="L58" s="49">
        <f>((H58*staticResult!$C$2*100)+配裝模擬!$D$2+staticResult!$D$16*0.47)/staticResult!$C$2/100</f>
        <v>0.40244258780133335</v>
      </c>
      <c r="M58" s="476">
        <f ca="1">H58*(1+BUFF!$H$27)</f>
        <v>0.33660000000000001</v>
      </c>
    </row>
    <row r="59" spans="1:13">
      <c r="A59" s="448">
        <f t="shared" si="1"/>
        <v>2.0533638076426182</v>
      </c>
      <c r="B59" s="49">
        <v>0.307</v>
      </c>
      <c r="C59" s="49">
        <f>staticResult!$C$16-B59</f>
        <v>0.61325423898969311</v>
      </c>
      <c r="D59" s="448">
        <f t="shared" si="3"/>
        <v>0.35492783536650274</v>
      </c>
      <c r="E59" s="49">
        <f>((B59*staticResult!$C$2*100)+配裝模擬!$D$2+staticResult!$D$16*0.47)/staticResult!$C$2/100</f>
        <v>0.40344258780133335</v>
      </c>
      <c r="G59" s="448">
        <f t="shared" ca="1" si="0"/>
        <v>2.948798049680696</v>
      </c>
      <c r="H59" s="49">
        <v>0.307</v>
      </c>
      <c r="I59" s="49">
        <f ca="1">((M59*staticResult!$C$2*100)+配裝模擬!$D$2+staticResult!$D$16*0.47)/staticResult!$C$2/100</f>
        <v>0.43414258780133336</v>
      </c>
      <c r="J59" s="49">
        <f ca="1">(staticResult!$C$16-H59)+BUFF!$F$27</f>
        <v>0.84075423898969315</v>
      </c>
      <c r="K59" s="448">
        <f t="shared" ca="1" si="2"/>
        <v>0.46159223192443438</v>
      </c>
      <c r="L59" s="49">
        <f>((H59*staticResult!$C$2*100)+配裝模擬!$D$2+staticResult!$D$16*0.47)/staticResult!$C$2/100</f>
        <v>0.40344258780133335</v>
      </c>
      <c r="M59" s="476">
        <f ca="1">H59*(1+BUFF!$H$27)</f>
        <v>0.3377</v>
      </c>
    </row>
    <row r="60" spans="1:13">
      <c r="A60" s="448">
        <f t="shared" si="1"/>
        <v>2.0537168731146167</v>
      </c>
      <c r="B60" s="49">
        <v>0.308</v>
      </c>
      <c r="C60" s="49">
        <f>staticResult!$C$16-B60</f>
        <v>0.612254238989693</v>
      </c>
      <c r="D60" s="448">
        <f t="shared" si="3"/>
        <v>0.35306547199853677</v>
      </c>
      <c r="E60" s="49">
        <f>((B60*staticResult!$C$2*100)+配裝模擬!$D$2+staticResult!$D$16*0.47)/staticResult!$C$2/100</f>
        <v>0.4044425878013333</v>
      </c>
      <c r="G60" s="448">
        <f t="shared" ca="1" si="0"/>
        <v>2.9492568783129145</v>
      </c>
      <c r="H60" s="49">
        <v>0.308</v>
      </c>
      <c r="I60" s="49">
        <f ca="1">((M60*staticResult!$C$2*100)+配裝模擬!$D$2+staticResult!$D$16*0.47)/staticResult!$C$2/100</f>
        <v>0.43524258780133346</v>
      </c>
      <c r="J60" s="49">
        <f ca="1">(staticResult!$C$16-H60)+BUFF!$F$27</f>
        <v>0.83975423898969304</v>
      </c>
      <c r="K60" s="448">
        <f t="shared" ca="1" si="2"/>
        <v>0.45882863221846609</v>
      </c>
      <c r="L60" s="49">
        <f>((H60*staticResult!$C$2*100)+配裝模擬!$D$2+staticResult!$D$16*0.47)/staticResult!$C$2/100</f>
        <v>0.4044425878013333</v>
      </c>
      <c r="M60" s="476">
        <f ca="1">H60*(1+BUFF!$H$27)</f>
        <v>0.33880000000000005</v>
      </c>
    </row>
    <row r="61" spans="1:13">
      <c r="A61" s="448">
        <f t="shared" si="1"/>
        <v>2.0540680762232459</v>
      </c>
      <c r="B61" s="49">
        <v>0.309</v>
      </c>
      <c r="C61" s="49">
        <f>staticResult!$C$16-B61</f>
        <v>0.61125423898969311</v>
      </c>
      <c r="D61" s="448">
        <f t="shared" si="3"/>
        <v>0.35120310862923854</v>
      </c>
      <c r="E61" s="49">
        <f>((B61*staticResult!$C$2*100)+配裝模擬!$D$2+staticResult!$D$16*0.47)/staticResult!$C$2/100</f>
        <v>0.40544258780133341</v>
      </c>
      <c r="G61" s="448">
        <f t="shared" ca="1" si="0"/>
        <v>2.9497129433454266</v>
      </c>
      <c r="H61" s="49">
        <v>0.309</v>
      </c>
      <c r="I61" s="49">
        <f ca="1">((M61*staticResult!$C$2*100)+配裝模擬!$D$2+staticResult!$D$16*0.47)/staticResult!$C$2/100</f>
        <v>0.43634258780133345</v>
      </c>
      <c r="J61" s="49">
        <f ca="1">(staticResult!$C$16-H61)+BUFF!$F$27</f>
        <v>0.83875423898969315</v>
      </c>
      <c r="K61" s="448">
        <f t="shared" ca="1" si="2"/>
        <v>0.45606503251205371</v>
      </c>
      <c r="L61" s="49">
        <f>((H61*staticResult!$C$2*100)+配裝模擬!$D$2+staticResult!$D$16*0.47)/staticResult!$C$2/100</f>
        <v>0.40544258780133341</v>
      </c>
      <c r="M61" s="476">
        <f ca="1">H61*(1+BUFF!$H$27)</f>
        <v>0.33990000000000004</v>
      </c>
    </row>
    <row r="62" spans="1:13">
      <c r="A62" s="448">
        <f t="shared" si="1"/>
        <v>2.0544174169685063</v>
      </c>
      <c r="B62" s="49">
        <v>0.31</v>
      </c>
      <c r="C62" s="49">
        <f>staticResult!$C$16-B62</f>
        <v>0.610254238989693</v>
      </c>
      <c r="D62" s="448">
        <f t="shared" si="3"/>
        <v>0.34934074526038439</v>
      </c>
      <c r="E62" s="49">
        <f>((B62*staticResult!$C$2*100)+配裝模擬!$D$2+staticResult!$D$16*0.47)/staticResult!$C$2/100</f>
        <v>0.40644258780133335</v>
      </c>
      <c r="G62" s="448">
        <f t="shared" ca="1" si="0"/>
        <v>2.9501662447782335</v>
      </c>
      <c r="H62" s="49">
        <v>0.31</v>
      </c>
      <c r="I62" s="49">
        <f ca="1">((M62*staticResult!$C$2*100)+配裝模擬!$D$2+staticResult!$D$16*0.47)/staticResult!$C$2/100</f>
        <v>0.43744258780133344</v>
      </c>
      <c r="J62" s="49">
        <f ca="1">(staticResult!$C$16-H62)+BUFF!$F$27</f>
        <v>0.83775423898969303</v>
      </c>
      <c r="K62" s="448">
        <f t="shared" ca="1" si="2"/>
        <v>0.4533014328069736</v>
      </c>
      <c r="L62" s="49">
        <f>((H62*staticResult!$C$2*100)+配裝模擬!$D$2+staticResult!$D$16*0.47)/staticResult!$C$2/100</f>
        <v>0.40644258780133335</v>
      </c>
      <c r="M62" s="476">
        <f ca="1">H62*(1+BUFF!$H$27)</f>
        <v>0.34100000000000003</v>
      </c>
    </row>
    <row r="63" spans="1:13">
      <c r="A63" s="448">
        <f t="shared" si="1"/>
        <v>2.0547648953503979</v>
      </c>
      <c r="B63" s="49">
        <v>0.311</v>
      </c>
      <c r="C63" s="49">
        <f>staticResult!$C$16-B63</f>
        <v>0.60925423898969311</v>
      </c>
      <c r="D63" s="448">
        <f t="shared" si="3"/>
        <v>0.34747838189153024</v>
      </c>
      <c r="E63" s="49">
        <f>((B63*staticResult!$C$2*100)+配裝模擬!$D$2+staticResult!$D$16*0.47)/staticResult!$C$2/100</f>
        <v>0.40744258780133336</v>
      </c>
      <c r="G63" s="448">
        <f t="shared" ca="1" si="0"/>
        <v>2.950616782611335</v>
      </c>
      <c r="H63" s="49">
        <v>0.311</v>
      </c>
      <c r="I63" s="49">
        <f ca="1">((M63*staticResult!$C$2*100)+配裝模擬!$D$2+staticResult!$D$16*0.47)/staticResult!$C$2/100</f>
        <v>0.43854258780133343</v>
      </c>
      <c r="J63" s="49">
        <f ca="1">(staticResult!$C$16-H63)+BUFF!$F$27</f>
        <v>0.83675423898969314</v>
      </c>
      <c r="K63" s="448">
        <f t="shared" ca="1" si="2"/>
        <v>0.4505378331014494</v>
      </c>
      <c r="L63" s="49">
        <f>((H63*staticResult!$C$2*100)+配裝模擬!$D$2+staticResult!$D$16*0.47)/staticResult!$C$2/100</f>
        <v>0.40744258780133336</v>
      </c>
      <c r="M63" s="476">
        <f ca="1">H63*(1+BUFF!$H$27)</f>
        <v>0.34210000000000002</v>
      </c>
    </row>
    <row r="64" spans="1:13">
      <c r="A64" s="448">
        <f t="shared" si="1"/>
        <v>2.0551105113689201</v>
      </c>
      <c r="B64" s="49">
        <v>0.312</v>
      </c>
      <c r="C64" s="49">
        <f>staticResult!$C$16-B64</f>
        <v>0.608254238989693</v>
      </c>
      <c r="D64" s="448">
        <f t="shared" si="3"/>
        <v>0.345616018522232</v>
      </c>
      <c r="E64" s="49">
        <f>((B64*staticResult!$C$2*100)+配裝模擬!$D$2+staticResult!$D$16*0.47)/staticResult!$C$2/100</f>
        <v>0.40844258780133336</v>
      </c>
      <c r="G64" s="448">
        <f t="shared" ca="1" si="0"/>
        <v>2.9510645568447291</v>
      </c>
      <c r="H64" s="49">
        <v>0.312</v>
      </c>
      <c r="I64" s="49">
        <f ca="1">((M64*staticResult!$C$2*100)+配裝模擬!$D$2+staticResult!$D$16*0.47)/staticResult!$C$2/100</f>
        <v>0.43964258780133342</v>
      </c>
      <c r="J64" s="49">
        <f ca="1">(staticResult!$C$16-H64)+BUFF!$F$27</f>
        <v>0.83575423898969303</v>
      </c>
      <c r="K64" s="448">
        <f t="shared" ca="1" si="2"/>
        <v>0.44777423339414885</v>
      </c>
      <c r="L64" s="49">
        <f>((H64*staticResult!$C$2*100)+配裝模擬!$D$2+staticResult!$D$16*0.47)/staticResult!$C$2/100</f>
        <v>0.40844258780133336</v>
      </c>
      <c r="M64" s="476">
        <f ca="1">H64*(1+BUFF!$H$27)</f>
        <v>0.34320000000000001</v>
      </c>
    </row>
    <row r="65" spans="1:13">
      <c r="A65" s="448">
        <f t="shared" si="1"/>
        <v>2.0554542650240739</v>
      </c>
      <c r="B65" s="49">
        <v>0.313</v>
      </c>
      <c r="C65" s="49">
        <f>staticResult!$C$16-B65</f>
        <v>0.60725423898969311</v>
      </c>
      <c r="D65" s="448">
        <f t="shared" si="3"/>
        <v>0.34375365515382195</v>
      </c>
      <c r="E65" s="49">
        <f>((B65*staticResult!$C$2*100)+配裝模擬!$D$2+staticResult!$D$16*0.47)/staticResult!$C$2/100</f>
        <v>0.40944258780133341</v>
      </c>
      <c r="G65" s="448">
        <f t="shared" ca="1" si="0"/>
        <v>2.9515095674784186</v>
      </c>
      <c r="H65" s="49">
        <v>0.313</v>
      </c>
      <c r="I65" s="49">
        <f ca="1">((M65*staticResult!$C$2*100)+配裝模擬!$D$2+staticResult!$D$16*0.47)/staticResult!$C$2/100</f>
        <v>0.44074258780133341</v>
      </c>
      <c r="J65" s="49">
        <f ca="1">(staticResult!$C$16-H65)+BUFF!$F$27</f>
        <v>0.83475423898969314</v>
      </c>
      <c r="K65" s="448">
        <f t="shared" ca="1" si="2"/>
        <v>0.44501063368951282</v>
      </c>
      <c r="L65" s="49">
        <f>((H65*staticResult!$C$2*100)+配裝模擬!$D$2+staticResult!$D$16*0.47)/staticResult!$C$2/100</f>
        <v>0.40944258780133341</v>
      </c>
      <c r="M65" s="476">
        <f ca="1">H65*(1+BUFF!$H$27)</f>
        <v>0.34430000000000005</v>
      </c>
    </row>
    <row r="66" spans="1:13">
      <c r="A66" s="448">
        <f t="shared" si="1"/>
        <v>2.0557961563158589</v>
      </c>
      <c r="B66" s="49">
        <v>0.314</v>
      </c>
      <c r="C66" s="49">
        <f>staticResult!$C$16-B66</f>
        <v>0.606254238989693</v>
      </c>
      <c r="D66" s="448">
        <f t="shared" si="3"/>
        <v>0.34189129178496785</v>
      </c>
      <c r="E66" s="49">
        <f>((B66*staticResult!$C$2*100)+配裝模擬!$D$2+staticResult!$D$16*0.47)/staticResult!$C$2/100</f>
        <v>0.41044258780133341</v>
      </c>
      <c r="G66" s="448">
        <f t="shared" ref="G66:G129" ca="1" si="4">(1+I66)*(J66*$F$13+(1-J66))</f>
        <v>2.9519518145124031</v>
      </c>
      <c r="H66" s="49">
        <v>0.314</v>
      </c>
      <c r="I66" s="49">
        <f ca="1">((M66*staticResult!$C$2*100)+配裝模擬!$D$2+staticResult!$D$16*0.47)/staticResult!$C$2/100</f>
        <v>0.4418425878013334</v>
      </c>
      <c r="J66" s="49">
        <f ca="1">(staticResult!$C$16-H66)+BUFF!$F$27</f>
        <v>0.83375423898969303</v>
      </c>
      <c r="K66" s="448">
        <f t="shared" ca="1" si="2"/>
        <v>0.44224703398443271</v>
      </c>
      <c r="L66" s="49">
        <f>((H66*staticResult!$C$2*100)+配裝模擬!$D$2+staticResult!$D$16*0.47)/staticResult!$C$2/100</f>
        <v>0.41044258780133341</v>
      </c>
      <c r="M66" s="476">
        <f ca="1">H66*(1+BUFF!$H$27)</f>
        <v>0.34540000000000004</v>
      </c>
    </row>
    <row r="67" spans="1:13">
      <c r="A67" s="448">
        <f t="shared" ref="A67:A130" si="5">(1+B67)*(C67*$F$3+(1-C67))</f>
        <v>2.0561361852442746</v>
      </c>
      <c r="B67" s="49">
        <v>0.315</v>
      </c>
      <c r="C67" s="49">
        <f>staticResult!$C$16-B67</f>
        <v>0.60525423898969311</v>
      </c>
      <c r="D67" s="448">
        <f t="shared" ref="D67:D130" si="6">(A67-A66)/(B67-B66)</f>
        <v>0.34002892841566962</v>
      </c>
      <c r="E67" s="49">
        <f>((B67*staticResult!$C$2*100)+配裝模擬!$D$2+staticResult!$D$16*0.47)/staticResult!$C$2/100</f>
        <v>0.41144258780133341</v>
      </c>
      <c r="G67" s="448">
        <f t="shared" ca="1" si="4"/>
        <v>2.9523912979466802</v>
      </c>
      <c r="H67" s="49">
        <v>0.315</v>
      </c>
      <c r="I67" s="49">
        <f ca="1">((M67*staticResult!$C$2*100)+配裝模擬!$D$2+staticResult!$D$16*0.47)/staticResult!$C$2/100</f>
        <v>0.44294258780133339</v>
      </c>
      <c r="J67" s="49">
        <f ca="1">(staticResult!$C$16-H67)+BUFF!$F$27</f>
        <v>0.83275423898969314</v>
      </c>
      <c r="K67" s="448">
        <f t="shared" ref="K67:K130" ca="1" si="7">(G67-G66)/(H67-H66)</f>
        <v>0.43948343427713216</v>
      </c>
      <c r="L67" s="49">
        <f>((H67*staticResult!$C$2*100)+配裝模擬!$D$2+staticResult!$D$16*0.47)/staticResult!$C$2/100</f>
        <v>0.41144258780133341</v>
      </c>
      <c r="M67" s="476">
        <f ca="1">H67*(1+BUFF!$H$27)</f>
        <v>0.34650000000000003</v>
      </c>
    </row>
    <row r="68" spans="1:13">
      <c r="A68" s="448">
        <f t="shared" si="5"/>
        <v>2.0564743518093218</v>
      </c>
      <c r="B68" s="49">
        <v>0.316</v>
      </c>
      <c r="C68" s="49">
        <f>staticResult!$C$16-B68</f>
        <v>0.60425423898969299</v>
      </c>
      <c r="D68" s="448">
        <f t="shared" si="6"/>
        <v>0.33816656504725956</v>
      </c>
      <c r="E68" s="49">
        <f>((B68*staticResult!$C$2*100)+配裝模擬!$D$2+staticResult!$D$16*0.47)/staticResult!$C$2/100</f>
        <v>0.41244258780133342</v>
      </c>
      <c r="G68" s="448">
        <f t="shared" ca="1" si="4"/>
        <v>2.9528280177812523</v>
      </c>
      <c r="H68" s="49">
        <v>0.316</v>
      </c>
      <c r="I68" s="49">
        <f ca="1">((M68*staticResult!$C$2*100)+配裝模擬!$D$2+staticResult!$D$16*0.47)/staticResult!$C$2/100</f>
        <v>0.44404258780133338</v>
      </c>
      <c r="J68" s="49">
        <f ca="1">(staticResult!$C$16-H68)+BUFF!$F$27</f>
        <v>0.83175423898969303</v>
      </c>
      <c r="K68" s="448">
        <f t="shared" ca="1" si="7"/>
        <v>0.43671983457205205</v>
      </c>
      <c r="L68" s="49">
        <f>((H68*staticResult!$C$2*100)+配裝模擬!$D$2+staticResult!$D$16*0.47)/staticResult!$C$2/100</f>
        <v>0.41244258780133342</v>
      </c>
      <c r="M68" s="476">
        <f ca="1">H68*(1+BUFF!$H$27)</f>
        <v>0.34760000000000002</v>
      </c>
    </row>
    <row r="69" spans="1:13">
      <c r="A69" s="448">
        <f t="shared" si="5"/>
        <v>2.0568106560109993</v>
      </c>
      <c r="B69" s="49">
        <v>0.317</v>
      </c>
      <c r="C69" s="49">
        <f>staticResult!$C$16-B69</f>
        <v>0.6032542389896931</v>
      </c>
      <c r="D69" s="448">
        <f t="shared" si="6"/>
        <v>0.33630420167751723</v>
      </c>
      <c r="E69" s="49">
        <f>((B69*staticResult!$C$2*100)+配裝模擬!$D$2+staticResult!$D$16*0.47)/staticResult!$C$2/100</f>
        <v>0.41344258780133336</v>
      </c>
      <c r="G69" s="448">
        <f t="shared" ca="1" si="4"/>
        <v>2.9532619740161183</v>
      </c>
      <c r="H69" s="49">
        <v>0.317</v>
      </c>
      <c r="I69" s="49">
        <f ca="1">((M69*staticResult!$C$2*100)+配裝模擬!$D$2+staticResult!$D$16*0.47)/staticResult!$C$2/100</f>
        <v>0.44514258780133337</v>
      </c>
      <c r="J69" s="49">
        <f ca="1">(staticResult!$C$16-H69)+BUFF!$F$27</f>
        <v>0.83075423898969314</v>
      </c>
      <c r="K69" s="448">
        <f t="shared" ca="1" si="7"/>
        <v>0.43395623486608376</v>
      </c>
      <c r="L69" s="49">
        <f>((H69*staticResult!$C$2*100)+配裝模擬!$D$2+staticResult!$D$16*0.47)/staticResult!$C$2/100</f>
        <v>0.41344258780133336</v>
      </c>
      <c r="M69" s="476">
        <f ca="1">H69*(1+BUFF!$H$27)</f>
        <v>0.34870000000000001</v>
      </c>
    </row>
    <row r="70" spans="1:13">
      <c r="A70" s="448">
        <f t="shared" si="5"/>
        <v>2.0571450978493089</v>
      </c>
      <c r="B70" s="49">
        <v>0.318</v>
      </c>
      <c r="C70" s="49">
        <f>staticResult!$C$16-B70</f>
        <v>0.60225423898969299</v>
      </c>
      <c r="D70" s="448">
        <f t="shared" si="6"/>
        <v>0.33444183830955126</v>
      </c>
      <c r="E70" s="49">
        <f>((B70*staticResult!$C$2*100)+配裝模擬!$D$2+staticResult!$D$16*0.47)/staticResult!$C$2/100</f>
        <v>0.41444258780133336</v>
      </c>
      <c r="G70" s="448">
        <f t="shared" ca="1" si="4"/>
        <v>2.9536931666512789</v>
      </c>
      <c r="H70" s="49">
        <v>0.318</v>
      </c>
      <c r="I70" s="49">
        <f ca="1">((M70*staticResult!$C$2*100)+配裝模擬!$D$2+staticResult!$D$16*0.47)/staticResult!$C$2/100</f>
        <v>0.44624258780133341</v>
      </c>
      <c r="J70" s="49">
        <f ca="1">(staticResult!$C$16-H70)+BUFF!$F$27</f>
        <v>0.82975423898969303</v>
      </c>
      <c r="K70" s="448">
        <f t="shared" ca="1" si="7"/>
        <v>0.43119263516055956</v>
      </c>
      <c r="L70" s="49">
        <f>((H70*staticResult!$C$2*100)+配裝模擬!$D$2+staticResult!$D$16*0.47)/staticResult!$C$2/100</f>
        <v>0.41444258780133336</v>
      </c>
      <c r="M70" s="476">
        <f ca="1">H70*(1+BUFF!$H$27)</f>
        <v>0.34980000000000006</v>
      </c>
    </row>
    <row r="71" spans="1:13">
      <c r="A71" s="448">
        <f t="shared" si="5"/>
        <v>2.0574776773242491</v>
      </c>
      <c r="B71" s="49">
        <v>0.31900000000000001</v>
      </c>
      <c r="C71" s="49">
        <f>staticResult!$C$16-B71</f>
        <v>0.6012542389896931</v>
      </c>
      <c r="D71" s="448">
        <f t="shared" si="6"/>
        <v>0.33257947494025303</v>
      </c>
      <c r="E71" s="49">
        <f>((B71*staticResult!$C$2*100)+配裝模擬!$D$2+staticResult!$D$16*0.47)/staticResult!$C$2/100</f>
        <v>0.41544258780133342</v>
      </c>
      <c r="G71" s="448">
        <f t="shared" ca="1" si="4"/>
        <v>2.9541215956867339</v>
      </c>
      <c r="H71" s="49">
        <v>0.31900000000000001</v>
      </c>
      <c r="I71" s="49">
        <f ca="1">((M71*staticResult!$C$2*100)+配裝模擬!$D$2+staticResult!$D$16*0.47)/staticResult!$C$2/100</f>
        <v>0.44734258780133346</v>
      </c>
      <c r="J71" s="49">
        <f ca="1">(staticResult!$C$16-H71)+BUFF!$F$27</f>
        <v>0.82875423898969314</v>
      </c>
      <c r="K71" s="448">
        <f t="shared" ca="1" si="7"/>
        <v>0.42842903545503536</v>
      </c>
      <c r="L71" s="49">
        <f>((H71*staticResult!$C$2*100)+配裝模擬!$D$2+staticResult!$D$16*0.47)/staticResult!$C$2/100</f>
        <v>0.41544258780133342</v>
      </c>
      <c r="M71" s="476">
        <f ca="1">H71*(1+BUFF!$H$27)</f>
        <v>0.35090000000000005</v>
      </c>
    </row>
    <row r="72" spans="1:13">
      <c r="A72" s="448">
        <f t="shared" si="5"/>
        <v>2.0578083944358205</v>
      </c>
      <c r="B72" s="49">
        <v>0.32</v>
      </c>
      <c r="C72" s="49">
        <f>staticResult!$C$16-B72</f>
        <v>0.60025423898969299</v>
      </c>
      <c r="D72" s="448">
        <f t="shared" si="6"/>
        <v>0.33071711157139888</v>
      </c>
      <c r="E72" s="49">
        <f>((B72*staticResult!$C$2*100)+配裝模擬!$D$2+staticResult!$D$16*0.47)/staticResult!$C$2/100</f>
        <v>0.41644258780133342</v>
      </c>
      <c r="G72" s="448">
        <f t="shared" ca="1" si="4"/>
        <v>2.9545472611224821</v>
      </c>
      <c r="H72" s="49">
        <v>0.32</v>
      </c>
      <c r="I72" s="49">
        <f ca="1">((M72*staticResult!$C$2*100)+配裝模擬!$D$2+staticResult!$D$16*0.47)/staticResult!$C$2/100</f>
        <v>0.44844258780133345</v>
      </c>
      <c r="J72" s="49">
        <f ca="1">(staticResult!$C$16-H72)+BUFF!$F$27</f>
        <v>0.82775423898969303</v>
      </c>
      <c r="K72" s="448">
        <f t="shared" ca="1" si="7"/>
        <v>0.42566543574817889</v>
      </c>
      <c r="L72" s="49">
        <f>((H72*staticResult!$C$2*100)+配裝模擬!$D$2+staticResult!$D$16*0.47)/staticResult!$C$2/100</f>
        <v>0.41644258780133342</v>
      </c>
      <c r="M72" s="476">
        <f ca="1">H72*(1+BUFF!$H$27)</f>
        <v>0.35200000000000004</v>
      </c>
    </row>
    <row r="73" spans="1:13">
      <c r="A73" s="448">
        <f t="shared" si="5"/>
        <v>2.0581372491840226</v>
      </c>
      <c r="B73" s="49">
        <v>0.32100000000000001</v>
      </c>
      <c r="C73" s="49">
        <f>staticResult!$C$16-B73</f>
        <v>0.5992542389896931</v>
      </c>
      <c r="D73" s="448">
        <f t="shared" si="6"/>
        <v>0.32885474820210064</v>
      </c>
      <c r="E73" s="49">
        <f>((B73*staticResult!$C$2*100)+配裝模擬!$D$2+staticResult!$D$16*0.47)/staticResult!$C$2/100</f>
        <v>0.41744258780133336</v>
      </c>
      <c r="G73" s="448">
        <f t="shared" ca="1" si="4"/>
        <v>2.9549701629585261</v>
      </c>
      <c r="H73" s="49">
        <v>0.32100000000000001</v>
      </c>
      <c r="I73" s="49">
        <f ca="1">((M73*staticResult!$C$2*100)+配裝模擬!$D$2+staticResult!$D$16*0.47)/staticResult!$C$2/100</f>
        <v>0.44954258780133344</v>
      </c>
      <c r="J73" s="49">
        <f ca="1">(staticResult!$C$16-H73)+BUFF!$F$27</f>
        <v>0.82675423898969314</v>
      </c>
      <c r="K73" s="448">
        <f t="shared" ca="1" si="7"/>
        <v>0.42290183604398696</v>
      </c>
      <c r="L73" s="49">
        <f>((H73*staticResult!$C$2*100)+配裝模擬!$D$2+staticResult!$D$16*0.47)/staticResult!$C$2/100</f>
        <v>0.41744258780133336</v>
      </c>
      <c r="M73" s="476">
        <f ca="1">H73*(1+BUFF!$H$27)</f>
        <v>0.35310000000000002</v>
      </c>
    </row>
    <row r="74" spans="1:13">
      <c r="A74" s="448">
        <f t="shared" si="5"/>
        <v>2.0584642415688563</v>
      </c>
      <c r="B74" s="49">
        <v>0.32200000000000001</v>
      </c>
      <c r="C74" s="49">
        <f>staticResult!$C$16-B74</f>
        <v>0.59825423898969299</v>
      </c>
      <c r="D74" s="448">
        <f t="shared" si="6"/>
        <v>0.32699238483369059</v>
      </c>
      <c r="E74" s="49">
        <f>((B74*staticResult!$C$2*100)+配裝模擬!$D$2+staticResult!$D$16*0.47)/staticResult!$C$2/100</f>
        <v>0.41844258780133342</v>
      </c>
      <c r="G74" s="448">
        <f t="shared" ca="1" si="4"/>
        <v>2.9553903011948628</v>
      </c>
      <c r="H74" s="49">
        <v>0.32200000000000001</v>
      </c>
      <c r="I74" s="49">
        <f ca="1">((M74*staticResult!$C$2*100)+配裝模擬!$D$2+staticResult!$D$16*0.47)/staticResult!$C$2/100</f>
        <v>0.45064258780133343</v>
      </c>
      <c r="J74" s="49">
        <f ca="1">(staticResult!$C$16-H74)+BUFF!$F$27</f>
        <v>0.82575423898969302</v>
      </c>
      <c r="K74" s="448">
        <f t="shared" ca="1" si="7"/>
        <v>0.4201382363366864</v>
      </c>
      <c r="L74" s="49">
        <f>((H74*staticResult!$C$2*100)+配裝模擬!$D$2+staticResult!$D$16*0.47)/staticResult!$C$2/100</f>
        <v>0.41844258780133342</v>
      </c>
      <c r="M74" s="476">
        <f ca="1">H74*(1+BUFF!$H$27)</f>
        <v>0.35420000000000001</v>
      </c>
    </row>
    <row r="75" spans="1:13">
      <c r="A75" s="448">
        <f t="shared" si="5"/>
        <v>2.0587893715903212</v>
      </c>
      <c r="B75" s="49">
        <v>0.32300000000000001</v>
      </c>
      <c r="C75" s="49">
        <f>staticResult!$C$16-B75</f>
        <v>0.5972542389896931</v>
      </c>
      <c r="D75" s="448">
        <f t="shared" si="6"/>
        <v>0.32513002146483644</v>
      </c>
      <c r="E75" s="49">
        <f>((B75*staticResult!$C$2*100)+配裝模擬!$D$2+staticResult!$D$16*0.47)/staticResult!$C$2/100</f>
        <v>0.41944258780133337</v>
      </c>
      <c r="G75" s="448">
        <f t="shared" ca="1" si="4"/>
        <v>2.955807675831494</v>
      </c>
      <c r="H75" s="49">
        <v>0.32300000000000001</v>
      </c>
      <c r="I75" s="49">
        <f ca="1">((M75*staticResult!$C$2*100)+配裝模擬!$D$2+staticResult!$D$16*0.47)/staticResult!$C$2/100</f>
        <v>0.45174258780133347</v>
      </c>
      <c r="J75" s="49">
        <f ca="1">(staticResult!$C$16-H75)+BUFF!$F$27</f>
        <v>0.82475423898969313</v>
      </c>
      <c r="K75" s="448">
        <f t="shared" ca="1" si="7"/>
        <v>0.4173746366311622</v>
      </c>
      <c r="L75" s="49">
        <f>((H75*staticResult!$C$2*100)+配裝模擬!$D$2+staticResult!$D$16*0.47)/staticResult!$C$2/100</f>
        <v>0.41944258780133337</v>
      </c>
      <c r="M75" s="476">
        <f ca="1">H75*(1+BUFF!$H$27)</f>
        <v>0.35530000000000006</v>
      </c>
    </row>
    <row r="76" spans="1:13">
      <c r="A76" s="448">
        <f t="shared" si="5"/>
        <v>2.0591126392484171</v>
      </c>
      <c r="B76" s="49">
        <v>0.32400000000000001</v>
      </c>
      <c r="C76" s="49">
        <f>staticResult!$C$16-B76</f>
        <v>0.59625423898969299</v>
      </c>
      <c r="D76" s="448">
        <f t="shared" si="6"/>
        <v>0.32326765809598229</v>
      </c>
      <c r="E76" s="49">
        <f>((B76*staticResult!$C$2*100)+配裝模擬!$D$2+staticResult!$D$16*0.47)/staticResult!$C$2/100</f>
        <v>0.42044258780133342</v>
      </c>
      <c r="G76" s="448">
        <f t="shared" ca="1" si="4"/>
        <v>2.95622228686842</v>
      </c>
      <c r="H76" s="49">
        <v>0.32400000000000001</v>
      </c>
      <c r="I76" s="49">
        <f ca="1">((M76*staticResult!$C$2*100)+配裝模擬!$D$2+staticResult!$D$16*0.47)/staticResult!$C$2/100</f>
        <v>0.45284258780133341</v>
      </c>
      <c r="J76" s="49">
        <f ca="1">(staticResult!$C$16-H76)+BUFF!$F$27</f>
        <v>0.82375423898969302</v>
      </c>
      <c r="K76" s="448">
        <f t="shared" ca="1" si="7"/>
        <v>0.41461103692608209</v>
      </c>
      <c r="L76" s="49">
        <f>((H76*staticResult!$C$2*100)+配裝模擬!$D$2+staticResult!$D$16*0.47)/staticResult!$C$2/100</f>
        <v>0.42044258780133342</v>
      </c>
      <c r="M76" s="476">
        <f ca="1">H76*(1+BUFF!$H$27)</f>
        <v>0.35640000000000005</v>
      </c>
    </row>
    <row r="77" spans="1:13">
      <c r="A77" s="448">
        <f t="shared" si="5"/>
        <v>2.0594340445431438</v>
      </c>
      <c r="B77" s="49">
        <v>0.32500000000000001</v>
      </c>
      <c r="C77" s="49">
        <f>staticResult!$C$16-B77</f>
        <v>0.5952542389896931</v>
      </c>
      <c r="D77" s="448">
        <f t="shared" si="6"/>
        <v>0.32140529472668405</v>
      </c>
      <c r="E77" s="49">
        <f>((B77*staticResult!$C$2*100)+配裝模擬!$D$2+staticResult!$D$16*0.47)/staticResult!$C$2/100</f>
        <v>0.42144258780133342</v>
      </c>
      <c r="G77" s="448">
        <f t="shared" ca="1" si="4"/>
        <v>2.9566341343056401</v>
      </c>
      <c r="H77" s="49">
        <v>0.32500000000000001</v>
      </c>
      <c r="I77" s="49">
        <f ca="1">((M77*staticResult!$C$2*100)+配裝模擬!$D$2+staticResult!$D$16*0.47)/staticResult!$C$2/100</f>
        <v>0.45394258780133351</v>
      </c>
      <c r="J77" s="49">
        <f ca="1">(staticResult!$C$16-H77)+BUFF!$F$27</f>
        <v>0.82275423898969313</v>
      </c>
      <c r="K77" s="448">
        <f t="shared" ca="1" si="7"/>
        <v>0.4118474372201138</v>
      </c>
      <c r="L77" s="49">
        <f>((H77*staticResult!$C$2*100)+配裝模擬!$D$2+staticResult!$D$16*0.47)/staticResult!$C$2/100</f>
        <v>0.42144258780133342</v>
      </c>
      <c r="M77" s="476">
        <f ca="1">H77*(1+BUFF!$H$27)</f>
        <v>0.35750000000000004</v>
      </c>
    </row>
    <row r="78" spans="1:13">
      <c r="A78" s="448">
        <f t="shared" si="5"/>
        <v>2.0597535874745017</v>
      </c>
      <c r="B78" s="49">
        <v>0.32600000000000001</v>
      </c>
      <c r="C78" s="49">
        <f>staticResult!$C$16-B78</f>
        <v>0.59425423898969298</v>
      </c>
      <c r="D78" s="448">
        <f t="shared" si="6"/>
        <v>0.31954293135782991</v>
      </c>
      <c r="E78" s="49">
        <f>((B78*staticResult!$C$2*100)+配裝模擬!$D$2+staticResult!$D$16*0.47)/staticResult!$C$2/100</f>
        <v>0.42244258780133342</v>
      </c>
      <c r="G78" s="448">
        <f t="shared" ca="1" si="4"/>
        <v>2.9570432181431534</v>
      </c>
      <c r="H78" s="49">
        <v>0.32600000000000001</v>
      </c>
      <c r="I78" s="49">
        <f ca="1">((M78*staticResult!$C$2*100)+配裝模擬!$D$2+staticResult!$D$16*0.47)/staticResult!$C$2/100</f>
        <v>0.45504258780133339</v>
      </c>
      <c r="J78" s="49">
        <f ca="1">(staticResult!$C$16-H78)+BUFF!$F$27</f>
        <v>0.82175423898969302</v>
      </c>
      <c r="K78" s="448">
        <f t="shared" ca="1" si="7"/>
        <v>0.40908383751325733</v>
      </c>
      <c r="L78" s="49">
        <f>((H78*staticResult!$C$2*100)+配裝模擬!$D$2+staticResult!$D$16*0.47)/staticResult!$C$2/100</f>
        <v>0.42244258780133342</v>
      </c>
      <c r="M78" s="476">
        <f ca="1">H78*(1+BUFF!$H$27)</f>
        <v>0.35860000000000003</v>
      </c>
    </row>
    <row r="79" spans="1:13">
      <c r="A79" s="448">
        <f t="shared" si="5"/>
        <v>2.0600712680424906</v>
      </c>
      <c r="B79" s="49">
        <v>0.32700000000000001</v>
      </c>
      <c r="C79" s="49">
        <f>staticResult!$C$16-B79</f>
        <v>0.59325423898969309</v>
      </c>
      <c r="D79" s="448">
        <f t="shared" si="6"/>
        <v>0.31768056798897576</v>
      </c>
      <c r="E79" s="49">
        <f>((B79*staticResult!$C$2*100)+配裝模擬!$D$2+staticResult!$D$16*0.47)/staticResult!$C$2/100</f>
        <v>0.42344258780133337</v>
      </c>
      <c r="G79" s="448">
        <f t="shared" ca="1" si="4"/>
        <v>2.957449538380962</v>
      </c>
      <c r="H79" s="49">
        <v>0.32700000000000001</v>
      </c>
      <c r="I79" s="49">
        <f ca="1">((M79*staticResult!$C$2*100)+配裝模擬!$D$2+staticResult!$D$16*0.47)/staticResult!$C$2/100</f>
        <v>0.45614258780133343</v>
      </c>
      <c r="J79" s="49">
        <f ca="1">(staticResult!$C$16-H79)+BUFF!$F$27</f>
        <v>0.82075423898969313</v>
      </c>
      <c r="K79" s="448">
        <f t="shared" ca="1" si="7"/>
        <v>0.40632023780862131</v>
      </c>
      <c r="L79" s="49">
        <f>((H79*staticResult!$C$2*100)+配裝模擬!$D$2+staticResult!$D$16*0.47)/staticResult!$C$2/100</f>
        <v>0.42344258780133337</v>
      </c>
      <c r="M79" s="476">
        <f ca="1">H79*(1+BUFF!$H$27)</f>
        <v>0.35970000000000002</v>
      </c>
    </row>
    <row r="80" spans="1:13">
      <c r="A80" s="448">
        <f t="shared" si="5"/>
        <v>2.0603870862471112</v>
      </c>
      <c r="B80" s="49">
        <v>0.32800000000000001</v>
      </c>
      <c r="C80" s="49">
        <f>staticResult!$C$16-B80</f>
        <v>0.59225423898969298</v>
      </c>
      <c r="D80" s="448">
        <f t="shared" si="6"/>
        <v>0.3158182046205657</v>
      </c>
      <c r="E80" s="49">
        <f>((B80*staticResult!$C$2*100)+配裝模擬!$D$2+staticResult!$D$16*0.47)/staticResult!$C$2/100</f>
        <v>0.42444258780133348</v>
      </c>
      <c r="G80" s="448">
        <f t="shared" ca="1" si="4"/>
        <v>2.9578530950190651</v>
      </c>
      <c r="H80" s="49">
        <v>0.32800000000000001</v>
      </c>
      <c r="I80" s="49">
        <f ca="1">((M80*staticResult!$C$2*100)+配裝模擬!$D$2+staticResult!$D$16*0.47)/staticResult!$C$2/100</f>
        <v>0.45724258780133348</v>
      </c>
      <c r="J80" s="49">
        <f ca="1">(staticResult!$C$16-H80)+BUFF!$F$27</f>
        <v>0.81975423898969302</v>
      </c>
      <c r="K80" s="448">
        <f t="shared" ca="1" si="7"/>
        <v>0.40355663810309716</v>
      </c>
      <c r="L80" s="49">
        <f>((H80*staticResult!$C$2*100)+配裝模擬!$D$2+staticResult!$D$16*0.47)/staticResult!$C$2/100</f>
        <v>0.42444258780133348</v>
      </c>
      <c r="M80" s="476">
        <f ca="1">H80*(1+BUFF!$H$27)</f>
        <v>0.36080000000000007</v>
      </c>
    </row>
    <row r="81" spans="1:13">
      <c r="A81" s="448">
        <f t="shared" si="5"/>
        <v>2.0607010420883625</v>
      </c>
      <c r="B81" s="49">
        <v>0.32900000000000001</v>
      </c>
      <c r="C81" s="49">
        <f>staticResult!$C$16-B81</f>
        <v>0.59125423898969309</v>
      </c>
      <c r="D81" s="448">
        <f t="shared" si="6"/>
        <v>0.31395584125126746</v>
      </c>
      <c r="E81" s="49">
        <f>((B81*staticResult!$C$2*100)+配裝模擬!$D$2+staticResult!$D$16*0.47)/staticResult!$C$2/100</f>
        <v>0.42544258780133332</v>
      </c>
      <c r="G81" s="448">
        <f t="shared" ca="1" si="4"/>
        <v>2.9582538880574623</v>
      </c>
      <c r="H81" s="49">
        <v>0.32900000000000001</v>
      </c>
      <c r="I81" s="49">
        <f ca="1">((M81*staticResult!$C$2*100)+配裝模擬!$D$2+staticResult!$D$16*0.47)/staticResult!$C$2/100</f>
        <v>0.45834258780133341</v>
      </c>
      <c r="J81" s="49">
        <f ca="1">(staticResult!$C$16-H81)+BUFF!$F$27</f>
        <v>0.81875423898969313</v>
      </c>
      <c r="K81" s="448">
        <f t="shared" ca="1" si="7"/>
        <v>0.40079303839712888</v>
      </c>
      <c r="L81" s="49">
        <f>((H81*staticResult!$C$2*100)+配裝模擬!$D$2+staticResult!$D$16*0.47)/staticResult!$C$2/100</f>
        <v>0.42544258780133332</v>
      </c>
      <c r="M81" s="476">
        <f ca="1">H81*(1+BUFF!$H$27)</f>
        <v>0.36190000000000005</v>
      </c>
    </row>
    <row r="82" spans="1:13">
      <c r="A82" s="448">
        <f t="shared" si="5"/>
        <v>2.0610131355662449</v>
      </c>
      <c r="B82" s="49">
        <v>0.33</v>
      </c>
      <c r="C82" s="49">
        <f>staticResult!$C$16-B82</f>
        <v>0.59025423898969298</v>
      </c>
      <c r="D82" s="448">
        <f t="shared" si="6"/>
        <v>0.31209347788241332</v>
      </c>
      <c r="E82" s="49">
        <f>((B82*staticResult!$C$2*100)+配裝模擬!$D$2+staticResult!$D$16*0.47)/staticResult!$C$2/100</f>
        <v>0.42644258780133343</v>
      </c>
      <c r="G82" s="448">
        <f t="shared" ca="1" si="4"/>
        <v>2.9586519174961525</v>
      </c>
      <c r="H82" s="49">
        <v>0.33</v>
      </c>
      <c r="I82" s="49">
        <f ca="1">((M82*staticResult!$C$2*100)+配裝模擬!$D$2+staticResult!$D$16*0.47)/staticResult!$C$2/100</f>
        <v>0.4594425878013334</v>
      </c>
      <c r="J82" s="49">
        <f ca="1">(staticResult!$C$16-H82)+BUFF!$F$27</f>
        <v>0.81775423898969302</v>
      </c>
      <c r="K82" s="448">
        <f t="shared" ca="1" si="7"/>
        <v>0.39802943869027241</v>
      </c>
      <c r="L82" s="49">
        <f>((H82*staticResult!$C$2*100)+配裝模擬!$D$2+staticResult!$D$16*0.47)/staticResult!$C$2/100</f>
        <v>0.42644258780133343</v>
      </c>
      <c r="M82" s="476">
        <f ca="1">H82*(1+BUFF!$H$27)</f>
        <v>0.36300000000000004</v>
      </c>
    </row>
    <row r="83" spans="1:13">
      <c r="A83" s="448">
        <f t="shared" si="5"/>
        <v>2.061323366680758</v>
      </c>
      <c r="B83" s="49">
        <v>0.33100000000000002</v>
      </c>
      <c r="C83" s="49">
        <f>staticResult!$C$16-B83</f>
        <v>0.58925423898969309</v>
      </c>
      <c r="D83" s="448">
        <f t="shared" si="6"/>
        <v>0.31023111451311508</v>
      </c>
      <c r="E83" s="49">
        <f>((B83*staticResult!$C$2*100)+配裝模擬!$D$2+staticResult!$D$16*0.47)/staticResult!$C$2/100</f>
        <v>0.42744258780133343</v>
      </c>
      <c r="G83" s="448">
        <f t="shared" ca="1" si="4"/>
        <v>2.9590471833351377</v>
      </c>
      <c r="H83" s="49">
        <v>0.33100000000000002</v>
      </c>
      <c r="I83" s="49">
        <f ca="1">((M83*staticResult!$C$2*100)+配裝模擬!$D$2+staticResult!$D$16*0.47)/staticResult!$C$2/100</f>
        <v>0.46054258780133339</v>
      </c>
      <c r="J83" s="49">
        <f ca="1">(staticResult!$C$16-H83)+BUFF!$F$27</f>
        <v>0.81675423898969313</v>
      </c>
      <c r="K83" s="448">
        <f t="shared" ca="1" si="7"/>
        <v>0.3952658389851923</v>
      </c>
      <c r="L83" s="49">
        <f>((H83*staticResult!$C$2*100)+配裝模擬!$D$2+staticResult!$D$16*0.47)/staticResult!$C$2/100</f>
        <v>0.42744258780133343</v>
      </c>
      <c r="M83" s="476">
        <f ca="1">H83*(1+BUFF!$H$27)</f>
        <v>0.36410000000000003</v>
      </c>
    </row>
    <row r="84" spans="1:13">
      <c r="A84" s="448">
        <f t="shared" si="5"/>
        <v>2.0616317354319027</v>
      </c>
      <c r="B84" s="49">
        <v>0.33200000000000002</v>
      </c>
      <c r="C84" s="49">
        <f>staticResult!$C$16-B84</f>
        <v>0.58825423898969298</v>
      </c>
      <c r="D84" s="448">
        <f t="shared" si="6"/>
        <v>0.30836875114470502</v>
      </c>
      <c r="E84" s="49">
        <f>((B84*staticResult!$C$2*100)+配裝模擬!$D$2+staticResult!$D$16*0.47)/staticResult!$C$2/100</f>
        <v>0.42844258780133337</v>
      </c>
      <c r="G84" s="448">
        <f t="shared" ca="1" si="4"/>
        <v>2.9594396855744174</v>
      </c>
      <c r="H84" s="49">
        <v>0.33200000000000002</v>
      </c>
      <c r="I84" s="49">
        <f ca="1">((M84*staticResult!$C$2*100)+配裝模擬!$D$2+staticResult!$D$16*0.47)/staticResult!$C$2/100</f>
        <v>0.46164258780133338</v>
      </c>
      <c r="J84" s="49">
        <f ca="1">(staticResult!$C$16-H84)+BUFF!$F$27</f>
        <v>0.81575423898969301</v>
      </c>
      <c r="K84" s="448">
        <f t="shared" ca="1" si="7"/>
        <v>0.3925022392796681</v>
      </c>
      <c r="L84" s="49">
        <f>((H84*staticResult!$C$2*100)+配裝模擬!$D$2+staticResult!$D$16*0.47)/staticResult!$C$2/100</f>
        <v>0.42844258780133337</v>
      </c>
      <c r="M84" s="476">
        <f ca="1">H84*(1+BUFF!$H$27)</f>
        <v>0.36520000000000002</v>
      </c>
    </row>
    <row r="85" spans="1:13">
      <c r="A85" s="448">
        <f t="shared" si="5"/>
        <v>2.0619382418196786</v>
      </c>
      <c r="B85" s="49">
        <v>0.33300000000000002</v>
      </c>
      <c r="C85" s="49">
        <f>staticResult!$C$16-B85</f>
        <v>0.58725423898969309</v>
      </c>
      <c r="D85" s="448">
        <f t="shared" si="6"/>
        <v>0.30650638777585087</v>
      </c>
      <c r="E85" s="49">
        <f>((B85*staticResult!$C$2*100)+配裝模擬!$D$2+staticResult!$D$16*0.47)/staticResult!$C$2/100</f>
        <v>0.42944258780133338</v>
      </c>
      <c r="G85" s="448">
        <f t="shared" ca="1" si="4"/>
        <v>2.9598294242139906</v>
      </c>
      <c r="H85" s="49">
        <v>0.33300000000000002</v>
      </c>
      <c r="I85" s="49">
        <f ca="1">((M85*staticResult!$C$2*100)+配裝模擬!$D$2+staticResult!$D$16*0.47)/staticResult!$C$2/100</f>
        <v>0.46274258780133343</v>
      </c>
      <c r="J85" s="49">
        <f ca="1">(staticResult!$C$16-H85)+BUFF!$F$27</f>
        <v>0.81475423898969312</v>
      </c>
      <c r="K85" s="448">
        <f t="shared" ca="1" si="7"/>
        <v>0.38973863957325572</v>
      </c>
      <c r="L85" s="49">
        <f>((H85*staticResult!$C$2*100)+配裝模擬!$D$2+staticResult!$D$16*0.47)/staticResult!$C$2/100</f>
        <v>0.42944258780133338</v>
      </c>
      <c r="M85" s="476">
        <f ca="1">H85*(1+BUFF!$H$27)</f>
        <v>0.36630000000000007</v>
      </c>
    </row>
    <row r="86" spans="1:13">
      <c r="A86" s="448">
        <f t="shared" si="5"/>
        <v>2.0622428858440851</v>
      </c>
      <c r="B86" s="49">
        <v>0.33400000000000002</v>
      </c>
      <c r="C86" s="49">
        <f>staticResult!$C$16-B86</f>
        <v>0.58625423898969298</v>
      </c>
      <c r="D86" s="448">
        <f t="shared" si="6"/>
        <v>0.30464402440655264</v>
      </c>
      <c r="E86" s="49">
        <f>((B86*staticResult!$C$2*100)+配裝模擬!$D$2+staticResult!$D$16*0.47)/staticResult!$C$2/100</f>
        <v>0.43044258780133338</v>
      </c>
      <c r="G86" s="448">
        <f t="shared" ca="1" si="4"/>
        <v>2.9602163992538584</v>
      </c>
      <c r="H86" s="49">
        <v>0.33400000000000002</v>
      </c>
      <c r="I86" s="49">
        <f ca="1">((M86*staticResult!$C$2*100)+配裝模擬!$D$2+staticResult!$D$16*0.47)/staticResult!$C$2/100</f>
        <v>0.46384258780133353</v>
      </c>
      <c r="J86" s="49">
        <f ca="1">(staticResult!$C$16-H86)+BUFF!$F$27</f>
        <v>0.81375423898969301</v>
      </c>
      <c r="K86" s="448">
        <f t="shared" ca="1" si="7"/>
        <v>0.38697503986773152</v>
      </c>
      <c r="L86" s="49">
        <f>((H86*staticResult!$C$2*100)+配裝模擬!$D$2+staticResult!$D$16*0.47)/staticResult!$C$2/100</f>
        <v>0.43044258780133338</v>
      </c>
      <c r="M86" s="476">
        <f ca="1">H86*(1+BUFF!$H$27)</f>
        <v>0.36740000000000006</v>
      </c>
    </row>
    <row r="87" spans="1:13">
      <c r="A87" s="448">
        <f t="shared" si="5"/>
        <v>2.0625456675051228</v>
      </c>
      <c r="B87" s="49">
        <v>0.33500000000000002</v>
      </c>
      <c r="C87" s="49">
        <f>staticResult!$C$16-B87</f>
        <v>0.58525423898969309</v>
      </c>
      <c r="D87" s="448">
        <f t="shared" si="6"/>
        <v>0.30278166103769849</v>
      </c>
      <c r="E87" s="49">
        <f>((B87*staticResult!$C$2*100)+配裝模擬!$D$2+staticResult!$D$16*0.47)/staticResult!$C$2/100</f>
        <v>0.43144258780133332</v>
      </c>
      <c r="G87" s="448">
        <f t="shared" ca="1" si="4"/>
        <v>2.9606006106940206</v>
      </c>
      <c r="H87" s="49">
        <v>0.33500000000000002</v>
      </c>
      <c r="I87" s="49">
        <f ca="1">((M87*staticResult!$C$2*100)+配裝模擬!$D$2+staticResult!$D$16*0.47)/staticResult!$C$2/100</f>
        <v>0.46494258780133341</v>
      </c>
      <c r="J87" s="49">
        <f ca="1">(staticResult!$C$16-H87)+BUFF!$F$27</f>
        <v>0.81275423898969312</v>
      </c>
      <c r="K87" s="448">
        <f t="shared" ca="1" si="7"/>
        <v>0.38421144016220732</v>
      </c>
      <c r="L87" s="49">
        <f>((H87*staticResult!$C$2*100)+配裝模擬!$D$2+staticResult!$D$16*0.47)/staticResult!$C$2/100</f>
        <v>0.43144258780133332</v>
      </c>
      <c r="M87" s="476">
        <f ca="1">H87*(1+BUFF!$H$27)</f>
        <v>0.36850000000000005</v>
      </c>
    </row>
    <row r="88" spans="1:13">
      <c r="A88" s="448">
        <f t="shared" si="5"/>
        <v>2.0628465868027921</v>
      </c>
      <c r="B88" s="49">
        <v>0.33600000000000002</v>
      </c>
      <c r="C88" s="49">
        <f>staticResult!$C$16-B88</f>
        <v>0.58425423898969298</v>
      </c>
      <c r="D88" s="448">
        <f t="shared" si="6"/>
        <v>0.30091929766928843</v>
      </c>
      <c r="E88" s="49">
        <f>((B88*staticResult!$C$2*100)+配裝模擬!$D$2+staticResult!$D$16*0.47)/staticResult!$C$2/100</f>
        <v>0.43244258780133343</v>
      </c>
      <c r="G88" s="448">
        <f t="shared" ca="1" si="4"/>
        <v>2.9609820585344768</v>
      </c>
      <c r="H88" s="49">
        <v>0.33600000000000002</v>
      </c>
      <c r="I88" s="49">
        <f ca="1">((M88*staticResult!$C$2*100)+配裝模擬!$D$2+staticResult!$D$16*0.47)/staticResult!$C$2/100</f>
        <v>0.46604258780133345</v>
      </c>
      <c r="J88" s="49">
        <f ca="1">(staticResult!$C$16-H88)+BUFF!$F$27</f>
        <v>0.81175423898969301</v>
      </c>
      <c r="K88" s="448">
        <f t="shared" ca="1" si="7"/>
        <v>0.38144784045623903</v>
      </c>
      <c r="L88" s="49">
        <f>((H88*staticResult!$C$2*100)+配裝模擬!$D$2+staticResult!$D$16*0.47)/staticResult!$C$2/100</f>
        <v>0.43244258780133343</v>
      </c>
      <c r="M88" s="476">
        <f ca="1">H88*(1+BUFF!$H$27)</f>
        <v>0.36960000000000004</v>
      </c>
    </row>
    <row r="89" spans="1:13">
      <c r="A89" s="448">
        <f t="shared" si="5"/>
        <v>2.0631456437370921</v>
      </c>
      <c r="B89" s="49">
        <v>0.33700000000000002</v>
      </c>
      <c r="C89" s="49">
        <f>staticResult!$C$16-B89</f>
        <v>0.58325423898969309</v>
      </c>
      <c r="D89" s="448">
        <f t="shared" si="6"/>
        <v>0.2990569342999902</v>
      </c>
      <c r="E89" s="49">
        <f>((B89*staticResult!$C$2*100)+配裝模擬!$D$2+staticResult!$D$16*0.47)/staticResult!$C$2/100</f>
        <v>0.43344258780133338</v>
      </c>
      <c r="G89" s="448">
        <f t="shared" ca="1" si="4"/>
        <v>2.9613607427752271</v>
      </c>
      <c r="H89" s="49">
        <v>0.33700000000000002</v>
      </c>
      <c r="I89" s="49">
        <f ca="1">((M89*staticResult!$C$2*100)+配裝模擬!$D$2+staticResult!$D$16*0.47)/staticResult!$C$2/100</f>
        <v>0.46714258780133344</v>
      </c>
      <c r="J89" s="49">
        <f ca="1">(staticResult!$C$16-H89)+BUFF!$F$27</f>
        <v>0.81075423898969312</v>
      </c>
      <c r="K89" s="448">
        <f t="shared" ca="1" si="7"/>
        <v>0.37868424075027074</v>
      </c>
      <c r="L89" s="49">
        <f>((H89*staticResult!$C$2*100)+配裝模擬!$D$2+staticResult!$D$16*0.47)/staticResult!$C$2/100</f>
        <v>0.43344258780133338</v>
      </c>
      <c r="M89" s="476">
        <f ca="1">H89*(1+BUFF!$H$27)</f>
        <v>0.37070000000000003</v>
      </c>
    </row>
    <row r="90" spans="1:13">
      <c r="A90" s="448">
        <f t="shared" si="5"/>
        <v>2.0634428383080232</v>
      </c>
      <c r="B90" s="49">
        <v>0.33800000000000002</v>
      </c>
      <c r="C90" s="49">
        <f>staticResult!$C$16-B90</f>
        <v>0.58225423898969297</v>
      </c>
      <c r="D90" s="448">
        <f t="shared" si="6"/>
        <v>0.29719457093113605</v>
      </c>
      <c r="E90" s="49">
        <f>((B90*staticResult!$C$2*100)+配裝模擬!$D$2+staticResult!$D$16*0.47)/staticResult!$C$2/100</f>
        <v>0.43444258780133338</v>
      </c>
      <c r="G90" s="448">
        <f t="shared" ca="1" si="4"/>
        <v>2.9617366634162718</v>
      </c>
      <c r="H90" s="49">
        <v>0.33800000000000002</v>
      </c>
      <c r="I90" s="49">
        <f ca="1">((M90*staticResult!$C$2*100)+配裝模擬!$D$2+staticResult!$D$16*0.47)/staticResult!$C$2/100</f>
        <v>0.46824258780133349</v>
      </c>
      <c r="J90" s="49">
        <f ca="1">(staticResult!$C$16-H90)+BUFF!$F$27</f>
        <v>0.80975423898969301</v>
      </c>
      <c r="K90" s="448">
        <f t="shared" ca="1" si="7"/>
        <v>0.37592064104474654</v>
      </c>
      <c r="L90" s="49">
        <f>((H90*staticResult!$C$2*100)+配裝模擬!$D$2+staticResult!$D$16*0.47)/staticResult!$C$2/100</f>
        <v>0.43444258780133338</v>
      </c>
      <c r="M90" s="476">
        <f ca="1">H90*(1+BUFF!$H$27)</f>
        <v>0.37180000000000007</v>
      </c>
    </row>
    <row r="91" spans="1:13">
      <c r="A91" s="448">
        <f t="shared" si="5"/>
        <v>2.0637381705155855</v>
      </c>
      <c r="B91" s="49">
        <v>0.33900000000000002</v>
      </c>
      <c r="C91" s="49">
        <f>staticResult!$C$16-B91</f>
        <v>0.58125423898969308</v>
      </c>
      <c r="D91" s="448">
        <f t="shared" si="6"/>
        <v>0.2953322075622819</v>
      </c>
      <c r="E91" s="49">
        <f>((B91*staticResult!$C$2*100)+配裝模擬!$D$2+staticResult!$D$16*0.47)/staticResult!$C$2/100</f>
        <v>0.43544258780133338</v>
      </c>
      <c r="G91" s="448">
        <f t="shared" ca="1" si="4"/>
        <v>2.9621098204576111</v>
      </c>
      <c r="H91" s="49">
        <v>0.33900000000000002</v>
      </c>
      <c r="I91" s="49">
        <f ca="1">((M91*staticResult!$C$2*100)+配裝模擬!$D$2+staticResult!$D$16*0.47)/staticResult!$C$2/100</f>
        <v>0.46934258780133342</v>
      </c>
      <c r="J91" s="49">
        <f ca="1">(staticResult!$C$16-H91)+BUFF!$F$27</f>
        <v>0.80875423898969312</v>
      </c>
      <c r="K91" s="448">
        <f t="shared" ca="1" si="7"/>
        <v>0.37315704133922234</v>
      </c>
      <c r="L91" s="49">
        <f>((H91*staticResult!$C$2*100)+配裝模擬!$D$2+staticResult!$D$16*0.47)/staticResult!$C$2/100</f>
        <v>0.43544258780133338</v>
      </c>
      <c r="M91" s="476">
        <f ca="1">H91*(1+BUFF!$H$27)</f>
        <v>0.37290000000000006</v>
      </c>
    </row>
    <row r="92" spans="1:13">
      <c r="A92" s="448">
        <f t="shared" si="5"/>
        <v>2.0640316403597789</v>
      </c>
      <c r="B92" s="49">
        <v>0.34</v>
      </c>
      <c r="C92" s="49">
        <f>staticResult!$C$16-B92</f>
        <v>0.58025423898969297</v>
      </c>
      <c r="D92" s="448">
        <f t="shared" si="6"/>
        <v>0.29346984419342775</v>
      </c>
      <c r="E92" s="49">
        <f>((B92*staticResult!$C$2*100)+配裝模擬!$D$2+staticResult!$D$16*0.47)/staticResult!$C$2/100</f>
        <v>0.43644258780133344</v>
      </c>
      <c r="G92" s="448">
        <f t="shared" ca="1" si="4"/>
        <v>2.9624802138992439</v>
      </c>
      <c r="H92" s="49">
        <v>0.34</v>
      </c>
      <c r="I92" s="49">
        <f ca="1">((M92*staticResult!$C$2*100)+配裝模擬!$D$2+staticResult!$D$16*0.47)/staticResult!$C$2/100</f>
        <v>0.47044258780133347</v>
      </c>
      <c r="J92" s="49">
        <f ca="1">(staticResult!$C$16-H92)+BUFF!$F$27</f>
        <v>0.80775423898969301</v>
      </c>
      <c r="K92" s="448">
        <f t="shared" ca="1" si="7"/>
        <v>0.37039344163280996</v>
      </c>
      <c r="L92" s="49">
        <f>((H92*staticResult!$C$2*100)+配裝模擬!$D$2+staticResult!$D$16*0.47)/staticResult!$C$2/100</f>
        <v>0.43644258780133344</v>
      </c>
      <c r="M92" s="476">
        <f ca="1">H92*(1+BUFF!$H$27)</f>
        <v>0.37400000000000005</v>
      </c>
    </row>
    <row r="93" spans="1:13">
      <c r="A93" s="448">
        <f t="shared" si="5"/>
        <v>2.0643232478406035</v>
      </c>
      <c r="B93" s="49">
        <v>0.34100000000000003</v>
      </c>
      <c r="C93" s="49">
        <f>staticResult!$C$16-B93</f>
        <v>0.57925423898969308</v>
      </c>
      <c r="D93" s="448">
        <f t="shared" si="6"/>
        <v>0.29160748082457361</v>
      </c>
      <c r="E93" s="49">
        <f>((B93*staticResult!$C$2*100)+配裝模擬!$D$2+staticResult!$D$16*0.47)/staticResult!$C$2/100</f>
        <v>0.43744258780133344</v>
      </c>
      <c r="G93" s="448">
        <f t="shared" ca="1" si="4"/>
        <v>2.9628478437411707</v>
      </c>
      <c r="H93" s="49">
        <v>0.34100000000000003</v>
      </c>
      <c r="I93" s="49">
        <f ca="1">((M93*staticResult!$C$2*100)+配裝模擬!$D$2+staticResult!$D$16*0.47)/staticResult!$C$2/100</f>
        <v>0.4715425878013334</v>
      </c>
      <c r="J93" s="49">
        <f ca="1">(staticResult!$C$16-H93)+BUFF!$F$27</f>
        <v>0.80675423898969312</v>
      </c>
      <c r="K93" s="448">
        <f t="shared" ca="1" si="7"/>
        <v>0.36762984192684167</v>
      </c>
      <c r="L93" s="49">
        <f>((H93*staticResult!$C$2*100)+配裝模擬!$D$2+staticResult!$D$16*0.47)/staticResult!$C$2/100</f>
        <v>0.43744258780133344</v>
      </c>
      <c r="M93" s="476">
        <f ca="1">H93*(1+BUFF!$H$27)</f>
        <v>0.37510000000000004</v>
      </c>
    </row>
    <row r="94" spans="1:13">
      <c r="A94" s="448">
        <f t="shared" si="5"/>
        <v>2.0646129929580592</v>
      </c>
      <c r="B94" s="49">
        <v>0.34200000000000003</v>
      </c>
      <c r="C94" s="49">
        <f>staticResult!$C$16-B94</f>
        <v>0.57825423898969297</v>
      </c>
      <c r="D94" s="448">
        <f t="shared" si="6"/>
        <v>0.28974511745571946</v>
      </c>
      <c r="E94" s="49">
        <f>((B94*staticResult!$C$2*100)+配裝模擬!$D$2+staticResult!$D$16*0.47)/staticResult!$C$2/100</f>
        <v>0.43844258780133338</v>
      </c>
      <c r="G94" s="448">
        <f t="shared" ca="1" si="4"/>
        <v>2.9632127099833925</v>
      </c>
      <c r="H94" s="49">
        <v>0.34200000000000003</v>
      </c>
      <c r="I94" s="49">
        <f ca="1">((M94*staticResult!$C$2*100)+配裝模擬!$D$2+staticResult!$D$16*0.47)/staticResult!$C$2/100</f>
        <v>0.47264258780133345</v>
      </c>
      <c r="J94" s="49">
        <f ca="1">(staticResult!$C$16-H94)+BUFF!$F$27</f>
        <v>0.80575423898969301</v>
      </c>
      <c r="K94" s="448">
        <f t="shared" ca="1" si="7"/>
        <v>0.36486624222176156</v>
      </c>
      <c r="L94" s="49">
        <f>((H94*staticResult!$C$2*100)+配裝模擬!$D$2+staticResult!$D$16*0.47)/staticResult!$C$2/100</f>
        <v>0.43844258780133338</v>
      </c>
      <c r="M94" s="476">
        <f ca="1">H94*(1+BUFF!$H$27)</f>
        <v>0.37620000000000003</v>
      </c>
    </row>
    <row r="95" spans="1:13">
      <c r="A95" s="448">
        <f t="shared" si="5"/>
        <v>2.0649008757121456</v>
      </c>
      <c r="B95" s="49">
        <v>0.34300000000000003</v>
      </c>
      <c r="C95" s="49">
        <f>staticResult!$C$16-B95</f>
        <v>0.57725423898969308</v>
      </c>
      <c r="D95" s="448">
        <f t="shared" si="6"/>
        <v>0.28788275408642122</v>
      </c>
      <c r="E95" s="49">
        <f>((B95*staticResult!$C$2*100)+配裝模擬!$D$2+staticResult!$D$16*0.47)/staticResult!$C$2/100</f>
        <v>0.43944258780133344</v>
      </c>
      <c r="G95" s="448">
        <f t="shared" ca="1" si="4"/>
        <v>2.9635748126259087</v>
      </c>
      <c r="H95" s="49">
        <v>0.34300000000000003</v>
      </c>
      <c r="I95" s="49">
        <f ca="1">((M95*staticResult!$C$2*100)+配裝模擬!$D$2+staticResult!$D$16*0.47)/staticResult!$C$2/100</f>
        <v>0.47374258780133344</v>
      </c>
      <c r="J95" s="49">
        <f ca="1">(staticResult!$C$16-H95)+BUFF!$F$27</f>
        <v>0.80475423898969312</v>
      </c>
      <c r="K95" s="448">
        <f t="shared" ca="1" si="7"/>
        <v>0.36210264251623736</v>
      </c>
      <c r="L95" s="49">
        <f>((H95*staticResult!$C$2*100)+配裝模擬!$D$2+staticResult!$D$16*0.47)/staticResult!$C$2/100</f>
        <v>0.43944258780133344</v>
      </c>
      <c r="M95" s="476">
        <f ca="1">H95*(1+BUFF!$H$27)</f>
        <v>0.37730000000000008</v>
      </c>
    </row>
    <row r="96" spans="1:13">
      <c r="A96" s="448">
        <f t="shared" si="5"/>
        <v>2.0651868961028632</v>
      </c>
      <c r="B96" s="49">
        <v>0.34399999999999997</v>
      </c>
      <c r="C96" s="49">
        <f>staticResult!$C$16-B96</f>
        <v>0.57625423898969308</v>
      </c>
      <c r="D96" s="448">
        <f t="shared" si="6"/>
        <v>0.28602039071758295</v>
      </c>
      <c r="E96" s="49">
        <f>((B96*staticResult!$C$2*100)+配裝模擬!$D$2+staticResult!$D$16*0.47)/staticResult!$C$2/100</f>
        <v>0.44044258780133333</v>
      </c>
      <c r="G96" s="448">
        <f t="shared" ca="1" si="4"/>
        <v>2.9639341516687181</v>
      </c>
      <c r="H96" s="49">
        <v>0.34399999999999997</v>
      </c>
      <c r="I96" s="49">
        <f ca="1">((M96*staticResult!$C$2*100)+配裝模擬!$D$2+staticResult!$D$16*0.47)/staticResult!$C$2/100</f>
        <v>0.47484258780133337</v>
      </c>
      <c r="J96" s="49">
        <f ca="1">(staticResult!$C$16-H96)+BUFF!$F$27</f>
        <v>0.80375423898969311</v>
      </c>
      <c r="K96" s="448">
        <f t="shared" ca="1" si="7"/>
        <v>0.35933904280940088</v>
      </c>
      <c r="L96" s="49">
        <f>((H96*staticResult!$C$2*100)+配裝模擬!$D$2+staticResult!$D$16*0.47)/staticResult!$C$2/100</f>
        <v>0.44044258780133333</v>
      </c>
      <c r="M96" s="476">
        <f ca="1">H96*(1+BUFF!$H$27)</f>
        <v>0.37840000000000001</v>
      </c>
    </row>
    <row r="97" spans="1:13">
      <c r="A97" s="448">
        <f t="shared" si="5"/>
        <v>2.0654710541302124</v>
      </c>
      <c r="B97" s="49">
        <v>0.34499999999999997</v>
      </c>
      <c r="C97" s="49">
        <f>staticResult!$C$16-B97</f>
        <v>0.57525423898969308</v>
      </c>
      <c r="D97" s="448">
        <f t="shared" si="6"/>
        <v>0.28415802734915702</v>
      </c>
      <c r="E97" s="49">
        <f>((B97*staticResult!$C$2*100)+配裝模擬!$D$2+staticResult!$D$16*0.47)/staticResult!$C$2/100</f>
        <v>0.44144258780133333</v>
      </c>
      <c r="G97" s="448">
        <f t="shared" ca="1" si="4"/>
        <v>2.964290727111822</v>
      </c>
      <c r="H97" s="49">
        <v>0.34499999999999997</v>
      </c>
      <c r="I97" s="49">
        <f ca="1">((M97*staticResult!$C$2*100)+配裝模擬!$D$2+staticResult!$D$16*0.47)/staticResult!$C$2/100</f>
        <v>0.47594258780133336</v>
      </c>
      <c r="J97" s="49">
        <f ca="1">(staticResult!$C$16-H97)+BUFF!$F$27</f>
        <v>0.80275423898969311</v>
      </c>
      <c r="K97" s="448">
        <f t="shared" ca="1" si="7"/>
        <v>0.35657544310385669</v>
      </c>
      <c r="L97" s="49">
        <f>((H97*staticResult!$C$2*100)+配裝模擬!$D$2+staticResult!$D$16*0.47)/staticResult!$C$2/100</f>
        <v>0.44144258780133333</v>
      </c>
      <c r="M97" s="476">
        <f ca="1">H97*(1+BUFF!$H$27)</f>
        <v>0.3795</v>
      </c>
    </row>
    <row r="98" spans="1:13">
      <c r="A98" s="448">
        <f t="shared" si="5"/>
        <v>2.0657533497941927</v>
      </c>
      <c r="B98" s="49">
        <v>0.34599999999999997</v>
      </c>
      <c r="C98" s="49">
        <f>staticResult!$C$16-B98</f>
        <v>0.57425423898969308</v>
      </c>
      <c r="D98" s="448">
        <f t="shared" si="6"/>
        <v>0.28229566398030287</v>
      </c>
      <c r="E98" s="49">
        <f>((B98*staticResult!$C$2*100)+配裝模擬!$D$2+staticResult!$D$16*0.47)/staticResult!$C$2/100</f>
        <v>0.44244258780133339</v>
      </c>
      <c r="G98" s="448">
        <f t="shared" ca="1" si="4"/>
        <v>2.9646445389552207</v>
      </c>
      <c r="H98" s="49">
        <v>0.34599999999999997</v>
      </c>
      <c r="I98" s="49">
        <f ca="1">((M98*staticResult!$C$2*100)+配裝模擬!$D$2+staticResult!$D$16*0.47)/staticResult!$C$2/100</f>
        <v>0.47704258780133335</v>
      </c>
      <c r="J98" s="49">
        <f ca="1">(staticResult!$C$16-H98)+BUFF!$F$27</f>
        <v>0.80175423898969311</v>
      </c>
      <c r="K98" s="448">
        <f t="shared" ca="1" si="7"/>
        <v>0.35381184339877658</v>
      </c>
      <c r="L98" s="49">
        <f>((H98*staticResult!$C$2*100)+配裝模擬!$D$2+staticResult!$D$16*0.47)/staticResult!$C$2/100</f>
        <v>0.44244258780133339</v>
      </c>
      <c r="M98" s="476">
        <f ca="1">H98*(1+BUFF!$H$27)</f>
        <v>0.38059999999999999</v>
      </c>
    </row>
    <row r="99" spans="1:13">
      <c r="A99" s="448">
        <f t="shared" si="5"/>
        <v>2.0660337830948037</v>
      </c>
      <c r="B99" s="49">
        <v>0.34699999999999998</v>
      </c>
      <c r="C99" s="49">
        <f>staticResult!$C$16-B99</f>
        <v>0.57325423898969308</v>
      </c>
      <c r="D99" s="448">
        <f t="shared" si="6"/>
        <v>0.28043330061100469</v>
      </c>
      <c r="E99" s="49">
        <f>((B99*staticResult!$C$2*100)+配裝模擬!$D$2+staticResult!$D$16*0.47)/staticResult!$C$2/100</f>
        <v>0.44344258780133339</v>
      </c>
      <c r="G99" s="448">
        <f t="shared" ca="1" si="4"/>
        <v>2.9649955871989131</v>
      </c>
      <c r="H99" s="49">
        <v>0.34699999999999998</v>
      </c>
      <c r="I99" s="49">
        <f ca="1">((M99*staticResult!$C$2*100)+配裝模擬!$D$2+staticResult!$D$16*0.47)/staticResult!$C$2/100</f>
        <v>0.47814258780133334</v>
      </c>
      <c r="J99" s="49">
        <f ca="1">(staticResult!$C$16-H99)+BUFF!$F$27</f>
        <v>0.80075423898969311</v>
      </c>
      <c r="K99" s="448">
        <f t="shared" ca="1" si="7"/>
        <v>0.3510482436923642</v>
      </c>
      <c r="L99" s="49">
        <f>((H99*staticResult!$C$2*100)+配裝模擬!$D$2+staticResult!$D$16*0.47)/staticResult!$C$2/100</f>
        <v>0.44344258780133339</v>
      </c>
      <c r="M99" s="476">
        <f ca="1">H99*(1+BUFF!$H$27)</f>
        <v>0.38169999999999998</v>
      </c>
    </row>
    <row r="100" spans="1:13">
      <c r="A100" s="448">
        <f t="shared" si="5"/>
        <v>2.0663123540320454</v>
      </c>
      <c r="B100" s="49">
        <v>0.34799999999999998</v>
      </c>
      <c r="C100" s="49">
        <f>staticResult!$C$16-B100</f>
        <v>0.57225423898969308</v>
      </c>
      <c r="D100" s="448">
        <f t="shared" si="6"/>
        <v>0.27857093724170645</v>
      </c>
      <c r="E100" s="49">
        <f>((B100*staticResult!$C$2*100)+配裝模擬!$D$2+staticResult!$D$16*0.47)/staticResult!$C$2/100</f>
        <v>0.44444258780133333</v>
      </c>
      <c r="G100" s="448">
        <f t="shared" ca="1" si="4"/>
        <v>2.9653438718429004</v>
      </c>
      <c r="H100" s="49">
        <v>0.34799999999999998</v>
      </c>
      <c r="I100" s="49">
        <f ca="1">((M100*staticResult!$C$2*100)+配裝模擬!$D$2+staticResult!$D$16*0.47)/staticResult!$C$2/100</f>
        <v>0.47924258780133344</v>
      </c>
      <c r="J100" s="49">
        <f ca="1">(staticResult!$C$16-H100)+BUFF!$F$27</f>
        <v>0.79975423898969311</v>
      </c>
      <c r="K100" s="448">
        <f t="shared" ca="1" si="7"/>
        <v>0.34828464398728409</v>
      </c>
      <c r="L100" s="49">
        <f>((H100*staticResult!$C$2*100)+配裝模擬!$D$2+staticResult!$D$16*0.47)/staticResult!$C$2/100</f>
        <v>0.44444258780133333</v>
      </c>
      <c r="M100" s="476">
        <f ca="1">H100*(1+BUFF!$H$27)</f>
        <v>0.38280000000000003</v>
      </c>
    </row>
    <row r="101" spans="1:13">
      <c r="A101" s="448">
        <f t="shared" si="5"/>
        <v>2.0665890626059187</v>
      </c>
      <c r="B101" s="49">
        <v>0.34899999999999998</v>
      </c>
      <c r="C101" s="49">
        <f>staticResult!$C$16-B101</f>
        <v>0.57125423898969308</v>
      </c>
      <c r="D101" s="448">
        <f t="shared" si="6"/>
        <v>0.27670857387329639</v>
      </c>
      <c r="E101" s="49">
        <f>((B101*staticResult!$C$2*100)+配裝模擬!$D$2+staticResult!$D$16*0.47)/staticResult!$C$2/100</f>
        <v>0.44544258780133339</v>
      </c>
      <c r="G101" s="448">
        <f t="shared" ca="1" si="4"/>
        <v>2.9656893928871808</v>
      </c>
      <c r="H101" s="49">
        <v>0.34899999999999998</v>
      </c>
      <c r="I101" s="49">
        <f ca="1">((M101*staticResult!$C$2*100)+配裝模擬!$D$2+staticResult!$D$16*0.47)/staticResult!$C$2/100</f>
        <v>0.48034258780133343</v>
      </c>
      <c r="J101" s="49">
        <f ca="1">(staticResult!$C$16-H101)+BUFF!$F$27</f>
        <v>0.79875423898969311</v>
      </c>
      <c r="K101" s="448">
        <f t="shared" ca="1" si="7"/>
        <v>0.34552104428042762</v>
      </c>
      <c r="L101" s="49">
        <f>((H101*staticResult!$C$2*100)+配裝模擬!$D$2+staticResult!$D$16*0.47)/staticResult!$C$2/100</f>
        <v>0.44544258780133339</v>
      </c>
      <c r="M101" s="476">
        <f ca="1">H101*(1+BUFF!$H$27)</f>
        <v>0.38390000000000002</v>
      </c>
    </row>
    <row r="102" spans="1:13">
      <c r="A102" s="448">
        <f t="shared" si="5"/>
        <v>2.0668639088164231</v>
      </c>
      <c r="B102" s="49">
        <v>0.35</v>
      </c>
      <c r="C102" s="49">
        <f>staticResult!$C$16-B102</f>
        <v>0.57025423898969307</v>
      </c>
      <c r="D102" s="448">
        <f t="shared" si="6"/>
        <v>0.27484621050444225</v>
      </c>
      <c r="E102" s="49">
        <f>((B102*staticResult!$C$2*100)+配裝模擬!$D$2+staticResult!$D$16*0.47)/staticResult!$C$2/100</f>
        <v>0.44644258780133333</v>
      </c>
      <c r="G102" s="448">
        <f t="shared" ca="1" si="4"/>
        <v>2.9660321503317557</v>
      </c>
      <c r="H102" s="49">
        <v>0.35</v>
      </c>
      <c r="I102" s="49">
        <f ca="1">((M102*staticResult!$C$2*100)+配裝模擬!$D$2+staticResult!$D$16*0.47)/staticResult!$C$2/100</f>
        <v>0.48144258780133342</v>
      </c>
      <c r="J102" s="49">
        <f ca="1">(staticResult!$C$16-H102)+BUFF!$F$27</f>
        <v>0.79775423898969311</v>
      </c>
      <c r="K102" s="448">
        <f t="shared" ca="1" si="7"/>
        <v>0.34275744457490348</v>
      </c>
      <c r="L102" s="49">
        <f>((H102*staticResult!$C$2*100)+配裝模擬!$D$2+staticResult!$D$16*0.47)/staticResult!$C$2/100</f>
        <v>0.44644258780133333</v>
      </c>
      <c r="M102" s="476">
        <f ca="1">H102*(1+BUFF!$H$27)</f>
        <v>0.38500000000000001</v>
      </c>
    </row>
    <row r="103" spans="1:13">
      <c r="A103" s="448">
        <f t="shared" si="5"/>
        <v>2.0671368926635587</v>
      </c>
      <c r="B103" s="49">
        <v>0.35099999999999998</v>
      </c>
      <c r="C103" s="49">
        <f>staticResult!$C$16-B103</f>
        <v>0.56925423898969307</v>
      </c>
      <c r="D103" s="448">
        <f t="shared" si="6"/>
        <v>0.2729838471355881</v>
      </c>
      <c r="E103" s="49">
        <f>((B103*staticResult!$C$2*100)+配裝模擬!$D$2+staticResult!$D$16*0.47)/staticResult!$C$2/100</f>
        <v>0.44744258780133334</v>
      </c>
      <c r="G103" s="448">
        <f t="shared" ca="1" si="4"/>
        <v>2.9663721441766255</v>
      </c>
      <c r="H103" s="49">
        <v>0.35099999999999998</v>
      </c>
      <c r="I103" s="49">
        <f ca="1">((M103*staticResult!$C$2*100)+配裝模擬!$D$2+staticResult!$D$16*0.47)/staticResult!$C$2/100</f>
        <v>0.48254258780133341</v>
      </c>
      <c r="J103" s="49">
        <f ca="1">(staticResult!$C$16-H103)+BUFF!$F$27</f>
        <v>0.79675423898969311</v>
      </c>
      <c r="K103" s="448">
        <f t="shared" ca="1" si="7"/>
        <v>0.33999384486982337</v>
      </c>
      <c r="L103" s="49">
        <f>((H103*staticResult!$C$2*100)+配裝模擬!$D$2+staticResult!$D$16*0.47)/staticResult!$C$2/100</f>
        <v>0.44744258780133334</v>
      </c>
      <c r="M103" s="476">
        <f ca="1">H103*(1+BUFF!$H$27)</f>
        <v>0.3861</v>
      </c>
    </row>
    <row r="104" spans="1:13">
      <c r="A104" s="448">
        <f t="shared" si="5"/>
        <v>2.0674080141473254</v>
      </c>
      <c r="B104" s="49">
        <v>0.35199999999999998</v>
      </c>
      <c r="C104" s="49">
        <f>staticResult!$C$16-B104</f>
        <v>0.56825423898969307</v>
      </c>
      <c r="D104" s="448">
        <f t="shared" si="6"/>
        <v>0.27112148376673395</v>
      </c>
      <c r="E104" s="49">
        <f>((B104*staticResult!$C$2*100)+配裝模擬!$D$2+staticResult!$D$16*0.47)/staticResult!$C$2/100</f>
        <v>0.44844258780133328</v>
      </c>
      <c r="G104" s="448">
        <f t="shared" ca="1" si="4"/>
        <v>2.9667093744217889</v>
      </c>
      <c r="H104" s="49">
        <v>0.35199999999999998</v>
      </c>
      <c r="I104" s="49">
        <f ca="1">((M104*staticResult!$C$2*100)+配裝模擬!$D$2+staticResult!$D$16*0.47)/staticResult!$C$2/100</f>
        <v>0.4836425878013334</v>
      </c>
      <c r="J104" s="49">
        <f ca="1">(staticResult!$C$16-H104)+BUFF!$F$27</f>
        <v>0.79575423898969311</v>
      </c>
      <c r="K104" s="448">
        <f t="shared" ca="1" si="7"/>
        <v>0.33723024516341099</v>
      </c>
      <c r="L104" s="49">
        <f>((H104*staticResult!$C$2*100)+配裝模擬!$D$2+staticResult!$D$16*0.47)/staticResult!$C$2/100</f>
        <v>0.44844258780133328</v>
      </c>
      <c r="M104" s="476">
        <f ca="1">H104*(1+BUFF!$H$27)</f>
        <v>0.38719999999999999</v>
      </c>
    </row>
    <row r="105" spans="1:13">
      <c r="A105" s="448">
        <f t="shared" si="5"/>
        <v>2.0676772732677233</v>
      </c>
      <c r="B105" s="49">
        <v>0.35299999999999998</v>
      </c>
      <c r="C105" s="49">
        <f>staticResult!$C$16-B105</f>
        <v>0.56725423898969307</v>
      </c>
      <c r="D105" s="448">
        <f t="shared" si="6"/>
        <v>0.2692591203978798</v>
      </c>
      <c r="E105" s="49">
        <f>((B105*staticResult!$C$2*100)+配裝模擬!$D$2+staticResult!$D$16*0.47)/staticResult!$C$2/100</f>
        <v>0.44944258780133339</v>
      </c>
      <c r="G105" s="448">
        <f t="shared" ca="1" si="4"/>
        <v>2.9670438410672468</v>
      </c>
      <c r="H105" s="49">
        <v>0.35299999999999998</v>
      </c>
      <c r="I105" s="49">
        <f ca="1">((M105*staticResult!$C$2*100)+配裝模擬!$D$2+staticResult!$D$16*0.47)/staticResult!$C$2/100</f>
        <v>0.48474258780133345</v>
      </c>
      <c r="J105" s="49">
        <f ca="1">(staticResult!$C$16-H105)+BUFF!$F$27</f>
        <v>0.79475423898969311</v>
      </c>
      <c r="K105" s="448">
        <f t="shared" ca="1" si="7"/>
        <v>0.33446664545788679</v>
      </c>
      <c r="L105" s="49">
        <f>((H105*staticResult!$C$2*100)+配裝模擬!$D$2+staticResult!$D$16*0.47)/staticResult!$C$2/100</f>
        <v>0.44944258780133339</v>
      </c>
      <c r="M105" s="476">
        <f ca="1">H105*(1+BUFF!$H$27)</f>
        <v>0.38830000000000003</v>
      </c>
    </row>
    <row r="106" spans="1:13">
      <c r="A106" s="448">
        <f t="shared" si="5"/>
        <v>2.0679446700247524</v>
      </c>
      <c r="B106" s="49">
        <v>0.35399999999999998</v>
      </c>
      <c r="C106" s="49">
        <f>staticResult!$C$16-B106</f>
        <v>0.56625423898969307</v>
      </c>
      <c r="D106" s="448">
        <f t="shared" si="6"/>
        <v>0.26739675702902566</v>
      </c>
      <c r="E106" s="49">
        <f>((B106*staticResult!$C$2*100)+配裝模擬!$D$2+staticResult!$D$16*0.47)/staticResult!$C$2/100</f>
        <v>0.45044258780133334</v>
      </c>
      <c r="G106" s="448">
        <f t="shared" ca="1" si="4"/>
        <v>2.9673755441129983</v>
      </c>
      <c r="H106" s="49">
        <v>0.35399999999999998</v>
      </c>
      <c r="I106" s="49">
        <f ca="1">((M106*staticResult!$C$2*100)+配裝模擬!$D$2+staticResult!$D$16*0.47)/staticResult!$C$2/100</f>
        <v>0.48584258780133338</v>
      </c>
      <c r="J106" s="49">
        <f ca="1">(staticResult!$C$16-H106)+BUFF!$F$27</f>
        <v>0.79375423898969311</v>
      </c>
      <c r="K106" s="448">
        <f t="shared" ca="1" si="7"/>
        <v>0.33170304575147441</v>
      </c>
      <c r="L106" s="49">
        <f>((H106*staticResult!$C$2*100)+配裝模擬!$D$2+staticResult!$D$16*0.47)/staticResult!$C$2/100</f>
        <v>0.45044258780133334</v>
      </c>
      <c r="M106" s="476">
        <f ca="1">H106*(1+BUFF!$H$27)</f>
        <v>0.38940000000000002</v>
      </c>
    </row>
    <row r="107" spans="1:13">
      <c r="A107" s="448">
        <f t="shared" si="5"/>
        <v>2.0682102044184116</v>
      </c>
      <c r="B107" s="49">
        <v>0.35499999999999998</v>
      </c>
      <c r="C107" s="49">
        <f>staticResult!$C$16-B107</f>
        <v>0.56525423898969307</v>
      </c>
      <c r="D107" s="448">
        <f t="shared" si="6"/>
        <v>0.26553439365928333</v>
      </c>
      <c r="E107" s="49">
        <f>((B107*staticResult!$C$2*100)+配裝模擬!$D$2+staticResult!$D$16*0.47)/staticResult!$C$2/100</f>
        <v>0.45144258780133334</v>
      </c>
      <c r="G107" s="448">
        <f t="shared" ca="1" si="4"/>
        <v>2.9677044835590451</v>
      </c>
      <c r="H107" s="49">
        <v>0.35499999999999998</v>
      </c>
      <c r="I107" s="49">
        <f ca="1">((M107*staticResult!$C$2*100)+配裝模擬!$D$2+staticResult!$D$16*0.47)/staticResult!$C$2/100</f>
        <v>0.48694258780133337</v>
      </c>
      <c r="J107" s="49">
        <f ca="1">(staticResult!$C$16-H107)+BUFF!$F$27</f>
        <v>0.79275423898969311</v>
      </c>
      <c r="K107" s="448">
        <f t="shared" ca="1" si="7"/>
        <v>0.32893944604683839</v>
      </c>
      <c r="L107" s="49">
        <f>((H107*staticResult!$C$2*100)+配裝模擬!$D$2+staticResult!$D$16*0.47)/staticResult!$C$2/100</f>
        <v>0.45144258780133334</v>
      </c>
      <c r="M107" s="476">
        <f ca="1">H107*(1+BUFF!$H$27)</f>
        <v>0.39050000000000001</v>
      </c>
    </row>
    <row r="108" spans="1:13">
      <c r="A108" s="448">
        <f t="shared" si="5"/>
        <v>2.0684738764487025</v>
      </c>
      <c r="B108" s="49">
        <v>0.35599999999999998</v>
      </c>
      <c r="C108" s="49">
        <f>staticResult!$C$16-B108</f>
        <v>0.56425423898969307</v>
      </c>
      <c r="D108" s="448">
        <f t="shared" si="6"/>
        <v>0.26367203029087327</v>
      </c>
      <c r="E108" s="49">
        <f>((B108*staticResult!$C$2*100)+配裝模擬!$D$2+staticResult!$D$16*0.47)/staticResult!$C$2/100</f>
        <v>0.45244258780133334</v>
      </c>
      <c r="G108" s="448">
        <f t="shared" ca="1" si="4"/>
        <v>2.9680306594053856</v>
      </c>
      <c r="H108" s="49">
        <v>0.35599999999999998</v>
      </c>
      <c r="I108" s="49">
        <f ca="1">((M108*staticResult!$C$2*100)+配裝模擬!$D$2+staticResult!$D$16*0.47)/staticResult!$C$2/100</f>
        <v>0.48804258780133336</v>
      </c>
      <c r="J108" s="49">
        <f ca="1">(staticResult!$C$16-H108)+BUFF!$F$27</f>
        <v>0.7917542389896931</v>
      </c>
      <c r="K108" s="448">
        <f t="shared" ca="1" si="7"/>
        <v>0.32617584634042601</v>
      </c>
      <c r="L108" s="49">
        <f>((H108*staticResult!$C$2*100)+配裝模擬!$D$2+staticResult!$D$16*0.47)/staticResult!$C$2/100</f>
        <v>0.45244258780133334</v>
      </c>
      <c r="M108" s="476">
        <f ca="1">H108*(1+BUFF!$H$27)</f>
        <v>0.3916</v>
      </c>
    </row>
    <row r="109" spans="1:13">
      <c r="A109" s="448">
        <f t="shared" si="5"/>
        <v>2.068735686115625</v>
      </c>
      <c r="B109" s="49">
        <v>0.35699999999999998</v>
      </c>
      <c r="C109" s="49">
        <f>staticResult!$C$16-B109</f>
        <v>0.56325423898969307</v>
      </c>
      <c r="D109" s="448">
        <f t="shared" si="6"/>
        <v>0.26180966692246321</v>
      </c>
      <c r="E109" s="49">
        <f>((B109*staticResult!$C$2*100)+配裝模擬!$D$2+staticResult!$D$16*0.47)/staticResult!$C$2/100</f>
        <v>0.4534425878013334</v>
      </c>
      <c r="G109" s="448">
        <f t="shared" ca="1" si="4"/>
        <v>2.96835407165202</v>
      </c>
      <c r="H109" s="49">
        <v>0.35699999999999998</v>
      </c>
      <c r="I109" s="49">
        <f ca="1">((M109*staticResult!$C$2*100)+配裝模擬!$D$2+staticResult!$D$16*0.47)/staticResult!$C$2/100</f>
        <v>0.48914258780133335</v>
      </c>
      <c r="J109" s="49">
        <f ca="1">(staticResult!$C$16-H109)+BUFF!$F$27</f>
        <v>0.7907542389896931</v>
      </c>
      <c r="K109" s="448">
        <f t="shared" ca="1" si="7"/>
        <v>0.32341224663445772</v>
      </c>
      <c r="L109" s="49">
        <f>((H109*staticResult!$C$2*100)+配裝模擬!$D$2+staticResult!$D$16*0.47)/staticResult!$C$2/100</f>
        <v>0.4534425878013334</v>
      </c>
      <c r="M109" s="476">
        <f ca="1">H109*(1+BUFF!$H$27)</f>
        <v>0.39269999999999999</v>
      </c>
    </row>
    <row r="110" spans="1:13">
      <c r="A110" s="448">
        <f t="shared" si="5"/>
        <v>2.0689956334191781</v>
      </c>
      <c r="B110" s="49">
        <v>0.35799999999999998</v>
      </c>
      <c r="C110" s="49">
        <f>staticResult!$C$16-B110</f>
        <v>0.56225423898969307</v>
      </c>
      <c r="D110" s="448">
        <f t="shared" si="6"/>
        <v>0.25994730355316498</v>
      </c>
      <c r="E110" s="49">
        <f>((B110*staticResult!$C$2*100)+配裝模擬!$D$2+staticResult!$D$16*0.47)/staticResult!$C$2/100</f>
        <v>0.4544425878013334</v>
      </c>
      <c r="G110" s="448">
        <f t="shared" ca="1" si="4"/>
        <v>2.9686747202989494</v>
      </c>
      <c r="H110" s="49">
        <v>0.35799999999999998</v>
      </c>
      <c r="I110" s="49">
        <f ca="1">((M110*staticResult!$C$2*100)+配裝模擬!$D$2+staticResult!$D$16*0.47)/staticResult!$C$2/100</f>
        <v>0.4902425878013334</v>
      </c>
      <c r="J110" s="49">
        <f ca="1">(staticResult!$C$16-H110)+BUFF!$F$27</f>
        <v>0.7897542389896931</v>
      </c>
      <c r="K110" s="448">
        <f t="shared" ca="1" si="7"/>
        <v>0.32064864692937761</v>
      </c>
      <c r="L110" s="49">
        <f>((H110*staticResult!$C$2*100)+配裝模擬!$D$2+staticResult!$D$16*0.47)/staticResult!$C$2/100</f>
        <v>0.4544425878013334</v>
      </c>
      <c r="M110" s="476">
        <f ca="1">H110*(1+BUFF!$H$27)</f>
        <v>0.39380000000000004</v>
      </c>
    </row>
    <row r="111" spans="1:13">
      <c r="A111" s="448">
        <f t="shared" si="5"/>
        <v>2.0692537183593624</v>
      </c>
      <c r="B111" s="49">
        <v>0.35899999999999999</v>
      </c>
      <c r="C111" s="49">
        <f>staticResult!$C$16-B111</f>
        <v>0.56125423898969307</v>
      </c>
      <c r="D111" s="448">
        <f t="shared" si="6"/>
        <v>0.25808494018431083</v>
      </c>
      <c r="E111" s="49">
        <f>((B111*staticResult!$C$2*100)+配裝模擬!$D$2+staticResult!$D$16*0.47)/staticResult!$C$2/100</f>
        <v>0.4554425878013334</v>
      </c>
      <c r="G111" s="448">
        <f t="shared" ca="1" si="4"/>
        <v>2.9689926053461719</v>
      </c>
      <c r="H111" s="49">
        <v>0.35899999999999999</v>
      </c>
      <c r="I111" s="49">
        <f ca="1">((M111*staticResult!$C$2*100)+配裝模擬!$D$2+staticResult!$D$16*0.47)/staticResult!$C$2/100</f>
        <v>0.49134258780133344</v>
      </c>
      <c r="J111" s="49">
        <f ca="1">(staticResult!$C$16-H111)+BUFF!$F$27</f>
        <v>0.7887542389896931</v>
      </c>
      <c r="K111" s="448">
        <f t="shared" ca="1" si="7"/>
        <v>0.31788504722252114</v>
      </c>
      <c r="L111" s="49">
        <f>((H111*staticResult!$C$2*100)+配裝模擬!$D$2+staticResult!$D$16*0.47)/staticResult!$C$2/100</f>
        <v>0.4554425878013334</v>
      </c>
      <c r="M111" s="476">
        <f ca="1">H111*(1+BUFF!$H$27)</f>
        <v>0.39490000000000003</v>
      </c>
    </row>
    <row r="112" spans="1:13">
      <c r="A112" s="448">
        <f t="shared" si="5"/>
        <v>2.0695099409361779</v>
      </c>
      <c r="B112" s="49">
        <v>0.36</v>
      </c>
      <c r="C112" s="49">
        <f>staticResult!$C$16-B112</f>
        <v>0.56025423898969307</v>
      </c>
      <c r="D112" s="448">
        <f t="shared" si="6"/>
        <v>0.25622257681545668</v>
      </c>
      <c r="E112" s="49">
        <f>((B112*staticResult!$C$2*100)+配裝模擬!$D$2+staticResult!$D$16*0.47)/staticResult!$C$2/100</f>
        <v>0.4564425878013334</v>
      </c>
      <c r="G112" s="448">
        <f t="shared" ca="1" si="4"/>
        <v>2.9693077267936894</v>
      </c>
      <c r="H112" s="49">
        <v>0.36</v>
      </c>
      <c r="I112" s="49">
        <f ca="1">((M112*staticResult!$C$2*100)+配裝模擬!$D$2+staticResult!$D$16*0.47)/staticResult!$C$2/100</f>
        <v>0.49244258780133338</v>
      </c>
      <c r="J112" s="49">
        <f ca="1">(staticResult!$C$16-H112)+BUFF!$F$27</f>
        <v>0.7877542389896931</v>
      </c>
      <c r="K112" s="448">
        <f t="shared" ca="1" si="7"/>
        <v>0.31512144751744103</v>
      </c>
      <c r="L112" s="49">
        <f>((H112*staticResult!$C$2*100)+配裝模擬!$D$2+staticResult!$D$16*0.47)/staticResult!$C$2/100</f>
        <v>0.4564425878013334</v>
      </c>
      <c r="M112" s="476">
        <f ca="1">H112*(1+BUFF!$H$27)</f>
        <v>0.39600000000000002</v>
      </c>
    </row>
    <row r="113" spans="1:13">
      <c r="A113" s="448">
        <f t="shared" si="5"/>
        <v>2.0697643011496245</v>
      </c>
      <c r="B113" s="49">
        <v>0.36099999999999999</v>
      </c>
      <c r="C113" s="49">
        <f>staticResult!$C$16-B113</f>
        <v>0.55925423898969306</v>
      </c>
      <c r="D113" s="448">
        <f t="shared" si="6"/>
        <v>0.25436021344660253</v>
      </c>
      <c r="E113" s="49">
        <f>((B113*staticResult!$C$2*100)+配裝模擬!$D$2+staticResult!$D$16*0.47)/staticResult!$C$2/100</f>
        <v>0.45744258780133334</v>
      </c>
      <c r="G113" s="448">
        <f t="shared" ca="1" si="4"/>
        <v>2.9696200846415013</v>
      </c>
      <c r="H113" s="49">
        <v>0.36099999999999999</v>
      </c>
      <c r="I113" s="49">
        <f ca="1">((M113*staticResult!$C$2*100)+配裝模擬!$D$2+staticResult!$D$16*0.47)/staticResult!$C$2/100</f>
        <v>0.49354258780133342</v>
      </c>
      <c r="J113" s="49">
        <f ca="1">(staticResult!$C$16-H113)+BUFF!$F$27</f>
        <v>0.7867542389896931</v>
      </c>
      <c r="K113" s="448">
        <f t="shared" ca="1" si="7"/>
        <v>0.31235784781191683</v>
      </c>
      <c r="L113" s="49">
        <f>((H113*staticResult!$C$2*100)+配裝模擬!$D$2+staticResult!$D$16*0.47)/staticResult!$C$2/100</f>
        <v>0.45744258780133334</v>
      </c>
      <c r="M113" s="476">
        <f ca="1">H113*(1+BUFF!$H$27)</f>
        <v>0.39710000000000001</v>
      </c>
    </row>
    <row r="114" spans="1:13">
      <c r="A114" s="448">
        <f t="shared" si="5"/>
        <v>2.0700167989997023</v>
      </c>
      <c r="B114" s="49">
        <v>0.36199999999999999</v>
      </c>
      <c r="C114" s="49">
        <f>staticResult!$C$16-B114</f>
        <v>0.55825423898969306</v>
      </c>
      <c r="D114" s="448">
        <f t="shared" si="6"/>
        <v>0.25249785007774839</v>
      </c>
      <c r="E114" s="49">
        <f>((B114*staticResult!$C$2*100)+配裝模擬!$D$2+staticResult!$D$16*0.47)/staticResult!$C$2/100</f>
        <v>0.4584425878013334</v>
      </c>
      <c r="G114" s="448">
        <f t="shared" ca="1" si="4"/>
        <v>2.9699296788896068</v>
      </c>
      <c r="H114" s="49">
        <v>0.36199999999999999</v>
      </c>
      <c r="I114" s="49">
        <f ca="1">((M114*staticResult!$C$2*100)+配裝模擬!$D$2+staticResult!$D$16*0.47)/staticResult!$C$2/100</f>
        <v>0.49464258780133336</v>
      </c>
      <c r="J114" s="49">
        <f ca="1">(staticResult!$C$16-H114)+BUFF!$F$27</f>
        <v>0.7857542389896931</v>
      </c>
      <c r="K114" s="448">
        <f t="shared" ca="1" si="7"/>
        <v>0.30959424810550445</v>
      </c>
      <c r="L114" s="49">
        <f>((H114*staticResult!$C$2*100)+配裝模擬!$D$2+staticResult!$D$16*0.47)/staticResult!$C$2/100</f>
        <v>0.4584425878013334</v>
      </c>
      <c r="M114" s="476">
        <f ca="1">H114*(1+BUFF!$H$27)</f>
        <v>0.3982</v>
      </c>
    </row>
    <row r="115" spans="1:13">
      <c r="A115" s="448">
        <f t="shared" si="5"/>
        <v>2.0702674344864107</v>
      </c>
      <c r="B115" s="49">
        <v>0.36299999999999999</v>
      </c>
      <c r="C115" s="49">
        <f>staticResult!$C$16-B115</f>
        <v>0.55725423898969306</v>
      </c>
      <c r="D115" s="448">
        <f t="shared" si="6"/>
        <v>0.25063548670845015</v>
      </c>
      <c r="E115" s="49">
        <f>((B115*staticResult!$C$2*100)+配裝模擬!$D$2+staticResult!$D$16*0.47)/staticResult!$C$2/100</f>
        <v>0.4594425878013334</v>
      </c>
      <c r="G115" s="448">
        <f t="shared" ca="1" si="4"/>
        <v>2.9702365095380068</v>
      </c>
      <c r="H115" s="49">
        <v>0.36299999999999999</v>
      </c>
      <c r="I115" s="49">
        <f ca="1">((M115*staticResult!$C$2*100)+配裝模擬!$D$2+staticResult!$D$16*0.47)/staticResult!$C$2/100</f>
        <v>0.49574258780133351</v>
      </c>
      <c r="J115" s="49">
        <f ca="1">(staticResult!$C$16-H115)+BUFF!$F$27</f>
        <v>0.7847542389896931</v>
      </c>
      <c r="K115" s="448">
        <f t="shared" ca="1" si="7"/>
        <v>0.30683064839998025</v>
      </c>
      <c r="L115" s="49">
        <f>((H115*staticResult!$C$2*100)+配裝模擬!$D$2+staticResult!$D$16*0.47)/staticResult!$C$2/100</f>
        <v>0.4594425878013334</v>
      </c>
      <c r="M115" s="476">
        <f ca="1">H115*(1+BUFF!$H$27)</f>
        <v>0.39930000000000004</v>
      </c>
    </row>
    <row r="116" spans="1:13">
      <c r="A116" s="448">
        <f t="shared" si="5"/>
        <v>2.0705162076097499</v>
      </c>
      <c r="B116" s="49">
        <v>0.36399999999999999</v>
      </c>
      <c r="C116" s="49">
        <f>staticResult!$C$16-B116</f>
        <v>0.55625423898969306</v>
      </c>
      <c r="D116" s="448">
        <f t="shared" si="6"/>
        <v>0.24877312333915191</v>
      </c>
      <c r="E116" s="49">
        <f>((B116*staticResult!$C$2*100)+配裝模擬!$D$2+staticResult!$D$16*0.47)/staticResult!$C$2/100</f>
        <v>0.4604425878013334</v>
      </c>
      <c r="G116" s="448">
        <f t="shared" ca="1" si="4"/>
        <v>2.9705405765867008</v>
      </c>
      <c r="H116" s="49">
        <v>0.36399999999999999</v>
      </c>
      <c r="I116" s="49">
        <f ca="1">((M116*staticResult!$C$2*100)+配裝模擬!$D$2+staticResult!$D$16*0.47)/staticResult!$C$2/100</f>
        <v>0.49684258780133339</v>
      </c>
      <c r="J116" s="49">
        <f ca="1">(staticResult!$C$16-H116)+BUFF!$F$27</f>
        <v>0.7837542389896931</v>
      </c>
      <c r="K116" s="448">
        <f t="shared" ca="1" si="7"/>
        <v>0.30406704869401197</v>
      </c>
      <c r="L116" s="49">
        <f>((H116*staticResult!$C$2*100)+配裝模擬!$D$2+staticResult!$D$16*0.47)/staticResult!$C$2/100</f>
        <v>0.4604425878013334</v>
      </c>
      <c r="M116" s="476">
        <f ca="1">H116*(1+BUFF!$H$27)</f>
        <v>0.40040000000000003</v>
      </c>
    </row>
    <row r="117" spans="1:13">
      <c r="A117" s="448">
        <f t="shared" si="5"/>
        <v>2.0707631183697215</v>
      </c>
      <c r="B117" s="49">
        <v>0.36499999999999999</v>
      </c>
      <c r="C117" s="49">
        <f>staticResult!$C$16-B117</f>
        <v>0.55525423898969306</v>
      </c>
      <c r="D117" s="448">
        <f t="shared" si="6"/>
        <v>0.24691075997163003</v>
      </c>
      <c r="E117" s="49">
        <f>((B117*staticResult!$C$2*100)+配裝模擬!$D$2+staticResult!$D$16*0.47)/staticResult!$C$2/100</f>
        <v>0.46144258780133335</v>
      </c>
      <c r="G117" s="448">
        <f t="shared" ca="1" si="4"/>
        <v>2.9708418800356893</v>
      </c>
      <c r="H117" s="49">
        <v>0.36499999999999999</v>
      </c>
      <c r="I117" s="49">
        <f ca="1">((M117*staticResult!$C$2*100)+配裝模擬!$D$2+staticResult!$D$16*0.47)/staticResult!$C$2/100</f>
        <v>0.49794258780133349</v>
      </c>
      <c r="J117" s="49">
        <f ca="1">(staticResult!$C$16-H117)+BUFF!$F$27</f>
        <v>0.7827542389896931</v>
      </c>
      <c r="K117" s="448">
        <f t="shared" ca="1" si="7"/>
        <v>0.30130344898848777</v>
      </c>
      <c r="L117" s="49">
        <f>((H117*staticResult!$C$2*100)+配裝模擬!$D$2+staticResult!$D$16*0.47)/staticResult!$C$2/100</f>
        <v>0.46144258780133335</v>
      </c>
      <c r="M117" s="476">
        <f ca="1">H117*(1+BUFF!$H$27)</f>
        <v>0.40150000000000002</v>
      </c>
    </row>
    <row r="118" spans="1:13">
      <c r="A118" s="448">
        <f t="shared" si="5"/>
        <v>2.0710081667663238</v>
      </c>
      <c r="B118" s="49">
        <v>0.36599999999999999</v>
      </c>
      <c r="C118" s="49">
        <f>staticResult!$C$16-B118</f>
        <v>0.55425423898969306</v>
      </c>
      <c r="D118" s="448">
        <f t="shared" si="6"/>
        <v>0.2450483966023318</v>
      </c>
      <c r="E118" s="49">
        <f>((B118*staticResult!$C$2*100)+配裝模擬!$D$2+staticResult!$D$16*0.47)/staticResult!$C$2/100</f>
        <v>0.4624425878013334</v>
      </c>
      <c r="G118" s="448">
        <f t="shared" ca="1" si="4"/>
        <v>2.9711404198849714</v>
      </c>
      <c r="H118" s="49">
        <v>0.36599999999999999</v>
      </c>
      <c r="I118" s="49">
        <f ca="1">((M118*staticResult!$C$2*100)+配裝模擬!$D$2+staticResult!$D$16*0.47)/staticResult!$C$2/100</f>
        <v>0.49904258780133337</v>
      </c>
      <c r="J118" s="49">
        <f ca="1">(staticResult!$C$16-H118)+BUFF!$F$27</f>
        <v>0.7817542389896931</v>
      </c>
      <c r="K118" s="448">
        <f t="shared" ca="1" si="7"/>
        <v>0.29853984928207539</v>
      </c>
      <c r="L118" s="49">
        <f>((H118*staticResult!$C$2*100)+配裝模擬!$D$2+staticResult!$D$16*0.47)/staticResult!$C$2/100</f>
        <v>0.4624425878013334</v>
      </c>
      <c r="M118" s="476">
        <f ca="1">H118*(1+BUFF!$H$27)</f>
        <v>0.40260000000000001</v>
      </c>
    </row>
    <row r="119" spans="1:13">
      <c r="A119" s="448">
        <f t="shared" si="5"/>
        <v>2.0712513527995564</v>
      </c>
      <c r="B119" s="49">
        <v>0.36699999999999999</v>
      </c>
      <c r="C119" s="49">
        <f>staticResult!$C$16-B119</f>
        <v>0.55325423898969306</v>
      </c>
      <c r="D119" s="448">
        <f t="shared" si="6"/>
        <v>0.24318603323258947</v>
      </c>
      <c r="E119" s="49">
        <f>((B119*staticResult!$C$2*100)+配裝模擬!$D$2+staticResult!$D$16*0.47)/staticResult!$C$2/100</f>
        <v>0.46344258780133335</v>
      </c>
      <c r="G119" s="448">
        <f t="shared" ca="1" si="4"/>
        <v>2.9714361961345479</v>
      </c>
      <c r="H119" s="49">
        <v>0.36699999999999999</v>
      </c>
      <c r="I119" s="49">
        <f ca="1">((M119*staticResult!$C$2*100)+配裝模擬!$D$2+staticResult!$D$16*0.47)/staticResult!$C$2/100</f>
        <v>0.50014258780133336</v>
      </c>
      <c r="J119" s="49">
        <f ca="1">(staticResult!$C$16-H119)+BUFF!$F$27</f>
        <v>0.78075423898969309</v>
      </c>
      <c r="K119" s="448">
        <f t="shared" ca="1" si="7"/>
        <v>0.29577624957655119</v>
      </c>
      <c r="L119" s="49">
        <f>((H119*staticResult!$C$2*100)+配裝模擬!$D$2+staticResult!$D$16*0.47)/staticResult!$C$2/100</f>
        <v>0.46344258780133335</v>
      </c>
      <c r="M119" s="476">
        <f ca="1">H119*(1+BUFF!$H$27)</f>
        <v>0.4037</v>
      </c>
    </row>
    <row r="120" spans="1:13">
      <c r="A120" s="448">
        <f t="shared" si="5"/>
        <v>2.0714926764694206</v>
      </c>
      <c r="B120" s="49">
        <v>0.36799999999999999</v>
      </c>
      <c r="C120" s="49">
        <f>staticResult!$C$16-B120</f>
        <v>0.55225423898969306</v>
      </c>
      <c r="D120" s="448">
        <f t="shared" si="6"/>
        <v>0.24132366986417941</v>
      </c>
      <c r="E120" s="49">
        <f>((B120*staticResult!$C$2*100)+配裝模擬!$D$2+staticResult!$D$16*0.47)/staticResult!$C$2/100</f>
        <v>0.46444258780133341</v>
      </c>
      <c r="G120" s="448">
        <f t="shared" ca="1" si="4"/>
        <v>2.9717292087844189</v>
      </c>
      <c r="H120" s="49">
        <v>0.36799999999999999</v>
      </c>
      <c r="I120" s="49">
        <f ca="1">((M120*staticResult!$C$2*100)+配裝模擬!$D$2+staticResult!$D$16*0.47)/staticResult!$C$2/100</f>
        <v>0.50124258780133346</v>
      </c>
      <c r="J120" s="49">
        <f ca="1">(staticResult!$C$16-H120)+BUFF!$F$27</f>
        <v>0.77975423898969309</v>
      </c>
      <c r="K120" s="448">
        <f t="shared" ca="1" si="7"/>
        <v>0.29301264987102699</v>
      </c>
      <c r="L120" s="49">
        <f>((H120*staticResult!$C$2*100)+配裝模擬!$D$2+staticResult!$D$16*0.47)/staticResult!$C$2/100</f>
        <v>0.46444258780133341</v>
      </c>
      <c r="M120" s="476">
        <f ca="1">H120*(1+BUFF!$H$27)</f>
        <v>0.40480000000000005</v>
      </c>
    </row>
    <row r="121" spans="1:13">
      <c r="A121" s="448">
        <f t="shared" si="5"/>
        <v>2.0717321377759159</v>
      </c>
      <c r="B121" s="49">
        <v>0.36899999999999999</v>
      </c>
      <c r="C121" s="49">
        <f>staticResult!$C$16-B121</f>
        <v>0.55125423898969306</v>
      </c>
      <c r="D121" s="448">
        <f t="shared" si="6"/>
        <v>0.23946130649532527</v>
      </c>
      <c r="E121" s="49">
        <f>((B121*staticResult!$C$2*100)+配裝模擬!$D$2+staticResult!$D$16*0.47)/staticResult!$C$2/100</f>
        <v>0.46544258780133341</v>
      </c>
      <c r="G121" s="448">
        <f t="shared" ca="1" si="4"/>
        <v>2.9720194578345849</v>
      </c>
      <c r="H121" s="49">
        <v>0.36899999999999999</v>
      </c>
      <c r="I121" s="49">
        <f ca="1">((M121*staticResult!$C$2*100)+配裝模擬!$D$2+staticResult!$D$16*0.47)/staticResult!$C$2/100</f>
        <v>0.50234258780133334</v>
      </c>
      <c r="J121" s="49">
        <f ca="1">(staticResult!$C$16-H121)+BUFF!$F$27</f>
        <v>0.77875423898969309</v>
      </c>
      <c r="K121" s="448">
        <f t="shared" ca="1" si="7"/>
        <v>0.29024905016594688</v>
      </c>
      <c r="L121" s="49">
        <f>((H121*staticResult!$C$2*100)+配裝模擬!$D$2+staticResult!$D$16*0.47)/staticResult!$C$2/100</f>
        <v>0.46544258780133341</v>
      </c>
      <c r="M121" s="476">
        <f ca="1">H121*(1+BUFF!$H$27)</f>
        <v>0.40590000000000004</v>
      </c>
    </row>
    <row r="122" spans="1:13">
      <c r="A122" s="448">
        <f t="shared" si="5"/>
        <v>2.0719697367190424</v>
      </c>
      <c r="B122" s="49">
        <v>0.37</v>
      </c>
      <c r="C122" s="49">
        <f>staticResult!$C$16-B122</f>
        <v>0.55025423898969306</v>
      </c>
      <c r="D122" s="448">
        <f t="shared" si="6"/>
        <v>0.23759894312647112</v>
      </c>
      <c r="E122" s="49">
        <f>((B122*staticResult!$C$2*100)+配裝模擬!$D$2+staticResult!$D$16*0.47)/staticResult!$C$2/100</f>
        <v>0.46644258780133335</v>
      </c>
      <c r="G122" s="448">
        <f t="shared" ca="1" si="4"/>
        <v>2.972306943285044</v>
      </c>
      <c r="H122" s="49">
        <v>0.37</v>
      </c>
      <c r="I122" s="49">
        <f ca="1">((M122*staticResult!$C$2*100)+配裝模擬!$D$2+staticResult!$D$16*0.47)/staticResult!$C$2/100</f>
        <v>0.50344258780133344</v>
      </c>
      <c r="J122" s="49">
        <f ca="1">(staticResult!$C$16-H122)+BUFF!$F$27</f>
        <v>0.77775423898969309</v>
      </c>
      <c r="K122" s="448">
        <f t="shared" ca="1" si="7"/>
        <v>0.28748545045909041</v>
      </c>
      <c r="L122" s="49">
        <f>((H122*staticResult!$C$2*100)+配裝模擬!$D$2+staticResult!$D$16*0.47)/staticResult!$C$2/100</f>
        <v>0.46644258780133335</v>
      </c>
      <c r="M122" s="476">
        <f ca="1">H122*(1+BUFF!$H$27)</f>
        <v>0.40700000000000003</v>
      </c>
    </row>
    <row r="123" spans="1:13">
      <c r="A123" s="448">
        <f t="shared" si="5"/>
        <v>2.0722054732988</v>
      </c>
      <c r="B123" s="49">
        <v>0.371</v>
      </c>
      <c r="C123" s="49">
        <f>staticResult!$C$16-B123</f>
        <v>0.54925423898969306</v>
      </c>
      <c r="D123" s="448">
        <f t="shared" si="6"/>
        <v>0.23573657975761697</v>
      </c>
      <c r="E123" s="49">
        <f>((B123*staticResult!$C$2*100)+配裝模擬!$D$2+staticResult!$D$16*0.47)/staticResult!$C$2/100</f>
        <v>0.46744258780133335</v>
      </c>
      <c r="G123" s="448">
        <f t="shared" ca="1" si="4"/>
        <v>2.9725916651357971</v>
      </c>
      <c r="H123" s="49">
        <v>0.371</v>
      </c>
      <c r="I123" s="49">
        <f ca="1">((M123*staticResult!$C$2*100)+配裝模擬!$D$2+staticResult!$D$16*0.47)/staticResult!$C$2/100</f>
        <v>0.50454258780133332</v>
      </c>
      <c r="J123" s="49">
        <f ca="1">(staticResult!$C$16-H123)+BUFF!$F$27</f>
        <v>0.77675423898969309</v>
      </c>
      <c r="K123" s="448">
        <f t="shared" ca="1" si="7"/>
        <v>0.28472185075312212</v>
      </c>
      <c r="L123" s="49">
        <f>((H123*staticResult!$C$2*100)+配裝模擬!$D$2+staticResult!$D$16*0.47)/staticResult!$C$2/100</f>
        <v>0.46744258780133335</v>
      </c>
      <c r="M123" s="476">
        <f ca="1">H123*(1+BUFF!$H$27)</f>
        <v>0.40810000000000002</v>
      </c>
    </row>
    <row r="124" spans="1:13">
      <c r="A124" s="448">
        <f t="shared" si="5"/>
        <v>2.0724393475151879</v>
      </c>
      <c r="B124" s="49">
        <v>0.372</v>
      </c>
      <c r="C124" s="49">
        <f>staticResult!$C$16-B124</f>
        <v>0.54825423898969305</v>
      </c>
      <c r="D124" s="448">
        <f t="shared" si="6"/>
        <v>0.23387421638787467</v>
      </c>
      <c r="E124" s="49">
        <f>((B124*staticResult!$C$2*100)+配裝模擬!$D$2+staticResult!$D$16*0.47)/staticResult!$C$2/100</f>
        <v>0.46844258780133347</v>
      </c>
      <c r="G124" s="448">
        <f t="shared" ca="1" si="4"/>
        <v>2.9728736233868451</v>
      </c>
      <c r="H124" s="49">
        <v>0.372</v>
      </c>
      <c r="I124" s="49">
        <f ca="1">((M124*staticResult!$C$2*100)+配裝模擬!$D$2+staticResult!$D$16*0.47)/staticResult!$C$2/100</f>
        <v>0.50564258780133331</v>
      </c>
      <c r="J124" s="49">
        <f ca="1">(staticResult!$C$16-H124)+BUFF!$F$27</f>
        <v>0.77575423898969309</v>
      </c>
      <c r="K124" s="448">
        <f t="shared" ca="1" si="7"/>
        <v>0.28195825104804201</v>
      </c>
      <c r="L124" s="49">
        <f>((H124*staticResult!$C$2*100)+配裝模擬!$D$2+staticResult!$D$16*0.47)/staticResult!$C$2/100</f>
        <v>0.46844258780133347</v>
      </c>
      <c r="M124" s="476">
        <f ca="1">H124*(1+BUFF!$H$27)</f>
        <v>0.40920000000000001</v>
      </c>
    </row>
    <row r="125" spans="1:13">
      <c r="A125" s="448">
        <f t="shared" si="5"/>
        <v>2.0726713593682082</v>
      </c>
      <c r="B125" s="49">
        <v>0.373</v>
      </c>
      <c r="C125" s="49">
        <f>staticResult!$C$16-B125</f>
        <v>0.54725423898969305</v>
      </c>
      <c r="D125" s="448">
        <f t="shared" si="6"/>
        <v>0.23201185302035279</v>
      </c>
      <c r="E125" s="49">
        <f>((B125*staticResult!$C$2*100)+配裝模擬!$D$2+staticResult!$D$16*0.47)/staticResult!$C$2/100</f>
        <v>0.4694425878013333</v>
      </c>
      <c r="G125" s="448">
        <f t="shared" ca="1" si="4"/>
        <v>2.9731528180381872</v>
      </c>
      <c r="H125" s="49">
        <v>0.373</v>
      </c>
      <c r="I125" s="49">
        <f ca="1">((M125*staticResult!$C$2*100)+配裝模擬!$D$2+staticResult!$D$16*0.47)/staticResult!$C$2/100</f>
        <v>0.50674258780133341</v>
      </c>
      <c r="J125" s="49">
        <f ca="1">(staticResult!$C$16-H125)+BUFF!$F$27</f>
        <v>0.77475423898969309</v>
      </c>
      <c r="K125" s="448">
        <f t="shared" ca="1" si="7"/>
        <v>0.27919465134207377</v>
      </c>
      <c r="L125" s="49">
        <f>((H125*staticResult!$C$2*100)+配裝模擬!$D$2+staticResult!$D$16*0.47)/staticResult!$C$2/100</f>
        <v>0.4694425878013333</v>
      </c>
      <c r="M125" s="476">
        <f ca="1">H125*(1+BUFF!$H$27)</f>
        <v>0.41030000000000005</v>
      </c>
    </row>
    <row r="126" spans="1:13">
      <c r="A126" s="448">
        <f t="shared" si="5"/>
        <v>2.0729015088578593</v>
      </c>
      <c r="B126" s="49">
        <v>0.374</v>
      </c>
      <c r="C126" s="49">
        <f>staticResult!$C$16-B126</f>
        <v>0.54625423898969305</v>
      </c>
      <c r="D126" s="448">
        <f t="shared" si="6"/>
        <v>0.23014948965105456</v>
      </c>
      <c r="E126" s="49">
        <f>((B126*staticResult!$C$2*100)+配裝模擬!$D$2+staticResult!$D$16*0.47)/staticResult!$C$2/100</f>
        <v>0.47044258780133341</v>
      </c>
      <c r="G126" s="448">
        <f t="shared" ca="1" si="4"/>
        <v>2.9734292490898238</v>
      </c>
      <c r="H126" s="49">
        <v>0.374</v>
      </c>
      <c r="I126" s="49">
        <f ca="1">((M126*staticResult!$C$2*100)+配裝模擬!$D$2+staticResult!$D$16*0.47)/staticResult!$C$2/100</f>
        <v>0.50784258780133351</v>
      </c>
      <c r="J126" s="49">
        <f ca="1">(staticResult!$C$16-H126)+BUFF!$F$27</f>
        <v>0.77375423898969309</v>
      </c>
      <c r="K126" s="448">
        <f t="shared" ca="1" si="7"/>
        <v>0.27643105163654957</v>
      </c>
      <c r="L126" s="49">
        <f>((H126*staticResult!$C$2*100)+配裝模擬!$D$2+staticResult!$D$16*0.47)/staticResult!$C$2/100</f>
        <v>0.47044258780133341</v>
      </c>
      <c r="M126" s="476">
        <f ca="1">H126*(1+BUFF!$H$27)</f>
        <v>0.41140000000000004</v>
      </c>
    </row>
    <row r="127" spans="1:13">
      <c r="A127" s="448">
        <f t="shared" si="5"/>
        <v>2.073129795984141</v>
      </c>
      <c r="B127" s="49">
        <v>0.375</v>
      </c>
      <c r="C127" s="49">
        <f>staticResult!$C$16-B127</f>
        <v>0.54525423898969305</v>
      </c>
      <c r="D127" s="448">
        <f t="shared" si="6"/>
        <v>0.22828712628175632</v>
      </c>
      <c r="E127" s="49">
        <f>((B127*staticResult!$C$2*100)+配裝模擬!$D$2+staticResult!$D$16*0.47)/staticResult!$C$2/100</f>
        <v>0.47144258780133341</v>
      </c>
      <c r="G127" s="448">
        <f t="shared" ca="1" si="4"/>
        <v>2.9737029165417539</v>
      </c>
      <c r="H127" s="49">
        <v>0.375</v>
      </c>
      <c r="I127" s="49">
        <f ca="1">((M127*staticResult!$C$2*100)+配裝模擬!$D$2+staticResult!$D$16*0.47)/staticResult!$C$2/100</f>
        <v>0.50894258780133339</v>
      </c>
      <c r="J127" s="49">
        <f ca="1">(staticResult!$C$16-H127)+BUFF!$F$27</f>
        <v>0.77275423898969309</v>
      </c>
      <c r="K127" s="448">
        <f t="shared" ca="1" si="7"/>
        <v>0.2736674519301372</v>
      </c>
      <c r="L127" s="49">
        <f>((H127*staticResult!$C$2*100)+配裝模擬!$D$2+staticResult!$D$16*0.47)/staticResult!$C$2/100</f>
        <v>0.47144258780133341</v>
      </c>
      <c r="M127" s="476">
        <f ca="1">H127*(1+BUFF!$H$27)</f>
        <v>0.41250000000000003</v>
      </c>
    </row>
    <row r="128" spans="1:13">
      <c r="A128" s="448">
        <f t="shared" si="5"/>
        <v>2.0733562207470535</v>
      </c>
      <c r="B128" s="49">
        <v>0.376</v>
      </c>
      <c r="C128" s="49">
        <f>staticResult!$C$16-B128</f>
        <v>0.54425423898969305</v>
      </c>
      <c r="D128" s="448">
        <f t="shared" si="6"/>
        <v>0.22642476291245808</v>
      </c>
      <c r="E128" s="49">
        <f>((B128*staticResult!$C$2*100)+配裝模擬!$D$2+staticResult!$D$16*0.47)/staticResult!$C$2/100</f>
        <v>0.47244258780133336</v>
      </c>
      <c r="G128" s="448">
        <f t="shared" ca="1" si="4"/>
        <v>2.973973820393979</v>
      </c>
      <c r="H128" s="49">
        <v>0.376</v>
      </c>
      <c r="I128" s="49">
        <f ca="1">((M128*staticResult!$C$2*100)+配裝模擬!$D$2+staticResult!$D$16*0.47)/staticResult!$C$2/100</f>
        <v>0.51004258780133349</v>
      </c>
      <c r="J128" s="49">
        <f ca="1">(staticResult!$C$16-H128)+BUFF!$F$27</f>
        <v>0.77175423898969309</v>
      </c>
      <c r="K128" s="448">
        <f t="shared" ca="1" si="7"/>
        <v>0.27090385222505708</v>
      </c>
      <c r="L128" s="49">
        <f>((H128*staticResult!$C$2*100)+配裝模擬!$D$2+staticResult!$D$16*0.47)/staticResult!$C$2/100</f>
        <v>0.47244258780133336</v>
      </c>
      <c r="M128" s="476">
        <f ca="1">H128*(1+BUFF!$H$27)</f>
        <v>0.41360000000000002</v>
      </c>
    </row>
    <row r="129" spans="1:13">
      <c r="A129" s="448">
        <f t="shared" si="5"/>
        <v>2.073580783146598</v>
      </c>
      <c r="B129" s="49">
        <v>0.377</v>
      </c>
      <c r="C129" s="49">
        <f>staticResult!$C$16-B129</f>
        <v>0.54325423898969305</v>
      </c>
      <c r="D129" s="448">
        <f t="shared" si="6"/>
        <v>0.22456239954449211</v>
      </c>
      <c r="E129" s="49">
        <f>((B129*staticResult!$C$2*100)+配裝模擬!$D$2+staticResult!$D$16*0.47)/staticResult!$C$2/100</f>
        <v>0.47344258780133336</v>
      </c>
      <c r="G129" s="448">
        <f t="shared" ca="1" si="4"/>
        <v>2.9742419606464976</v>
      </c>
      <c r="H129" s="49">
        <v>0.377</v>
      </c>
      <c r="I129" s="49">
        <f ca="1">((M129*staticResult!$C$2*100)+配裝模擬!$D$2+staticResult!$D$16*0.47)/staticResult!$C$2/100</f>
        <v>0.51114258780133337</v>
      </c>
      <c r="J129" s="49">
        <f ca="1">(staticResult!$C$16-H129)+BUFF!$F$27</f>
        <v>0.77075423898969309</v>
      </c>
      <c r="K129" s="448">
        <f t="shared" ca="1" si="7"/>
        <v>0.26814025251864471</v>
      </c>
      <c r="L129" s="49">
        <f>((H129*staticResult!$C$2*100)+配裝模擬!$D$2+staticResult!$D$16*0.47)/staticResult!$C$2/100</f>
        <v>0.47344258780133336</v>
      </c>
      <c r="M129" s="476">
        <f ca="1">H129*(1+BUFF!$H$27)</f>
        <v>0.41470000000000001</v>
      </c>
    </row>
    <row r="130" spans="1:13">
      <c r="A130" s="448">
        <f t="shared" si="5"/>
        <v>2.0738034831827732</v>
      </c>
      <c r="B130" s="49">
        <v>0.378</v>
      </c>
      <c r="C130" s="49">
        <f>staticResult!$C$16-B130</f>
        <v>0.54225423898969305</v>
      </c>
      <c r="D130" s="448">
        <f t="shared" si="6"/>
        <v>0.22270003617519388</v>
      </c>
      <c r="E130" s="49">
        <f>((B130*staticResult!$C$2*100)+配裝模擬!$D$2+staticResult!$D$16*0.47)/staticResult!$C$2/100</f>
        <v>0.47444258780133342</v>
      </c>
      <c r="G130" s="448">
        <f t="shared" ref="G130:G193" ca="1" si="8">(1+I130)*(J130*$F$13+(1-J130))</f>
        <v>2.9745073372993107</v>
      </c>
      <c r="H130" s="49">
        <v>0.378</v>
      </c>
      <c r="I130" s="49">
        <f ca="1">((M130*staticResult!$C$2*100)+配裝模擬!$D$2+staticResult!$D$16*0.47)/staticResult!$C$2/100</f>
        <v>0.51224258780133347</v>
      </c>
      <c r="J130" s="49">
        <f ca="1">(staticResult!$C$16-H130)+BUFF!$F$27</f>
        <v>0.76975423898969308</v>
      </c>
      <c r="K130" s="448">
        <f t="shared" ca="1" si="7"/>
        <v>0.26537665281312051</v>
      </c>
      <c r="L130" s="49">
        <f>((H130*staticResult!$C$2*100)+配裝模擬!$D$2+staticResult!$D$16*0.47)/staticResult!$C$2/100</f>
        <v>0.47444258780133342</v>
      </c>
      <c r="M130" s="476">
        <f ca="1">H130*(1+BUFF!$H$27)</f>
        <v>0.41580000000000006</v>
      </c>
    </row>
    <row r="131" spans="1:13">
      <c r="A131" s="448">
        <f t="shared" ref="A131:A194" si="9">(1+B131)*(C131*$F$3+(1-C131))</f>
        <v>2.0740243208555795</v>
      </c>
      <c r="B131" s="49">
        <v>0.379</v>
      </c>
      <c r="C131" s="49">
        <f>staticResult!$C$16-B131</f>
        <v>0.54125423898969305</v>
      </c>
      <c r="D131" s="448">
        <f t="shared" ref="D131:D194" si="10">(A131-A130)/(B131-B130)</f>
        <v>0.22083767280633973</v>
      </c>
      <c r="E131" s="49">
        <f>((B131*staticResult!$C$2*100)+配裝模擬!$D$2+staticResult!$D$16*0.47)/staticResult!$C$2/100</f>
        <v>0.47544258780133331</v>
      </c>
      <c r="G131" s="448">
        <f t="shared" ca="1" si="8"/>
        <v>2.9747699503524179</v>
      </c>
      <c r="H131" s="49">
        <v>0.379</v>
      </c>
      <c r="I131" s="49">
        <f ca="1">((M131*staticResult!$C$2*100)+配裝模擬!$D$2+staticResult!$D$16*0.47)/staticResult!$C$2/100</f>
        <v>0.51334258780133346</v>
      </c>
      <c r="J131" s="49">
        <f ca="1">(staticResult!$C$16-H131)+BUFF!$F$27</f>
        <v>0.76875423898969308</v>
      </c>
      <c r="K131" s="448">
        <f t="shared" ref="K131:K194" ca="1" si="11">(G131-G130)/(H131-H130)</f>
        <v>0.26261305310715222</v>
      </c>
      <c r="L131" s="49">
        <f>((H131*staticResult!$C$2*100)+配裝模擬!$D$2+staticResult!$D$16*0.47)/staticResult!$C$2/100</f>
        <v>0.47544258780133331</v>
      </c>
      <c r="M131" s="476">
        <f ca="1">H131*(1+BUFF!$H$27)</f>
        <v>0.41690000000000005</v>
      </c>
    </row>
    <row r="132" spans="1:13">
      <c r="A132" s="448">
        <f t="shared" si="9"/>
        <v>2.074243296165017</v>
      </c>
      <c r="B132" s="49">
        <v>0.38</v>
      </c>
      <c r="C132" s="49">
        <f>staticResult!$C$16-B132</f>
        <v>0.54025423898969305</v>
      </c>
      <c r="D132" s="448">
        <f t="shared" si="10"/>
        <v>0.21897530943748558</v>
      </c>
      <c r="E132" s="49">
        <f>((B132*staticResult!$C$2*100)+配裝模擬!$D$2+staticResult!$D$16*0.47)/staticResult!$C$2/100</f>
        <v>0.47644258780133342</v>
      </c>
      <c r="G132" s="448">
        <f t="shared" ca="1" si="8"/>
        <v>2.9750297998058195</v>
      </c>
      <c r="H132" s="49">
        <v>0.38</v>
      </c>
      <c r="I132" s="49">
        <f ca="1">((M132*staticResult!$C$2*100)+配裝模擬!$D$2+staticResult!$D$16*0.47)/staticResult!$C$2/100</f>
        <v>0.51444258780133345</v>
      </c>
      <c r="J132" s="49">
        <f ca="1">(staticResult!$C$16-H132)+BUFF!$F$27</f>
        <v>0.76775423898969308</v>
      </c>
      <c r="K132" s="448">
        <f t="shared" ca="1" si="11"/>
        <v>0.25984945340162802</v>
      </c>
      <c r="L132" s="49">
        <f>((H132*staticResult!$C$2*100)+配裝模擬!$D$2+staticResult!$D$16*0.47)/staticResult!$C$2/100</f>
        <v>0.47644258780133342</v>
      </c>
      <c r="M132" s="476">
        <f ca="1">H132*(1+BUFF!$H$27)</f>
        <v>0.41800000000000004</v>
      </c>
    </row>
    <row r="133" spans="1:13">
      <c r="A133" s="448">
        <f t="shared" si="9"/>
        <v>2.0744604091110856</v>
      </c>
      <c r="B133" s="49">
        <v>0.38100000000000001</v>
      </c>
      <c r="C133" s="49">
        <f>staticResult!$C$16-B133</f>
        <v>0.53925423898969305</v>
      </c>
      <c r="D133" s="448">
        <f t="shared" si="10"/>
        <v>0.21711294606863143</v>
      </c>
      <c r="E133" s="49">
        <f>((B133*staticResult!$C$2*100)+配裝模擬!$D$2+staticResult!$D$16*0.47)/staticResult!$C$2/100</f>
        <v>0.47744258780133336</v>
      </c>
      <c r="G133" s="448">
        <f t="shared" ca="1" si="8"/>
        <v>2.9752868856595147</v>
      </c>
      <c r="H133" s="49">
        <v>0.38100000000000001</v>
      </c>
      <c r="I133" s="49">
        <f ca="1">((M133*staticResult!$C$2*100)+配裝模擬!$D$2+staticResult!$D$16*0.47)/staticResult!$C$2/100</f>
        <v>0.51554258780133333</v>
      </c>
      <c r="J133" s="49">
        <f ca="1">(staticResult!$C$16-H133)+BUFF!$F$27</f>
        <v>0.76675423898969308</v>
      </c>
      <c r="K133" s="448">
        <f t="shared" ca="1" si="11"/>
        <v>0.25708585369521564</v>
      </c>
      <c r="L133" s="49">
        <f>((H133*staticResult!$C$2*100)+配裝模擬!$D$2+staticResult!$D$16*0.47)/staticResult!$C$2/100</f>
        <v>0.47744258780133336</v>
      </c>
      <c r="M133" s="476">
        <f ca="1">H133*(1+BUFF!$H$27)</f>
        <v>0.41910000000000003</v>
      </c>
    </row>
    <row r="134" spans="1:13">
      <c r="A134" s="448">
        <f t="shared" si="9"/>
        <v>2.0746756596937854</v>
      </c>
      <c r="B134" s="49">
        <v>0.38200000000000001</v>
      </c>
      <c r="C134" s="49">
        <f>staticResult!$C$16-B134</f>
        <v>0.53825423898969305</v>
      </c>
      <c r="D134" s="448">
        <f t="shared" si="10"/>
        <v>0.21525058269977729</v>
      </c>
      <c r="E134" s="49">
        <f>((B134*staticResult!$C$2*100)+配裝模擬!$D$2+staticResult!$D$16*0.47)/staticResult!$C$2/100</f>
        <v>0.47844258780133336</v>
      </c>
      <c r="G134" s="448">
        <f t="shared" ca="1" si="8"/>
        <v>2.9755412079135048</v>
      </c>
      <c r="H134" s="49">
        <v>0.38200000000000001</v>
      </c>
      <c r="I134" s="49">
        <f ca="1">((M134*staticResult!$C$2*100)+配裝模擬!$D$2+staticResult!$D$16*0.47)/staticResult!$C$2/100</f>
        <v>0.51664258780133343</v>
      </c>
      <c r="J134" s="49">
        <f ca="1">(staticResult!$C$16-H134)+BUFF!$F$27</f>
        <v>0.76575423898969308</v>
      </c>
      <c r="K134" s="448">
        <f t="shared" ca="1" si="11"/>
        <v>0.25432225399013553</v>
      </c>
      <c r="L134" s="49">
        <f>((H134*staticResult!$C$2*100)+配裝模擬!$D$2+staticResult!$D$16*0.47)/staticResult!$C$2/100</f>
        <v>0.47844258780133336</v>
      </c>
      <c r="M134" s="476">
        <f ca="1">H134*(1+BUFF!$H$27)</f>
        <v>0.42020000000000002</v>
      </c>
    </row>
    <row r="135" spans="1:13">
      <c r="A135" s="448">
        <f t="shared" si="9"/>
        <v>2.0748890479131159</v>
      </c>
      <c r="B135" s="49">
        <v>0.38300000000000001</v>
      </c>
      <c r="C135" s="49">
        <f>staticResult!$C$16-B135</f>
        <v>0.53725423898969304</v>
      </c>
      <c r="D135" s="448">
        <f t="shared" si="10"/>
        <v>0.21338821933047905</v>
      </c>
      <c r="E135" s="49">
        <f>((B135*staticResult!$C$2*100)+配裝模擬!$D$2+staticResult!$D$16*0.47)/staticResult!$C$2/100</f>
        <v>0.47944258780133336</v>
      </c>
      <c r="G135" s="448">
        <f t="shared" ca="1" si="8"/>
        <v>2.9757927665677895</v>
      </c>
      <c r="H135" s="49">
        <v>0.38300000000000001</v>
      </c>
      <c r="I135" s="49">
        <f ca="1">((M135*staticResult!$C$2*100)+配裝模擬!$D$2+staticResult!$D$16*0.47)/staticResult!$C$2/100</f>
        <v>0.51774258780133342</v>
      </c>
      <c r="J135" s="49">
        <f ca="1">(staticResult!$C$16-H135)+BUFF!$F$27</f>
        <v>0.76475423898969308</v>
      </c>
      <c r="K135" s="448">
        <f t="shared" ca="1" si="11"/>
        <v>0.25155865428461133</v>
      </c>
      <c r="L135" s="49">
        <f>((H135*staticResult!$C$2*100)+配裝模擬!$D$2+staticResult!$D$16*0.47)/staticResult!$C$2/100</f>
        <v>0.47944258780133336</v>
      </c>
      <c r="M135" s="476">
        <f ca="1">H135*(1+BUFF!$H$27)</f>
        <v>0.42130000000000006</v>
      </c>
    </row>
    <row r="136" spans="1:13">
      <c r="A136" s="448">
        <f t="shared" si="9"/>
        <v>2.0751005737690771</v>
      </c>
      <c r="B136" s="49">
        <v>0.38400000000000001</v>
      </c>
      <c r="C136" s="49">
        <f>staticResult!$C$16-B136</f>
        <v>0.53625423898969304</v>
      </c>
      <c r="D136" s="448">
        <f t="shared" si="10"/>
        <v>0.21152585596118081</v>
      </c>
      <c r="E136" s="49">
        <f>((B136*staticResult!$C$2*100)+配裝模擬!$D$2+staticResult!$D$16*0.47)/staticResult!$C$2/100</f>
        <v>0.48044258780133342</v>
      </c>
      <c r="G136" s="448">
        <f t="shared" ca="1" si="8"/>
        <v>2.9760415616223672</v>
      </c>
      <c r="H136" s="49">
        <v>0.38400000000000001</v>
      </c>
      <c r="I136" s="49">
        <f ca="1">((M136*staticResult!$C$2*100)+配裝模擬!$D$2+staticResult!$D$16*0.47)/staticResult!$C$2/100</f>
        <v>0.51884258780133341</v>
      </c>
      <c r="J136" s="49">
        <f ca="1">(staticResult!$C$16-H136)+BUFF!$F$27</f>
        <v>0.76375423898969308</v>
      </c>
      <c r="K136" s="448">
        <f t="shared" ca="1" si="11"/>
        <v>0.24879505457775486</v>
      </c>
      <c r="L136" s="49">
        <f>((H136*staticResult!$C$2*100)+配裝模擬!$D$2+staticResult!$D$16*0.47)/staticResult!$C$2/100</f>
        <v>0.48044258780133342</v>
      </c>
      <c r="M136" s="476">
        <f ca="1">H136*(1+BUFF!$H$27)</f>
        <v>0.42240000000000005</v>
      </c>
    </row>
    <row r="137" spans="1:13">
      <c r="A137" s="448">
        <f t="shared" si="9"/>
        <v>2.0753102372616707</v>
      </c>
      <c r="B137" s="49">
        <v>0.38500000000000001</v>
      </c>
      <c r="C137" s="49">
        <f>staticResult!$C$16-B137</f>
        <v>0.53525423898969304</v>
      </c>
      <c r="D137" s="448">
        <f t="shared" si="10"/>
        <v>0.20966349259365893</v>
      </c>
      <c r="E137" s="49">
        <f>((B137*staticResult!$C$2*100)+配裝模擬!$D$2+staticResult!$D$16*0.47)/staticResult!$C$2/100</f>
        <v>0.48144258780133342</v>
      </c>
      <c r="G137" s="448">
        <f t="shared" ca="1" si="8"/>
        <v>2.9762875930772399</v>
      </c>
      <c r="H137" s="49">
        <v>0.38500000000000001</v>
      </c>
      <c r="I137" s="49">
        <f ca="1">((M137*staticResult!$C$2*100)+配裝模擬!$D$2+staticResult!$D$16*0.47)/staticResult!$C$2/100</f>
        <v>0.5199425878013334</v>
      </c>
      <c r="J137" s="49">
        <f ca="1">(staticResult!$C$16-H137)+BUFF!$F$27</f>
        <v>0.76275423898969308</v>
      </c>
      <c r="K137" s="448">
        <f t="shared" ca="1" si="11"/>
        <v>0.24603145487267475</v>
      </c>
      <c r="L137" s="49">
        <f>((H137*staticResult!$C$2*100)+配裝模擬!$D$2+staticResult!$D$16*0.47)/staticResult!$C$2/100</f>
        <v>0.48144258780133342</v>
      </c>
      <c r="M137" s="476">
        <f ca="1">H137*(1+BUFF!$H$27)</f>
        <v>0.42350000000000004</v>
      </c>
    </row>
    <row r="138" spans="1:13">
      <c r="A138" s="448">
        <f t="shared" si="9"/>
        <v>2.0755180383908942</v>
      </c>
      <c r="B138" s="49">
        <v>0.38600000000000001</v>
      </c>
      <c r="C138" s="49">
        <f>staticResult!$C$16-B138</f>
        <v>0.53425423898969304</v>
      </c>
      <c r="D138" s="448">
        <f t="shared" si="10"/>
        <v>0.20780112922347252</v>
      </c>
      <c r="E138" s="49">
        <f>((B138*staticResult!$C$2*100)+配裝模擬!$D$2+staticResult!$D$16*0.47)/staticResult!$C$2/100</f>
        <v>0.48244258780133337</v>
      </c>
      <c r="G138" s="448">
        <f t="shared" ca="1" si="8"/>
        <v>2.9765308609324066</v>
      </c>
      <c r="H138" s="49">
        <v>0.38600000000000001</v>
      </c>
      <c r="I138" s="49">
        <f ca="1">((M138*staticResult!$C$2*100)+配裝模擬!$D$2+staticResult!$D$16*0.47)/staticResult!$C$2/100</f>
        <v>0.52104258780133339</v>
      </c>
      <c r="J138" s="49">
        <f ca="1">(staticResult!$C$16-H138)+BUFF!$F$27</f>
        <v>0.76175423898969308</v>
      </c>
      <c r="K138" s="448">
        <f t="shared" ca="1" si="11"/>
        <v>0.24326785516670646</v>
      </c>
      <c r="L138" s="49">
        <f>((H138*staticResult!$C$2*100)+配裝模擬!$D$2+staticResult!$D$16*0.47)/staticResult!$C$2/100</f>
        <v>0.48244258780133337</v>
      </c>
      <c r="M138" s="476">
        <f ca="1">H138*(1+BUFF!$H$27)</f>
        <v>0.42460000000000003</v>
      </c>
    </row>
    <row r="139" spans="1:13">
      <c r="A139" s="448">
        <f t="shared" si="9"/>
        <v>2.0757239771567497</v>
      </c>
      <c r="B139" s="49">
        <v>0.38700000000000001</v>
      </c>
      <c r="C139" s="49">
        <f>staticResult!$C$16-B139</f>
        <v>0.53325423898969304</v>
      </c>
      <c r="D139" s="448">
        <f t="shared" si="10"/>
        <v>0.20593876585550655</v>
      </c>
      <c r="E139" s="49">
        <f>((B139*staticResult!$C$2*100)+配裝模擬!$D$2+staticResult!$D$16*0.47)/staticResult!$C$2/100</f>
        <v>0.48344258780133342</v>
      </c>
      <c r="G139" s="448">
        <f t="shared" ca="1" si="8"/>
        <v>2.9767713651878678</v>
      </c>
      <c r="H139" s="49">
        <v>0.38700000000000001</v>
      </c>
      <c r="I139" s="49">
        <f ca="1">((M139*staticResult!$C$2*100)+配裝模擬!$D$2+staticResult!$D$16*0.47)/staticResult!$C$2/100</f>
        <v>0.52214258780133338</v>
      </c>
      <c r="J139" s="49">
        <f ca="1">(staticResult!$C$16-H139)+BUFF!$F$27</f>
        <v>0.76075423898969308</v>
      </c>
      <c r="K139" s="448">
        <f t="shared" ca="1" si="11"/>
        <v>0.24050425546118226</v>
      </c>
      <c r="L139" s="49">
        <f>((H139*staticResult!$C$2*100)+配裝模擬!$D$2+staticResult!$D$16*0.47)/staticResult!$C$2/100</f>
        <v>0.48344258780133342</v>
      </c>
      <c r="M139" s="476">
        <f ca="1">H139*(1+BUFF!$H$27)</f>
        <v>0.42570000000000002</v>
      </c>
    </row>
    <row r="140" spans="1:13">
      <c r="A140" s="448">
        <f t="shared" si="9"/>
        <v>2.0759280535592359</v>
      </c>
      <c r="B140" s="49">
        <v>0.38800000000000001</v>
      </c>
      <c r="C140" s="49">
        <f>staticResult!$C$16-B140</f>
        <v>0.53225423898969304</v>
      </c>
      <c r="D140" s="448">
        <f t="shared" si="10"/>
        <v>0.20407640248620831</v>
      </c>
      <c r="E140" s="49">
        <f>((B140*staticResult!$C$2*100)+配裝模擬!$D$2+staticResult!$D$16*0.47)/staticResult!$C$2/100</f>
        <v>0.48444258780133337</v>
      </c>
      <c r="G140" s="448">
        <f t="shared" ca="1" si="8"/>
        <v>2.977009105843623</v>
      </c>
      <c r="H140" s="49">
        <v>0.38800000000000001</v>
      </c>
      <c r="I140" s="49">
        <f ca="1">((M140*staticResult!$C$2*100)+配裝模擬!$D$2+staticResult!$D$16*0.47)/staticResult!$C$2/100</f>
        <v>0.52324258780133337</v>
      </c>
      <c r="J140" s="49">
        <f ca="1">(staticResult!$C$16-H140)+BUFF!$F$27</f>
        <v>0.75975423898969308</v>
      </c>
      <c r="K140" s="448">
        <f t="shared" ca="1" si="11"/>
        <v>0.23774065575521397</v>
      </c>
      <c r="L140" s="49">
        <f>((H140*staticResult!$C$2*100)+配裝模擬!$D$2+staticResult!$D$16*0.47)/staticResult!$C$2/100</f>
        <v>0.48444258780133337</v>
      </c>
      <c r="M140" s="476">
        <f ca="1">H140*(1+BUFF!$H$27)</f>
        <v>0.42680000000000007</v>
      </c>
    </row>
    <row r="141" spans="1:13">
      <c r="A141" s="448">
        <f t="shared" si="9"/>
        <v>2.0761302675983533</v>
      </c>
      <c r="B141" s="49">
        <v>0.38900000000000001</v>
      </c>
      <c r="C141" s="49">
        <f>staticResult!$C$16-B141</f>
        <v>0.53125423898969304</v>
      </c>
      <c r="D141" s="448">
        <f t="shared" si="10"/>
        <v>0.20221403911735419</v>
      </c>
      <c r="E141" s="49">
        <f>((B141*staticResult!$C$2*100)+配裝模擬!$D$2+staticResult!$D$16*0.47)/staticResult!$C$2/100</f>
        <v>0.48544258780133343</v>
      </c>
      <c r="G141" s="448">
        <f t="shared" ca="1" si="8"/>
        <v>2.9772440828996722</v>
      </c>
      <c r="H141" s="49">
        <v>0.38900000000000001</v>
      </c>
      <c r="I141" s="49">
        <f ca="1">((M141*staticResult!$C$2*100)+配裝模擬!$D$2+staticResult!$D$16*0.47)/staticResult!$C$2/100</f>
        <v>0.52434258780133347</v>
      </c>
      <c r="J141" s="49">
        <f ca="1">(staticResult!$C$16-H141)+BUFF!$F$27</f>
        <v>0.75875423898969308</v>
      </c>
      <c r="K141" s="448">
        <f t="shared" ca="1" si="11"/>
        <v>0.23497705604924568</v>
      </c>
      <c r="L141" s="49">
        <f>((H141*staticResult!$C$2*100)+配裝模擬!$D$2+staticResult!$D$16*0.47)/staticResult!$C$2/100</f>
        <v>0.48544258780133343</v>
      </c>
      <c r="M141" s="476">
        <f ca="1">H141*(1+BUFF!$H$27)</f>
        <v>0.42790000000000006</v>
      </c>
    </row>
    <row r="142" spans="1:13">
      <c r="A142" s="448">
        <f t="shared" si="9"/>
        <v>2.0763306192741018</v>
      </c>
      <c r="B142" s="49">
        <v>0.39</v>
      </c>
      <c r="C142" s="49">
        <f>staticResult!$C$16-B142</f>
        <v>0.53025423898969304</v>
      </c>
      <c r="D142" s="448">
        <f t="shared" si="10"/>
        <v>0.20035167574850005</v>
      </c>
      <c r="E142" s="49">
        <f>((B142*staticResult!$C$2*100)+配裝模擬!$D$2+staticResult!$D$16*0.47)/staticResult!$C$2/100</f>
        <v>0.48644258780133343</v>
      </c>
      <c r="G142" s="448">
        <f t="shared" ca="1" si="8"/>
        <v>2.977476296356016</v>
      </c>
      <c r="H142" s="49">
        <v>0.39</v>
      </c>
      <c r="I142" s="49">
        <f ca="1">((M142*staticResult!$C$2*100)+配裝模擬!$D$2+staticResult!$D$16*0.47)/staticResult!$C$2/100</f>
        <v>0.52544258780133335</v>
      </c>
      <c r="J142" s="49">
        <f ca="1">(staticResult!$C$16-H142)+BUFF!$F$27</f>
        <v>0.75775423898969307</v>
      </c>
      <c r="K142" s="448">
        <f t="shared" ca="1" si="11"/>
        <v>0.23221345634372151</v>
      </c>
      <c r="L142" s="49">
        <f>((H142*staticResult!$C$2*100)+配裝模擬!$D$2+staticResult!$D$16*0.47)/staticResult!$C$2/100</f>
        <v>0.48644258780133343</v>
      </c>
      <c r="M142" s="476">
        <f ca="1">H142*(1+BUFF!$H$27)</f>
        <v>0.42900000000000005</v>
      </c>
    </row>
    <row r="143" spans="1:13">
      <c r="A143" s="448">
        <f t="shared" si="9"/>
        <v>2.076529108586481</v>
      </c>
      <c r="B143" s="49">
        <v>0.39100000000000001</v>
      </c>
      <c r="C143" s="49">
        <f>staticResult!$C$16-B143</f>
        <v>0.52925423898969304</v>
      </c>
      <c r="D143" s="448">
        <f t="shared" si="10"/>
        <v>0.19848931237920181</v>
      </c>
      <c r="E143" s="49">
        <f>((B143*staticResult!$C$2*100)+配裝模擬!$D$2+staticResult!$D$16*0.47)/staticResult!$C$2/100</f>
        <v>0.48744258780133343</v>
      </c>
      <c r="G143" s="448">
        <f t="shared" ca="1" si="8"/>
        <v>2.9777057462126537</v>
      </c>
      <c r="H143" s="49">
        <v>0.39100000000000001</v>
      </c>
      <c r="I143" s="49">
        <f ca="1">((M143*staticResult!$C$2*100)+配裝模擬!$D$2+staticResult!$D$16*0.47)/staticResult!$C$2/100</f>
        <v>0.52654258780133345</v>
      </c>
      <c r="J143" s="49">
        <f ca="1">(staticResult!$C$16-H143)+BUFF!$F$27</f>
        <v>0.75675423898969307</v>
      </c>
      <c r="K143" s="448">
        <f t="shared" ca="1" si="11"/>
        <v>0.22944985663775322</v>
      </c>
      <c r="L143" s="49">
        <f>((H143*staticResult!$C$2*100)+配裝模擬!$D$2+staticResult!$D$16*0.47)/staticResult!$C$2/100</f>
        <v>0.48744258780133343</v>
      </c>
      <c r="M143" s="476">
        <f ca="1">H143*(1+BUFF!$H$27)</f>
        <v>0.43010000000000004</v>
      </c>
    </row>
    <row r="144" spans="1:13">
      <c r="A144" s="448">
        <f t="shared" si="9"/>
        <v>2.0767257355354913</v>
      </c>
      <c r="B144" s="49">
        <v>0.39200000000000002</v>
      </c>
      <c r="C144" s="49">
        <f>staticResult!$C$16-B144</f>
        <v>0.52825423898969304</v>
      </c>
      <c r="D144" s="448">
        <f t="shared" si="10"/>
        <v>0.19662694901034766</v>
      </c>
      <c r="E144" s="49">
        <f>((B144*staticResult!$C$2*100)+配裝模擬!$D$2+staticResult!$D$16*0.47)/staticResult!$C$2/100</f>
        <v>0.48844258780133337</v>
      </c>
      <c r="G144" s="448">
        <f t="shared" ca="1" si="8"/>
        <v>2.9779324324695859</v>
      </c>
      <c r="H144" s="49">
        <v>0.39200000000000002</v>
      </c>
      <c r="I144" s="49">
        <f ca="1">((M144*staticResult!$C$2*100)+配裝模擬!$D$2+staticResult!$D$16*0.47)/staticResult!$C$2/100</f>
        <v>0.52764258780133344</v>
      </c>
      <c r="J144" s="49">
        <f ca="1">(staticResult!$C$16-H144)+BUFF!$F$27</f>
        <v>0.75575423898969307</v>
      </c>
      <c r="K144" s="448">
        <f t="shared" ca="1" si="11"/>
        <v>0.22668625693222902</v>
      </c>
      <c r="L144" s="49">
        <f>((H144*staticResult!$C$2*100)+配裝模擬!$D$2+staticResult!$D$16*0.47)/staticResult!$C$2/100</f>
        <v>0.48844258780133337</v>
      </c>
      <c r="M144" s="476">
        <f ca="1">H144*(1+BUFF!$H$27)</f>
        <v>0.43120000000000003</v>
      </c>
    </row>
    <row r="145" spans="1:13">
      <c r="A145" s="448">
        <f t="shared" si="9"/>
        <v>2.0769205001211333</v>
      </c>
      <c r="B145" s="49">
        <v>0.39300000000000002</v>
      </c>
      <c r="C145" s="49">
        <f>staticResult!$C$16-B145</f>
        <v>0.52725423898969304</v>
      </c>
      <c r="D145" s="448">
        <f t="shared" si="10"/>
        <v>0.1947645856419376</v>
      </c>
      <c r="E145" s="49">
        <f>((B145*staticResult!$C$2*100)+配裝模擬!$D$2+staticResult!$D$16*0.47)/staticResult!$C$2/100</f>
        <v>0.48944258780133348</v>
      </c>
      <c r="G145" s="448">
        <f t="shared" ca="1" si="8"/>
        <v>2.9781563551268122</v>
      </c>
      <c r="H145" s="49">
        <v>0.39300000000000002</v>
      </c>
      <c r="I145" s="49">
        <f ca="1">((M145*staticResult!$C$2*100)+配裝模擬!$D$2+staticResult!$D$16*0.47)/staticResult!$C$2/100</f>
        <v>0.52874258780133354</v>
      </c>
      <c r="J145" s="49">
        <f ca="1">(staticResult!$C$16-H145)+BUFF!$F$27</f>
        <v>0.75475423898969307</v>
      </c>
      <c r="K145" s="448">
        <f t="shared" ca="1" si="11"/>
        <v>0.22392265722626073</v>
      </c>
      <c r="L145" s="49">
        <f>((H145*staticResult!$C$2*100)+配裝模擬!$D$2+staticResult!$D$16*0.47)/staticResult!$C$2/100</f>
        <v>0.48944258780133348</v>
      </c>
      <c r="M145" s="476">
        <f ca="1">H145*(1+BUFF!$H$27)</f>
        <v>0.43230000000000007</v>
      </c>
    </row>
    <row r="146" spans="1:13">
      <c r="A146" s="448">
        <f t="shared" si="9"/>
        <v>2.0771134023434068</v>
      </c>
      <c r="B146" s="49">
        <v>0.39400000000000002</v>
      </c>
      <c r="C146" s="49">
        <f>staticResult!$C$16-B146</f>
        <v>0.52625423898969304</v>
      </c>
      <c r="D146" s="448">
        <f t="shared" si="10"/>
        <v>0.19290222227352755</v>
      </c>
      <c r="E146" s="49">
        <f>((B146*staticResult!$C$2*100)+配裝模擬!$D$2+staticResult!$D$16*0.47)/staticResult!$C$2/100</f>
        <v>0.49044258780133343</v>
      </c>
      <c r="G146" s="448">
        <f t="shared" ca="1" si="8"/>
        <v>2.9783775141843325</v>
      </c>
      <c r="H146" s="49">
        <v>0.39400000000000002</v>
      </c>
      <c r="I146" s="49">
        <f ca="1">((M146*staticResult!$C$2*100)+配裝模擬!$D$2+staticResult!$D$16*0.47)/staticResult!$C$2/100</f>
        <v>0.52984258780133342</v>
      </c>
      <c r="J146" s="49">
        <f ca="1">(staticResult!$C$16-H146)+BUFF!$F$27</f>
        <v>0.75375423898969307</v>
      </c>
      <c r="K146" s="448">
        <f t="shared" ca="1" si="11"/>
        <v>0.22115905752029244</v>
      </c>
      <c r="L146" s="49">
        <f>((H146*staticResult!$C$2*100)+配裝模擬!$D$2+staticResult!$D$16*0.47)/staticResult!$C$2/100</f>
        <v>0.49044258780133343</v>
      </c>
      <c r="M146" s="476">
        <f ca="1">H146*(1+BUFF!$H$27)</f>
        <v>0.43340000000000006</v>
      </c>
    </row>
    <row r="147" spans="1:13">
      <c r="A147" s="448">
        <f t="shared" si="9"/>
        <v>2.0773044422023101</v>
      </c>
      <c r="B147" s="49">
        <v>0.39500000000000002</v>
      </c>
      <c r="C147" s="49">
        <f>staticResult!$C$16-B147</f>
        <v>0.52525423898969303</v>
      </c>
      <c r="D147" s="448">
        <f t="shared" si="10"/>
        <v>0.19103985890334113</v>
      </c>
      <c r="E147" s="49">
        <f>((B147*staticResult!$C$2*100)+配裝模擬!$D$2+staticResult!$D$16*0.47)/staticResult!$C$2/100</f>
        <v>0.49144258780133343</v>
      </c>
      <c r="G147" s="448">
        <f t="shared" ca="1" si="8"/>
        <v>2.9785959096421468</v>
      </c>
      <c r="H147" s="49">
        <v>0.39500000000000002</v>
      </c>
      <c r="I147" s="49">
        <f ca="1">((M147*staticResult!$C$2*100)+配裝模擬!$D$2+staticResult!$D$16*0.47)/staticResult!$C$2/100</f>
        <v>0.53094258780133352</v>
      </c>
      <c r="J147" s="49">
        <f ca="1">(staticResult!$C$16-H147)+BUFF!$F$27</f>
        <v>0.75275423898969307</v>
      </c>
      <c r="K147" s="448">
        <f t="shared" ca="1" si="11"/>
        <v>0.21839545781432415</v>
      </c>
      <c r="L147" s="49">
        <f>((H147*staticResult!$C$2*100)+配裝模擬!$D$2+staticResult!$D$16*0.47)/staticResult!$C$2/100</f>
        <v>0.49144258780133343</v>
      </c>
      <c r="M147" s="476">
        <f ca="1">H147*(1+BUFF!$H$27)</f>
        <v>0.43450000000000005</v>
      </c>
    </row>
    <row r="148" spans="1:13">
      <c r="A148" s="448">
        <f t="shared" si="9"/>
        <v>2.0774936196978451</v>
      </c>
      <c r="B148" s="49">
        <v>0.39600000000000002</v>
      </c>
      <c r="C148" s="49">
        <f>staticResult!$C$16-B148</f>
        <v>0.52425423898969303</v>
      </c>
      <c r="D148" s="448">
        <f t="shared" si="10"/>
        <v>0.18917749553493107</v>
      </c>
      <c r="E148" s="49">
        <f>((B148*staticResult!$C$2*100)+配裝模擬!$D$2+staticResult!$D$16*0.47)/staticResult!$C$2/100</f>
        <v>0.49244258780133338</v>
      </c>
      <c r="G148" s="448">
        <f t="shared" ca="1" si="8"/>
        <v>2.9788115415002565</v>
      </c>
      <c r="H148" s="49">
        <v>0.39600000000000002</v>
      </c>
      <c r="I148" s="49">
        <f ca="1">((M148*staticResult!$C$2*100)+配裝模擬!$D$2+staticResult!$D$16*0.47)/staticResult!$C$2/100</f>
        <v>0.5320425878013334</v>
      </c>
      <c r="J148" s="49">
        <f ca="1">(staticResult!$C$16-H148)+BUFF!$F$27</f>
        <v>0.75175423898969307</v>
      </c>
      <c r="K148" s="448">
        <f t="shared" ca="1" si="11"/>
        <v>0.21563185810968813</v>
      </c>
      <c r="L148" s="49">
        <f>((H148*staticResult!$C$2*100)+配裝模擬!$D$2+staticResult!$D$16*0.47)/staticResult!$C$2/100</f>
        <v>0.49244258780133338</v>
      </c>
      <c r="M148" s="476">
        <f ca="1">H148*(1+BUFF!$H$27)</f>
        <v>0.43560000000000004</v>
      </c>
    </row>
    <row r="149" spans="1:13">
      <c r="A149" s="448">
        <f t="shared" si="9"/>
        <v>2.0776809348300112</v>
      </c>
      <c r="B149" s="49">
        <v>0.39700000000000002</v>
      </c>
      <c r="C149" s="49">
        <f>staticResult!$C$16-B149</f>
        <v>0.52325423898969303</v>
      </c>
      <c r="D149" s="448">
        <f t="shared" si="10"/>
        <v>0.18731513216607693</v>
      </c>
      <c r="E149" s="49">
        <f>((B149*staticResult!$C$2*100)+配裝模擬!$D$2+staticResult!$D$16*0.47)/staticResult!$C$2/100</f>
        <v>0.49344258780133343</v>
      </c>
      <c r="G149" s="448">
        <f t="shared" ca="1" si="8"/>
        <v>2.9790244097586593</v>
      </c>
      <c r="H149" s="49">
        <v>0.39700000000000002</v>
      </c>
      <c r="I149" s="49">
        <f ca="1">((M149*staticResult!$C$2*100)+配裝模擬!$D$2+staticResult!$D$16*0.47)/staticResult!$C$2/100</f>
        <v>0.5331425878013335</v>
      </c>
      <c r="J149" s="49">
        <f ca="1">(staticResult!$C$16-H149)+BUFF!$F$27</f>
        <v>0.75075423898969307</v>
      </c>
      <c r="K149" s="448">
        <f t="shared" ca="1" si="11"/>
        <v>0.21286825840283166</v>
      </c>
      <c r="L149" s="49">
        <f>((H149*staticResult!$C$2*100)+配裝模擬!$D$2+staticResult!$D$16*0.47)/staticResult!$C$2/100</f>
        <v>0.49344258780133343</v>
      </c>
      <c r="M149" s="476">
        <f ca="1">H149*(1+BUFF!$H$27)</f>
        <v>0.43670000000000003</v>
      </c>
    </row>
    <row r="150" spans="1:13">
      <c r="A150" s="448">
        <f t="shared" si="9"/>
        <v>2.0778663875988088</v>
      </c>
      <c r="B150" s="49">
        <v>0.39800000000000002</v>
      </c>
      <c r="C150" s="49">
        <f>staticResult!$C$16-B150</f>
        <v>0.52225423898969303</v>
      </c>
      <c r="D150" s="448">
        <f t="shared" si="10"/>
        <v>0.18545276879766687</v>
      </c>
      <c r="E150" s="49">
        <f>((B150*staticResult!$C$2*100)+配裝模擬!$D$2+staticResult!$D$16*0.47)/staticResult!$C$2/100</f>
        <v>0.49444258780133338</v>
      </c>
      <c r="G150" s="448">
        <f t="shared" ca="1" si="8"/>
        <v>2.9792345144173562</v>
      </c>
      <c r="H150" s="49">
        <v>0.39800000000000002</v>
      </c>
      <c r="I150" s="49">
        <f ca="1">((M150*staticResult!$C$2*100)+配裝模擬!$D$2+staticResult!$D$16*0.47)/staticResult!$C$2/100</f>
        <v>0.53424258780133349</v>
      </c>
      <c r="J150" s="49">
        <f ca="1">(staticResult!$C$16-H150)+BUFF!$F$27</f>
        <v>0.74975423898969307</v>
      </c>
      <c r="K150" s="448">
        <f t="shared" ca="1" si="11"/>
        <v>0.21010465869686337</v>
      </c>
      <c r="L150" s="49">
        <f>((H150*staticResult!$C$2*100)+配裝模擬!$D$2+staticResult!$D$16*0.47)/staticResult!$C$2/100</f>
        <v>0.49444258780133338</v>
      </c>
      <c r="M150" s="476">
        <f ca="1">H150*(1+BUFF!$H$27)</f>
        <v>0.43780000000000008</v>
      </c>
    </row>
    <row r="151" spans="1:13">
      <c r="A151" s="448">
        <f t="shared" si="9"/>
        <v>2.0780499780042372</v>
      </c>
      <c r="B151" s="49">
        <v>0.39900000000000002</v>
      </c>
      <c r="C151" s="49">
        <f>staticResult!$C$16-B151</f>
        <v>0.52125423898969303</v>
      </c>
      <c r="D151" s="448">
        <f t="shared" si="10"/>
        <v>0.18359040542836863</v>
      </c>
      <c r="E151" s="49">
        <f>((B151*staticResult!$C$2*100)+配裝模擬!$D$2+staticResult!$D$16*0.47)/staticResult!$C$2/100</f>
        <v>0.49544258780133338</v>
      </c>
      <c r="G151" s="448">
        <f t="shared" ca="1" si="8"/>
        <v>2.979441855476348</v>
      </c>
      <c r="H151" s="49">
        <v>0.39900000000000002</v>
      </c>
      <c r="I151" s="49">
        <f ca="1">((M151*staticResult!$C$2*100)+配裝模擬!$D$2+staticResult!$D$16*0.47)/staticResult!$C$2/100</f>
        <v>0.53534258780133337</v>
      </c>
      <c r="J151" s="49">
        <f ca="1">(staticResult!$C$16-H151)+BUFF!$F$27</f>
        <v>0.74875423898969307</v>
      </c>
      <c r="K151" s="448">
        <f t="shared" ca="1" si="11"/>
        <v>0.20734105899178326</v>
      </c>
      <c r="L151" s="49">
        <f>((H151*staticResult!$C$2*100)+配裝模擬!$D$2+staticResult!$D$16*0.47)/staticResult!$C$2/100</f>
        <v>0.49544258780133338</v>
      </c>
      <c r="M151" s="476">
        <f ca="1">H151*(1+BUFF!$H$27)</f>
        <v>0.43890000000000007</v>
      </c>
    </row>
    <row r="152" spans="1:13">
      <c r="A152" s="448">
        <f t="shared" si="9"/>
        <v>2.0782317060462958</v>
      </c>
      <c r="B152" s="49">
        <v>0.4</v>
      </c>
      <c r="C152" s="49">
        <f>staticResult!$C$16-B152</f>
        <v>0.52025423898969303</v>
      </c>
      <c r="D152" s="448">
        <f t="shared" si="10"/>
        <v>0.1817280420586263</v>
      </c>
      <c r="E152" s="49">
        <f>((B152*staticResult!$C$2*100)+配裝模擬!$D$2+staticResult!$D$16*0.47)/staticResult!$C$2/100</f>
        <v>0.49644258780133343</v>
      </c>
      <c r="G152" s="448">
        <f t="shared" ca="1" si="8"/>
        <v>2.9796464329356334</v>
      </c>
      <c r="H152" s="49">
        <v>0.4</v>
      </c>
      <c r="I152" s="49">
        <f ca="1">((M152*staticResult!$C$2*100)+配裝模擬!$D$2+staticResult!$D$16*0.47)/staticResult!$C$2/100</f>
        <v>0.53644258780133347</v>
      </c>
      <c r="J152" s="49">
        <f ca="1">(staticResult!$C$16-H152)+BUFF!$F$27</f>
        <v>0.74775423898969307</v>
      </c>
      <c r="K152" s="448">
        <f t="shared" ca="1" si="11"/>
        <v>0.20457745928537088</v>
      </c>
      <c r="L152" s="49">
        <f>((H152*staticResult!$C$2*100)+配裝模擬!$D$2+staticResult!$D$16*0.47)/staticResult!$C$2/100</f>
        <v>0.49644258780133343</v>
      </c>
      <c r="M152" s="476">
        <f ca="1">H152*(1+BUFF!$H$27)</f>
        <v>0.44000000000000006</v>
      </c>
    </row>
    <row r="153" spans="1:13">
      <c r="A153" s="448">
        <f t="shared" si="9"/>
        <v>2.0784115717249869</v>
      </c>
      <c r="B153" s="49">
        <v>0.40100000000000002</v>
      </c>
      <c r="C153" s="49">
        <f>staticResult!$C$16-B153</f>
        <v>0.51925423898969303</v>
      </c>
      <c r="D153" s="448">
        <f t="shared" si="10"/>
        <v>0.17986567869110442</v>
      </c>
      <c r="E153" s="49">
        <f>((B153*staticResult!$C$2*100)+配裝模擬!$D$2+staticResult!$D$16*0.47)/staticResult!$C$2/100</f>
        <v>0.49744258780133344</v>
      </c>
      <c r="G153" s="448">
        <f t="shared" ca="1" si="8"/>
        <v>2.9798482467952132</v>
      </c>
      <c r="H153" s="49">
        <v>0.40100000000000002</v>
      </c>
      <c r="I153" s="49">
        <f ca="1">((M153*staticResult!$C$2*100)+配裝模擬!$D$2+staticResult!$D$16*0.47)/staticResult!$C$2/100</f>
        <v>0.53754258780133335</v>
      </c>
      <c r="J153" s="49">
        <f ca="1">(staticResult!$C$16-H153)+BUFF!$F$27</f>
        <v>0.74675423898969306</v>
      </c>
      <c r="K153" s="448">
        <f t="shared" ca="1" si="11"/>
        <v>0.20181385957984671</v>
      </c>
      <c r="L153" s="49">
        <f>((H153*staticResult!$C$2*100)+配裝模擬!$D$2+staticResult!$D$16*0.47)/staticResult!$C$2/100</f>
        <v>0.49744258780133344</v>
      </c>
      <c r="M153" s="476">
        <f ca="1">H153*(1+BUFF!$H$27)</f>
        <v>0.44110000000000005</v>
      </c>
    </row>
    <row r="154" spans="1:13">
      <c r="A154" s="448">
        <f t="shared" si="9"/>
        <v>2.0785895750403087</v>
      </c>
      <c r="B154" s="49">
        <v>0.40200000000000002</v>
      </c>
      <c r="C154" s="49">
        <f>staticResult!$C$16-B154</f>
        <v>0.51825423898969303</v>
      </c>
      <c r="D154" s="448">
        <f t="shared" si="10"/>
        <v>0.17800331532180619</v>
      </c>
      <c r="E154" s="49">
        <f>((B154*staticResult!$C$2*100)+配裝模擬!$D$2+staticResult!$D$16*0.47)/staticResult!$C$2/100</f>
        <v>0.49844258780133338</v>
      </c>
      <c r="G154" s="448">
        <f t="shared" ca="1" si="8"/>
        <v>2.9800472970550875</v>
      </c>
      <c r="H154" s="49">
        <v>0.40200000000000002</v>
      </c>
      <c r="I154" s="49">
        <f ca="1">((M154*staticResult!$C$2*100)+配裝模擬!$D$2+staticResult!$D$16*0.47)/staticResult!$C$2/100</f>
        <v>0.53864258780133345</v>
      </c>
      <c r="J154" s="49">
        <f ca="1">(staticResult!$C$16-H154)+BUFF!$F$27</f>
        <v>0.74575423898969306</v>
      </c>
      <c r="K154" s="448">
        <f t="shared" ca="1" si="11"/>
        <v>0.19905025987432251</v>
      </c>
      <c r="L154" s="49">
        <f>((H154*staticResult!$C$2*100)+配裝模擬!$D$2+staticResult!$D$16*0.47)/staticResult!$C$2/100</f>
        <v>0.49844258780133338</v>
      </c>
      <c r="M154" s="476">
        <f ca="1">H154*(1+BUFF!$H$27)</f>
        <v>0.44220000000000004</v>
      </c>
    </row>
    <row r="155" spans="1:13">
      <c r="A155" s="448">
        <f t="shared" si="9"/>
        <v>2.0787657159922612</v>
      </c>
      <c r="B155" s="49">
        <v>0.40300000000000002</v>
      </c>
      <c r="C155" s="49">
        <f>staticResult!$C$16-B155</f>
        <v>0.51725423898969303</v>
      </c>
      <c r="D155" s="448">
        <f t="shared" si="10"/>
        <v>0.17614095195250795</v>
      </c>
      <c r="E155" s="49">
        <f>((B155*staticResult!$C$2*100)+配裝模擬!$D$2+staticResult!$D$16*0.47)/staticResult!$C$2/100</f>
        <v>0.49944258780133344</v>
      </c>
      <c r="G155" s="448">
        <f t="shared" ca="1" si="8"/>
        <v>2.9802435837152559</v>
      </c>
      <c r="H155" s="49">
        <v>0.40300000000000002</v>
      </c>
      <c r="I155" s="49">
        <f ca="1">((M155*staticResult!$C$2*100)+配裝模擬!$D$2+staticResult!$D$16*0.47)/staticResult!$C$2/100</f>
        <v>0.53974258780133344</v>
      </c>
      <c r="J155" s="49">
        <f ca="1">(staticResult!$C$16-H155)+BUFF!$F$27</f>
        <v>0.74475423898969306</v>
      </c>
      <c r="K155" s="448">
        <f t="shared" ca="1" si="11"/>
        <v>0.19628666016835422</v>
      </c>
      <c r="L155" s="49">
        <f>((H155*staticResult!$C$2*100)+配裝模擬!$D$2+staticResult!$D$16*0.47)/staticResult!$C$2/100</f>
        <v>0.49944258780133344</v>
      </c>
      <c r="M155" s="476">
        <f ca="1">H155*(1+BUFF!$H$27)</f>
        <v>0.44330000000000008</v>
      </c>
    </row>
    <row r="156" spans="1:13">
      <c r="A156" s="448">
        <f t="shared" si="9"/>
        <v>2.0789399945808449</v>
      </c>
      <c r="B156" s="49">
        <v>0.40400000000000003</v>
      </c>
      <c r="C156" s="49">
        <f>staticResult!$C$16-B156</f>
        <v>0.51625423898969303</v>
      </c>
      <c r="D156" s="448">
        <f t="shared" si="10"/>
        <v>0.1742785885836538</v>
      </c>
      <c r="E156" s="49">
        <f>((B156*staticResult!$C$2*100)+配裝模擬!$D$2+staticResult!$D$16*0.47)/staticResult!$C$2/100</f>
        <v>0.50044258780133344</v>
      </c>
      <c r="G156" s="448">
        <f t="shared" ca="1" si="8"/>
        <v>2.9804371067757183</v>
      </c>
      <c r="H156" s="49">
        <v>0.40400000000000003</v>
      </c>
      <c r="I156" s="49">
        <f ca="1">((M156*staticResult!$C$2*100)+配裝模擬!$D$2+staticResult!$D$16*0.47)/staticResult!$C$2/100</f>
        <v>0.54084258780133343</v>
      </c>
      <c r="J156" s="49">
        <f ca="1">(staticResult!$C$16-H156)+BUFF!$F$27</f>
        <v>0.74375423898969306</v>
      </c>
      <c r="K156" s="448">
        <f t="shared" ca="1" si="11"/>
        <v>0.19352306046238593</v>
      </c>
      <c r="L156" s="49">
        <f>((H156*staticResult!$C$2*100)+配裝模擬!$D$2+staticResult!$D$16*0.47)/staticResult!$C$2/100</f>
        <v>0.50044258780133344</v>
      </c>
      <c r="M156" s="476">
        <f ca="1">H156*(1+BUFF!$H$27)</f>
        <v>0.44440000000000007</v>
      </c>
    </row>
    <row r="157" spans="1:13">
      <c r="A157" s="448">
        <f t="shared" si="9"/>
        <v>2.0791124108060597</v>
      </c>
      <c r="B157" s="49">
        <v>0.40500000000000003</v>
      </c>
      <c r="C157" s="49">
        <f>staticResult!$C$16-B157</f>
        <v>0.51525423898969303</v>
      </c>
      <c r="D157" s="448">
        <f t="shared" si="10"/>
        <v>0.17241622521479966</v>
      </c>
      <c r="E157" s="49">
        <f>((B157*staticResult!$C$2*100)+配裝模擬!$D$2+staticResult!$D$16*0.47)/staticResult!$C$2/100</f>
        <v>0.50144258780133344</v>
      </c>
      <c r="G157" s="448">
        <f t="shared" ca="1" si="8"/>
        <v>2.9806278662364756</v>
      </c>
      <c r="H157" s="49">
        <v>0.40500000000000003</v>
      </c>
      <c r="I157" s="49">
        <f ca="1">((M157*staticResult!$C$2*100)+配裝模擬!$D$2+staticResult!$D$16*0.47)/staticResult!$C$2/100</f>
        <v>0.54194258780133342</v>
      </c>
      <c r="J157" s="49">
        <f ca="1">(staticResult!$C$16-H157)+BUFF!$F$27</f>
        <v>0.74275423898969306</v>
      </c>
      <c r="K157" s="448">
        <f t="shared" ca="1" si="11"/>
        <v>0.19075946075730582</v>
      </c>
      <c r="L157" s="49">
        <f>((H157*staticResult!$C$2*100)+配裝模擬!$D$2+staticResult!$D$16*0.47)/staticResult!$C$2/100</f>
        <v>0.50144258780133344</v>
      </c>
      <c r="M157" s="476">
        <f ca="1">H157*(1+BUFF!$H$27)</f>
        <v>0.44550000000000006</v>
      </c>
    </row>
    <row r="158" spans="1:13">
      <c r="A158" s="448">
        <f t="shared" si="9"/>
        <v>2.0792829646679061</v>
      </c>
      <c r="B158" s="49">
        <v>0.40600000000000003</v>
      </c>
      <c r="C158" s="49">
        <f>staticResult!$C$16-B158</f>
        <v>0.51425423898969302</v>
      </c>
      <c r="D158" s="448">
        <f t="shared" si="10"/>
        <v>0.17055386184638963</v>
      </c>
      <c r="E158" s="49">
        <f>((B158*staticResult!$C$2*100)+配裝模擬!$D$2+staticResult!$D$16*0.47)/staticResult!$C$2/100</f>
        <v>0.50244258780133344</v>
      </c>
      <c r="G158" s="448">
        <f t="shared" ca="1" si="8"/>
        <v>2.980815862097526</v>
      </c>
      <c r="H158" s="49">
        <v>0.40600000000000003</v>
      </c>
      <c r="I158" s="49">
        <f ca="1">((M158*staticResult!$C$2*100)+配裝模擬!$D$2+staticResult!$D$16*0.47)/staticResult!$C$2/100</f>
        <v>0.5430425878013333</v>
      </c>
      <c r="J158" s="49">
        <f ca="1">(staticResult!$C$16-H158)+BUFF!$F$27</f>
        <v>0.74175423898969306</v>
      </c>
      <c r="K158" s="448">
        <f t="shared" ca="1" si="11"/>
        <v>0.18799586105044935</v>
      </c>
      <c r="L158" s="49">
        <f>((H158*staticResult!$C$2*100)+配裝模擬!$D$2+staticResult!$D$16*0.47)/staticResult!$C$2/100</f>
        <v>0.50244258780133344</v>
      </c>
      <c r="M158" s="476">
        <f ca="1">H158*(1+BUFF!$H$27)</f>
        <v>0.44660000000000005</v>
      </c>
    </row>
    <row r="159" spans="1:13">
      <c r="A159" s="448">
        <f t="shared" si="9"/>
        <v>2.0794516561663832</v>
      </c>
      <c r="B159" s="49">
        <v>0.40699999999999997</v>
      </c>
      <c r="C159" s="49">
        <f>staticResult!$C$16-B159</f>
        <v>0.51325423898969302</v>
      </c>
      <c r="D159" s="448">
        <f t="shared" si="10"/>
        <v>0.16869149847710074</v>
      </c>
      <c r="E159" s="49">
        <f>((B159*staticResult!$C$2*100)+配裝模擬!$D$2+staticResult!$D$16*0.47)/staticResult!$C$2/100</f>
        <v>0.50344258780133333</v>
      </c>
      <c r="G159" s="448">
        <f t="shared" ca="1" si="8"/>
        <v>2.9810010943588714</v>
      </c>
      <c r="H159" s="49">
        <v>0.40699999999999997</v>
      </c>
      <c r="I159" s="49">
        <f ca="1">((M159*staticResult!$C$2*100)+配裝模擬!$D$2+staticResult!$D$16*0.47)/staticResult!$C$2/100</f>
        <v>0.5441425878013334</v>
      </c>
      <c r="J159" s="49">
        <f ca="1">(staticResult!$C$16-H159)+BUFF!$F$27</f>
        <v>0.74075423898969306</v>
      </c>
      <c r="K159" s="448">
        <f t="shared" ca="1" si="11"/>
        <v>0.18523226134537954</v>
      </c>
      <c r="L159" s="49">
        <f>((H159*staticResult!$C$2*100)+配裝模擬!$D$2+staticResult!$D$16*0.47)/staticResult!$C$2/100</f>
        <v>0.50344258780133333</v>
      </c>
      <c r="M159" s="476">
        <f ca="1">H159*(1+BUFF!$H$27)</f>
        <v>0.44769999999999999</v>
      </c>
    </row>
    <row r="160" spans="1:13">
      <c r="A160" s="448">
        <f t="shared" si="9"/>
        <v>2.0796184853014914</v>
      </c>
      <c r="B160" s="49">
        <v>0.40799999999999997</v>
      </c>
      <c r="C160" s="49">
        <f>staticResult!$C$16-B160</f>
        <v>0.51225423898969313</v>
      </c>
      <c r="D160" s="448">
        <f t="shared" si="10"/>
        <v>0.16682913510823724</v>
      </c>
      <c r="E160" s="49">
        <f>((B160*staticResult!$C$2*100)+配裝模擬!$D$2+staticResult!$D$16*0.47)/staticResult!$C$2/100</f>
        <v>0.50444258780133344</v>
      </c>
      <c r="G160" s="448">
        <f t="shared" ca="1" si="8"/>
        <v>2.9811835630205108</v>
      </c>
      <c r="H160" s="49">
        <v>0.40799999999999997</v>
      </c>
      <c r="I160" s="49">
        <f ca="1">((M160*staticResult!$C$2*100)+配裝模擬!$D$2+staticResult!$D$16*0.47)/staticResult!$C$2/100</f>
        <v>0.54524258780133339</v>
      </c>
      <c r="J160" s="49">
        <f ca="1">(staticResult!$C$16-H160)+BUFF!$F$27</f>
        <v>0.73975423898969317</v>
      </c>
      <c r="K160" s="448">
        <f t="shared" ca="1" si="11"/>
        <v>0.18246866163940095</v>
      </c>
      <c r="L160" s="49">
        <f>((H160*staticResult!$C$2*100)+配裝模擬!$D$2+staticResult!$D$16*0.47)/staticResult!$C$2/100</f>
        <v>0.50444258780133344</v>
      </c>
      <c r="M160" s="476">
        <f ca="1">H160*(1+BUFF!$H$27)</f>
        <v>0.44880000000000003</v>
      </c>
    </row>
    <row r="161" spans="1:13">
      <c r="A161" s="448">
        <f t="shared" si="9"/>
        <v>2.0797834520732308</v>
      </c>
      <c r="B161" s="49">
        <v>0.40899999999999997</v>
      </c>
      <c r="C161" s="49">
        <f>staticResult!$C$16-B161</f>
        <v>0.51125423898969302</v>
      </c>
      <c r="D161" s="448">
        <f t="shared" si="10"/>
        <v>0.16496677173938309</v>
      </c>
      <c r="E161" s="49">
        <f>((B161*staticResult!$C$2*100)+配裝模擬!$D$2+staticResult!$D$16*0.47)/staticResult!$C$2/100</f>
        <v>0.50544258780133333</v>
      </c>
      <c r="G161" s="448">
        <f t="shared" ca="1" si="8"/>
        <v>2.9813632680824442</v>
      </c>
      <c r="H161" s="49">
        <v>0.40899999999999997</v>
      </c>
      <c r="I161" s="49">
        <f ca="1">((M161*staticResult!$C$2*100)+配裝模擬!$D$2+staticResult!$D$16*0.47)/staticResult!$C$2/100</f>
        <v>0.54634258780133338</v>
      </c>
      <c r="J161" s="49">
        <f ca="1">(staticResult!$C$16-H161)+BUFF!$F$27</f>
        <v>0.73875423898969306</v>
      </c>
      <c r="K161" s="448">
        <f t="shared" ca="1" si="11"/>
        <v>0.17970506193343266</v>
      </c>
      <c r="L161" s="49">
        <f>((H161*staticResult!$C$2*100)+配裝模擬!$D$2+staticResult!$D$16*0.47)/staticResult!$C$2/100</f>
        <v>0.50544258780133333</v>
      </c>
      <c r="M161" s="476">
        <f ca="1">H161*(1+BUFF!$H$27)</f>
        <v>0.44990000000000002</v>
      </c>
    </row>
    <row r="162" spans="1:13">
      <c r="A162" s="448">
        <f t="shared" si="9"/>
        <v>2.0799465564816009</v>
      </c>
      <c r="B162" s="49">
        <v>0.41</v>
      </c>
      <c r="C162" s="49">
        <f>staticResult!$C$16-B162</f>
        <v>0.51025423898969313</v>
      </c>
      <c r="D162" s="448">
        <f t="shared" si="10"/>
        <v>0.16310440837008486</v>
      </c>
      <c r="E162" s="49">
        <f>((B162*staticResult!$C$2*100)+配裝模擬!$D$2+staticResult!$D$16*0.47)/staticResult!$C$2/100</f>
        <v>0.50644258780133344</v>
      </c>
      <c r="G162" s="448">
        <f t="shared" ca="1" si="8"/>
        <v>2.981540209544673</v>
      </c>
      <c r="H162" s="49">
        <v>0.41</v>
      </c>
      <c r="I162" s="49">
        <f ca="1">((M162*staticResult!$C$2*100)+配裝模擬!$D$2+staticResult!$D$16*0.47)/staticResult!$C$2/100</f>
        <v>0.54744258780133348</v>
      </c>
      <c r="J162" s="49">
        <f ca="1">(staticResult!$C$16-H162)+BUFF!$F$27</f>
        <v>0.73775423898969317</v>
      </c>
      <c r="K162" s="448">
        <f t="shared" ca="1" si="11"/>
        <v>0.17694146222879664</v>
      </c>
      <c r="L162" s="49">
        <f>((H162*staticResult!$C$2*100)+配裝模擬!$D$2+staticResult!$D$16*0.47)/staticResult!$C$2/100</f>
        <v>0.50644258780133344</v>
      </c>
      <c r="M162" s="476">
        <f ca="1">H162*(1+BUFF!$H$27)</f>
        <v>0.45100000000000001</v>
      </c>
    </row>
    <row r="163" spans="1:13">
      <c r="A163" s="448">
        <f t="shared" si="9"/>
        <v>2.0801077985266025</v>
      </c>
      <c r="B163" s="49">
        <v>0.41099999999999998</v>
      </c>
      <c r="C163" s="49">
        <f>staticResult!$C$16-B163</f>
        <v>0.50925423898969302</v>
      </c>
      <c r="D163" s="448">
        <f t="shared" si="10"/>
        <v>0.1612420450016748</v>
      </c>
      <c r="E163" s="49">
        <f>((B163*staticResult!$C$2*100)+配裝模擬!$D$2+staticResult!$D$16*0.47)/staticResult!$C$2/100</f>
        <v>0.50744258780133333</v>
      </c>
      <c r="G163" s="448">
        <f t="shared" ca="1" si="8"/>
        <v>2.9817143874071941</v>
      </c>
      <c r="H163" s="49">
        <v>0.41099999999999998</v>
      </c>
      <c r="I163" s="49">
        <f ca="1">((M163*staticResult!$C$2*100)+配裝模擬!$D$2+staticResult!$D$16*0.47)/staticResult!$C$2/100</f>
        <v>0.54854258780133336</v>
      </c>
      <c r="J163" s="49">
        <f ca="1">(staticResult!$C$16-H163)+BUFF!$F$27</f>
        <v>0.73675423898969306</v>
      </c>
      <c r="K163" s="448">
        <f t="shared" ca="1" si="11"/>
        <v>0.174177862521052</v>
      </c>
      <c r="L163" s="49">
        <f>((H163*staticResult!$C$2*100)+配裝模擬!$D$2+staticResult!$D$16*0.47)/staticResult!$C$2/100</f>
        <v>0.50744258780133333</v>
      </c>
      <c r="M163" s="476">
        <f ca="1">H163*(1+BUFF!$H$27)</f>
        <v>0.4521</v>
      </c>
    </row>
    <row r="164" spans="1:13">
      <c r="A164" s="448">
        <f t="shared" si="9"/>
        <v>2.0802671782082354</v>
      </c>
      <c r="B164" s="49">
        <v>0.41199999999999998</v>
      </c>
      <c r="C164" s="49">
        <f>staticResult!$C$16-B164</f>
        <v>0.50825423898969313</v>
      </c>
      <c r="D164" s="448">
        <f t="shared" si="10"/>
        <v>0.15937968163282065</v>
      </c>
      <c r="E164" s="49">
        <f>((B164*staticResult!$C$2*100)+配裝模擬!$D$2+staticResult!$D$16*0.47)/staticResult!$C$2/100</f>
        <v>0.50844258780133333</v>
      </c>
      <c r="G164" s="448">
        <f t="shared" ca="1" si="8"/>
        <v>2.9818858016700105</v>
      </c>
      <c r="H164" s="49">
        <v>0.41199999999999998</v>
      </c>
      <c r="I164" s="49">
        <f ca="1">((M164*staticResult!$C$2*100)+配裝模擬!$D$2+staticResult!$D$16*0.47)/staticResult!$C$2/100</f>
        <v>0.54964258780133335</v>
      </c>
      <c r="J164" s="49">
        <f ca="1">(staticResult!$C$16-H164)+BUFF!$F$27</f>
        <v>0.73575423898969317</v>
      </c>
      <c r="K164" s="448">
        <f t="shared" ca="1" si="11"/>
        <v>0.171414262816416</v>
      </c>
      <c r="L164" s="49">
        <f>((H164*staticResult!$C$2*100)+配裝模擬!$D$2+staticResult!$D$16*0.47)/staticResult!$C$2/100</f>
        <v>0.50844258780133333</v>
      </c>
      <c r="M164" s="476">
        <f ca="1">H164*(1+BUFF!$H$27)</f>
        <v>0.45319999999999999</v>
      </c>
    </row>
    <row r="165" spans="1:13">
      <c r="A165" s="448">
        <f t="shared" si="9"/>
        <v>2.0804246955264989</v>
      </c>
      <c r="B165" s="49">
        <v>0.41299999999999998</v>
      </c>
      <c r="C165" s="49">
        <f>staticResult!$C$16-B165</f>
        <v>0.50725423898969302</v>
      </c>
      <c r="D165" s="448">
        <f t="shared" si="10"/>
        <v>0.15751731826352242</v>
      </c>
      <c r="E165" s="49">
        <f>((B165*staticResult!$C$2*100)+配裝模擬!$D$2+staticResult!$D$16*0.47)/staticResult!$C$2/100</f>
        <v>0.50944258780133334</v>
      </c>
      <c r="G165" s="448">
        <f t="shared" ca="1" si="8"/>
        <v>2.9820544523331209</v>
      </c>
      <c r="H165" s="49">
        <v>0.41299999999999998</v>
      </c>
      <c r="I165" s="49">
        <f ca="1">((M165*staticResult!$C$2*100)+配裝模擬!$D$2+staticResult!$D$16*0.47)/staticResult!$C$2/100</f>
        <v>0.55074258780133334</v>
      </c>
      <c r="J165" s="49">
        <f ca="1">(staticResult!$C$16-H165)+BUFF!$F$27</f>
        <v>0.73475423898969305</v>
      </c>
      <c r="K165" s="448">
        <f t="shared" ca="1" si="11"/>
        <v>0.16865066311044771</v>
      </c>
      <c r="L165" s="49">
        <f>((H165*staticResult!$C$2*100)+配裝模擬!$D$2+staticResult!$D$16*0.47)/staticResult!$C$2/100</f>
        <v>0.50944258780133334</v>
      </c>
      <c r="M165" s="476">
        <f ca="1">H165*(1+BUFF!$H$27)</f>
        <v>0.45430000000000004</v>
      </c>
    </row>
    <row r="166" spans="1:13">
      <c r="A166" s="448">
        <f t="shared" si="9"/>
        <v>2.080580350481394</v>
      </c>
      <c r="B166" s="49">
        <v>0.41399999999999998</v>
      </c>
      <c r="C166" s="49">
        <f>staticResult!$C$16-B166</f>
        <v>0.50625423898969313</v>
      </c>
      <c r="D166" s="448">
        <f t="shared" si="10"/>
        <v>0.15565495489511236</v>
      </c>
      <c r="E166" s="49">
        <f>((B166*staticResult!$C$2*100)+配裝模擬!$D$2+staticResult!$D$16*0.47)/staticResult!$C$2/100</f>
        <v>0.51044258780133345</v>
      </c>
      <c r="G166" s="448">
        <f t="shared" ca="1" si="8"/>
        <v>2.9822203393965259</v>
      </c>
      <c r="H166" s="49">
        <v>0.41399999999999998</v>
      </c>
      <c r="I166" s="49">
        <f ca="1">((M166*staticResult!$C$2*100)+配裝模擬!$D$2+staticResult!$D$16*0.47)/staticResult!$C$2/100</f>
        <v>0.55184258780133344</v>
      </c>
      <c r="J166" s="49">
        <f ca="1">(staticResult!$C$16-H166)+BUFF!$F$27</f>
        <v>0.73375423898969316</v>
      </c>
      <c r="K166" s="448">
        <f t="shared" ca="1" si="11"/>
        <v>0.16588706340492351</v>
      </c>
      <c r="L166" s="49">
        <f>((H166*staticResult!$C$2*100)+配裝模擬!$D$2+staticResult!$D$16*0.47)/staticResult!$C$2/100</f>
        <v>0.51044258780133345</v>
      </c>
      <c r="M166" s="476">
        <f ca="1">H166*(1+BUFF!$H$27)</f>
        <v>0.45540000000000003</v>
      </c>
    </row>
    <row r="167" spans="1:13">
      <c r="A167" s="448">
        <f t="shared" si="9"/>
        <v>2.0807341430729198</v>
      </c>
      <c r="B167" s="49">
        <v>0.41499999999999998</v>
      </c>
      <c r="C167" s="49">
        <f>staticResult!$C$16-B167</f>
        <v>0.50525423898969302</v>
      </c>
      <c r="D167" s="448">
        <f t="shared" si="10"/>
        <v>0.15379259152581412</v>
      </c>
      <c r="E167" s="49">
        <f>((B167*staticResult!$C$2*100)+配裝模擬!$D$2+staticResult!$D$16*0.47)/staticResult!$C$2/100</f>
        <v>0.51144258780133334</v>
      </c>
      <c r="G167" s="448">
        <f t="shared" ca="1" si="8"/>
        <v>2.9823834628602248</v>
      </c>
      <c r="H167" s="49">
        <v>0.41499999999999998</v>
      </c>
      <c r="I167" s="49">
        <f ca="1">((M167*staticResult!$C$2*100)+配裝模擬!$D$2+staticResult!$D$16*0.47)/staticResult!$C$2/100</f>
        <v>0.55294258780133343</v>
      </c>
      <c r="J167" s="49">
        <f ca="1">(staticResult!$C$16-H167)+BUFF!$F$27</f>
        <v>0.73275423898969305</v>
      </c>
      <c r="K167" s="448">
        <f t="shared" ca="1" si="11"/>
        <v>0.16312346369895522</v>
      </c>
      <c r="L167" s="49">
        <f>((H167*staticResult!$C$2*100)+配裝模擬!$D$2+staticResult!$D$16*0.47)/staticResult!$C$2/100</f>
        <v>0.51144258780133334</v>
      </c>
      <c r="M167" s="476">
        <f ca="1">H167*(1+BUFF!$H$27)</f>
        <v>0.45650000000000002</v>
      </c>
    </row>
    <row r="168" spans="1:13">
      <c r="A168" s="448">
        <f t="shared" si="9"/>
        <v>2.0808860733010768</v>
      </c>
      <c r="B168" s="49">
        <v>0.41599999999999998</v>
      </c>
      <c r="C168" s="49">
        <f>staticResult!$C$16-B168</f>
        <v>0.50425423898969313</v>
      </c>
      <c r="D168" s="448">
        <f t="shared" si="10"/>
        <v>0.15193022815695997</v>
      </c>
      <c r="E168" s="49">
        <f>((B168*staticResult!$C$2*100)+配裝模擬!$D$2+staticResult!$D$16*0.47)/staticResult!$C$2/100</f>
        <v>0.51244258780133345</v>
      </c>
      <c r="G168" s="448">
        <f t="shared" ca="1" si="8"/>
        <v>2.9825438227242174</v>
      </c>
      <c r="H168" s="49">
        <v>0.41599999999999998</v>
      </c>
      <c r="I168" s="49">
        <f ca="1">((M168*staticResult!$C$2*100)+配裝模擬!$D$2+staticResult!$D$16*0.47)/staticResult!$C$2/100</f>
        <v>0.55404258780133331</v>
      </c>
      <c r="J168" s="49">
        <f ca="1">(staticResult!$C$16-H168)+BUFF!$F$27</f>
        <v>0.73175423898969316</v>
      </c>
      <c r="K168" s="448">
        <f t="shared" ca="1" si="11"/>
        <v>0.16035986399254284</v>
      </c>
      <c r="L168" s="49">
        <f>((H168*staticResult!$C$2*100)+配裝模擬!$D$2+staticResult!$D$16*0.47)/staticResult!$C$2/100</f>
        <v>0.51244258780133345</v>
      </c>
      <c r="M168" s="476">
        <f ca="1">H168*(1+BUFF!$H$27)</f>
        <v>0.45760000000000001</v>
      </c>
    </row>
    <row r="169" spans="1:13">
      <c r="A169" s="448">
        <f t="shared" si="9"/>
        <v>2.0810361411658649</v>
      </c>
      <c r="B169" s="49">
        <v>0.41699999999999998</v>
      </c>
      <c r="C169" s="49">
        <f>staticResult!$C$16-B169</f>
        <v>0.50325423898969301</v>
      </c>
      <c r="D169" s="448">
        <f t="shared" si="10"/>
        <v>0.15006786478810583</v>
      </c>
      <c r="E169" s="49">
        <f>((B169*staticResult!$C$2*100)+配裝模擬!$D$2+staticResult!$D$16*0.47)/staticResult!$C$2/100</f>
        <v>0.51344258780133334</v>
      </c>
      <c r="G169" s="448">
        <f t="shared" ca="1" si="8"/>
        <v>2.9827014189885048</v>
      </c>
      <c r="H169" s="49">
        <v>0.41699999999999998</v>
      </c>
      <c r="I169" s="49">
        <f ca="1">((M169*staticResult!$C$2*100)+配裝模擬!$D$2+staticResult!$D$16*0.47)/staticResult!$C$2/100</f>
        <v>0.5551425878013333</v>
      </c>
      <c r="J169" s="49">
        <f ca="1">(staticResult!$C$16-H169)+BUFF!$F$27</f>
        <v>0.73075423898969305</v>
      </c>
      <c r="K169" s="448">
        <f t="shared" ca="1" si="11"/>
        <v>0.15759626428746273</v>
      </c>
      <c r="L169" s="49">
        <f>((H169*staticResult!$C$2*100)+配裝模擬!$D$2+staticResult!$D$16*0.47)/staticResult!$C$2/100</f>
        <v>0.51344258780133334</v>
      </c>
      <c r="M169" s="476">
        <f ca="1">H169*(1+BUFF!$H$27)</f>
        <v>0.4587</v>
      </c>
    </row>
    <row r="170" spans="1:13">
      <c r="A170" s="448">
        <f t="shared" si="9"/>
        <v>2.0811843466672841</v>
      </c>
      <c r="B170" s="49">
        <v>0.41799999999999998</v>
      </c>
      <c r="C170" s="49">
        <f>staticResult!$C$16-B170</f>
        <v>0.50225423898969312</v>
      </c>
      <c r="D170" s="448">
        <f t="shared" si="10"/>
        <v>0.14820550141925168</v>
      </c>
      <c r="E170" s="49">
        <f>((B170*staticResult!$C$2*100)+配裝模擬!$D$2+staticResult!$D$16*0.47)/staticResult!$C$2/100</f>
        <v>0.51444258780133334</v>
      </c>
      <c r="G170" s="448">
        <f t="shared" ca="1" si="8"/>
        <v>2.9828562516530868</v>
      </c>
      <c r="H170" s="49">
        <v>0.41799999999999998</v>
      </c>
      <c r="I170" s="49">
        <f ca="1">((M170*staticResult!$C$2*100)+配裝模擬!$D$2+staticResult!$D$16*0.47)/staticResult!$C$2/100</f>
        <v>0.5562425878013334</v>
      </c>
      <c r="J170" s="49">
        <f ca="1">(staticResult!$C$16-H170)+BUFF!$F$27</f>
        <v>0.72975423898969316</v>
      </c>
      <c r="K170" s="448">
        <f t="shared" ca="1" si="11"/>
        <v>0.15483266458193853</v>
      </c>
      <c r="L170" s="49">
        <f>((H170*staticResult!$C$2*100)+配裝模擬!$D$2+staticResult!$D$16*0.47)/staticResult!$C$2/100</f>
        <v>0.51444258780133334</v>
      </c>
      <c r="M170" s="476">
        <f ca="1">H170*(1+BUFF!$H$27)</f>
        <v>0.45980000000000004</v>
      </c>
    </row>
    <row r="171" spans="1:13">
      <c r="A171" s="448">
        <f t="shared" si="9"/>
        <v>2.0813306898053345</v>
      </c>
      <c r="B171" s="49">
        <v>0.41899999999999998</v>
      </c>
      <c r="C171" s="49">
        <f>staticResult!$C$16-B171</f>
        <v>0.50125423898969301</v>
      </c>
      <c r="D171" s="448">
        <f t="shared" si="10"/>
        <v>0.14634313805039753</v>
      </c>
      <c r="E171" s="49">
        <f>((B171*staticResult!$C$2*100)+配裝模擬!$D$2+staticResult!$D$16*0.47)/staticResult!$C$2/100</f>
        <v>0.51544258780133345</v>
      </c>
      <c r="G171" s="448">
        <f t="shared" ca="1" si="8"/>
        <v>2.9830083207179618</v>
      </c>
      <c r="H171" s="49">
        <v>0.41899999999999998</v>
      </c>
      <c r="I171" s="49">
        <f ca="1">((M171*staticResult!$C$2*100)+配裝模擬!$D$2+staticResult!$D$16*0.47)/staticResult!$C$2/100</f>
        <v>0.55734258780133339</v>
      </c>
      <c r="J171" s="49">
        <f ca="1">(staticResult!$C$16-H171)+BUFF!$F$27</f>
        <v>0.72875423898969305</v>
      </c>
      <c r="K171" s="448">
        <f t="shared" ca="1" si="11"/>
        <v>0.15206906487508207</v>
      </c>
      <c r="L171" s="49">
        <f>((H171*staticResult!$C$2*100)+配裝模擬!$D$2+staticResult!$D$16*0.47)/staticResult!$C$2/100</f>
        <v>0.51544258780133345</v>
      </c>
      <c r="M171" s="476">
        <f ca="1">H171*(1+BUFF!$H$27)</f>
        <v>0.46090000000000003</v>
      </c>
    </row>
    <row r="172" spans="1:13">
      <c r="A172" s="448">
        <f t="shared" si="9"/>
        <v>2.0814751705800161</v>
      </c>
      <c r="B172" s="49">
        <v>0.42</v>
      </c>
      <c r="C172" s="49">
        <f>staticResult!$C$16-B172</f>
        <v>0.50025423898969312</v>
      </c>
      <c r="D172" s="448">
        <f t="shared" si="10"/>
        <v>0.14448077468154338</v>
      </c>
      <c r="E172" s="49">
        <f>((B172*staticResult!$C$2*100)+配裝模擬!$D$2+staticResult!$D$16*0.47)/staticResult!$C$2/100</f>
        <v>0.51644258780133345</v>
      </c>
      <c r="G172" s="448">
        <f t="shared" ca="1" si="8"/>
        <v>2.9831576261831323</v>
      </c>
      <c r="H172" s="49">
        <v>0.42</v>
      </c>
      <c r="I172" s="49">
        <f ca="1">((M172*staticResult!$C$2*100)+配裝模擬!$D$2+staticResult!$D$16*0.47)/staticResult!$C$2/100</f>
        <v>0.55844258780133349</v>
      </c>
      <c r="J172" s="49">
        <f ca="1">(staticResult!$C$16-H172)+BUFF!$F$27</f>
        <v>0.72775423898969316</v>
      </c>
      <c r="K172" s="448">
        <f t="shared" ca="1" si="11"/>
        <v>0.14930546517044604</v>
      </c>
      <c r="L172" s="49">
        <f>((H172*staticResult!$C$2*100)+配裝模擬!$D$2+staticResult!$D$16*0.47)/staticResult!$C$2/100</f>
        <v>0.51644258780133345</v>
      </c>
      <c r="M172" s="476">
        <f ca="1">H172*(1+BUFF!$H$27)</f>
        <v>0.46200000000000002</v>
      </c>
    </row>
    <row r="173" spans="1:13">
      <c r="A173" s="448">
        <f t="shared" si="9"/>
        <v>2.0816177889913288</v>
      </c>
      <c r="B173" s="49">
        <v>0.42099999999999999</v>
      </c>
      <c r="C173" s="49">
        <f>staticResult!$C$16-B173</f>
        <v>0.49925423898969307</v>
      </c>
      <c r="D173" s="448">
        <f t="shared" si="10"/>
        <v>0.14261841131268924</v>
      </c>
      <c r="E173" s="49">
        <f>((B173*staticResult!$C$2*100)+配裝模擬!$D$2+staticResult!$D$16*0.47)/staticResult!$C$2/100</f>
        <v>0.51744258780133334</v>
      </c>
      <c r="G173" s="448">
        <f t="shared" ca="1" si="8"/>
        <v>2.9833041680485959</v>
      </c>
      <c r="H173" s="49">
        <v>0.42099999999999999</v>
      </c>
      <c r="I173" s="49">
        <f ca="1">((M173*staticResult!$C$2*100)+配裝模擬!$D$2+staticResult!$D$16*0.47)/staticResult!$C$2/100</f>
        <v>0.55954258780133326</v>
      </c>
      <c r="J173" s="49">
        <f ca="1">(staticResult!$C$16-H173)+BUFF!$F$27</f>
        <v>0.72675423898969305</v>
      </c>
      <c r="K173" s="448">
        <f t="shared" ca="1" si="11"/>
        <v>0.14654186546358958</v>
      </c>
      <c r="L173" s="49">
        <f>((H173*staticResult!$C$2*100)+配裝模擬!$D$2+staticResult!$D$16*0.47)/staticResult!$C$2/100</f>
        <v>0.51744258780133334</v>
      </c>
      <c r="M173" s="476">
        <f ca="1">H173*(1+BUFF!$H$27)</f>
        <v>0.46310000000000001</v>
      </c>
    </row>
    <row r="174" spans="1:13">
      <c r="A174" s="448">
        <f t="shared" si="9"/>
        <v>2.0817585450392717</v>
      </c>
      <c r="B174" s="49">
        <v>0.42199999999999999</v>
      </c>
      <c r="C174" s="49">
        <f>staticResult!$C$16-B174</f>
        <v>0.49825423898969307</v>
      </c>
      <c r="D174" s="448">
        <f t="shared" si="10"/>
        <v>0.14075604794294691</v>
      </c>
      <c r="E174" s="49">
        <f>((B174*staticResult!$C$2*100)+配裝模擬!$D$2+staticResult!$D$16*0.47)/staticResult!$C$2/100</f>
        <v>0.51844258780133345</v>
      </c>
      <c r="G174" s="448">
        <f t="shared" ca="1" si="8"/>
        <v>2.9834479463143548</v>
      </c>
      <c r="H174" s="49">
        <v>0.42199999999999999</v>
      </c>
      <c r="I174" s="49">
        <f ca="1">((M174*staticResult!$C$2*100)+配裝模擬!$D$2+staticResult!$D$16*0.47)/staticResult!$C$2/100</f>
        <v>0.56064258780133336</v>
      </c>
      <c r="J174" s="49">
        <f ca="1">(staticResult!$C$16-H174)+BUFF!$F$27</f>
        <v>0.72575423898969316</v>
      </c>
      <c r="K174" s="448">
        <f t="shared" ca="1" si="11"/>
        <v>0.14377826575895356</v>
      </c>
      <c r="L174" s="49">
        <f>((H174*staticResult!$C$2*100)+配裝模擬!$D$2+staticResult!$D$16*0.47)/staticResult!$C$2/100</f>
        <v>0.51844258780133345</v>
      </c>
      <c r="M174" s="476">
        <f ca="1">H174*(1+BUFF!$H$27)</f>
        <v>0.4642</v>
      </c>
    </row>
    <row r="175" spans="1:13">
      <c r="A175" s="448">
        <f t="shared" si="9"/>
        <v>2.0818974387238471</v>
      </c>
      <c r="B175" s="49">
        <v>0.42299999999999999</v>
      </c>
      <c r="C175" s="49">
        <f>staticResult!$C$16-B175</f>
        <v>0.49725423898969306</v>
      </c>
      <c r="D175" s="448">
        <f t="shared" si="10"/>
        <v>0.13889368457542506</v>
      </c>
      <c r="E175" s="49">
        <f>((B175*staticResult!$C$2*100)+配裝模擬!$D$2+staticResult!$D$16*0.47)/staticResult!$C$2/100</f>
        <v>0.51944258780133334</v>
      </c>
      <c r="G175" s="448">
        <f t="shared" ca="1" si="8"/>
        <v>2.9835889609804069</v>
      </c>
      <c r="H175" s="49">
        <v>0.42299999999999999</v>
      </c>
      <c r="I175" s="49">
        <f ca="1">((M175*staticResult!$C$2*100)+配裝模擬!$D$2+staticResult!$D$16*0.47)/staticResult!$C$2/100</f>
        <v>0.56174258780133335</v>
      </c>
      <c r="J175" s="49">
        <f ca="1">(staticResult!$C$16-H175)+BUFF!$F$27</f>
        <v>0.72475423898969304</v>
      </c>
      <c r="K175" s="448">
        <f t="shared" ca="1" si="11"/>
        <v>0.14101466605209709</v>
      </c>
      <c r="L175" s="49">
        <f>((H175*staticResult!$C$2*100)+配裝模擬!$D$2+staticResult!$D$16*0.47)/staticResult!$C$2/100</f>
        <v>0.51944258780133334</v>
      </c>
      <c r="M175" s="476">
        <f ca="1">H175*(1+BUFF!$H$27)</f>
        <v>0.46530000000000005</v>
      </c>
    </row>
    <row r="176" spans="1:13">
      <c r="A176" s="448">
        <f t="shared" si="9"/>
        <v>2.0820344700450528</v>
      </c>
      <c r="B176" s="49">
        <v>0.42399999999999999</v>
      </c>
      <c r="C176" s="49">
        <f>staticResult!$C$16-B176</f>
        <v>0.49625423898969306</v>
      </c>
      <c r="D176" s="448">
        <f t="shared" si="10"/>
        <v>0.13703132120568273</v>
      </c>
      <c r="E176" s="49">
        <f>((B176*staticResult!$C$2*100)+配裝模擬!$D$2+staticResult!$D$16*0.47)/staticResult!$C$2/100</f>
        <v>0.52044258780133335</v>
      </c>
      <c r="G176" s="448">
        <f t="shared" ca="1" si="8"/>
        <v>2.983727212046754</v>
      </c>
      <c r="H176" s="49">
        <v>0.42399999999999999</v>
      </c>
      <c r="I176" s="49">
        <f ca="1">((M176*staticResult!$C$2*100)+配裝模擬!$D$2+staticResult!$D$16*0.47)/staticResult!$C$2/100</f>
        <v>0.56284258780133345</v>
      </c>
      <c r="J176" s="49">
        <f ca="1">(staticResult!$C$16-H176)+BUFF!$F$27</f>
        <v>0.72375423898969315</v>
      </c>
      <c r="K176" s="448">
        <f t="shared" ca="1" si="11"/>
        <v>0.138251066347017</v>
      </c>
      <c r="L176" s="49">
        <f>((H176*staticResult!$C$2*100)+配裝模擬!$D$2+staticResult!$D$16*0.47)/staticResult!$C$2/100</f>
        <v>0.52044258780133335</v>
      </c>
      <c r="M176" s="476">
        <f ca="1">H176*(1+BUFF!$H$27)</f>
        <v>0.46640000000000004</v>
      </c>
    </row>
    <row r="177" spans="1:13">
      <c r="A177" s="448">
        <f t="shared" si="9"/>
        <v>2.0821696390028896</v>
      </c>
      <c r="B177" s="49">
        <v>0.42499999999999999</v>
      </c>
      <c r="C177" s="49">
        <f>staticResult!$C$16-B177</f>
        <v>0.49525423898969306</v>
      </c>
      <c r="D177" s="448">
        <f t="shared" si="10"/>
        <v>0.13516895783682858</v>
      </c>
      <c r="E177" s="49">
        <f>((B177*staticResult!$C$2*100)+配裝模擬!$D$2+staticResult!$D$16*0.47)/staticResult!$C$2/100</f>
        <v>0.52144258780133346</v>
      </c>
      <c r="G177" s="448">
        <f t="shared" ca="1" si="8"/>
        <v>2.9838626995133946</v>
      </c>
      <c r="H177" s="49">
        <v>0.42499999999999999</v>
      </c>
      <c r="I177" s="49">
        <f ca="1">((M177*staticResult!$C$2*100)+配裝模擬!$D$2+staticResult!$D$16*0.47)/staticResult!$C$2/100</f>
        <v>0.56394258780133344</v>
      </c>
      <c r="J177" s="49">
        <f ca="1">(staticResult!$C$16-H177)+BUFF!$F$27</f>
        <v>0.72275423898969304</v>
      </c>
      <c r="K177" s="448">
        <f t="shared" ca="1" si="11"/>
        <v>0.13548746664060463</v>
      </c>
      <c r="L177" s="49">
        <f>((H177*staticResult!$C$2*100)+配裝模擬!$D$2+staticResult!$D$16*0.47)/staticResult!$C$2/100</f>
        <v>0.52144258780133346</v>
      </c>
      <c r="M177" s="476">
        <f ca="1">H177*(1+BUFF!$H$27)</f>
        <v>0.46750000000000003</v>
      </c>
    </row>
    <row r="178" spans="1:13">
      <c r="A178" s="448">
        <f t="shared" si="9"/>
        <v>2.0823029455973576</v>
      </c>
      <c r="B178" s="49">
        <v>0.42599999999999999</v>
      </c>
      <c r="C178" s="49">
        <f>staticResult!$C$16-B178</f>
        <v>0.49425423898969306</v>
      </c>
      <c r="D178" s="448">
        <f t="shared" si="10"/>
        <v>0.13330659446797444</v>
      </c>
      <c r="E178" s="49">
        <f>((B178*staticResult!$C$2*100)+配裝模擬!$D$2+staticResult!$D$16*0.47)/staticResult!$C$2/100</f>
        <v>0.52244258780133346</v>
      </c>
      <c r="G178" s="448">
        <f t="shared" ca="1" si="8"/>
        <v>2.9839954233803301</v>
      </c>
      <c r="H178" s="49">
        <v>0.42599999999999999</v>
      </c>
      <c r="I178" s="49">
        <f ca="1">((M178*staticResult!$C$2*100)+配裝模擬!$D$2+staticResult!$D$16*0.47)/staticResult!$C$2/100</f>
        <v>0.56504258780133343</v>
      </c>
      <c r="J178" s="49">
        <f ca="1">(staticResult!$C$16-H178)+BUFF!$F$27</f>
        <v>0.72175423898969315</v>
      </c>
      <c r="K178" s="448">
        <f t="shared" ca="1" si="11"/>
        <v>0.13272386693552451</v>
      </c>
      <c r="L178" s="49">
        <f>((H178*staticResult!$C$2*100)+配裝模擬!$D$2+staticResult!$D$16*0.47)/staticResult!$C$2/100</f>
        <v>0.52244258780133346</v>
      </c>
      <c r="M178" s="476">
        <f ca="1">H178*(1+BUFF!$H$27)</f>
        <v>0.46860000000000002</v>
      </c>
    </row>
    <row r="179" spans="1:13">
      <c r="A179" s="448">
        <f t="shared" si="9"/>
        <v>2.0824343898284572</v>
      </c>
      <c r="B179" s="49">
        <v>0.42699999999999999</v>
      </c>
      <c r="C179" s="49">
        <f>staticResult!$C$16-B179</f>
        <v>0.49325423898969306</v>
      </c>
      <c r="D179" s="448">
        <f t="shared" si="10"/>
        <v>0.13144423109956438</v>
      </c>
      <c r="E179" s="49">
        <f>((B179*staticResult!$C$2*100)+配裝模擬!$D$2+staticResult!$D$16*0.47)/staticResult!$C$2/100</f>
        <v>0.52344258780133335</v>
      </c>
      <c r="G179" s="448">
        <f t="shared" ca="1" si="8"/>
        <v>2.9841253836475592</v>
      </c>
      <c r="H179" s="49">
        <v>0.42699999999999999</v>
      </c>
      <c r="I179" s="49">
        <f ca="1">((M179*staticResult!$C$2*100)+配裝模擬!$D$2+staticResult!$D$16*0.47)/staticResult!$C$2/100</f>
        <v>0.56614258780133331</v>
      </c>
      <c r="J179" s="49">
        <f ca="1">(staticResult!$C$16-H179)+BUFF!$F$27</f>
        <v>0.72075423898969304</v>
      </c>
      <c r="K179" s="448">
        <f t="shared" ca="1" si="11"/>
        <v>0.12996026722911214</v>
      </c>
      <c r="L179" s="49">
        <f>((H179*staticResult!$C$2*100)+配裝模擬!$D$2+staticResult!$D$16*0.47)/staticResult!$C$2/100</f>
        <v>0.52344258780133335</v>
      </c>
      <c r="M179" s="476">
        <f ca="1">H179*(1+BUFF!$H$27)</f>
        <v>0.46970000000000001</v>
      </c>
    </row>
    <row r="180" spans="1:13">
      <c r="A180" s="448">
        <f t="shared" si="9"/>
        <v>2.082563971696187</v>
      </c>
      <c r="B180" s="49">
        <v>0.42799999999999999</v>
      </c>
      <c r="C180" s="49">
        <f>staticResult!$C$16-B180</f>
        <v>0.49225423898969306</v>
      </c>
      <c r="D180" s="448">
        <f t="shared" si="10"/>
        <v>0.12958186772982205</v>
      </c>
      <c r="E180" s="49">
        <f>((B180*staticResult!$C$2*100)+配裝模擬!$D$2+staticResult!$D$16*0.47)/staticResult!$C$2/100</f>
        <v>0.52444258780133335</v>
      </c>
      <c r="G180" s="448">
        <f t="shared" ca="1" si="8"/>
        <v>2.9842525803150832</v>
      </c>
      <c r="H180" s="49">
        <v>0.42799999999999999</v>
      </c>
      <c r="I180" s="49">
        <f ca="1">((M180*staticResult!$C$2*100)+配裝模擬!$D$2+staticResult!$D$16*0.47)/staticResult!$C$2/100</f>
        <v>0.56724258780133341</v>
      </c>
      <c r="J180" s="49">
        <f ca="1">(staticResult!$C$16-H180)+BUFF!$F$27</f>
        <v>0.71975423898969315</v>
      </c>
      <c r="K180" s="448">
        <f t="shared" ca="1" si="11"/>
        <v>0.12719666752403203</v>
      </c>
      <c r="L180" s="49">
        <f>((H180*staticResult!$C$2*100)+配裝模擬!$D$2+staticResult!$D$16*0.47)/staticResult!$C$2/100</f>
        <v>0.52444258780133335</v>
      </c>
      <c r="M180" s="476">
        <f ca="1">H180*(1+BUFF!$H$27)</f>
        <v>0.47080000000000005</v>
      </c>
    </row>
    <row r="181" spans="1:13">
      <c r="A181" s="448">
        <f t="shared" si="9"/>
        <v>2.0826916912005489</v>
      </c>
      <c r="B181" s="49">
        <v>0.42899999999999999</v>
      </c>
      <c r="C181" s="49">
        <f>staticResult!$C$16-B181</f>
        <v>0.49125423898969306</v>
      </c>
      <c r="D181" s="448">
        <f t="shared" si="10"/>
        <v>0.12771950436185608</v>
      </c>
      <c r="E181" s="49">
        <f>((B181*staticResult!$C$2*100)+配裝模擬!$D$2+staticResult!$D$16*0.47)/staticResult!$C$2/100</f>
        <v>0.52544258780133335</v>
      </c>
      <c r="G181" s="448">
        <f t="shared" ca="1" si="8"/>
        <v>2.9843770133829008</v>
      </c>
      <c r="H181" s="49">
        <v>0.42899999999999999</v>
      </c>
      <c r="I181" s="49">
        <f ca="1">((M181*staticResult!$C$2*100)+配裝模擬!$D$2+staticResult!$D$16*0.47)/staticResult!$C$2/100</f>
        <v>0.5683425878013334</v>
      </c>
      <c r="J181" s="49">
        <f ca="1">(staticResult!$C$16-H181)+BUFF!$F$27</f>
        <v>0.71875423898969304</v>
      </c>
      <c r="K181" s="448">
        <f t="shared" ca="1" si="11"/>
        <v>0.12443306781761965</v>
      </c>
      <c r="L181" s="49">
        <f>((H181*staticResult!$C$2*100)+配裝模擬!$D$2+staticResult!$D$16*0.47)/staticResult!$C$2/100</f>
        <v>0.52544258780133335</v>
      </c>
      <c r="M181" s="476">
        <f ca="1">H181*(1+BUFF!$H$27)</f>
        <v>0.47190000000000004</v>
      </c>
    </row>
    <row r="182" spans="1:13">
      <c r="A182" s="448">
        <f t="shared" si="9"/>
        <v>2.082817548341541</v>
      </c>
      <c r="B182" s="49">
        <v>0.43</v>
      </c>
      <c r="C182" s="49">
        <f>staticResult!$C$16-B182</f>
        <v>0.49025423898969306</v>
      </c>
      <c r="D182" s="448">
        <f t="shared" si="10"/>
        <v>0.12585714099211376</v>
      </c>
      <c r="E182" s="49">
        <f>((B182*staticResult!$C$2*100)+配裝模擬!$D$2+staticResult!$D$16*0.47)/staticResult!$C$2/100</f>
        <v>0.52644258780133335</v>
      </c>
      <c r="G182" s="448">
        <f t="shared" ca="1" si="8"/>
        <v>2.9844986828510129</v>
      </c>
      <c r="H182" s="49">
        <v>0.43</v>
      </c>
      <c r="I182" s="49">
        <f ca="1">((M182*staticResult!$C$2*100)+配裝模擬!$D$2+staticResult!$D$16*0.47)/staticResult!$C$2/100</f>
        <v>0.56944258780133339</v>
      </c>
      <c r="J182" s="49">
        <f ca="1">(staticResult!$C$16-H182)+BUFF!$F$27</f>
        <v>0.71775423898969315</v>
      </c>
      <c r="K182" s="448">
        <f t="shared" ca="1" si="11"/>
        <v>0.12166946811209545</v>
      </c>
      <c r="L182" s="49">
        <f>((H182*staticResult!$C$2*100)+配裝模擬!$D$2+staticResult!$D$16*0.47)/staticResult!$C$2/100</f>
        <v>0.52644258780133335</v>
      </c>
      <c r="M182" s="476">
        <f ca="1">H182*(1+BUFF!$H$27)</f>
        <v>0.47300000000000003</v>
      </c>
    </row>
    <row r="183" spans="1:13">
      <c r="A183" s="448">
        <f t="shared" si="9"/>
        <v>2.0829415431191647</v>
      </c>
      <c r="B183" s="49">
        <v>0.43099999999999999</v>
      </c>
      <c r="C183" s="49">
        <f>staticResult!$C$16-B183</f>
        <v>0.48925423898969306</v>
      </c>
      <c r="D183" s="448">
        <f t="shared" si="10"/>
        <v>0.1239947776237037</v>
      </c>
      <c r="E183" s="49">
        <f>((B183*staticResult!$C$2*100)+配裝模擬!$D$2+staticResult!$D$16*0.47)/staticResult!$C$2/100</f>
        <v>0.52744258780133335</v>
      </c>
      <c r="G183" s="448">
        <f t="shared" ca="1" si="8"/>
        <v>2.9846175887194195</v>
      </c>
      <c r="H183" s="49">
        <v>0.43099999999999999</v>
      </c>
      <c r="I183" s="49">
        <f ca="1">((M183*staticResult!$C$2*100)+配裝模擬!$D$2+staticResult!$D$16*0.47)/staticResult!$C$2/100</f>
        <v>0.57054258780133349</v>
      </c>
      <c r="J183" s="49">
        <f ca="1">(staticResult!$C$16-H183)+BUFF!$F$27</f>
        <v>0.71675423898969304</v>
      </c>
      <c r="K183" s="448">
        <f t="shared" ca="1" si="11"/>
        <v>0.11890586840657125</v>
      </c>
      <c r="L183" s="49">
        <f>((H183*staticResult!$C$2*100)+配裝模擬!$D$2+staticResult!$D$16*0.47)/staticResult!$C$2/100</f>
        <v>0.52744258780133335</v>
      </c>
      <c r="M183" s="476">
        <f ca="1">H183*(1+BUFF!$H$27)</f>
        <v>0.47410000000000002</v>
      </c>
    </row>
    <row r="184" spans="1:13">
      <c r="A184" s="448">
        <f t="shared" si="9"/>
        <v>2.0830636755334191</v>
      </c>
      <c r="B184" s="49">
        <v>0.432</v>
      </c>
      <c r="C184" s="49">
        <f>staticResult!$C$16-B184</f>
        <v>0.48825423898969306</v>
      </c>
      <c r="D184" s="448">
        <f t="shared" si="10"/>
        <v>0.12213241425440546</v>
      </c>
      <c r="E184" s="49">
        <f>((B184*staticResult!$C$2*100)+配裝模擬!$D$2+staticResult!$D$16*0.47)/staticResult!$C$2/100</f>
        <v>0.52844258780133346</v>
      </c>
      <c r="G184" s="448">
        <f t="shared" ca="1" si="8"/>
        <v>2.9847337309881197</v>
      </c>
      <c r="H184" s="49">
        <v>0.432</v>
      </c>
      <c r="I184" s="49">
        <f ca="1">((M184*staticResult!$C$2*100)+配裝模擬!$D$2+staticResult!$D$16*0.47)/staticResult!$C$2/100</f>
        <v>0.57164258780133337</v>
      </c>
      <c r="J184" s="49">
        <f ca="1">(staticResult!$C$16-H184)+BUFF!$F$27</f>
        <v>0.71575423898969315</v>
      </c>
      <c r="K184" s="448">
        <f t="shared" ca="1" si="11"/>
        <v>0.11614226870015888</v>
      </c>
      <c r="L184" s="49">
        <f>((H184*staticResult!$C$2*100)+配裝模擬!$D$2+staticResult!$D$16*0.47)/staticResult!$C$2/100</f>
        <v>0.52844258780133346</v>
      </c>
      <c r="M184" s="476">
        <f ca="1">H184*(1+BUFF!$H$27)</f>
        <v>0.47520000000000001</v>
      </c>
    </row>
    <row r="185" spans="1:13">
      <c r="A185" s="448">
        <f t="shared" si="9"/>
        <v>2.0831839455843051</v>
      </c>
      <c r="B185" s="49">
        <v>0.433</v>
      </c>
      <c r="C185" s="49">
        <f>staticResult!$C$16-B185</f>
        <v>0.48725423898969306</v>
      </c>
      <c r="D185" s="448">
        <f t="shared" si="10"/>
        <v>0.12027005088599541</v>
      </c>
      <c r="E185" s="49">
        <f>((B185*staticResult!$C$2*100)+配裝模擬!$D$2+staticResult!$D$16*0.47)/staticResult!$C$2/100</f>
        <v>0.52944258780133335</v>
      </c>
      <c r="G185" s="448">
        <f t="shared" ca="1" si="8"/>
        <v>2.9848471096571139</v>
      </c>
      <c r="H185" s="49">
        <v>0.433</v>
      </c>
      <c r="I185" s="49">
        <f ca="1">((M185*staticResult!$C$2*100)+配裝模擬!$D$2+staticResult!$D$16*0.47)/staticResult!$C$2/100</f>
        <v>0.57274258780133336</v>
      </c>
      <c r="J185" s="49">
        <f ca="1">(staticResult!$C$16-H185)+BUFF!$F$27</f>
        <v>0.71475423898969304</v>
      </c>
      <c r="K185" s="448">
        <f t="shared" ca="1" si="11"/>
        <v>0.11337866899419059</v>
      </c>
      <c r="L185" s="49">
        <f>((H185*staticResult!$C$2*100)+配裝模擬!$D$2+staticResult!$D$16*0.47)/staticResult!$C$2/100</f>
        <v>0.52944258780133335</v>
      </c>
      <c r="M185" s="476">
        <f ca="1">H185*(1+BUFF!$H$27)</f>
        <v>0.47630000000000006</v>
      </c>
    </row>
    <row r="186" spans="1:13">
      <c r="A186" s="448">
        <f t="shared" si="9"/>
        <v>2.0833023532718213</v>
      </c>
      <c r="B186" s="49">
        <v>0.434</v>
      </c>
      <c r="C186" s="49">
        <f>staticResult!$C$16-B186</f>
        <v>0.48625423898969306</v>
      </c>
      <c r="D186" s="448">
        <f t="shared" si="10"/>
        <v>0.11840768751625308</v>
      </c>
      <c r="E186" s="49">
        <f>((B186*staticResult!$C$2*100)+配裝模擬!$D$2+staticResult!$D$16*0.47)/staticResult!$C$2/100</f>
        <v>0.53044258780133335</v>
      </c>
      <c r="G186" s="448">
        <f t="shared" ca="1" si="8"/>
        <v>2.9849577247264034</v>
      </c>
      <c r="H186" s="49">
        <v>0.434</v>
      </c>
      <c r="I186" s="49">
        <f ca="1">((M186*staticResult!$C$2*100)+配裝模擬!$D$2+staticResult!$D$16*0.47)/staticResult!$C$2/100</f>
        <v>0.57384258780133335</v>
      </c>
      <c r="J186" s="49">
        <f ca="1">(staticResult!$C$16-H186)+BUFF!$F$27</f>
        <v>0.71375423898969315</v>
      </c>
      <c r="K186" s="448">
        <f t="shared" ca="1" si="11"/>
        <v>0.11061506928955457</v>
      </c>
      <c r="L186" s="49">
        <f>((H186*staticResult!$C$2*100)+配裝模擬!$D$2+staticResult!$D$16*0.47)/staticResult!$C$2/100</f>
        <v>0.53044258780133335</v>
      </c>
      <c r="M186" s="476">
        <f ca="1">H186*(1+BUFF!$H$27)</f>
        <v>0.47740000000000005</v>
      </c>
    </row>
    <row r="187" spans="1:13">
      <c r="A187" s="448">
        <f t="shared" si="9"/>
        <v>2.0834188985959701</v>
      </c>
      <c r="B187" s="49">
        <v>0.435</v>
      </c>
      <c r="C187" s="49">
        <f>staticResult!$C$16-B187</f>
        <v>0.48525423898969305</v>
      </c>
      <c r="D187" s="448">
        <f t="shared" si="10"/>
        <v>0.11654532414873121</v>
      </c>
      <c r="E187" s="49">
        <f>((B187*staticResult!$C$2*100)+配裝模擬!$D$2+staticResult!$D$16*0.47)/staticResult!$C$2/100</f>
        <v>0.53144258780133347</v>
      </c>
      <c r="G187" s="448">
        <f t="shared" ca="1" si="8"/>
        <v>2.9850655761959861</v>
      </c>
      <c r="H187" s="49">
        <v>0.435</v>
      </c>
      <c r="I187" s="49">
        <f ca="1">((M187*staticResult!$C$2*100)+配裝模擬!$D$2+staticResult!$D$16*0.47)/staticResult!$C$2/100</f>
        <v>0.57494258780133334</v>
      </c>
      <c r="J187" s="49">
        <f ca="1">(staticResult!$C$16-H187)+BUFF!$F$27</f>
        <v>0.71275423898969303</v>
      </c>
      <c r="K187" s="448">
        <f t="shared" ca="1" si="11"/>
        <v>0.1078514695826981</v>
      </c>
      <c r="L187" s="49">
        <f>((H187*staticResult!$C$2*100)+配裝模擬!$D$2+staticResult!$D$16*0.47)/staticResult!$C$2/100</f>
        <v>0.53144258780133347</v>
      </c>
      <c r="M187" s="476">
        <f ca="1">H187*(1+BUFF!$H$27)</f>
        <v>0.47850000000000004</v>
      </c>
    </row>
    <row r="188" spans="1:13">
      <c r="A188" s="448">
        <f t="shared" si="9"/>
        <v>2.0835335815567486</v>
      </c>
      <c r="B188" s="49">
        <v>0.436</v>
      </c>
      <c r="C188" s="49">
        <f>staticResult!$C$16-B188</f>
        <v>0.48425423898969305</v>
      </c>
      <c r="D188" s="448">
        <f t="shared" si="10"/>
        <v>0.1146829607785448</v>
      </c>
      <c r="E188" s="49">
        <f>((B188*staticResult!$C$2*100)+配裝模擬!$D$2+staticResult!$D$16*0.47)/staticResult!$C$2/100</f>
        <v>0.53244258780133336</v>
      </c>
      <c r="G188" s="448">
        <f t="shared" ca="1" si="8"/>
        <v>2.9851706640658642</v>
      </c>
      <c r="H188" s="49">
        <v>0.436</v>
      </c>
      <c r="I188" s="49">
        <f ca="1">((M188*staticResult!$C$2*100)+配裝模擬!$D$2+staticResult!$D$16*0.47)/staticResult!$C$2/100</f>
        <v>0.57604258780133344</v>
      </c>
      <c r="J188" s="49">
        <f ca="1">(staticResult!$C$16-H188)+BUFF!$F$27</f>
        <v>0.71175423898969314</v>
      </c>
      <c r="K188" s="448">
        <f t="shared" ca="1" si="11"/>
        <v>0.10508786987806208</v>
      </c>
      <c r="L188" s="49">
        <f>((H188*staticResult!$C$2*100)+配裝模擬!$D$2+staticResult!$D$16*0.47)/staticResult!$C$2/100</f>
        <v>0.53244258780133336</v>
      </c>
      <c r="M188" s="476">
        <f ca="1">H188*(1+BUFF!$H$27)</f>
        <v>0.47960000000000003</v>
      </c>
    </row>
    <row r="189" spans="1:13">
      <c r="A189" s="448">
        <f t="shared" si="9"/>
        <v>2.0836464021541592</v>
      </c>
      <c r="B189" s="49">
        <v>0.437</v>
      </c>
      <c r="C189" s="49">
        <f>staticResult!$C$16-B189</f>
        <v>0.48325423898969305</v>
      </c>
      <c r="D189" s="448">
        <f t="shared" si="10"/>
        <v>0.11282059741057883</v>
      </c>
      <c r="E189" s="49">
        <f>((B189*staticResult!$C$2*100)+配裝模擬!$D$2+staticResult!$D$16*0.47)/staticResult!$C$2/100</f>
        <v>0.53344258780133336</v>
      </c>
      <c r="G189" s="448">
        <f t="shared" ca="1" si="8"/>
        <v>2.9852729883360354</v>
      </c>
      <c r="H189" s="49">
        <v>0.437</v>
      </c>
      <c r="I189" s="49">
        <f ca="1">((M189*staticResult!$C$2*100)+配裝模擬!$D$2+staticResult!$D$16*0.47)/staticResult!$C$2/100</f>
        <v>0.57714258780133354</v>
      </c>
      <c r="J189" s="49">
        <f ca="1">(staticResult!$C$16-H189)+BUFF!$F$27</f>
        <v>0.71075423898969303</v>
      </c>
      <c r="K189" s="448">
        <f t="shared" ca="1" si="11"/>
        <v>0.10232427017120561</v>
      </c>
      <c r="L189" s="49">
        <f>((H189*staticResult!$C$2*100)+配裝模擬!$D$2+staticResult!$D$16*0.47)/staticResult!$C$2/100</f>
        <v>0.53344258780133336</v>
      </c>
      <c r="M189" s="476">
        <f ca="1">H189*(1+BUFF!$H$27)</f>
        <v>0.48070000000000002</v>
      </c>
    </row>
    <row r="190" spans="1:13">
      <c r="A190" s="448">
        <f t="shared" si="9"/>
        <v>2.0837573603882</v>
      </c>
      <c r="B190" s="49">
        <v>0.438</v>
      </c>
      <c r="C190" s="49">
        <f>staticResult!$C$16-B190</f>
        <v>0.48225423898969305</v>
      </c>
      <c r="D190" s="448">
        <f t="shared" si="10"/>
        <v>0.1109582340408365</v>
      </c>
      <c r="E190" s="49">
        <f>((B190*staticResult!$C$2*100)+配裝模擬!$D$2+staticResult!$D$16*0.47)/staticResult!$C$2/100</f>
        <v>0.53444258780133347</v>
      </c>
      <c r="G190" s="448">
        <f t="shared" ca="1" si="8"/>
        <v>2.9853725490065011</v>
      </c>
      <c r="H190" s="49">
        <v>0.438</v>
      </c>
      <c r="I190" s="49">
        <f ca="1">((M190*staticResult!$C$2*100)+配裝模擬!$D$2+staticResult!$D$16*0.47)/staticResult!$C$2/100</f>
        <v>0.57824258780133353</v>
      </c>
      <c r="J190" s="49">
        <f ca="1">(staticResult!$C$16-H190)+BUFF!$F$27</f>
        <v>0.70975423898969314</v>
      </c>
      <c r="K190" s="448">
        <f t="shared" ca="1" si="11"/>
        <v>9.9560670465681428E-2</v>
      </c>
      <c r="L190" s="49">
        <f>((H190*staticResult!$C$2*100)+配裝模擬!$D$2+staticResult!$D$16*0.47)/staticResult!$C$2/100</f>
        <v>0.53444258780133347</v>
      </c>
      <c r="M190" s="476">
        <f ca="1">H190*(1+BUFF!$H$27)</f>
        <v>0.48180000000000006</v>
      </c>
    </row>
    <row r="191" spans="1:13">
      <c r="A191" s="448">
        <f t="shared" si="9"/>
        <v>2.0838664562588725</v>
      </c>
      <c r="B191" s="49">
        <v>0.439</v>
      </c>
      <c r="C191" s="49">
        <f>staticResult!$C$16-B191</f>
        <v>0.48125423898969305</v>
      </c>
      <c r="D191" s="448">
        <f t="shared" si="10"/>
        <v>0.10909587067242645</v>
      </c>
      <c r="E191" s="49">
        <f>((B191*staticResult!$C$2*100)+配裝模擬!$D$2+staticResult!$D$16*0.47)/staticResult!$C$2/100</f>
        <v>0.53544258780133336</v>
      </c>
      <c r="G191" s="448">
        <f t="shared" ca="1" si="8"/>
        <v>2.9854693460772608</v>
      </c>
      <c r="H191" s="49">
        <v>0.439</v>
      </c>
      <c r="I191" s="49">
        <f ca="1">((M191*staticResult!$C$2*100)+配裝模擬!$D$2+staticResult!$D$16*0.47)/staticResult!$C$2/100</f>
        <v>0.57934258780133341</v>
      </c>
      <c r="J191" s="49">
        <f ca="1">(staticResult!$C$16-H191)+BUFF!$F$27</f>
        <v>0.70875423898969303</v>
      </c>
      <c r="K191" s="448">
        <f t="shared" ca="1" si="11"/>
        <v>9.6797070759713139E-2</v>
      </c>
      <c r="L191" s="49">
        <f>((H191*staticResult!$C$2*100)+配裝模擬!$D$2+staticResult!$D$16*0.47)/staticResult!$C$2/100</f>
        <v>0.53544258780133336</v>
      </c>
      <c r="M191" s="476">
        <f ca="1">H191*(1+BUFF!$H$27)</f>
        <v>0.48290000000000005</v>
      </c>
    </row>
    <row r="192" spans="1:13">
      <c r="A192" s="448">
        <f t="shared" si="9"/>
        <v>2.0839736897661756</v>
      </c>
      <c r="B192" s="49">
        <v>0.44</v>
      </c>
      <c r="C192" s="49">
        <f>staticResult!$C$16-B192</f>
        <v>0.48025423898969305</v>
      </c>
      <c r="D192" s="448">
        <f t="shared" si="10"/>
        <v>0.10723350730312821</v>
      </c>
      <c r="E192" s="49">
        <f>((B192*staticResult!$C$2*100)+配裝模擬!$D$2+staticResult!$D$16*0.47)/staticResult!$C$2/100</f>
        <v>0.53644258780133325</v>
      </c>
      <c r="G192" s="448">
        <f t="shared" ca="1" si="8"/>
        <v>2.985563379548315</v>
      </c>
      <c r="H192" s="49">
        <v>0.44</v>
      </c>
      <c r="I192" s="49">
        <f ca="1">((M192*staticResult!$C$2*100)+配裝模擬!$D$2+staticResult!$D$16*0.47)/staticResult!$C$2/100</f>
        <v>0.5804425878013334</v>
      </c>
      <c r="J192" s="49">
        <f ca="1">(staticResult!$C$16-H192)+BUFF!$F$27</f>
        <v>0.70775423898969314</v>
      </c>
      <c r="K192" s="448">
        <f t="shared" ca="1" si="11"/>
        <v>9.4033471054188938E-2</v>
      </c>
      <c r="L192" s="49">
        <f>((H192*staticResult!$C$2*100)+配裝模擬!$D$2+staticResult!$D$16*0.47)/staticResult!$C$2/100</f>
        <v>0.53644258780133325</v>
      </c>
      <c r="M192" s="476">
        <f ca="1">H192*(1+BUFF!$H$27)</f>
        <v>0.48400000000000004</v>
      </c>
    </row>
    <row r="193" spans="1:13">
      <c r="A193" s="448">
        <f t="shared" si="9"/>
        <v>2.0840790609101107</v>
      </c>
      <c r="B193" s="49">
        <v>0.441</v>
      </c>
      <c r="C193" s="49">
        <f>staticResult!$C$16-B193</f>
        <v>0.47925423898969305</v>
      </c>
      <c r="D193" s="448">
        <f t="shared" si="10"/>
        <v>0.10537114393516224</v>
      </c>
      <c r="E193" s="49">
        <f>((B193*staticResult!$C$2*100)+配裝模擬!$D$2+staticResult!$D$16*0.47)/staticResult!$C$2/100</f>
        <v>0.53744258780133336</v>
      </c>
      <c r="G193" s="448">
        <f t="shared" ca="1" si="8"/>
        <v>2.9856546494196627</v>
      </c>
      <c r="H193" s="49">
        <v>0.441</v>
      </c>
      <c r="I193" s="49">
        <f ca="1">((M193*staticResult!$C$2*100)+配裝模擬!$D$2+staticResult!$D$16*0.47)/staticResult!$C$2/100</f>
        <v>0.58154258780133328</v>
      </c>
      <c r="J193" s="49">
        <f ca="1">(staticResult!$C$16-H193)+BUFF!$F$27</f>
        <v>0.70675423898969303</v>
      </c>
      <c r="K193" s="448">
        <f t="shared" ca="1" si="11"/>
        <v>9.126987134777656E-2</v>
      </c>
      <c r="L193" s="49">
        <f>((H193*staticResult!$C$2*100)+配裝模擬!$D$2+staticResult!$D$16*0.47)/staticResult!$C$2/100</f>
        <v>0.53744258780133336</v>
      </c>
      <c r="M193" s="476">
        <f ca="1">H193*(1+BUFF!$H$27)</f>
        <v>0.48510000000000003</v>
      </c>
    </row>
    <row r="194" spans="1:13">
      <c r="A194" s="448">
        <f t="shared" si="9"/>
        <v>2.0841825696906762</v>
      </c>
      <c r="B194" s="49">
        <v>0.442</v>
      </c>
      <c r="C194" s="49">
        <f>staticResult!$C$16-B194</f>
        <v>0.47825423898969305</v>
      </c>
      <c r="D194" s="448">
        <f t="shared" si="10"/>
        <v>0.10350878056541991</v>
      </c>
      <c r="E194" s="49">
        <f>((B194*staticResult!$C$2*100)+配裝模擬!$D$2+staticResult!$D$16*0.47)/staticResult!$C$2/100</f>
        <v>0.53844258780133336</v>
      </c>
      <c r="G194" s="448">
        <f t="shared" ref="G194:G257" ca="1" si="12">(1+I194)*(J194*$F$13+(1-J194))</f>
        <v>2.9857431556913063</v>
      </c>
      <c r="H194" s="49">
        <v>0.442</v>
      </c>
      <c r="I194" s="49">
        <f ca="1">((M194*staticResult!$C$2*100)+配裝模擬!$D$2+staticResult!$D$16*0.47)/staticResult!$C$2/100</f>
        <v>0.58264258780133349</v>
      </c>
      <c r="J194" s="49">
        <f ca="1">(staticResult!$C$16-H194)+BUFF!$F$27</f>
        <v>0.70575423898969314</v>
      </c>
      <c r="K194" s="448">
        <f t="shared" ca="1" si="11"/>
        <v>8.8506271643584628E-2</v>
      </c>
      <c r="L194" s="49">
        <f>((H194*staticResult!$C$2*100)+配裝模擬!$D$2+staticResult!$D$16*0.47)/staticResult!$C$2/100</f>
        <v>0.53844258780133336</v>
      </c>
      <c r="M194" s="476">
        <f ca="1">H194*(1+BUFF!$H$27)</f>
        <v>0.48620000000000002</v>
      </c>
    </row>
    <row r="195" spans="1:13">
      <c r="A195" s="448">
        <f t="shared" ref="A195:A258" si="13">(1+B195)*(C195*$F$3+(1-C195))</f>
        <v>2.0842842161078732</v>
      </c>
      <c r="B195" s="49">
        <v>0.443</v>
      </c>
      <c r="C195" s="49">
        <f>staticResult!$C$16-B195</f>
        <v>0.47725423898969305</v>
      </c>
      <c r="D195" s="448">
        <f t="shared" ref="D195:D258" si="14">(A195-A194)/(B195-B194)</f>
        <v>0.10164641719700986</v>
      </c>
      <c r="E195" s="49">
        <f>((B195*staticResult!$C$2*100)+配裝模擬!$D$2+staticResult!$D$16*0.47)/staticResult!$C$2/100</f>
        <v>0.53944258780133336</v>
      </c>
      <c r="G195" s="448">
        <f t="shared" ca="1" si="12"/>
        <v>2.9858288983632422</v>
      </c>
      <c r="H195" s="49">
        <v>0.443</v>
      </c>
      <c r="I195" s="49">
        <f ca="1">((M195*staticResult!$C$2*100)+配裝模擬!$D$2+staticResult!$D$16*0.47)/staticResult!$C$2/100</f>
        <v>0.58374258780133348</v>
      </c>
      <c r="J195" s="49">
        <f ca="1">(staticResult!$C$16-H195)+BUFF!$F$27</f>
        <v>0.70475423898969303</v>
      </c>
      <c r="K195" s="448">
        <f t="shared" ref="K195:K258" ca="1" si="15">(G195-G194)/(H195-H194)</f>
        <v>8.5742671935839995E-2</v>
      </c>
      <c r="L195" s="49">
        <f>((H195*staticResult!$C$2*100)+配裝模擬!$D$2+staticResult!$D$16*0.47)/staticResult!$C$2/100</f>
        <v>0.53944258780133336</v>
      </c>
      <c r="M195" s="476">
        <f ca="1">H195*(1+BUFF!$H$27)</f>
        <v>0.48730000000000007</v>
      </c>
    </row>
    <row r="196" spans="1:13">
      <c r="A196" s="448">
        <f t="shared" si="13"/>
        <v>2.0843840001617009</v>
      </c>
      <c r="B196" s="49">
        <v>0.44400000000000001</v>
      </c>
      <c r="C196" s="49">
        <f>staticResult!$C$16-B196</f>
        <v>0.47625423898969305</v>
      </c>
      <c r="D196" s="448">
        <f t="shared" si="14"/>
        <v>9.9784053827711633E-2</v>
      </c>
      <c r="E196" s="49">
        <f>((B196*staticResult!$C$2*100)+配裝模擬!$D$2+staticResult!$D$16*0.47)/staticResult!$C$2/100</f>
        <v>0.54044258780133336</v>
      </c>
      <c r="G196" s="448">
        <f t="shared" ca="1" si="12"/>
        <v>2.9859118774354738</v>
      </c>
      <c r="H196" s="49">
        <v>0.44400000000000001</v>
      </c>
      <c r="I196" s="49">
        <f ca="1">((M196*staticResult!$C$2*100)+配裝模擬!$D$2+staticResult!$D$16*0.47)/staticResult!$C$2/100</f>
        <v>0.58484258780133336</v>
      </c>
      <c r="J196" s="49">
        <f ca="1">(staticResult!$C$16-H196)+BUFF!$F$27</f>
        <v>0.70375423898969314</v>
      </c>
      <c r="K196" s="448">
        <f t="shared" ca="1" si="15"/>
        <v>8.2979072231648063E-2</v>
      </c>
      <c r="L196" s="49">
        <f>((H196*staticResult!$C$2*100)+配裝模擬!$D$2+staticResult!$D$16*0.47)/staticResult!$C$2/100</f>
        <v>0.54044258780133336</v>
      </c>
      <c r="M196" s="476">
        <f ca="1">H196*(1+BUFF!$H$27)</f>
        <v>0.48840000000000006</v>
      </c>
    </row>
    <row r="197" spans="1:13">
      <c r="A197" s="448">
        <f t="shared" si="13"/>
        <v>2.0844819218521597</v>
      </c>
      <c r="B197" s="49">
        <v>0.44500000000000001</v>
      </c>
      <c r="C197" s="49">
        <f>staticResult!$C$16-B197</f>
        <v>0.47525423898969305</v>
      </c>
      <c r="D197" s="448">
        <f t="shared" si="14"/>
        <v>9.7921690458857485E-2</v>
      </c>
      <c r="E197" s="49">
        <f>((B197*staticResult!$C$2*100)+配裝模擬!$D$2+staticResult!$D$16*0.47)/staticResult!$C$2/100</f>
        <v>0.54144258780133336</v>
      </c>
      <c r="G197" s="448">
        <f t="shared" ca="1" si="12"/>
        <v>2.9859920929079991</v>
      </c>
      <c r="H197" s="49">
        <v>0.44500000000000001</v>
      </c>
      <c r="I197" s="49">
        <f ca="1">((M197*staticResult!$C$2*100)+配裝模擬!$D$2+staticResult!$D$16*0.47)/staticResult!$C$2/100</f>
        <v>0.58594258780133346</v>
      </c>
      <c r="J197" s="49">
        <f ca="1">(staticResult!$C$16-H197)+BUFF!$F$27</f>
        <v>0.70275423898969303</v>
      </c>
      <c r="K197" s="448">
        <f t="shared" ca="1" si="15"/>
        <v>8.0215472525235684E-2</v>
      </c>
      <c r="L197" s="49">
        <f>((H197*staticResult!$C$2*100)+配裝模擬!$D$2+staticResult!$D$16*0.47)/staticResult!$C$2/100</f>
        <v>0.54144258780133336</v>
      </c>
      <c r="M197" s="476">
        <f ca="1">H197*(1+BUFF!$H$27)</f>
        <v>0.48950000000000005</v>
      </c>
    </row>
    <row r="198" spans="1:13">
      <c r="A198" s="448">
        <f t="shared" si="13"/>
        <v>2.0845779811792498</v>
      </c>
      <c r="B198" s="49">
        <v>0.44600000000000001</v>
      </c>
      <c r="C198" s="49">
        <f>staticResult!$C$16-B198</f>
        <v>0.47425423898969304</v>
      </c>
      <c r="D198" s="448">
        <f t="shared" si="14"/>
        <v>9.6059327090003338E-2</v>
      </c>
      <c r="E198" s="49">
        <f>((B198*staticResult!$C$2*100)+配裝模擬!$D$2+staticResult!$D$16*0.47)/staticResult!$C$2/100</f>
        <v>0.54244258780133336</v>
      </c>
      <c r="G198" s="448">
        <f t="shared" ca="1" si="12"/>
        <v>2.9860695447808179</v>
      </c>
      <c r="H198" s="49">
        <v>0.44600000000000001</v>
      </c>
      <c r="I198" s="49">
        <f ca="1">((M198*staticResult!$C$2*100)+配裝模擬!$D$2+staticResult!$D$16*0.47)/staticResult!$C$2/100</f>
        <v>0.58704258780133334</v>
      </c>
      <c r="J198" s="49">
        <f ca="1">(staticResult!$C$16-H198)+BUFF!$F$27</f>
        <v>0.70175423898969314</v>
      </c>
      <c r="K198" s="448">
        <f t="shared" ca="1" si="15"/>
        <v>7.7451872818823306E-2</v>
      </c>
      <c r="L198" s="49">
        <f>((H198*staticResult!$C$2*100)+配裝模擬!$D$2+staticResult!$D$16*0.47)/staticResult!$C$2/100</f>
        <v>0.54244258780133336</v>
      </c>
      <c r="M198" s="476">
        <f ca="1">H198*(1+BUFF!$H$27)</f>
        <v>0.49060000000000004</v>
      </c>
    </row>
    <row r="199" spans="1:13">
      <c r="A199" s="448">
        <f t="shared" si="13"/>
        <v>2.0846721781429709</v>
      </c>
      <c r="B199" s="49">
        <v>0.44700000000000001</v>
      </c>
      <c r="C199" s="49">
        <f>staticResult!$C$16-B199</f>
        <v>0.47325423898969304</v>
      </c>
      <c r="D199" s="448">
        <f t="shared" si="14"/>
        <v>9.4196963721149191E-2</v>
      </c>
      <c r="E199" s="49">
        <f>((B199*staticResult!$C$2*100)+配裝模擬!$D$2+staticResult!$D$16*0.47)/staticResult!$C$2/100</f>
        <v>0.54344258780133337</v>
      </c>
      <c r="G199" s="448">
        <f t="shared" ca="1" si="12"/>
        <v>2.9861442330539316</v>
      </c>
      <c r="H199" s="49">
        <v>0.44700000000000001</v>
      </c>
      <c r="I199" s="49">
        <f ca="1">((M199*staticResult!$C$2*100)+配裝模擬!$D$2+staticResult!$D$16*0.47)/staticResult!$C$2/100</f>
        <v>0.58814258780133333</v>
      </c>
      <c r="J199" s="49">
        <f ca="1">(staticResult!$C$16-H199)+BUFF!$F$27</f>
        <v>0.70075423898969302</v>
      </c>
      <c r="K199" s="448">
        <f t="shared" ca="1" si="15"/>
        <v>7.4688273113743195E-2</v>
      </c>
      <c r="L199" s="49">
        <f>((H199*staticResult!$C$2*100)+配裝模擬!$D$2+staticResult!$D$16*0.47)/staticResult!$C$2/100</f>
        <v>0.54344258780133337</v>
      </c>
      <c r="M199" s="476">
        <f ca="1">H199*(1+BUFF!$H$27)</f>
        <v>0.49170000000000003</v>
      </c>
    </row>
    <row r="200" spans="1:13">
      <c r="A200" s="448">
        <f t="shared" si="13"/>
        <v>2.0847645127433228</v>
      </c>
      <c r="B200" s="49">
        <v>0.44800000000000001</v>
      </c>
      <c r="C200" s="49">
        <f>staticResult!$C$16-B200</f>
        <v>0.47225423898969304</v>
      </c>
      <c r="D200" s="448">
        <f t="shared" si="14"/>
        <v>9.2334600351850954E-2</v>
      </c>
      <c r="E200" s="49">
        <f>((B200*staticResult!$C$2*100)+配裝模擬!$D$2+staticResult!$D$16*0.47)/staticResult!$C$2/100</f>
        <v>0.54444258780133337</v>
      </c>
      <c r="G200" s="448">
        <f t="shared" ca="1" si="12"/>
        <v>2.9862161577273398</v>
      </c>
      <c r="H200" s="49">
        <v>0.44800000000000001</v>
      </c>
      <c r="I200" s="49">
        <f ca="1">((M200*staticResult!$C$2*100)+配裝模擬!$D$2+staticResult!$D$16*0.47)/staticResult!$C$2/100</f>
        <v>0.58924258780133354</v>
      </c>
      <c r="J200" s="49">
        <f ca="1">(staticResult!$C$16-H200)+BUFF!$F$27</f>
        <v>0.69975423898969313</v>
      </c>
      <c r="K200" s="448">
        <f t="shared" ca="1" si="15"/>
        <v>7.1924673408218995E-2</v>
      </c>
      <c r="L200" s="49">
        <f>((H200*staticResult!$C$2*100)+配裝模擬!$D$2+staticResult!$D$16*0.47)/staticResult!$C$2/100</f>
        <v>0.54444258780133337</v>
      </c>
      <c r="M200" s="476">
        <f ca="1">H200*(1+BUFF!$H$27)</f>
        <v>0.49280000000000007</v>
      </c>
    </row>
    <row r="201" spans="1:13">
      <c r="A201" s="448">
        <f t="shared" si="13"/>
        <v>2.0848549849803071</v>
      </c>
      <c r="B201" s="49">
        <v>0.44900000000000001</v>
      </c>
      <c r="C201" s="49">
        <f>staticResult!$C$16-B201</f>
        <v>0.47125423898969304</v>
      </c>
      <c r="D201" s="448">
        <f t="shared" si="14"/>
        <v>9.0472236984329074E-2</v>
      </c>
      <c r="E201" s="49">
        <f>((B201*staticResult!$C$2*100)+配裝模擬!$D$2+staticResult!$D$16*0.47)/staticResult!$C$2/100</f>
        <v>0.54544258780133337</v>
      </c>
      <c r="G201" s="448">
        <f t="shared" ca="1" si="12"/>
        <v>2.9862853188010416</v>
      </c>
      <c r="H201" s="49">
        <v>0.44900000000000001</v>
      </c>
      <c r="I201" s="49">
        <f ca="1">((M201*staticResult!$C$2*100)+配裝模擬!$D$2+staticResult!$D$16*0.47)/staticResult!$C$2/100</f>
        <v>0.59034258780133353</v>
      </c>
      <c r="J201" s="49">
        <f ca="1">(staticResult!$C$16-H201)+BUFF!$F$27</f>
        <v>0.69875423898969302</v>
      </c>
      <c r="K201" s="448">
        <f t="shared" ca="1" si="15"/>
        <v>6.916107370180663E-2</v>
      </c>
      <c r="L201" s="49">
        <f>((H201*staticResult!$C$2*100)+配裝模擬!$D$2+staticResult!$D$16*0.47)/staticResult!$C$2/100</f>
        <v>0.54544258780133337</v>
      </c>
      <c r="M201" s="476">
        <f ca="1">H201*(1+BUFF!$H$27)</f>
        <v>0.49390000000000006</v>
      </c>
    </row>
    <row r="202" spans="1:13">
      <c r="A202" s="448">
        <f t="shared" si="13"/>
        <v>2.0849435948539208</v>
      </c>
      <c r="B202" s="49">
        <v>0.45</v>
      </c>
      <c r="C202" s="49">
        <f>staticResult!$C$16-B202</f>
        <v>0.47025423898969304</v>
      </c>
      <c r="D202" s="448">
        <f t="shared" si="14"/>
        <v>8.860987361369857E-2</v>
      </c>
      <c r="E202" s="49">
        <f>((B202*staticResult!$C$2*100)+配裝模擬!$D$2+staticResult!$D$16*0.47)/staticResult!$C$2/100</f>
        <v>0.54644258780133337</v>
      </c>
      <c r="G202" s="448">
        <f t="shared" ca="1" si="12"/>
        <v>2.9863517162750379</v>
      </c>
      <c r="H202" s="49">
        <v>0.45</v>
      </c>
      <c r="I202" s="49">
        <f ca="1">((M202*staticResult!$C$2*100)+配裝模擬!$D$2+staticResult!$D$16*0.47)/staticResult!$C$2/100</f>
        <v>0.59144258780133341</v>
      </c>
      <c r="J202" s="49">
        <f ca="1">(staticResult!$C$16-H202)+BUFF!$F$27</f>
        <v>0.69775423898969313</v>
      </c>
      <c r="K202" s="448">
        <f t="shared" ca="1" si="15"/>
        <v>6.639747399628243E-2</v>
      </c>
      <c r="L202" s="49">
        <f>((H202*staticResult!$C$2*100)+配裝模擬!$D$2+staticResult!$D$16*0.47)/staticResult!$C$2/100</f>
        <v>0.54644258780133337</v>
      </c>
      <c r="M202" s="476">
        <f ca="1">H202*(1+BUFF!$H$27)</f>
        <v>0.49500000000000005</v>
      </c>
    </row>
    <row r="203" spans="1:13">
      <c r="A203" s="448">
        <f t="shared" si="13"/>
        <v>2.0850303423641665</v>
      </c>
      <c r="B203" s="49">
        <v>0.45100000000000001</v>
      </c>
      <c r="C203" s="49">
        <f>staticResult!$C$16-B203</f>
        <v>0.46925423898969304</v>
      </c>
      <c r="D203" s="448">
        <f t="shared" si="14"/>
        <v>8.6747510245732601E-2</v>
      </c>
      <c r="E203" s="49">
        <f>((B203*staticResult!$C$2*100)+配裝模擬!$D$2+staticResult!$D$16*0.47)/staticResult!$C$2/100</f>
        <v>0.54744258780133348</v>
      </c>
      <c r="G203" s="448">
        <f t="shared" ca="1" si="12"/>
        <v>2.9864153501493278</v>
      </c>
      <c r="H203" s="49">
        <v>0.45100000000000001</v>
      </c>
      <c r="I203" s="49">
        <f ca="1">((M203*staticResult!$C$2*100)+配裝模擬!$D$2+staticResult!$D$16*0.47)/staticResult!$C$2/100</f>
        <v>0.5925425878013334</v>
      </c>
      <c r="J203" s="49">
        <f ca="1">(staticResult!$C$16-H203)+BUFF!$F$27</f>
        <v>0.69675423898969302</v>
      </c>
      <c r="K203" s="448">
        <f t="shared" ca="1" si="15"/>
        <v>6.3633874289870052E-2</v>
      </c>
      <c r="L203" s="49">
        <f>((H203*staticResult!$C$2*100)+配裝模擬!$D$2+staticResult!$D$16*0.47)/staticResult!$C$2/100</f>
        <v>0.54744258780133348</v>
      </c>
      <c r="M203" s="476">
        <f ca="1">H203*(1+BUFF!$H$27)</f>
        <v>0.49610000000000004</v>
      </c>
    </row>
    <row r="204" spans="1:13">
      <c r="A204" s="448">
        <f t="shared" si="13"/>
        <v>2.0851152275110429</v>
      </c>
      <c r="B204" s="49">
        <v>0.45200000000000001</v>
      </c>
      <c r="C204" s="49">
        <f>staticResult!$C$16-B204</f>
        <v>0.46825423898969304</v>
      </c>
      <c r="D204" s="448">
        <f t="shared" si="14"/>
        <v>8.4885146876434378E-2</v>
      </c>
      <c r="E204" s="49">
        <f>((B204*staticResult!$C$2*100)+配裝模擬!$D$2+staticResult!$D$16*0.47)/staticResult!$C$2/100</f>
        <v>0.54844258780133337</v>
      </c>
      <c r="G204" s="448">
        <f t="shared" ca="1" si="12"/>
        <v>2.986476220423913</v>
      </c>
      <c r="H204" s="49">
        <v>0.45200000000000001</v>
      </c>
      <c r="I204" s="49">
        <f ca="1">((M204*staticResult!$C$2*100)+配裝模擬!$D$2+staticResult!$D$16*0.47)/staticResult!$C$2/100</f>
        <v>0.59364258780133339</v>
      </c>
      <c r="J204" s="49">
        <f ca="1">(staticResult!$C$16-H204)+BUFF!$F$27</f>
        <v>0.69575423898969313</v>
      </c>
      <c r="K204" s="448">
        <f t="shared" ca="1" si="15"/>
        <v>6.087027458523403E-2</v>
      </c>
      <c r="L204" s="49">
        <f>((H204*staticResult!$C$2*100)+配裝模擬!$D$2+staticResult!$D$16*0.47)/staticResult!$C$2/100</f>
        <v>0.54844258780133337</v>
      </c>
      <c r="M204" s="476">
        <f ca="1">H204*(1+BUFF!$H$27)</f>
        <v>0.49720000000000003</v>
      </c>
    </row>
    <row r="205" spans="1:13">
      <c r="A205" s="448">
        <f t="shared" si="13"/>
        <v>2.085198250294551</v>
      </c>
      <c r="B205" s="49">
        <v>0.45300000000000001</v>
      </c>
      <c r="C205" s="49">
        <f>staticResult!$C$16-B205</f>
        <v>0.46725423898969304</v>
      </c>
      <c r="D205" s="448">
        <f t="shared" si="14"/>
        <v>8.302278350802432E-2</v>
      </c>
      <c r="E205" s="49">
        <f>((B205*staticResult!$C$2*100)+配裝模擬!$D$2+staticResult!$D$16*0.47)/staticResult!$C$2/100</f>
        <v>0.54944258780133337</v>
      </c>
      <c r="G205" s="448">
        <f t="shared" ca="1" si="12"/>
        <v>2.9865343270987919</v>
      </c>
      <c r="H205" s="49">
        <v>0.45300000000000001</v>
      </c>
      <c r="I205" s="49">
        <f ca="1">((M205*staticResult!$C$2*100)+配裝模擬!$D$2+staticResult!$D$16*0.47)/staticResult!$C$2/100</f>
        <v>0.59474258780133338</v>
      </c>
      <c r="J205" s="49">
        <f ca="1">(staticResult!$C$16-H205)+BUFF!$F$27</f>
        <v>0.69475423898969302</v>
      </c>
      <c r="K205" s="448">
        <f t="shared" ca="1" si="15"/>
        <v>5.8106674878821658E-2</v>
      </c>
      <c r="L205" s="49">
        <f>((H205*staticResult!$C$2*100)+配裝模擬!$D$2+staticResult!$D$16*0.47)/staticResult!$C$2/100</f>
        <v>0.54944258780133337</v>
      </c>
      <c r="M205" s="476">
        <f ca="1">H205*(1+BUFF!$H$27)</f>
        <v>0.49830000000000008</v>
      </c>
    </row>
    <row r="206" spans="1:13">
      <c r="A206" s="448">
        <f t="shared" si="13"/>
        <v>2.0852794107146897</v>
      </c>
      <c r="B206" s="49">
        <v>0.45400000000000001</v>
      </c>
      <c r="C206" s="49">
        <f>staticResult!$C$16-B206</f>
        <v>0.46625423898969304</v>
      </c>
      <c r="D206" s="448">
        <f t="shared" si="14"/>
        <v>8.1160420138726083E-2</v>
      </c>
      <c r="E206" s="49">
        <f>((B206*staticResult!$C$2*100)+配裝模擬!$D$2+staticResult!$D$16*0.47)/staticResult!$C$2/100</f>
        <v>0.55044258780133337</v>
      </c>
      <c r="G206" s="448">
        <f t="shared" ca="1" si="12"/>
        <v>2.9865896701739651</v>
      </c>
      <c r="H206" s="49">
        <v>0.45400000000000001</v>
      </c>
      <c r="I206" s="49">
        <f ca="1">((M206*staticResult!$C$2*100)+配裝模擬!$D$2+staticResult!$D$16*0.47)/staticResult!$C$2/100</f>
        <v>0.59584258780133359</v>
      </c>
      <c r="J206" s="49">
        <f ca="1">(staticResult!$C$16-H206)+BUFF!$F$27</f>
        <v>0.69375423898969313</v>
      </c>
      <c r="K206" s="448">
        <f t="shared" ca="1" si="15"/>
        <v>5.5343075173297458E-2</v>
      </c>
      <c r="L206" s="49">
        <f>((H206*staticResult!$C$2*100)+配裝模擬!$D$2+staticResult!$D$16*0.47)/staticResult!$C$2/100</f>
        <v>0.55044258780133337</v>
      </c>
      <c r="M206" s="476">
        <f ca="1">H206*(1+BUFF!$H$27)</f>
        <v>0.49940000000000007</v>
      </c>
    </row>
    <row r="207" spans="1:13">
      <c r="A207" s="448">
        <f t="shared" si="13"/>
        <v>2.08535870877146</v>
      </c>
      <c r="B207" s="49">
        <v>0.45500000000000002</v>
      </c>
      <c r="C207" s="49">
        <f>staticResult!$C$16-B207</f>
        <v>0.46525423898969304</v>
      </c>
      <c r="D207" s="448">
        <f t="shared" si="14"/>
        <v>7.9298056770316025E-2</v>
      </c>
      <c r="E207" s="49">
        <f>((B207*staticResult!$C$2*100)+配裝模擬!$D$2+staticResult!$D$16*0.47)/staticResult!$C$2/100</f>
        <v>0.55144258780133337</v>
      </c>
      <c r="G207" s="448">
        <f t="shared" ca="1" si="12"/>
        <v>2.986642249649432</v>
      </c>
      <c r="H207" s="49">
        <v>0.45500000000000002</v>
      </c>
      <c r="I207" s="49">
        <f ca="1">((M207*staticResult!$C$2*100)+配裝模擬!$D$2+staticResult!$D$16*0.47)/staticResult!$C$2/100</f>
        <v>0.59694258780133336</v>
      </c>
      <c r="J207" s="49">
        <f ca="1">(staticResult!$C$16-H207)+BUFF!$F$27</f>
        <v>0.69275423898969302</v>
      </c>
      <c r="K207" s="448">
        <f t="shared" ca="1" si="15"/>
        <v>5.257947546688508E-2</v>
      </c>
      <c r="L207" s="49">
        <f>((H207*staticResult!$C$2*100)+配裝模擬!$D$2+staticResult!$D$16*0.47)/staticResult!$C$2/100</f>
        <v>0.55144258780133337</v>
      </c>
      <c r="M207" s="476">
        <f ca="1">H207*(1+BUFF!$H$27)</f>
        <v>0.50050000000000006</v>
      </c>
    </row>
    <row r="208" spans="1:13">
      <c r="A208" s="448">
        <f t="shared" si="13"/>
        <v>2.0854361444648606</v>
      </c>
      <c r="B208" s="49">
        <v>0.45600000000000002</v>
      </c>
      <c r="C208" s="49">
        <f>staticResult!$C$16-B208</f>
        <v>0.46425423898969304</v>
      </c>
      <c r="D208" s="448">
        <f t="shared" si="14"/>
        <v>7.7435693400573699E-2</v>
      </c>
      <c r="E208" s="49">
        <f>((B208*staticResult!$C$2*100)+配裝模擬!$D$2+staticResult!$D$16*0.47)/staticResult!$C$2/100</f>
        <v>0.55244258780133348</v>
      </c>
      <c r="G208" s="448">
        <f t="shared" ca="1" si="12"/>
        <v>2.9866920655251938</v>
      </c>
      <c r="H208" s="49">
        <v>0.45600000000000002</v>
      </c>
      <c r="I208" s="49">
        <f ca="1">((M208*staticResult!$C$2*100)+配裝模擬!$D$2+staticResult!$D$16*0.47)/staticResult!$C$2/100</f>
        <v>0.59804258780133346</v>
      </c>
      <c r="J208" s="49">
        <f ca="1">(staticResult!$C$16-H208)+BUFF!$F$27</f>
        <v>0.69175423898969313</v>
      </c>
      <c r="K208" s="448">
        <f t="shared" ca="1" si="15"/>
        <v>4.9815875761804976E-2</v>
      </c>
      <c r="L208" s="49">
        <f>((H208*staticResult!$C$2*100)+配裝模擬!$D$2+staticResult!$D$16*0.47)/staticResult!$C$2/100</f>
        <v>0.55244258780133348</v>
      </c>
      <c r="M208" s="476">
        <f ca="1">H208*(1+BUFF!$H$27)</f>
        <v>0.50160000000000005</v>
      </c>
    </row>
    <row r="209" spans="1:13">
      <c r="A209" s="448">
        <f t="shared" si="13"/>
        <v>2.0855117177948932</v>
      </c>
      <c r="B209" s="49">
        <v>0.45700000000000002</v>
      </c>
      <c r="C209" s="49">
        <f>staticResult!$C$16-B209</f>
        <v>0.46325423898969303</v>
      </c>
      <c r="D209" s="448">
        <f t="shared" si="14"/>
        <v>7.557333003260773E-2</v>
      </c>
      <c r="E209" s="49">
        <f>((B209*staticResult!$C$2*100)+配裝模擬!$D$2+staticResult!$D$16*0.47)/staticResult!$C$2/100</f>
        <v>0.55344258780133326</v>
      </c>
      <c r="G209" s="448">
        <f t="shared" ca="1" si="12"/>
        <v>2.9867391178012492</v>
      </c>
      <c r="H209" s="49">
        <v>0.45700000000000002</v>
      </c>
      <c r="I209" s="49">
        <f ca="1">((M209*staticResult!$C$2*100)+配裝模擬!$D$2+staticResult!$D$16*0.47)/staticResult!$C$2/100</f>
        <v>0.59914258780133334</v>
      </c>
      <c r="J209" s="49">
        <f ca="1">(staticResult!$C$16-H209)+BUFF!$F$27</f>
        <v>0.69075423898969301</v>
      </c>
      <c r="K209" s="448">
        <f t="shared" ca="1" si="15"/>
        <v>4.7052276055392597E-2</v>
      </c>
      <c r="L209" s="49">
        <f>((H209*staticResult!$C$2*100)+配裝模擬!$D$2+staticResult!$D$16*0.47)/staticResult!$C$2/100</f>
        <v>0.55344258780133326</v>
      </c>
      <c r="M209" s="476">
        <f ca="1">H209*(1+BUFF!$H$27)</f>
        <v>0.50270000000000004</v>
      </c>
    </row>
    <row r="210" spans="1:13">
      <c r="A210" s="448">
        <f t="shared" si="13"/>
        <v>2.0855854287615565</v>
      </c>
      <c r="B210" s="49">
        <v>0.45800000000000002</v>
      </c>
      <c r="C210" s="49">
        <f>staticResult!$C$16-B210</f>
        <v>0.46225423898969303</v>
      </c>
      <c r="D210" s="448">
        <f t="shared" si="14"/>
        <v>7.3710966663309493E-2</v>
      </c>
      <c r="E210" s="49">
        <f>((B210*staticResult!$C$2*100)+配裝模擬!$D$2+staticResult!$D$16*0.47)/staticResult!$C$2/100</f>
        <v>0.55444258780133338</v>
      </c>
      <c r="G210" s="448">
        <f t="shared" ca="1" si="12"/>
        <v>2.9867834064775995</v>
      </c>
      <c r="H210" s="49">
        <v>0.45800000000000002</v>
      </c>
      <c r="I210" s="49">
        <f ca="1">((M210*staticResult!$C$2*100)+配裝模擬!$D$2+staticResult!$D$16*0.47)/staticResult!$C$2/100</f>
        <v>0.60024258780133333</v>
      </c>
      <c r="J210" s="49">
        <f ca="1">(staticResult!$C$16-H210)+BUFF!$F$27</f>
        <v>0.68975423898969312</v>
      </c>
      <c r="K210" s="448">
        <f t="shared" ca="1" si="15"/>
        <v>4.4288676350312486E-2</v>
      </c>
      <c r="L210" s="49">
        <f>((H210*staticResult!$C$2*100)+配裝模擬!$D$2+staticResult!$D$16*0.47)/staticResult!$C$2/100</f>
        <v>0.55444258780133338</v>
      </c>
      <c r="M210" s="476">
        <f ca="1">H210*(1+BUFF!$H$27)</f>
        <v>0.50380000000000003</v>
      </c>
    </row>
    <row r="211" spans="1:13">
      <c r="A211" s="448">
        <f t="shared" si="13"/>
        <v>2.0856572773648505</v>
      </c>
      <c r="B211" s="49">
        <v>0.45900000000000002</v>
      </c>
      <c r="C211" s="49">
        <f>staticResult!$C$16-B211</f>
        <v>0.46125423898969303</v>
      </c>
      <c r="D211" s="448">
        <f t="shared" si="14"/>
        <v>7.1848603294011257E-2</v>
      </c>
      <c r="E211" s="49">
        <f>((B211*staticResult!$C$2*100)+配裝模擬!$D$2+staticResult!$D$16*0.47)/staticResult!$C$2/100</f>
        <v>0.55544258780133338</v>
      </c>
      <c r="G211" s="448">
        <f t="shared" ca="1" si="12"/>
        <v>2.986824931554243</v>
      </c>
      <c r="H211" s="49">
        <v>0.45900000000000002</v>
      </c>
      <c r="I211" s="49">
        <f ca="1">((M211*staticResult!$C$2*100)+配裝模擬!$D$2+staticResult!$D$16*0.47)/staticResult!$C$2/100</f>
        <v>0.60134258780133332</v>
      </c>
      <c r="J211" s="49">
        <f ca="1">(staticResult!$C$16-H211)+BUFF!$F$27</f>
        <v>0.68875423898969301</v>
      </c>
      <c r="K211" s="448">
        <f t="shared" ca="1" si="15"/>
        <v>4.1525076643456026E-2</v>
      </c>
      <c r="L211" s="49">
        <f>((H211*staticResult!$C$2*100)+配裝模擬!$D$2+staticResult!$D$16*0.47)/staticResult!$C$2/100</f>
        <v>0.55544258780133338</v>
      </c>
      <c r="M211" s="476">
        <f ca="1">H211*(1+BUFF!$H$27)</f>
        <v>0.50490000000000002</v>
      </c>
    </row>
    <row r="212" spans="1:13">
      <c r="A212" s="448">
        <f t="shared" si="13"/>
        <v>2.0857272636047761</v>
      </c>
      <c r="B212" s="49">
        <v>0.46</v>
      </c>
      <c r="C212" s="49">
        <f>staticResult!$C$16-B212</f>
        <v>0.46025423898969303</v>
      </c>
      <c r="D212" s="448">
        <f t="shared" si="14"/>
        <v>6.9986239925601212E-2</v>
      </c>
      <c r="E212" s="49">
        <f>((B212*staticResult!$C$2*100)+配裝模擬!$D$2+staticResult!$D$16*0.47)/staticResult!$C$2/100</f>
        <v>0.55644258780133338</v>
      </c>
      <c r="G212" s="448">
        <f t="shared" ca="1" si="12"/>
        <v>2.9868636930311823</v>
      </c>
      <c r="H212" s="49">
        <v>0.46</v>
      </c>
      <c r="I212" s="49">
        <f ca="1">((M212*staticResult!$C$2*100)+配裝模擬!$D$2+staticResult!$D$16*0.47)/staticResult!$C$2/100</f>
        <v>0.60244258780133353</v>
      </c>
      <c r="J212" s="49">
        <f ca="1">(staticResult!$C$16-H212)+BUFF!$F$27</f>
        <v>0.68775423898969312</v>
      </c>
      <c r="K212" s="448">
        <f t="shared" ca="1" si="15"/>
        <v>3.8761476939264093E-2</v>
      </c>
      <c r="L212" s="49">
        <f>((H212*staticResult!$C$2*100)+配裝模擬!$D$2+staticResult!$D$16*0.47)/staticResult!$C$2/100</f>
        <v>0.55644258780133338</v>
      </c>
      <c r="M212" s="476">
        <f ca="1">H212*(1+BUFF!$H$27)</f>
        <v>0.50600000000000012</v>
      </c>
    </row>
    <row r="213" spans="1:13">
      <c r="A213" s="448">
        <f t="shared" si="13"/>
        <v>2.0857953874813329</v>
      </c>
      <c r="B213" s="49">
        <v>0.46100000000000002</v>
      </c>
      <c r="C213" s="49">
        <f>staticResult!$C$16-B213</f>
        <v>0.45925423898969303</v>
      </c>
      <c r="D213" s="448">
        <f t="shared" si="14"/>
        <v>6.8123876556747065E-2</v>
      </c>
      <c r="E213" s="49">
        <f>((B213*staticResult!$C$2*100)+配裝模擬!$D$2+staticResult!$D$16*0.47)/staticResult!$C$2/100</f>
        <v>0.55744258780133338</v>
      </c>
      <c r="G213" s="448">
        <f t="shared" ca="1" si="12"/>
        <v>2.9868996909084147</v>
      </c>
      <c r="H213" s="49">
        <v>0.46100000000000002</v>
      </c>
      <c r="I213" s="49">
        <f ca="1">((M213*staticResult!$C$2*100)+配裝模擬!$D$2+staticResult!$D$16*0.47)/staticResult!$C$2/100</f>
        <v>0.60354258780133352</v>
      </c>
      <c r="J213" s="49">
        <f ca="1">(staticResult!$C$16-H213)+BUFF!$F$27</f>
        <v>0.68675423898969301</v>
      </c>
      <c r="K213" s="448">
        <f t="shared" ca="1" si="15"/>
        <v>3.5997877232407625E-2</v>
      </c>
      <c r="L213" s="49">
        <f>((H213*staticResult!$C$2*100)+配裝模擬!$D$2+staticResult!$D$16*0.47)/staticResult!$C$2/100</f>
        <v>0.55744258780133338</v>
      </c>
      <c r="M213" s="476">
        <f ca="1">H213*(1+BUFF!$H$27)</f>
        <v>0.50710000000000011</v>
      </c>
    </row>
    <row r="214" spans="1:13">
      <c r="A214" s="448">
        <f t="shared" si="13"/>
        <v>2.0858616489945199</v>
      </c>
      <c r="B214" s="49">
        <v>0.46200000000000002</v>
      </c>
      <c r="C214" s="49">
        <f>staticResult!$C$16-B214</f>
        <v>0.45825423898969303</v>
      </c>
      <c r="D214" s="448">
        <f t="shared" si="14"/>
        <v>6.6261513187004739E-2</v>
      </c>
      <c r="E214" s="49">
        <f>((B214*staticResult!$C$2*100)+配裝模擬!$D$2+staticResult!$D$16*0.47)/staticResult!$C$2/100</f>
        <v>0.55844258780133349</v>
      </c>
      <c r="G214" s="448">
        <f t="shared" ca="1" si="12"/>
        <v>2.9869329251859416</v>
      </c>
      <c r="H214" s="49">
        <v>0.46200000000000002</v>
      </c>
      <c r="I214" s="49">
        <f ca="1">((M214*staticResult!$C$2*100)+配裝模擬!$D$2+staticResult!$D$16*0.47)/staticResult!$C$2/100</f>
        <v>0.6046425878013334</v>
      </c>
      <c r="J214" s="49">
        <f ca="1">(staticResult!$C$16-H214)+BUFF!$F$27</f>
        <v>0.68575423898969312</v>
      </c>
      <c r="K214" s="448">
        <f t="shared" ca="1" si="15"/>
        <v>3.3234277526883432E-2</v>
      </c>
      <c r="L214" s="49">
        <f>((H214*staticResult!$C$2*100)+配裝模擬!$D$2+staticResult!$D$16*0.47)/staticResult!$C$2/100</f>
        <v>0.55844258780133349</v>
      </c>
      <c r="M214" s="476">
        <f ca="1">H214*(1+BUFF!$H$27)</f>
        <v>0.5082000000000001</v>
      </c>
    </row>
    <row r="215" spans="1:13">
      <c r="A215" s="448">
        <f t="shared" si="13"/>
        <v>2.0859260481443394</v>
      </c>
      <c r="B215" s="49">
        <v>0.46300000000000002</v>
      </c>
      <c r="C215" s="49">
        <f>staticResult!$C$16-B215</f>
        <v>0.45725423898969303</v>
      </c>
      <c r="D215" s="448">
        <f t="shared" si="14"/>
        <v>6.4399149819482859E-2</v>
      </c>
      <c r="E215" s="49">
        <f>((B215*staticResult!$C$2*100)+配裝模擬!$D$2+staticResult!$D$16*0.47)/staticResult!$C$2/100</f>
        <v>0.55944258780133327</v>
      </c>
      <c r="G215" s="448">
        <f t="shared" ca="1" si="12"/>
        <v>2.9869633958637629</v>
      </c>
      <c r="H215" s="49">
        <v>0.46300000000000002</v>
      </c>
      <c r="I215" s="49">
        <f ca="1">((M215*staticResult!$C$2*100)+配裝模擬!$D$2+staticResult!$D$16*0.47)/staticResult!$C$2/100</f>
        <v>0.6057425878013335</v>
      </c>
      <c r="J215" s="49">
        <f ca="1">(staticResult!$C$16-H215)+BUFF!$F$27</f>
        <v>0.68475423898969301</v>
      </c>
      <c r="K215" s="448">
        <f t="shared" ca="1" si="15"/>
        <v>3.0470677821359232E-2</v>
      </c>
      <c r="L215" s="49">
        <f>((H215*staticResult!$C$2*100)+配裝模擬!$D$2+staticResult!$D$16*0.47)/staticResult!$C$2/100</f>
        <v>0.55944258780133327</v>
      </c>
      <c r="M215" s="476">
        <f ca="1">H215*(1+BUFF!$H$27)</f>
        <v>0.50930000000000009</v>
      </c>
    </row>
    <row r="216" spans="1:13">
      <c r="A216" s="448">
        <f t="shared" si="13"/>
        <v>2.0859885849307886</v>
      </c>
      <c r="B216" s="49">
        <v>0.46400000000000002</v>
      </c>
      <c r="C216" s="49">
        <f>staticResult!$C$16-B216</f>
        <v>0.45625423898969303</v>
      </c>
      <c r="D216" s="448">
        <f t="shared" si="14"/>
        <v>6.2536786449296444E-2</v>
      </c>
      <c r="E216" s="49">
        <f>((B216*staticResult!$C$2*100)+配裝模擬!$D$2+staticResult!$D$16*0.47)/staticResult!$C$2/100</f>
        <v>0.56044258780133338</v>
      </c>
      <c r="G216" s="448">
        <f t="shared" ca="1" si="12"/>
        <v>2.9869911029418774</v>
      </c>
      <c r="H216" s="49">
        <v>0.46400000000000002</v>
      </c>
      <c r="I216" s="49">
        <f ca="1">((M216*staticResult!$C$2*100)+配裝模擬!$D$2+staticResult!$D$16*0.47)/staticResult!$C$2/100</f>
        <v>0.60684258780133338</v>
      </c>
      <c r="J216" s="49">
        <f ca="1">(staticResult!$C$16-H216)+BUFF!$F$27</f>
        <v>0.68375423898969312</v>
      </c>
      <c r="K216" s="448">
        <f t="shared" ca="1" si="15"/>
        <v>2.7707078114502768E-2</v>
      </c>
      <c r="L216" s="49">
        <f>((H216*staticResult!$C$2*100)+配裝模擬!$D$2+staticResult!$D$16*0.47)/staticResult!$C$2/100</f>
        <v>0.56044258780133338</v>
      </c>
      <c r="M216" s="476">
        <f ca="1">H216*(1+BUFF!$H$27)</f>
        <v>0.51040000000000008</v>
      </c>
    </row>
    <row r="217" spans="1:13">
      <c r="A217" s="448">
        <f t="shared" si="13"/>
        <v>2.08604925935387</v>
      </c>
      <c r="B217" s="49">
        <v>0.46500000000000002</v>
      </c>
      <c r="C217" s="49">
        <f>staticResult!$C$16-B217</f>
        <v>0.45525423898969303</v>
      </c>
      <c r="D217" s="448">
        <f t="shared" si="14"/>
        <v>6.0674423081330475E-2</v>
      </c>
      <c r="E217" s="49">
        <f>((B217*staticResult!$C$2*100)+配裝模擬!$D$2+staticResult!$D$16*0.47)/staticResult!$C$2/100</f>
        <v>0.56144258780133338</v>
      </c>
      <c r="G217" s="448">
        <f t="shared" ca="1" si="12"/>
        <v>2.9870160464202868</v>
      </c>
      <c r="H217" s="49">
        <v>0.46500000000000002</v>
      </c>
      <c r="I217" s="49">
        <f ca="1">((M217*staticResult!$C$2*100)+配裝模擬!$D$2+staticResult!$D$16*0.47)/staticResult!$C$2/100</f>
        <v>0.60794258780133337</v>
      </c>
      <c r="J217" s="49">
        <f ca="1">(staticResult!$C$16-H217)+BUFF!$F$27</f>
        <v>0.68275423898969301</v>
      </c>
      <c r="K217" s="448">
        <f t="shared" ca="1" si="15"/>
        <v>2.4943478409422661E-2</v>
      </c>
      <c r="L217" s="49">
        <f>((H217*staticResult!$C$2*100)+配裝模擬!$D$2+staticResult!$D$16*0.47)/staticResult!$C$2/100</f>
        <v>0.56144258780133338</v>
      </c>
      <c r="M217" s="476">
        <f ca="1">H217*(1+BUFF!$H$27)</f>
        <v>0.51150000000000007</v>
      </c>
    </row>
    <row r="218" spans="1:13">
      <c r="A218" s="448">
        <f t="shared" si="13"/>
        <v>2.086108071413582</v>
      </c>
      <c r="B218" s="49">
        <v>0.46600000000000003</v>
      </c>
      <c r="C218" s="49">
        <f>staticResult!$C$16-B218</f>
        <v>0.45425423898969303</v>
      </c>
      <c r="D218" s="448">
        <f t="shared" si="14"/>
        <v>5.8812059712032239E-2</v>
      </c>
      <c r="E218" s="49">
        <f>((B218*staticResult!$C$2*100)+配裝模擬!$D$2+staticResult!$D$16*0.47)/staticResult!$C$2/100</f>
        <v>0.56244258780133338</v>
      </c>
      <c r="G218" s="448">
        <f t="shared" ca="1" si="12"/>
        <v>2.9870382262989907</v>
      </c>
      <c r="H218" s="49">
        <v>0.46600000000000003</v>
      </c>
      <c r="I218" s="49">
        <f ca="1">((M218*staticResult!$C$2*100)+配裝模擬!$D$2+staticResult!$D$16*0.47)/staticResult!$C$2/100</f>
        <v>0.60904258780133336</v>
      </c>
      <c r="J218" s="49">
        <f ca="1">(staticResult!$C$16-H218)+BUFF!$F$27</f>
        <v>0.68175423898969312</v>
      </c>
      <c r="K218" s="448">
        <f t="shared" ca="1" si="15"/>
        <v>2.217987870389846E-2</v>
      </c>
      <c r="L218" s="49">
        <f>((H218*staticResult!$C$2*100)+配裝模擬!$D$2+staticResult!$D$16*0.47)/staticResult!$C$2/100</f>
        <v>0.56244258780133338</v>
      </c>
      <c r="M218" s="476">
        <f ca="1">H218*(1+BUFF!$H$27)</f>
        <v>0.51260000000000006</v>
      </c>
    </row>
    <row r="219" spans="1:13">
      <c r="A219" s="448">
        <f t="shared" si="13"/>
        <v>2.0861650211099252</v>
      </c>
      <c r="B219" s="49">
        <v>0.46700000000000003</v>
      </c>
      <c r="C219" s="49">
        <f>staticResult!$C$16-B219</f>
        <v>0.45325423898969303</v>
      </c>
      <c r="D219" s="448">
        <f t="shared" si="14"/>
        <v>5.6949696343178098E-2</v>
      </c>
      <c r="E219" s="49">
        <f>((B219*staticResult!$C$2*100)+配裝模擬!$D$2+staticResult!$D$16*0.47)/staticResult!$C$2/100</f>
        <v>0.56344258780133338</v>
      </c>
      <c r="G219" s="448">
        <f t="shared" ca="1" si="12"/>
        <v>2.9870576425779887</v>
      </c>
      <c r="H219" s="49">
        <v>0.46700000000000003</v>
      </c>
      <c r="I219" s="49">
        <f ca="1">((M219*staticResult!$C$2*100)+配裝模擬!$D$2+staticResult!$D$16*0.47)/staticResult!$C$2/100</f>
        <v>0.61014258780133346</v>
      </c>
      <c r="J219" s="49">
        <f ca="1">(staticResult!$C$16-H219)+BUFF!$F$27</f>
        <v>0.68075423898969301</v>
      </c>
      <c r="K219" s="448">
        <f t="shared" ca="1" si="15"/>
        <v>1.9416278997930175E-2</v>
      </c>
      <c r="L219" s="49">
        <f>((H219*staticResult!$C$2*100)+配裝模擬!$D$2+staticResult!$D$16*0.47)/staticResult!$C$2/100</f>
        <v>0.56344258780133338</v>
      </c>
      <c r="M219" s="476">
        <f ca="1">H219*(1+BUFF!$H$27)</f>
        <v>0.51370000000000005</v>
      </c>
    </row>
    <row r="220" spans="1:13">
      <c r="A220" s="448">
        <f t="shared" si="13"/>
        <v>2.0862201084428991</v>
      </c>
      <c r="B220" s="49">
        <v>0.46800000000000003</v>
      </c>
      <c r="C220" s="49">
        <f>staticResult!$C$16-B220</f>
        <v>0.45225423898969302</v>
      </c>
      <c r="D220" s="448">
        <f t="shared" si="14"/>
        <v>5.5087332973879861E-2</v>
      </c>
      <c r="E220" s="49">
        <f>((B220*staticResult!$C$2*100)+配裝模擬!$D$2+staticResult!$D$16*0.47)/staticResult!$C$2/100</f>
        <v>0.5644425878013335</v>
      </c>
      <c r="G220" s="448">
        <f t="shared" ca="1" si="12"/>
        <v>2.9870742952572802</v>
      </c>
      <c r="H220" s="49">
        <v>0.46800000000000003</v>
      </c>
      <c r="I220" s="49">
        <f ca="1">((M220*staticResult!$C$2*100)+配裝模擬!$D$2+staticResult!$D$16*0.47)/staticResult!$C$2/100</f>
        <v>0.61124258780133334</v>
      </c>
      <c r="J220" s="49">
        <f ca="1">(staticResult!$C$16-H220)+BUFF!$F$27</f>
        <v>0.67975423898969312</v>
      </c>
      <c r="K220" s="448">
        <f t="shared" ca="1" si="15"/>
        <v>1.66526792915178E-2</v>
      </c>
      <c r="L220" s="49">
        <f>((H220*staticResult!$C$2*100)+配裝模擬!$D$2+staticResult!$D$16*0.47)/staticResult!$C$2/100</f>
        <v>0.5644425878013335</v>
      </c>
      <c r="M220" s="476">
        <f ca="1">H220*(1+BUFF!$H$27)</f>
        <v>0.51480000000000004</v>
      </c>
    </row>
    <row r="221" spans="1:13">
      <c r="A221" s="448">
        <f t="shared" si="13"/>
        <v>2.0862733334125045</v>
      </c>
      <c r="B221" s="49">
        <v>0.46899999999999997</v>
      </c>
      <c r="C221" s="49">
        <f>staticResult!$C$16-B221</f>
        <v>0.45125423898969308</v>
      </c>
      <c r="D221" s="448">
        <f t="shared" si="14"/>
        <v>5.3224969605472759E-2</v>
      </c>
      <c r="E221" s="49">
        <f>((B221*staticResult!$C$2*100)+配裝模擬!$D$2+staticResult!$D$16*0.47)/staticResult!$C$2/100</f>
        <v>0.56544258780133327</v>
      </c>
      <c r="G221" s="448">
        <f t="shared" ca="1" si="12"/>
        <v>2.9870881843368666</v>
      </c>
      <c r="H221" s="49">
        <v>0.46899999999999997</v>
      </c>
      <c r="I221" s="49">
        <f ca="1">((M221*staticResult!$C$2*100)+配裝模擬!$D$2+staticResult!$D$16*0.47)/staticResult!$C$2/100</f>
        <v>0.61234258780133333</v>
      </c>
      <c r="J221" s="49">
        <f ca="1">(staticResult!$C$16-H221)+BUFF!$F$27</f>
        <v>0.67875423898969311</v>
      </c>
      <c r="K221" s="448">
        <f t="shared" ca="1" si="15"/>
        <v>1.3889079586438461E-2</v>
      </c>
      <c r="L221" s="49">
        <f>((H221*staticResult!$C$2*100)+配裝模擬!$D$2+staticResult!$D$16*0.47)/staticResult!$C$2/100</f>
        <v>0.56544258780133327</v>
      </c>
      <c r="M221" s="476">
        <f ca="1">H221*(1+BUFF!$H$27)</f>
        <v>0.51590000000000003</v>
      </c>
    </row>
    <row r="222" spans="1:13">
      <c r="A222" s="448">
        <f t="shared" si="13"/>
        <v>2.0863246960187416</v>
      </c>
      <c r="B222" s="49">
        <v>0.47</v>
      </c>
      <c r="C222" s="49">
        <f>staticResult!$C$16-B222</f>
        <v>0.45025423898969308</v>
      </c>
      <c r="D222" s="448">
        <f t="shared" si="14"/>
        <v>5.1362606237059745E-2</v>
      </c>
      <c r="E222" s="49">
        <f>((B222*staticResult!$C$2*100)+配裝模擬!$D$2+staticResult!$D$16*0.47)/staticResult!$C$2/100</f>
        <v>0.56644258780133339</v>
      </c>
      <c r="G222" s="448">
        <f t="shared" ca="1" si="12"/>
        <v>2.9870993098167471</v>
      </c>
      <c r="H222" s="49">
        <v>0.47</v>
      </c>
      <c r="I222" s="49">
        <f ca="1">((M222*staticResult!$C$2*100)+配裝模擬!$D$2+staticResult!$D$16*0.47)/staticResult!$C$2/100</f>
        <v>0.61344258780133343</v>
      </c>
      <c r="J222" s="49">
        <f ca="1">(staticResult!$C$16-H222)+BUFF!$F$27</f>
        <v>0.67775423898969311</v>
      </c>
      <c r="K222" s="448">
        <f t="shared" ca="1" si="15"/>
        <v>1.1125479880469403E-2</v>
      </c>
      <c r="L222" s="49">
        <f>((H222*staticResult!$C$2*100)+配裝模擬!$D$2+staticResult!$D$16*0.47)/staticResult!$C$2/100</f>
        <v>0.56644258780133339</v>
      </c>
      <c r="M222" s="476">
        <f ca="1">H222*(1+BUFF!$H$27)</f>
        <v>0.51700000000000002</v>
      </c>
    </row>
    <row r="223" spans="1:13">
      <c r="A223" s="448">
        <f t="shared" si="13"/>
        <v>2.0863741962616094</v>
      </c>
      <c r="B223" s="49">
        <v>0.47099999999999997</v>
      </c>
      <c r="C223" s="49">
        <f>staticResult!$C$16-B223</f>
        <v>0.44925423898969308</v>
      </c>
      <c r="D223" s="448">
        <f t="shared" si="14"/>
        <v>4.9500242867761515E-2</v>
      </c>
      <c r="E223" s="49">
        <f>((B223*staticResult!$C$2*100)+配裝模擬!$D$2+staticResult!$D$16*0.47)/staticResult!$C$2/100</f>
        <v>0.56744258780133339</v>
      </c>
      <c r="G223" s="448">
        <f t="shared" ca="1" si="12"/>
        <v>2.9871076716969225</v>
      </c>
      <c r="H223" s="49">
        <v>0.47099999999999997</v>
      </c>
      <c r="I223" s="49">
        <f ca="1">((M223*staticResult!$C$2*100)+配裝模擬!$D$2+staticResult!$D$16*0.47)/staticResult!$C$2/100</f>
        <v>0.61454258780133342</v>
      </c>
      <c r="J223" s="49">
        <f ca="1">(staticResult!$C$16-H223)+BUFF!$F$27</f>
        <v>0.67675423898969311</v>
      </c>
      <c r="K223" s="448">
        <f t="shared" ca="1" si="15"/>
        <v>8.3618801753892955E-3</v>
      </c>
      <c r="L223" s="49">
        <f>((H223*staticResult!$C$2*100)+配裝模擬!$D$2+staticResult!$D$16*0.47)/staticResult!$C$2/100</f>
        <v>0.56744258780133339</v>
      </c>
      <c r="M223" s="476">
        <f ca="1">H223*(1+BUFF!$H$27)</f>
        <v>0.5181</v>
      </c>
    </row>
    <row r="224" spans="1:13">
      <c r="A224" s="448">
        <f t="shared" si="13"/>
        <v>2.0864218341411074</v>
      </c>
      <c r="B224" s="49">
        <v>0.47199999999999998</v>
      </c>
      <c r="C224" s="49">
        <f>staticResult!$C$16-B224</f>
        <v>0.44825423898969308</v>
      </c>
      <c r="D224" s="448">
        <f t="shared" si="14"/>
        <v>4.7637879498019189E-2</v>
      </c>
      <c r="E224" s="49">
        <f>((B224*staticResult!$C$2*100)+配裝模擬!$D$2+staticResult!$D$16*0.47)/staticResult!$C$2/100</f>
        <v>0.56844258780133328</v>
      </c>
      <c r="G224" s="448">
        <f t="shared" ca="1" si="12"/>
        <v>2.987113269977391</v>
      </c>
      <c r="H224" s="49">
        <v>0.47199999999999998</v>
      </c>
      <c r="I224" s="49">
        <f ca="1">((M224*staticResult!$C$2*100)+配裝模擬!$D$2+staticResult!$D$16*0.47)/staticResult!$C$2/100</f>
        <v>0.61564258780133341</v>
      </c>
      <c r="J224" s="49">
        <f ca="1">(staticResult!$C$16-H224)+BUFF!$F$27</f>
        <v>0.67575423898969311</v>
      </c>
      <c r="K224" s="448">
        <f t="shared" ca="1" si="15"/>
        <v>5.5982804685328295E-3</v>
      </c>
      <c r="L224" s="49">
        <f>((H224*staticResult!$C$2*100)+配裝模擬!$D$2+staticResult!$D$16*0.47)/staticResult!$C$2/100</f>
        <v>0.56844258780133328</v>
      </c>
      <c r="M224" s="476">
        <f ca="1">H224*(1+BUFF!$H$27)</f>
        <v>0.51919999999999999</v>
      </c>
    </row>
    <row r="225" spans="1:13">
      <c r="A225" s="448">
        <f t="shared" si="13"/>
        <v>2.086467609657237</v>
      </c>
      <c r="B225" s="49">
        <v>0.47299999999999998</v>
      </c>
      <c r="C225" s="49">
        <f>staticResult!$C$16-B225</f>
        <v>0.44725423898969308</v>
      </c>
      <c r="D225" s="448">
        <f t="shared" si="14"/>
        <v>4.5775516129609131E-2</v>
      </c>
      <c r="E225" s="49">
        <f>((B225*staticResult!$C$2*100)+配裝模擬!$D$2+staticResult!$D$16*0.47)/staticResult!$C$2/100</f>
        <v>0.56944258780133339</v>
      </c>
      <c r="G225" s="448">
        <f t="shared" ca="1" si="12"/>
        <v>2.9871161046581536</v>
      </c>
      <c r="H225" s="49">
        <v>0.47299999999999998</v>
      </c>
      <c r="I225" s="49">
        <f ca="1">((M225*staticResult!$C$2*100)+配裝模擬!$D$2+staticResult!$D$16*0.47)/staticResult!$C$2/100</f>
        <v>0.61674258780133351</v>
      </c>
      <c r="J225" s="49">
        <f ca="1">(staticResult!$C$16-H225)+BUFF!$F$27</f>
        <v>0.67475423898969311</v>
      </c>
      <c r="K225" s="448">
        <f t="shared" ca="1" si="15"/>
        <v>2.8346807625645428E-3</v>
      </c>
      <c r="L225" s="49">
        <f>((H225*staticResult!$C$2*100)+配裝模擬!$D$2+staticResult!$D$16*0.47)/staticResult!$C$2/100</f>
        <v>0.56944258780133339</v>
      </c>
      <c r="M225" s="476">
        <f ca="1">H225*(1+BUFF!$H$27)</f>
        <v>0.52029999999999998</v>
      </c>
    </row>
    <row r="226" spans="1:13">
      <c r="A226" s="448">
        <f t="shared" si="13"/>
        <v>2.0865115228099982</v>
      </c>
      <c r="B226" s="49">
        <v>0.47399999999999998</v>
      </c>
      <c r="C226" s="49">
        <f>staticResult!$C$16-B226</f>
        <v>0.44625423898969308</v>
      </c>
      <c r="D226" s="448">
        <f t="shared" si="14"/>
        <v>4.3913152761199073E-2</v>
      </c>
      <c r="E226" s="49">
        <f>((B226*staticResult!$C$2*100)+配裝模擬!$D$2+staticResult!$D$16*0.47)/staticResult!$C$2/100</f>
        <v>0.57044258780133328</v>
      </c>
      <c r="G226" s="448">
        <f t="shared" ca="1" si="12"/>
        <v>2.9871161757392111</v>
      </c>
      <c r="H226" s="49">
        <v>0.47399999999999998</v>
      </c>
      <c r="I226" s="49">
        <f ca="1">((M226*staticResult!$C$2*100)+配裝模擬!$D$2+staticResult!$D$16*0.47)/staticResult!$C$2/100</f>
        <v>0.61784258780133339</v>
      </c>
      <c r="J226" s="49">
        <f ca="1">(staticResult!$C$16-H226)+BUFF!$F$27</f>
        <v>0.67375423898969311</v>
      </c>
      <c r="K226" s="448">
        <f t="shared" ca="1" si="15"/>
        <v>7.1081057484434428E-5</v>
      </c>
      <c r="L226" s="49">
        <f>((H226*staticResult!$C$2*100)+配裝模擬!$D$2+staticResult!$D$16*0.47)/staticResult!$C$2/100</f>
        <v>0.57044258780133328</v>
      </c>
      <c r="M226" s="476">
        <f ca="1">H226*(1+BUFF!$H$27)</f>
        <v>0.52139999999999997</v>
      </c>
    </row>
    <row r="227" spans="1:13">
      <c r="A227" s="448">
        <f t="shared" si="13"/>
        <v>2.0865535735993905</v>
      </c>
      <c r="B227" s="49">
        <v>0.47499999999999998</v>
      </c>
      <c r="C227" s="49">
        <f>staticResult!$C$16-B227</f>
        <v>0.44525423898969307</v>
      </c>
      <c r="D227" s="448">
        <f t="shared" si="14"/>
        <v>4.2050789392344932E-2</v>
      </c>
      <c r="E227" s="49">
        <f>((B227*staticResult!$C$2*100)+配裝模擬!$D$2+staticResult!$D$16*0.47)/staticResult!$C$2/100</f>
        <v>0.57144258780133328</v>
      </c>
      <c r="G227" s="448">
        <f t="shared" ca="1" si="12"/>
        <v>2.9871134832205626</v>
      </c>
      <c r="H227" s="49">
        <v>0.47499999999999998</v>
      </c>
      <c r="I227" s="49">
        <f ca="1">((M227*staticResult!$C$2*100)+配裝模擬!$D$2+staticResult!$D$16*0.47)/staticResult!$C$2/100</f>
        <v>0.61894258780133338</v>
      </c>
      <c r="J227" s="49">
        <f ca="1">(staticResult!$C$16-H227)+BUFF!$F$27</f>
        <v>0.67275423898969311</v>
      </c>
      <c r="K227" s="448">
        <f t="shared" ca="1" si="15"/>
        <v>-2.6925186484838522E-3</v>
      </c>
      <c r="L227" s="49">
        <f>((H227*staticResult!$C$2*100)+配裝模擬!$D$2+staticResult!$D$16*0.47)/staticResult!$C$2/100</f>
        <v>0.57144258780133328</v>
      </c>
      <c r="M227" s="476">
        <f ca="1">H227*(1+BUFF!$H$27)</f>
        <v>0.52249999999999996</v>
      </c>
    </row>
    <row r="228" spans="1:13">
      <c r="A228" s="448">
        <f t="shared" si="13"/>
        <v>2.0865937620254131</v>
      </c>
      <c r="B228" s="49">
        <v>0.47599999999999998</v>
      </c>
      <c r="C228" s="49">
        <f>staticResult!$C$16-B228</f>
        <v>0.44425423898969307</v>
      </c>
      <c r="D228" s="448">
        <f t="shared" si="14"/>
        <v>4.0188426022602607E-2</v>
      </c>
      <c r="E228" s="49">
        <f>((B228*staticResult!$C$2*100)+配裝模擬!$D$2+staticResult!$D$16*0.47)/staticResult!$C$2/100</f>
        <v>0.57244258780133339</v>
      </c>
      <c r="G228" s="448">
        <f t="shared" ca="1" si="12"/>
        <v>2.987108027102209</v>
      </c>
      <c r="H228" s="49">
        <v>0.47599999999999998</v>
      </c>
      <c r="I228" s="49">
        <f ca="1">((M228*staticResult!$C$2*100)+配裝模擬!$D$2+staticResult!$D$16*0.47)/staticResult!$C$2/100</f>
        <v>0.62004258780133359</v>
      </c>
      <c r="J228" s="49">
        <f ca="1">(staticResult!$C$16-H228)+BUFF!$F$27</f>
        <v>0.67175423898969311</v>
      </c>
      <c r="K228" s="448">
        <f t="shared" ca="1" si="15"/>
        <v>-5.4561183535639605E-3</v>
      </c>
      <c r="L228" s="49">
        <f>((H228*staticResult!$C$2*100)+配裝模擬!$D$2+staticResult!$D$16*0.47)/staticResult!$C$2/100</f>
        <v>0.57244258780133339</v>
      </c>
      <c r="M228" s="476">
        <f ca="1">H228*(1+BUFF!$H$27)</f>
        <v>0.52360000000000007</v>
      </c>
    </row>
    <row r="229" spans="1:13">
      <c r="A229" s="448">
        <f t="shared" si="13"/>
        <v>2.0866320880880673</v>
      </c>
      <c r="B229" s="49">
        <v>0.47699999999999998</v>
      </c>
      <c r="C229" s="49">
        <f>staticResult!$C$16-B229</f>
        <v>0.44325423898969307</v>
      </c>
      <c r="D229" s="448">
        <f t="shared" si="14"/>
        <v>3.8326062654192548E-2</v>
      </c>
      <c r="E229" s="49">
        <f>((B229*staticResult!$C$2*100)+配裝模擬!$D$2+staticResult!$D$16*0.47)/staticResult!$C$2/100</f>
        <v>0.57344258780133339</v>
      </c>
      <c r="G229" s="448">
        <f t="shared" ca="1" si="12"/>
        <v>2.9870998073841482</v>
      </c>
      <c r="H229" s="49">
        <v>0.47699999999999998</v>
      </c>
      <c r="I229" s="49">
        <f ca="1">((M229*staticResult!$C$2*100)+配裝模擬!$D$2+staticResult!$D$16*0.47)/staticResult!$C$2/100</f>
        <v>0.62114258780133347</v>
      </c>
      <c r="J229" s="49">
        <f ca="1">(staticResult!$C$16-H229)+BUFF!$F$27</f>
        <v>0.67075423898969311</v>
      </c>
      <c r="K229" s="448">
        <f t="shared" ca="1" si="15"/>
        <v>-8.2197180608645157E-3</v>
      </c>
      <c r="L229" s="49">
        <f>((H229*staticResult!$C$2*100)+配裝模擬!$D$2+staticResult!$D$16*0.47)/staticResult!$C$2/100</f>
        <v>0.57344258780133339</v>
      </c>
      <c r="M229" s="476">
        <f ca="1">H229*(1+BUFF!$H$27)</f>
        <v>0.52470000000000006</v>
      </c>
    </row>
    <row r="230" spans="1:13">
      <c r="A230" s="448">
        <f t="shared" si="13"/>
        <v>2.0866685517873527</v>
      </c>
      <c r="B230" s="49">
        <v>0.47799999999999998</v>
      </c>
      <c r="C230" s="49">
        <f>staticResult!$C$16-B230</f>
        <v>0.44225423898969307</v>
      </c>
      <c r="D230" s="448">
        <f t="shared" si="14"/>
        <v>3.6463699285338401E-2</v>
      </c>
      <c r="E230" s="49">
        <f>((B230*staticResult!$C$2*100)+配裝模擬!$D$2+staticResult!$D$16*0.47)/staticResult!$C$2/100</f>
        <v>0.57444258780133328</v>
      </c>
      <c r="G230" s="448">
        <f t="shared" ca="1" si="12"/>
        <v>2.9870888240663822</v>
      </c>
      <c r="H230" s="49">
        <v>0.47799999999999998</v>
      </c>
      <c r="I230" s="49">
        <f ca="1">((M230*staticResult!$C$2*100)+配裝模擬!$D$2+staticResult!$D$16*0.47)/staticResult!$C$2/100</f>
        <v>0.62224258780133346</v>
      </c>
      <c r="J230" s="49">
        <f ca="1">(staticResult!$C$16-H230)+BUFF!$F$27</f>
        <v>0.66975423898969311</v>
      </c>
      <c r="K230" s="448">
        <f t="shared" ca="1" si="15"/>
        <v>-1.0983317765944623E-2</v>
      </c>
      <c r="L230" s="49">
        <f>((H230*staticResult!$C$2*100)+配裝模擬!$D$2+staticResult!$D$16*0.47)/staticResult!$C$2/100</f>
        <v>0.57444258780133328</v>
      </c>
      <c r="M230" s="476">
        <f ca="1">H230*(1+BUFF!$H$27)</f>
        <v>0.52580000000000005</v>
      </c>
    </row>
    <row r="231" spans="1:13">
      <c r="A231" s="448">
        <f t="shared" si="13"/>
        <v>2.0867031531232691</v>
      </c>
      <c r="B231" s="49">
        <v>0.47899999999999998</v>
      </c>
      <c r="C231" s="49">
        <f>staticResult!$C$16-B231</f>
        <v>0.44125423898969307</v>
      </c>
      <c r="D231" s="448">
        <f t="shared" si="14"/>
        <v>3.460133591648426E-2</v>
      </c>
      <c r="E231" s="49">
        <f>((B231*staticResult!$C$2*100)+配裝模擬!$D$2+staticResult!$D$16*0.47)/staticResult!$C$2/100</f>
        <v>0.57544258780133339</v>
      </c>
      <c r="G231" s="448">
        <f t="shared" ca="1" si="12"/>
        <v>2.9870750771489107</v>
      </c>
      <c r="H231" s="49">
        <v>0.47899999999999998</v>
      </c>
      <c r="I231" s="49">
        <f ca="1">((M231*staticResult!$C$2*100)+配裝模擬!$D$2+staticResult!$D$16*0.47)/staticResult!$C$2/100</f>
        <v>0.62334258780133345</v>
      </c>
      <c r="J231" s="49">
        <f ca="1">(staticResult!$C$16-H231)+BUFF!$F$27</f>
        <v>0.66875423898969311</v>
      </c>
      <c r="K231" s="448">
        <f t="shared" ca="1" si="15"/>
        <v>-1.3746917471468821E-2</v>
      </c>
      <c r="L231" s="49">
        <f>((H231*staticResult!$C$2*100)+配裝模擬!$D$2+staticResult!$D$16*0.47)/staticResult!$C$2/100</f>
        <v>0.57544258780133339</v>
      </c>
      <c r="M231" s="476">
        <f ca="1">H231*(1+BUFF!$H$27)</f>
        <v>0.52690000000000003</v>
      </c>
    </row>
    <row r="232" spans="1:13">
      <c r="A232" s="448">
        <f t="shared" si="13"/>
        <v>2.0867358920958163</v>
      </c>
      <c r="B232" s="49">
        <v>0.48</v>
      </c>
      <c r="C232" s="49">
        <f>staticResult!$C$16-B232</f>
        <v>0.44025423898969307</v>
      </c>
      <c r="D232" s="448">
        <f t="shared" si="14"/>
        <v>3.2738972547186024E-2</v>
      </c>
      <c r="E232" s="49">
        <f>((B232*staticResult!$C$2*100)+配裝模擬!$D$2+staticResult!$D$16*0.47)/staticResult!$C$2/100</f>
        <v>0.57644258780133339</v>
      </c>
      <c r="G232" s="448">
        <f t="shared" ca="1" si="12"/>
        <v>2.9870585666317337</v>
      </c>
      <c r="H232" s="49">
        <v>0.48</v>
      </c>
      <c r="I232" s="49">
        <f ca="1">((M232*staticResult!$C$2*100)+配裝模擬!$D$2+staticResult!$D$16*0.47)/staticResult!$C$2/100</f>
        <v>0.62444258780133355</v>
      </c>
      <c r="J232" s="49">
        <f ca="1">(staticResult!$C$16-H232)+BUFF!$F$27</f>
        <v>0.66775423898969311</v>
      </c>
      <c r="K232" s="448">
        <f t="shared" ca="1" si="15"/>
        <v>-1.651051717699302E-2</v>
      </c>
      <c r="L232" s="49">
        <f>((H232*staticResult!$C$2*100)+配裝模擬!$D$2+staticResult!$D$16*0.47)/staticResult!$C$2/100</f>
        <v>0.57644258780133339</v>
      </c>
      <c r="M232" s="476">
        <f ca="1">H232*(1+BUFF!$H$27)</f>
        <v>0.52800000000000002</v>
      </c>
    </row>
    <row r="233" spans="1:13">
      <c r="A233" s="448">
        <f t="shared" si="13"/>
        <v>2.0867667687049947</v>
      </c>
      <c r="B233" s="49">
        <v>0.48099999999999998</v>
      </c>
      <c r="C233" s="49">
        <f>staticResult!$C$16-B233</f>
        <v>0.43925423898969307</v>
      </c>
      <c r="D233" s="448">
        <f t="shared" si="14"/>
        <v>3.0876609178331876E-2</v>
      </c>
      <c r="E233" s="49">
        <f>((B233*staticResult!$C$2*100)+配裝模擬!$D$2+staticResult!$D$16*0.47)/staticResult!$C$2/100</f>
        <v>0.57744258780133328</v>
      </c>
      <c r="G233" s="448">
        <f t="shared" ca="1" si="12"/>
        <v>2.9870392925148503</v>
      </c>
      <c r="H233" s="49">
        <v>0.48099999999999998</v>
      </c>
      <c r="I233" s="49">
        <f ca="1">((M233*staticResult!$C$2*100)+配裝模擬!$D$2+staticResult!$D$16*0.47)/staticResult!$C$2/100</f>
        <v>0.62554258780133343</v>
      </c>
      <c r="J233" s="49">
        <f ca="1">(staticResult!$C$16-H233)+BUFF!$F$27</f>
        <v>0.6667542389896931</v>
      </c>
      <c r="K233" s="448">
        <f t="shared" ca="1" si="15"/>
        <v>-1.9274116883405395E-2</v>
      </c>
      <c r="L233" s="49">
        <f>((H233*staticResult!$C$2*100)+配裝模擬!$D$2+staticResult!$D$16*0.47)/staticResult!$C$2/100</f>
        <v>0.57744258780133328</v>
      </c>
      <c r="M233" s="476">
        <f ca="1">H233*(1+BUFF!$H$27)</f>
        <v>0.52910000000000001</v>
      </c>
    </row>
    <row r="234" spans="1:13">
      <c r="A234" s="448">
        <f t="shared" si="13"/>
        <v>2.086795782950805</v>
      </c>
      <c r="B234" s="49">
        <v>0.48199999999999998</v>
      </c>
      <c r="C234" s="49">
        <f>staticResult!$C$16-B234</f>
        <v>0.43825423898969307</v>
      </c>
      <c r="D234" s="448">
        <f t="shared" si="14"/>
        <v>2.9014245810365911E-2</v>
      </c>
      <c r="E234" s="49">
        <f>((B234*staticResult!$C$2*100)+配裝模擬!$D$2+staticResult!$D$16*0.47)/staticResult!$C$2/100</f>
        <v>0.57844258780133329</v>
      </c>
      <c r="G234" s="448">
        <f t="shared" ca="1" si="12"/>
        <v>2.987017254798261</v>
      </c>
      <c r="H234" s="49">
        <v>0.48199999999999998</v>
      </c>
      <c r="I234" s="49">
        <f ca="1">((M234*staticResult!$C$2*100)+配裝模擬!$D$2+staticResult!$D$16*0.47)/staticResult!$C$2/100</f>
        <v>0.62664258780133342</v>
      </c>
      <c r="J234" s="49">
        <f ca="1">(staticResult!$C$16-H234)+BUFF!$F$27</f>
        <v>0.6657542389896931</v>
      </c>
      <c r="K234" s="448">
        <f t="shared" ca="1" si="15"/>
        <v>-2.2037716589373681E-2</v>
      </c>
      <c r="L234" s="49">
        <f>((H234*staticResult!$C$2*100)+配裝模擬!$D$2+staticResult!$D$16*0.47)/staticResult!$C$2/100</f>
        <v>0.57844258780133329</v>
      </c>
      <c r="M234" s="476">
        <f ca="1">H234*(1+BUFF!$H$27)</f>
        <v>0.5302</v>
      </c>
    </row>
    <row r="235" spans="1:13">
      <c r="A235" s="448">
        <f t="shared" si="13"/>
        <v>2.0868229348332457</v>
      </c>
      <c r="B235" s="49">
        <v>0.48299999999999998</v>
      </c>
      <c r="C235" s="49">
        <f>staticResult!$C$16-B235</f>
        <v>0.43725423898969307</v>
      </c>
      <c r="D235" s="448">
        <f t="shared" si="14"/>
        <v>2.7151882440623585E-2</v>
      </c>
      <c r="E235" s="49">
        <f>((B235*staticResult!$C$2*100)+配裝模擬!$D$2+staticResult!$D$16*0.47)/staticResult!$C$2/100</f>
        <v>0.5794425878013334</v>
      </c>
      <c r="G235" s="448">
        <f t="shared" ca="1" si="12"/>
        <v>2.9869924534819665</v>
      </c>
      <c r="H235" s="49">
        <v>0.48299999999999998</v>
      </c>
      <c r="I235" s="49">
        <f ca="1">((M235*staticResult!$C$2*100)+配裝模擬!$D$2+staticResult!$D$16*0.47)/staticResult!$C$2/100</f>
        <v>0.62774258780133341</v>
      </c>
      <c r="J235" s="49">
        <f ca="1">(staticResult!$C$16-H235)+BUFF!$F$27</f>
        <v>0.6647542389896931</v>
      </c>
      <c r="K235" s="448">
        <f t="shared" ca="1" si="15"/>
        <v>-2.4801316294453792E-2</v>
      </c>
      <c r="L235" s="49">
        <f>((H235*staticResult!$C$2*100)+配裝模擬!$D$2+staticResult!$D$16*0.47)/staticResult!$C$2/100</f>
        <v>0.5794425878013334</v>
      </c>
      <c r="M235" s="476">
        <f ca="1">H235*(1+BUFF!$H$27)</f>
        <v>0.53129999999999999</v>
      </c>
    </row>
    <row r="236" spans="1:13">
      <c r="A236" s="448">
        <f t="shared" si="13"/>
        <v>2.0868482243523179</v>
      </c>
      <c r="B236" s="49">
        <v>0.48399999999999999</v>
      </c>
      <c r="C236" s="49">
        <f>staticResult!$C$16-B236</f>
        <v>0.43625423898969307</v>
      </c>
      <c r="D236" s="448">
        <f t="shared" si="14"/>
        <v>2.528951907221353E-2</v>
      </c>
      <c r="E236" s="49">
        <f>((B236*staticResult!$C$2*100)+配裝模擬!$D$2+staticResult!$D$16*0.47)/staticResult!$C$2/100</f>
        <v>0.58044258780133329</v>
      </c>
      <c r="G236" s="448">
        <f t="shared" ca="1" si="12"/>
        <v>2.9869648885659661</v>
      </c>
      <c r="H236" s="49">
        <v>0.48399999999999999</v>
      </c>
      <c r="I236" s="49">
        <f ca="1">((M236*staticResult!$C$2*100)+配裝模擬!$D$2+staticResult!$D$16*0.47)/staticResult!$C$2/100</f>
        <v>0.62884258780133351</v>
      </c>
      <c r="J236" s="49">
        <f ca="1">(staticResult!$C$16-H236)+BUFF!$F$27</f>
        <v>0.6637542389896931</v>
      </c>
      <c r="K236" s="448">
        <f t="shared" ca="1" si="15"/>
        <v>-2.7564916000422077E-2</v>
      </c>
      <c r="L236" s="49">
        <f>((H236*staticResult!$C$2*100)+配裝模擬!$D$2+staticResult!$D$16*0.47)/staticResult!$C$2/100</f>
        <v>0.58044258780133329</v>
      </c>
      <c r="M236" s="476">
        <f ca="1">H236*(1+BUFF!$H$27)</f>
        <v>0.53239999999999998</v>
      </c>
    </row>
    <row r="237" spans="1:13">
      <c r="A237" s="448">
        <f t="shared" si="13"/>
        <v>2.0868716515080203</v>
      </c>
      <c r="B237" s="49">
        <v>0.48499999999999999</v>
      </c>
      <c r="C237" s="49">
        <f>staticResult!$C$16-B237</f>
        <v>0.43525423898969307</v>
      </c>
      <c r="D237" s="448">
        <f t="shared" si="14"/>
        <v>2.3427155702471204E-2</v>
      </c>
      <c r="E237" s="49">
        <f>((B237*staticResult!$C$2*100)+配裝模擬!$D$2+staticResult!$D$16*0.47)/staticResult!$C$2/100</f>
        <v>0.5814425878013334</v>
      </c>
      <c r="G237" s="448">
        <f t="shared" ca="1" si="12"/>
        <v>2.9869345600502597</v>
      </c>
      <c r="H237" s="49">
        <v>0.48499999999999999</v>
      </c>
      <c r="I237" s="49">
        <f ca="1">((M237*staticResult!$C$2*100)+配裝模擬!$D$2+staticResult!$D$16*0.47)/staticResult!$C$2/100</f>
        <v>0.62994258780133339</v>
      </c>
      <c r="J237" s="49">
        <f ca="1">(staticResult!$C$16-H237)+BUFF!$F$27</f>
        <v>0.6627542389896931</v>
      </c>
      <c r="K237" s="448">
        <f t="shared" ca="1" si="15"/>
        <v>-3.0328515706390363E-2</v>
      </c>
      <c r="L237" s="49">
        <f>((H237*staticResult!$C$2*100)+配裝模擬!$D$2+staticResult!$D$16*0.47)/staticResult!$C$2/100</f>
        <v>0.5814425878013334</v>
      </c>
      <c r="M237" s="476">
        <f ca="1">H237*(1+BUFF!$H$27)</f>
        <v>0.53349999999999997</v>
      </c>
    </row>
    <row r="238" spans="1:13">
      <c r="A238" s="448">
        <f t="shared" si="13"/>
        <v>2.0868932163003544</v>
      </c>
      <c r="B238" s="49">
        <v>0.48599999999999999</v>
      </c>
      <c r="C238" s="49">
        <f>staticResult!$C$16-B238</f>
        <v>0.43425423898969306</v>
      </c>
      <c r="D238" s="448">
        <f t="shared" si="14"/>
        <v>2.1564792334061146E-2</v>
      </c>
      <c r="E238" s="49">
        <f>((B238*staticResult!$C$2*100)+配裝模擬!$D$2+staticResult!$D$16*0.47)/staticResult!$C$2/100</f>
        <v>0.5824425878013334</v>
      </c>
      <c r="G238" s="448">
        <f t="shared" ca="1" si="12"/>
        <v>2.9869014679348478</v>
      </c>
      <c r="H238" s="49">
        <v>0.48599999999999999</v>
      </c>
      <c r="I238" s="49">
        <f ca="1">((M238*staticResult!$C$2*100)+配裝模擬!$D$2+staticResult!$D$16*0.47)/staticResult!$C$2/100</f>
        <v>0.6310425878013336</v>
      </c>
      <c r="J238" s="49">
        <f ca="1">(staticResult!$C$16-H238)+BUFF!$F$27</f>
        <v>0.6617542389896931</v>
      </c>
      <c r="K238" s="448">
        <f t="shared" ca="1" si="15"/>
        <v>-3.3092115411914563E-2</v>
      </c>
      <c r="L238" s="49">
        <f>((H238*staticResult!$C$2*100)+配裝模擬!$D$2+staticResult!$D$16*0.47)/staticResult!$C$2/100</f>
        <v>0.5824425878013334</v>
      </c>
      <c r="M238" s="476">
        <f ca="1">H238*(1+BUFF!$H$27)</f>
        <v>0.53460000000000008</v>
      </c>
    </row>
    <row r="239" spans="1:13">
      <c r="A239" s="448">
        <f t="shared" si="13"/>
        <v>2.0869129187293201</v>
      </c>
      <c r="B239" s="49">
        <v>0.48699999999999999</v>
      </c>
      <c r="C239" s="49">
        <f>staticResult!$C$16-B239</f>
        <v>0.43325423898969306</v>
      </c>
      <c r="D239" s="448">
        <f t="shared" si="14"/>
        <v>1.9702428965651091E-2</v>
      </c>
      <c r="E239" s="49">
        <f>((B239*staticResult!$C$2*100)+配裝模擬!$D$2+staticResult!$D$16*0.47)/staticResult!$C$2/100</f>
        <v>0.58344258780133329</v>
      </c>
      <c r="G239" s="448">
        <f t="shared" ca="1" si="12"/>
        <v>2.9868656122197295</v>
      </c>
      <c r="H239" s="49">
        <v>0.48699999999999999</v>
      </c>
      <c r="I239" s="49">
        <f ca="1">((M239*staticResult!$C$2*100)+配裝模擬!$D$2+staticResult!$D$16*0.47)/staticResult!$C$2/100</f>
        <v>0.63214258780133337</v>
      </c>
      <c r="J239" s="49">
        <f ca="1">(staticResult!$C$16-H239)+BUFF!$F$27</f>
        <v>0.6607542389896931</v>
      </c>
      <c r="K239" s="448">
        <f t="shared" ca="1" si="15"/>
        <v>-3.5855715118326935E-2</v>
      </c>
      <c r="L239" s="49">
        <f>((H239*staticResult!$C$2*100)+配裝模擬!$D$2+staticResult!$D$16*0.47)/staticResult!$C$2/100</f>
        <v>0.58344258780133329</v>
      </c>
      <c r="M239" s="476">
        <f ca="1">H239*(1+BUFF!$H$27)</f>
        <v>0.53570000000000007</v>
      </c>
    </row>
    <row r="240" spans="1:13">
      <c r="A240" s="448">
        <f t="shared" si="13"/>
        <v>2.086930758794916</v>
      </c>
      <c r="B240" s="49">
        <v>0.48799999999999999</v>
      </c>
      <c r="C240" s="49">
        <f>staticResult!$C$16-B240</f>
        <v>0.43225423898969306</v>
      </c>
      <c r="D240" s="448">
        <f t="shared" si="14"/>
        <v>1.7840065595908765E-2</v>
      </c>
      <c r="E240" s="49">
        <f>((B240*staticResult!$C$2*100)+配裝模擬!$D$2+staticResult!$D$16*0.47)/staticResult!$C$2/100</f>
        <v>0.58444258780133329</v>
      </c>
      <c r="G240" s="448">
        <f t="shared" ca="1" si="12"/>
        <v>2.9868269929049056</v>
      </c>
      <c r="H240" s="49">
        <v>0.48799999999999999</v>
      </c>
      <c r="I240" s="49">
        <f ca="1">((M240*staticResult!$C$2*100)+配裝模擬!$D$2+staticResult!$D$16*0.47)/staticResult!$C$2/100</f>
        <v>0.63324258780133347</v>
      </c>
      <c r="J240" s="49">
        <f ca="1">(staticResult!$C$16-H240)+BUFF!$F$27</f>
        <v>0.6597542389896931</v>
      </c>
      <c r="K240" s="448">
        <f t="shared" ca="1" si="15"/>
        <v>-3.8619314823851135E-2</v>
      </c>
      <c r="L240" s="49">
        <f>((H240*staticResult!$C$2*100)+配裝模擬!$D$2+staticResult!$D$16*0.47)/staticResult!$C$2/100</f>
        <v>0.58444258780133329</v>
      </c>
      <c r="M240" s="476">
        <f ca="1">H240*(1+BUFF!$H$27)</f>
        <v>0.53680000000000005</v>
      </c>
    </row>
    <row r="241" spans="1:13">
      <c r="A241" s="448">
        <f t="shared" si="13"/>
        <v>2.0869467364971435</v>
      </c>
      <c r="B241" s="49">
        <v>0.48899999999999999</v>
      </c>
      <c r="C241" s="49">
        <f>staticResult!$C$16-B241</f>
        <v>0.43125423898969306</v>
      </c>
      <c r="D241" s="448">
        <f t="shared" si="14"/>
        <v>1.5977702227498711E-2</v>
      </c>
      <c r="E241" s="49">
        <f>((B241*staticResult!$C$2*100)+配裝模擬!$D$2+staticResult!$D$16*0.47)/staticResult!$C$2/100</f>
        <v>0.5854425878013334</v>
      </c>
      <c r="G241" s="448">
        <f t="shared" ca="1" si="12"/>
        <v>2.9867856099903762</v>
      </c>
      <c r="H241" s="49">
        <v>0.48899999999999999</v>
      </c>
      <c r="I241" s="49">
        <f ca="1">((M241*staticResult!$C$2*100)+配裝模擬!$D$2+staticResult!$D$16*0.47)/staticResult!$C$2/100</f>
        <v>0.63434258780133346</v>
      </c>
      <c r="J241" s="49">
        <f ca="1">(staticResult!$C$16-H241)+BUFF!$F$27</f>
        <v>0.6587542389896931</v>
      </c>
      <c r="K241" s="448">
        <f t="shared" ca="1" si="15"/>
        <v>-4.1382914529375335E-2</v>
      </c>
      <c r="L241" s="49">
        <f>((H241*staticResult!$C$2*100)+配裝模擬!$D$2+staticResult!$D$16*0.47)/staticResult!$C$2/100</f>
        <v>0.5854425878013334</v>
      </c>
      <c r="M241" s="476">
        <f ca="1">H241*(1+BUFF!$H$27)</f>
        <v>0.53790000000000004</v>
      </c>
    </row>
    <row r="242" spans="1:13">
      <c r="A242" s="448">
        <f t="shared" si="13"/>
        <v>2.0869608518360021</v>
      </c>
      <c r="B242" s="49">
        <v>0.49</v>
      </c>
      <c r="C242" s="49">
        <f>staticResult!$C$16-B242</f>
        <v>0.43025423898969306</v>
      </c>
      <c r="D242" s="448">
        <f t="shared" si="14"/>
        <v>1.4115338858644565E-2</v>
      </c>
      <c r="E242" s="49">
        <f>((B242*staticResult!$C$2*100)+配裝模擬!$D$2+staticResult!$D$16*0.47)/staticResult!$C$2/100</f>
        <v>0.58644258780133329</v>
      </c>
      <c r="G242" s="448">
        <f t="shared" ca="1" si="12"/>
        <v>2.9867414634761413</v>
      </c>
      <c r="H242" s="49">
        <v>0.49</v>
      </c>
      <c r="I242" s="49">
        <f ca="1">((M242*staticResult!$C$2*100)+配裝模擬!$D$2+staticResult!$D$16*0.47)/staticResult!$C$2/100</f>
        <v>0.63544258780133356</v>
      </c>
      <c r="J242" s="49">
        <f ca="1">(staticResult!$C$16-H242)+BUFF!$F$27</f>
        <v>0.6577542389896931</v>
      </c>
      <c r="K242" s="448">
        <f t="shared" ca="1" si="15"/>
        <v>-4.4146514234899528E-2</v>
      </c>
      <c r="L242" s="49">
        <f>((H242*staticResult!$C$2*100)+配裝模擬!$D$2+staticResult!$D$16*0.47)/staticResult!$C$2/100</f>
        <v>0.58644258780133329</v>
      </c>
      <c r="M242" s="476">
        <f ca="1">H242*(1+BUFF!$H$27)</f>
        <v>0.53900000000000003</v>
      </c>
    </row>
    <row r="243" spans="1:13">
      <c r="A243" s="448">
        <f t="shared" si="13"/>
        <v>2.0869731048114919</v>
      </c>
      <c r="B243" s="49">
        <v>0.49099999999999999</v>
      </c>
      <c r="C243" s="49">
        <f>staticResult!$C$16-B243</f>
        <v>0.42925423898969306</v>
      </c>
      <c r="D243" s="448">
        <f t="shared" si="14"/>
        <v>1.2252975489790419E-2</v>
      </c>
      <c r="E243" s="49">
        <f>((B243*staticResult!$C$2*100)+配裝模擬!$D$2+staticResult!$D$16*0.47)/staticResult!$C$2/100</f>
        <v>0.5874425878013334</v>
      </c>
      <c r="G243" s="448">
        <f t="shared" ca="1" si="12"/>
        <v>2.9866945533621996</v>
      </c>
      <c r="H243" s="49">
        <v>0.49099999999999999</v>
      </c>
      <c r="I243" s="49">
        <f ca="1">((M243*staticResult!$C$2*100)+配裝模擬!$D$2+staticResult!$D$16*0.47)/staticResult!$C$2/100</f>
        <v>0.63654258780133355</v>
      </c>
      <c r="J243" s="49">
        <f ca="1">(staticResult!$C$16-H243)+BUFF!$F$27</f>
        <v>0.6567542389896931</v>
      </c>
      <c r="K243" s="448">
        <f t="shared" ca="1" si="15"/>
        <v>-4.6910113941755996E-2</v>
      </c>
      <c r="L243" s="49">
        <f>((H243*staticResult!$C$2*100)+配裝模擬!$D$2+staticResult!$D$16*0.47)/staticResult!$C$2/100</f>
        <v>0.5874425878013334</v>
      </c>
      <c r="M243" s="476">
        <f ca="1">H243*(1+BUFF!$H$27)</f>
        <v>0.54010000000000002</v>
      </c>
    </row>
    <row r="244" spans="1:13">
      <c r="A244" s="448">
        <f t="shared" si="13"/>
        <v>2.0869834954236124</v>
      </c>
      <c r="B244" s="49">
        <v>0.49199999999999999</v>
      </c>
      <c r="C244" s="49">
        <f>staticResult!$C$16-B244</f>
        <v>0.42825423898969306</v>
      </c>
      <c r="D244" s="448">
        <f t="shared" si="14"/>
        <v>1.0390612120492184E-2</v>
      </c>
      <c r="E244" s="49">
        <f>((B244*staticResult!$C$2*100)+配裝模擬!$D$2+staticResult!$D$16*0.47)/staticResult!$C$2/100</f>
        <v>0.58844258780133341</v>
      </c>
      <c r="G244" s="448">
        <f t="shared" ca="1" si="12"/>
        <v>2.9866448796485532</v>
      </c>
      <c r="H244" s="49">
        <v>0.49199999999999999</v>
      </c>
      <c r="I244" s="49">
        <f ca="1">((M244*staticResult!$C$2*100)+配裝模擬!$D$2+staticResult!$D$16*0.47)/staticResult!$C$2/100</f>
        <v>0.63764258780133343</v>
      </c>
      <c r="J244" s="49">
        <f ca="1">(staticResult!$C$16-H244)+BUFF!$F$27</f>
        <v>0.65575423898969309</v>
      </c>
      <c r="K244" s="448">
        <f t="shared" ca="1" si="15"/>
        <v>-4.9673713646392018E-2</v>
      </c>
      <c r="L244" s="49">
        <f>((H244*staticResult!$C$2*100)+配裝模擬!$D$2+staticResult!$D$16*0.47)/staticResult!$C$2/100</f>
        <v>0.58844258780133341</v>
      </c>
      <c r="M244" s="476">
        <f ca="1">H244*(1+BUFF!$H$27)</f>
        <v>0.54120000000000001</v>
      </c>
    </row>
    <row r="245" spans="1:13">
      <c r="A245" s="448">
        <f t="shared" si="13"/>
        <v>2.086992023672364</v>
      </c>
      <c r="B245" s="49">
        <v>0.49299999999999999</v>
      </c>
      <c r="C245" s="49">
        <f>staticResult!$C$16-B245</f>
        <v>0.42725423898969306</v>
      </c>
      <c r="D245" s="448">
        <f t="shared" si="14"/>
        <v>8.5282487516380387E-3</v>
      </c>
      <c r="E245" s="49">
        <f>((B245*staticResult!$C$2*100)+配裝模擬!$D$2+staticResult!$D$16*0.47)/staticResult!$C$2/100</f>
        <v>0.5894425878013333</v>
      </c>
      <c r="G245" s="448">
        <f t="shared" ca="1" si="12"/>
        <v>2.9865924423352004</v>
      </c>
      <c r="H245" s="49">
        <v>0.49299999999999999</v>
      </c>
      <c r="I245" s="49">
        <f ca="1">((M245*staticResult!$C$2*100)+配裝模擬!$D$2+staticResult!$D$16*0.47)/staticResult!$C$2/100</f>
        <v>0.63874258780133342</v>
      </c>
      <c r="J245" s="49">
        <f ca="1">(staticResult!$C$16-H245)+BUFF!$F$27</f>
        <v>0.65475423898969309</v>
      </c>
      <c r="K245" s="448">
        <f t="shared" ca="1" si="15"/>
        <v>-5.2437313352804389E-2</v>
      </c>
      <c r="L245" s="49">
        <f>((H245*staticResult!$C$2*100)+配裝模擬!$D$2+staticResult!$D$16*0.47)/staticResult!$C$2/100</f>
        <v>0.5894425878013333</v>
      </c>
      <c r="M245" s="476">
        <f ca="1">H245*(1+BUFF!$H$27)</f>
        <v>0.5423</v>
      </c>
    </row>
    <row r="246" spans="1:13">
      <c r="A246" s="448">
        <f t="shared" si="13"/>
        <v>2.0869986895577468</v>
      </c>
      <c r="B246" s="49">
        <v>0.49399999999999999</v>
      </c>
      <c r="C246" s="49">
        <f>staticResult!$C$16-B246</f>
        <v>0.42625423898969306</v>
      </c>
      <c r="D246" s="448">
        <f t="shared" si="14"/>
        <v>6.6658853827838921E-3</v>
      </c>
      <c r="E246" s="49">
        <f>((B246*staticResult!$C$2*100)+配裝模擬!$D$2+staticResult!$D$16*0.47)/staticResult!$C$2/100</f>
        <v>0.5904425878013333</v>
      </c>
      <c r="G246" s="448">
        <f t="shared" ca="1" si="12"/>
        <v>2.9865372414221421</v>
      </c>
      <c r="H246" s="49">
        <v>0.49399999999999999</v>
      </c>
      <c r="I246" s="49">
        <f ca="1">((M246*staticResult!$C$2*100)+配裝模擬!$D$2+staticResult!$D$16*0.47)/staticResult!$C$2/100</f>
        <v>0.63984258780133352</v>
      </c>
      <c r="J246" s="49">
        <f ca="1">(staticResult!$C$16-H246)+BUFF!$F$27</f>
        <v>0.65375423898969309</v>
      </c>
      <c r="K246" s="448">
        <f t="shared" ca="1" si="15"/>
        <v>-5.5200913058328589E-2</v>
      </c>
      <c r="L246" s="49">
        <f>((H246*staticResult!$C$2*100)+配裝模擬!$D$2+staticResult!$D$16*0.47)/staticResult!$C$2/100</f>
        <v>0.5904425878013333</v>
      </c>
      <c r="M246" s="476">
        <f ca="1">H246*(1+BUFF!$H$27)</f>
        <v>0.54339999999999999</v>
      </c>
    </row>
    <row r="247" spans="1:13">
      <c r="A247" s="448">
        <f t="shared" si="13"/>
        <v>2.0870034930797607</v>
      </c>
      <c r="B247" s="49">
        <v>0.495</v>
      </c>
      <c r="C247" s="49">
        <f>staticResult!$C$16-B247</f>
        <v>0.42525423898969306</v>
      </c>
      <c r="D247" s="448">
        <f t="shared" si="14"/>
        <v>4.8035220139297464E-3</v>
      </c>
      <c r="E247" s="49">
        <f>((B247*staticResult!$C$2*100)+配裝模擬!$D$2+staticResult!$D$16*0.47)/staticResult!$C$2/100</f>
        <v>0.5914425878013333</v>
      </c>
      <c r="G247" s="448">
        <f t="shared" ca="1" si="12"/>
        <v>2.9864792769093769</v>
      </c>
      <c r="H247" s="49">
        <v>0.495</v>
      </c>
      <c r="I247" s="49">
        <f ca="1">((M247*staticResult!$C$2*100)+配裝模擬!$D$2+staticResult!$D$16*0.47)/staticResult!$C$2/100</f>
        <v>0.6409425878013334</v>
      </c>
      <c r="J247" s="49">
        <f ca="1">(staticResult!$C$16-H247)+BUFF!$F$27</f>
        <v>0.65275423898969309</v>
      </c>
      <c r="K247" s="448">
        <f t="shared" ca="1" si="15"/>
        <v>-5.7964512765185057E-2</v>
      </c>
      <c r="L247" s="49">
        <f>((H247*staticResult!$C$2*100)+配裝模擬!$D$2+staticResult!$D$16*0.47)/staticResult!$C$2/100</f>
        <v>0.5914425878013333</v>
      </c>
      <c r="M247" s="476">
        <f ca="1">H247*(1+BUFF!$H$27)</f>
        <v>0.54449999999999998</v>
      </c>
    </row>
    <row r="248" spans="1:13">
      <c r="A248" s="448">
        <f t="shared" si="13"/>
        <v>2.0870064342384058</v>
      </c>
      <c r="B248" s="49">
        <v>0.496</v>
      </c>
      <c r="C248" s="49">
        <f>staticResult!$C$16-B248</f>
        <v>0.42425423898969306</v>
      </c>
      <c r="D248" s="448">
        <f t="shared" si="14"/>
        <v>2.9411586450756007E-3</v>
      </c>
      <c r="E248" s="49">
        <f>((B248*staticResult!$C$2*100)+配裝模擬!$D$2+staticResult!$D$16*0.47)/staticResult!$C$2/100</f>
        <v>0.59244258780133341</v>
      </c>
      <c r="G248" s="448">
        <f t="shared" ca="1" si="12"/>
        <v>2.9864185487969075</v>
      </c>
      <c r="H248" s="49">
        <v>0.496</v>
      </c>
      <c r="I248" s="49">
        <f ca="1">((M248*staticResult!$C$2*100)+配裝模擬!$D$2+staticResult!$D$16*0.47)/staticResult!$C$2/100</f>
        <v>0.64204258780133361</v>
      </c>
      <c r="J248" s="49">
        <f ca="1">(staticResult!$C$16-H248)+BUFF!$F$27</f>
        <v>0.65175423898969309</v>
      </c>
      <c r="K248" s="448">
        <f t="shared" ca="1" si="15"/>
        <v>-6.0728112469376982E-2</v>
      </c>
      <c r="L248" s="49">
        <f>((H248*staticResult!$C$2*100)+配裝模擬!$D$2+staticResult!$D$16*0.47)/staticResult!$C$2/100</f>
        <v>0.59244258780133341</v>
      </c>
      <c r="M248" s="476">
        <f ca="1">H248*(1+BUFF!$H$27)</f>
        <v>0.54560000000000008</v>
      </c>
    </row>
    <row r="249" spans="1:13">
      <c r="A249" s="448">
        <f t="shared" si="13"/>
        <v>2.087007513033682</v>
      </c>
      <c r="B249" s="49">
        <v>0.497</v>
      </c>
      <c r="C249" s="49">
        <f>staticResult!$C$16-B249</f>
        <v>0.42325423898969305</v>
      </c>
      <c r="D249" s="448">
        <f t="shared" si="14"/>
        <v>1.078795276221455E-3</v>
      </c>
      <c r="E249" s="49">
        <f>((B249*staticResult!$C$2*100)+配裝模擬!$D$2+staticResult!$D$16*0.47)/staticResult!$C$2/100</f>
        <v>0.59344258780133341</v>
      </c>
      <c r="G249" s="448">
        <f t="shared" ca="1" si="12"/>
        <v>2.9863550570847317</v>
      </c>
      <c r="H249" s="49">
        <v>0.497</v>
      </c>
      <c r="I249" s="49">
        <f ca="1">((M249*staticResult!$C$2*100)+配裝模擬!$D$2+staticResult!$D$16*0.47)/staticResult!$C$2/100</f>
        <v>0.6431425878013336</v>
      </c>
      <c r="J249" s="49">
        <f ca="1">(staticResult!$C$16-H249)+BUFF!$F$27</f>
        <v>0.65075423898969309</v>
      </c>
      <c r="K249" s="448">
        <f t="shared" ca="1" si="15"/>
        <v>-6.3491712175789361E-2</v>
      </c>
      <c r="L249" s="49">
        <f>((H249*staticResult!$C$2*100)+配裝模擬!$D$2+staticResult!$D$16*0.47)/staticResult!$C$2/100</f>
        <v>0.59344258780133341</v>
      </c>
      <c r="M249" s="476">
        <f ca="1">H249*(1+BUFF!$H$27)</f>
        <v>0.54670000000000007</v>
      </c>
    </row>
    <row r="250" spans="1:13">
      <c r="A250" s="448">
        <f t="shared" si="13"/>
        <v>2.0870067294655898</v>
      </c>
      <c r="B250" s="49">
        <v>0.498</v>
      </c>
      <c r="C250" s="49">
        <f>staticResult!$C$16-B250</f>
        <v>0.42225423898969305</v>
      </c>
      <c r="D250" s="448">
        <f t="shared" si="14"/>
        <v>-7.835680921886017E-4</v>
      </c>
      <c r="E250" s="49">
        <f>((B250*staticResult!$C$2*100)+配裝模擬!$D$2+staticResult!$D$16*0.47)/staticResult!$C$2/100</f>
        <v>0.5944425878013333</v>
      </c>
      <c r="G250" s="448">
        <f t="shared" ca="1" si="12"/>
        <v>2.9862888017728504</v>
      </c>
      <c r="H250" s="49">
        <v>0.498</v>
      </c>
      <c r="I250" s="49">
        <f ca="1">((M250*staticResult!$C$2*100)+配裝模擬!$D$2+staticResult!$D$16*0.47)/staticResult!$C$2/100</f>
        <v>0.64424258780133348</v>
      </c>
      <c r="J250" s="49">
        <f ca="1">(staticResult!$C$16-H250)+BUFF!$F$27</f>
        <v>0.64975423898969309</v>
      </c>
      <c r="K250" s="448">
        <f t="shared" ca="1" si="15"/>
        <v>-6.6255311881313561E-2</v>
      </c>
      <c r="L250" s="49">
        <f>((H250*staticResult!$C$2*100)+配裝模擬!$D$2+staticResult!$D$16*0.47)/staticResult!$C$2/100</f>
        <v>0.5944425878013333</v>
      </c>
      <c r="M250" s="476">
        <f ca="1">H250*(1+BUFF!$H$27)</f>
        <v>0.54780000000000006</v>
      </c>
    </row>
    <row r="251" spans="1:13">
      <c r="A251" s="448">
        <f t="shared" si="13"/>
        <v>2.0870040835341279</v>
      </c>
      <c r="B251" s="49">
        <v>0.499</v>
      </c>
      <c r="C251" s="49">
        <f>staticResult!$C$16-B251</f>
        <v>0.42125423898969305</v>
      </c>
      <c r="D251" s="448">
        <f t="shared" si="14"/>
        <v>-2.645931461930926E-3</v>
      </c>
      <c r="E251" s="49">
        <f>((B251*staticResult!$C$2*100)+配裝模擬!$D$2+staticResult!$D$16*0.47)/staticResult!$C$2/100</f>
        <v>0.5954425878013333</v>
      </c>
      <c r="G251" s="448">
        <f t="shared" ca="1" si="12"/>
        <v>2.9862197828612627</v>
      </c>
      <c r="H251" s="49">
        <v>0.499</v>
      </c>
      <c r="I251" s="49">
        <f ca="1">((M251*staticResult!$C$2*100)+配裝模擬!$D$2+staticResult!$D$16*0.47)/staticResult!$C$2/100</f>
        <v>0.64534258780133347</v>
      </c>
      <c r="J251" s="49">
        <f ca="1">(staticResult!$C$16-H251)+BUFF!$F$27</f>
        <v>0.64875423898969309</v>
      </c>
      <c r="K251" s="448">
        <f t="shared" ca="1" si="15"/>
        <v>-6.901891158772594E-2</v>
      </c>
      <c r="L251" s="49">
        <f>((H251*staticResult!$C$2*100)+配裝模擬!$D$2+staticResult!$D$16*0.47)/staticResult!$C$2/100</f>
        <v>0.5954425878013333</v>
      </c>
      <c r="M251" s="476">
        <f ca="1">H251*(1+BUFF!$H$27)</f>
        <v>0.54890000000000005</v>
      </c>
    </row>
    <row r="252" spans="1:13">
      <c r="A252" s="448">
        <f t="shared" si="13"/>
        <v>2.0869995752392976</v>
      </c>
      <c r="B252" s="49">
        <v>0.5</v>
      </c>
      <c r="C252" s="49">
        <f>staticResult!$C$16-B252</f>
        <v>0.42025423898969305</v>
      </c>
      <c r="D252" s="448">
        <f t="shared" si="14"/>
        <v>-4.5082948303409821E-3</v>
      </c>
      <c r="E252" s="49">
        <f>((B252*staticResult!$C$2*100)+配裝模擬!$D$2+staticResult!$D$16*0.47)/staticResult!$C$2/100</f>
        <v>0.59644258780133341</v>
      </c>
      <c r="G252" s="448">
        <f t="shared" ca="1" si="12"/>
        <v>2.9861480003499699</v>
      </c>
      <c r="H252" s="49">
        <v>0.5</v>
      </c>
      <c r="I252" s="49">
        <f ca="1">((M252*staticResult!$C$2*100)+配裝模擬!$D$2+staticResult!$D$16*0.47)/staticResult!$C$2/100</f>
        <v>0.64644258780133357</v>
      </c>
      <c r="J252" s="49">
        <f ca="1">(staticResult!$C$16-H252)+BUFF!$F$27</f>
        <v>0.64775423898969309</v>
      </c>
      <c r="K252" s="448">
        <f t="shared" ca="1" si="15"/>
        <v>-7.1782511292806037E-2</v>
      </c>
      <c r="L252" s="49">
        <f>((H252*staticResult!$C$2*100)+配裝模擬!$D$2+staticResult!$D$16*0.47)/staticResult!$C$2/100</f>
        <v>0.59644258780133341</v>
      </c>
      <c r="M252" s="476">
        <f ca="1">H252*(1+BUFF!$H$27)</f>
        <v>0.55000000000000004</v>
      </c>
    </row>
    <row r="253" spans="1:13">
      <c r="A253" s="448">
        <f t="shared" si="13"/>
        <v>2.0869932045810975</v>
      </c>
      <c r="B253" s="49">
        <v>0.501</v>
      </c>
      <c r="C253" s="49">
        <f>staticResult!$C$16-B253</f>
        <v>0.41925423898969305</v>
      </c>
      <c r="D253" s="448">
        <f t="shared" si="14"/>
        <v>-6.3706582000833062E-3</v>
      </c>
      <c r="E253" s="49">
        <f>((B253*staticResult!$C$2*100)+配裝模擬!$D$2+staticResult!$D$16*0.47)/staticResult!$C$2/100</f>
        <v>0.5974425878013333</v>
      </c>
      <c r="G253" s="448">
        <f t="shared" ca="1" si="12"/>
        <v>2.9860734542389706</v>
      </c>
      <c r="H253" s="49">
        <v>0.501</v>
      </c>
      <c r="I253" s="49">
        <f ca="1">((M253*staticResult!$C$2*100)+配裝模擬!$D$2+staticResult!$D$16*0.47)/staticResult!$C$2/100</f>
        <v>0.64754258780133356</v>
      </c>
      <c r="J253" s="49">
        <f ca="1">(staticResult!$C$16-H253)+BUFF!$F$27</f>
        <v>0.64675423898969309</v>
      </c>
      <c r="K253" s="448">
        <f t="shared" ca="1" si="15"/>
        <v>-7.4546110999218415E-2</v>
      </c>
      <c r="L253" s="49">
        <f>((H253*staticResult!$C$2*100)+配裝模擬!$D$2+staticResult!$D$16*0.47)/staticResult!$C$2/100</f>
        <v>0.5974425878013333</v>
      </c>
      <c r="M253" s="476">
        <f ca="1">H253*(1+BUFF!$H$27)</f>
        <v>0.55110000000000003</v>
      </c>
    </row>
    <row r="254" spans="1:13">
      <c r="A254" s="448">
        <f t="shared" si="13"/>
        <v>2.0869849715595294</v>
      </c>
      <c r="B254" s="49">
        <v>0.502</v>
      </c>
      <c r="C254" s="49">
        <f>staticResult!$C$16-B254</f>
        <v>0.41825423898969305</v>
      </c>
      <c r="D254" s="448">
        <f t="shared" si="14"/>
        <v>-8.2330215680492744E-3</v>
      </c>
      <c r="E254" s="49">
        <f>((B254*staticResult!$C$2*100)+配裝模擬!$D$2+staticResult!$D$16*0.47)/staticResult!$C$2/100</f>
        <v>0.59844258780133341</v>
      </c>
      <c r="G254" s="448">
        <f t="shared" ca="1" si="12"/>
        <v>2.9859961445282655</v>
      </c>
      <c r="H254" s="49">
        <v>0.502</v>
      </c>
      <c r="I254" s="49">
        <f ca="1">((M254*staticResult!$C$2*100)+配裝模擬!$D$2+staticResult!$D$16*0.47)/staticResult!$C$2/100</f>
        <v>0.64864258780133344</v>
      </c>
      <c r="J254" s="49">
        <f ca="1">(staticResult!$C$16-H254)+BUFF!$F$27</f>
        <v>0.64575423898969309</v>
      </c>
      <c r="K254" s="448">
        <f t="shared" ca="1" si="15"/>
        <v>-7.7309710705186704E-2</v>
      </c>
      <c r="L254" s="49">
        <f>((H254*staticResult!$C$2*100)+配裝模擬!$D$2+staticResult!$D$16*0.47)/staticResult!$C$2/100</f>
        <v>0.59844258780133341</v>
      </c>
      <c r="M254" s="476">
        <f ca="1">H254*(1+BUFF!$H$27)</f>
        <v>0.55220000000000002</v>
      </c>
    </row>
    <row r="255" spans="1:13">
      <c r="A255" s="448">
        <f t="shared" si="13"/>
        <v>2.0869748761745925</v>
      </c>
      <c r="B255" s="49">
        <v>0.503</v>
      </c>
      <c r="C255" s="49">
        <f>staticResult!$C$16-B255</f>
        <v>0.41725423898969305</v>
      </c>
      <c r="D255" s="448">
        <f t="shared" si="14"/>
        <v>-1.009538493690342E-2</v>
      </c>
      <c r="E255" s="49">
        <f>((B255*staticResult!$C$2*100)+配裝模擬!$D$2+staticResult!$D$16*0.47)/staticResult!$C$2/100</f>
        <v>0.59944258780133342</v>
      </c>
      <c r="G255" s="448">
        <f t="shared" ca="1" si="12"/>
        <v>2.9859160712178552</v>
      </c>
      <c r="H255" s="49">
        <v>0.503</v>
      </c>
      <c r="I255" s="49">
        <f ca="1">((M255*staticResult!$C$2*100)+配裝模擬!$D$2+staticResult!$D$16*0.47)/staticResult!$C$2/100</f>
        <v>0.64974258780133343</v>
      </c>
      <c r="J255" s="49">
        <f ca="1">(staticResult!$C$16-H255)+BUFF!$F$27</f>
        <v>0.64475423898969308</v>
      </c>
      <c r="K255" s="448">
        <f t="shared" ca="1" si="15"/>
        <v>-8.0073310410266815E-2</v>
      </c>
      <c r="L255" s="49">
        <f>((H255*staticResult!$C$2*100)+配裝模擬!$D$2+staticResult!$D$16*0.47)/staticResult!$C$2/100</f>
        <v>0.59944258780133342</v>
      </c>
      <c r="M255" s="476">
        <f ca="1">H255*(1+BUFF!$H$27)</f>
        <v>0.55330000000000001</v>
      </c>
    </row>
    <row r="256" spans="1:13">
      <c r="A256" s="448">
        <f t="shared" si="13"/>
        <v>2.0869629184262863</v>
      </c>
      <c r="B256" s="49">
        <v>0.504</v>
      </c>
      <c r="C256" s="49">
        <f>staticResult!$C$16-B256</f>
        <v>0.41625423898969305</v>
      </c>
      <c r="D256" s="448">
        <f t="shared" si="14"/>
        <v>-1.1957748306201655E-2</v>
      </c>
      <c r="E256" s="49">
        <f>((B256*staticResult!$C$2*100)+配裝模擬!$D$2+staticResult!$D$16*0.47)/staticResult!$C$2/100</f>
        <v>0.60044258780133331</v>
      </c>
      <c r="G256" s="448">
        <f t="shared" ca="1" si="12"/>
        <v>2.9858332343077381</v>
      </c>
      <c r="H256" s="49">
        <v>0.504</v>
      </c>
      <c r="I256" s="49">
        <f ca="1">((M256*staticResult!$C$2*100)+配裝模擬!$D$2+staticResult!$D$16*0.47)/staticResult!$C$2/100</f>
        <v>0.65084258780133342</v>
      </c>
      <c r="J256" s="49">
        <f ca="1">(staticResult!$C$16-H256)+BUFF!$F$27</f>
        <v>0.64375423898969308</v>
      </c>
      <c r="K256" s="448">
        <f t="shared" ca="1" si="15"/>
        <v>-8.2836910117123283E-2</v>
      </c>
      <c r="L256" s="49">
        <f>((H256*staticResult!$C$2*100)+配裝模擬!$D$2+staticResult!$D$16*0.47)/staticResult!$C$2/100</f>
        <v>0.60044258780133331</v>
      </c>
      <c r="M256" s="476">
        <f ca="1">H256*(1+BUFF!$H$27)</f>
        <v>0.5544</v>
      </c>
    </row>
    <row r="257" spans="1:13">
      <c r="A257" s="448">
        <f t="shared" si="13"/>
        <v>2.0869490983146113</v>
      </c>
      <c r="B257" s="49">
        <v>0.505</v>
      </c>
      <c r="C257" s="49">
        <f>staticResult!$C$16-B257</f>
        <v>0.41525423898969305</v>
      </c>
      <c r="D257" s="448">
        <f t="shared" si="14"/>
        <v>-1.3820111675055801E-2</v>
      </c>
      <c r="E257" s="49">
        <f>((B257*staticResult!$C$2*100)+配裝模擬!$D$2+staticResult!$D$16*0.47)/staticResult!$C$2/100</f>
        <v>0.60144258780133331</v>
      </c>
      <c r="G257" s="448">
        <f t="shared" ca="1" si="12"/>
        <v>2.9857476337979159</v>
      </c>
      <c r="H257" s="49">
        <v>0.505</v>
      </c>
      <c r="I257" s="49">
        <f ca="1">((M257*staticResult!$C$2*100)+配裝模擬!$D$2+staticResult!$D$16*0.47)/staticResult!$C$2/100</f>
        <v>0.65194258780133352</v>
      </c>
      <c r="J257" s="49">
        <f ca="1">(staticResult!$C$16-H257)+BUFF!$F$27</f>
        <v>0.64275423898969308</v>
      </c>
      <c r="K257" s="448">
        <f t="shared" ca="1" si="15"/>
        <v>-8.5600509822203394E-2</v>
      </c>
      <c r="L257" s="49">
        <f>((H257*staticResult!$C$2*100)+配裝模擬!$D$2+staticResult!$D$16*0.47)/staticResult!$C$2/100</f>
        <v>0.60144258780133331</v>
      </c>
      <c r="M257" s="476">
        <f ca="1">H257*(1+BUFF!$H$27)</f>
        <v>0.5555000000000001</v>
      </c>
    </row>
    <row r="258" spans="1:13">
      <c r="A258" s="448">
        <f t="shared" si="13"/>
        <v>2.0869334158395674</v>
      </c>
      <c r="B258" s="49">
        <v>0.50600000000000001</v>
      </c>
      <c r="C258" s="49">
        <f>staticResult!$C$16-B258</f>
        <v>0.41425423898969305</v>
      </c>
      <c r="D258" s="448">
        <f t="shared" si="14"/>
        <v>-1.5682475043909946E-2</v>
      </c>
      <c r="E258" s="49">
        <f>((B258*staticResult!$C$2*100)+配裝模擬!$D$2+staticResult!$D$16*0.47)/staticResult!$C$2/100</f>
        <v>0.60244258780133342</v>
      </c>
      <c r="G258" s="448">
        <f t="shared" ref="G258:G321" ca="1" si="16">(1+I258)*(J258*$F$13+(1-J258))</f>
        <v>2.9856592696883886</v>
      </c>
      <c r="H258" s="49">
        <v>0.50600000000000001</v>
      </c>
      <c r="I258" s="49">
        <f ca="1">((M258*staticResult!$C$2*100)+配裝模擬!$D$2+staticResult!$D$16*0.47)/staticResult!$C$2/100</f>
        <v>0.65304258780133351</v>
      </c>
      <c r="J258" s="49">
        <f ca="1">(staticResult!$C$16-H258)+BUFF!$F$27</f>
        <v>0.64175423898969308</v>
      </c>
      <c r="K258" s="448">
        <f t="shared" ca="1" si="15"/>
        <v>-8.8364109527283491E-2</v>
      </c>
      <c r="L258" s="49">
        <f>((H258*staticResult!$C$2*100)+配裝模擬!$D$2+staticResult!$D$16*0.47)/staticResult!$C$2/100</f>
        <v>0.60244258780133342</v>
      </c>
      <c r="M258" s="476">
        <f ca="1">H258*(1+BUFF!$H$27)</f>
        <v>0.55660000000000009</v>
      </c>
    </row>
    <row r="259" spans="1:13">
      <c r="A259" s="448">
        <f t="shared" ref="A259:A322" si="17">(1+B259)*(C259*$F$3+(1-C259))</f>
        <v>2.0869158710011546</v>
      </c>
      <c r="B259" s="49">
        <v>0.50700000000000001</v>
      </c>
      <c r="C259" s="49">
        <f>staticResult!$C$16-B259</f>
        <v>0.41325423898969305</v>
      </c>
      <c r="D259" s="448">
        <f t="shared" ref="D259:D322" si="18">(A259-A258)/(B259-B258)</f>
        <v>-1.7544838412764094E-2</v>
      </c>
      <c r="E259" s="49">
        <f>((B259*staticResult!$C$2*100)+配裝模擬!$D$2+staticResult!$D$16*0.47)/staticResult!$C$2/100</f>
        <v>0.60344258780133331</v>
      </c>
      <c r="G259" s="448">
        <f t="shared" ca="1" si="16"/>
        <v>2.9855681419791549</v>
      </c>
      <c r="H259" s="49">
        <v>0.50700000000000001</v>
      </c>
      <c r="I259" s="49">
        <f ca="1">((M259*staticResult!$C$2*100)+配裝模擬!$D$2+staticResult!$D$16*0.47)/staticResult!$C$2/100</f>
        <v>0.6541425878013335</v>
      </c>
      <c r="J259" s="49">
        <f ca="1">(staticResult!$C$16-H259)+BUFF!$F$27</f>
        <v>0.64075423898969308</v>
      </c>
      <c r="K259" s="448">
        <f t="shared" ref="K259:K322" ca="1" si="19">(G259-G258)/(H259-H258)</f>
        <v>-9.1127709233695869E-2</v>
      </c>
      <c r="L259" s="49">
        <f>((H259*staticResult!$C$2*100)+配裝模擬!$D$2+staticResult!$D$16*0.47)/staticResult!$C$2/100</f>
        <v>0.60344258780133331</v>
      </c>
      <c r="M259" s="476">
        <f ca="1">H259*(1+BUFF!$H$27)</f>
        <v>0.55770000000000008</v>
      </c>
    </row>
    <row r="260" spans="1:13">
      <c r="A260" s="448">
        <f t="shared" si="17"/>
        <v>2.086896463799373</v>
      </c>
      <c r="B260" s="49">
        <v>0.50800000000000001</v>
      </c>
      <c r="C260" s="49">
        <f>staticResult!$C$16-B260</f>
        <v>0.41225423898969304</v>
      </c>
      <c r="D260" s="448">
        <f t="shared" si="18"/>
        <v>-1.9407201781618238E-2</v>
      </c>
      <c r="E260" s="49">
        <f>((B260*staticResult!$C$2*100)+配裝模擬!$D$2+staticResult!$D$16*0.47)/staticResult!$C$2/100</f>
        <v>0.60444258780133342</v>
      </c>
      <c r="G260" s="448">
        <f t="shared" ca="1" si="16"/>
        <v>2.9854742506702152</v>
      </c>
      <c r="H260" s="49">
        <v>0.50800000000000001</v>
      </c>
      <c r="I260" s="49">
        <f ca="1">((M260*staticResult!$C$2*100)+配裝模擬!$D$2+staticResult!$D$16*0.47)/staticResult!$C$2/100</f>
        <v>0.65524258780133349</v>
      </c>
      <c r="J260" s="49">
        <f ca="1">(staticResult!$C$16-H260)+BUFF!$F$27</f>
        <v>0.63975423898969308</v>
      </c>
      <c r="K260" s="448">
        <f t="shared" ca="1" si="19"/>
        <v>-9.3891308939664159E-2</v>
      </c>
      <c r="L260" s="49">
        <f>((H260*staticResult!$C$2*100)+配裝模擬!$D$2+staticResult!$D$16*0.47)/staticResult!$C$2/100</f>
        <v>0.60444258780133342</v>
      </c>
      <c r="M260" s="476">
        <f ca="1">H260*(1+BUFF!$H$27)</f>
        <v>0.55880000000000007</v>
      </c>
    </row>
    <row r="261" spans="1:13">
      <c r="A261" s="448">
        <f t="shared" si="17"/>
        <v>2.0868751942342221</v>
      </c>
      <c r="B261" s="49">
        <v>0.50900000000000001</v>
      </c>
      <c r="C261" s="49">
        <f>staticResult!$C$16-B261</f>
        <v>0.41125423898969304</v>
      </c>
      <c r="D261" s="448">
        <f t="shared" si="18"/>
        <v>-2.1269565150916474E-2</v>
      </c>
      <c r="E261" s="49">
        <f>((B261*staticResult!$C$2*100)+配裝模擬!$D$2+staticResult!$D$16*0.47)/staticResult!$C$2/100</f>
        <v>0.60544258780133342</v>
      </c>
      <c r="G261" s="448">
        <f t="shared" ca="1" si="16"/>
        <v>2.9853775957615696</v>
      </c>
      <c r="H261" s="49">
        <v>0.50900000000000001</v>
      </c>
      <c r="I261" s="49">
        <f ca="1">((M261*staticResult!$C$2*100)+配裝模擬!$D$2+staticResult!$D$16*0.47)/staticResult!$C$2/100</f>
        <v>0.65634258780133348</v>
      </c>
      <c r="J261" s="49">
        <f ca="1">(staticResult!$C$16-H261)+BUFF!$F$27</f>
        <v>0.63875423898969308</v>
      </c>
      <c r="K261" s="448">
        <f t="shared" ca="1" si="19"/>
        <v>-9.6654908645632448E-2</v>
      </c>
      <c r="L261" s="49">
        <f>((H261*staticResult!$C$2*100)+配裝模擬!$D$2+staticResult!$D$16*0.47)/staticResult!$C$2/100</f>
        <v>0.60544258780133342</v>
      </c>
      <c r="M261" s="476">
        <f ca="1">H261*(1+BUFF!$H$27)</f>
        <v>0.55990000000000006</v>
      </c>
    </row>
    <row r="262" spans="1:13">
      <c r="A262" s="448">
        <f t="shared" si="17"/>
        <v>2.0868520623057027</v>
      </c>
      <c r="B262" s="49">
        <v>0.51</v>
      </c>
      <c r="C262" s="49">
        <f>staticResult!$C$16-B262</f>
        <v>0.41025423898969304</v>
      </c>
      <c r="D262" s="448">
        <f t="shared" si="18"/>
        <v>-2.3131928519326529E-2</v>
      </c>
      <c r="E262" s="49">
        <f>((B262*staticResult!$C$2*100)+配裝模擬!$D$2+staticResult!$D$16*0.47)/staticResult!$C$2/100</f>
        <v>0.60644258780133331</v>
      </c>
      <c r="G262" s="448">
        <f t="shared" ca="1" si="16"/>
        <v>2.9852781772532189</v>
      </c>
      <c r="H262" s="49">
        <v>0.51</v>
      </c>
      <c r="I262" s="49">
        <f ca="1">((M262*staticResult!$C$2*100)+配裝模擬!$D$2+staticResult!$D$16*0.47)/staticResult!$C$2/100</f>
        <v>0.65744258780133347</v>
      </c>
      <c r="J262" s="49">
        <f ca="1">(staticResult!$C$16-H262)+BUFF!$F$27</f>
        <v>0.63775423898969308</v>
      </c>
      <c r="K262" s="448">
        <f t="shared" ca="1" si="19"/>
        <v>-9.9418508350712559E-2</v>
      </c>
      <c r="L262" s="49">
        <f>((H262*staticResult!$C$2*100)+配裝模擬!$D$2+staticResult!$D$16*0.47)/staticResult!$C$2/100</f>
        <v>0.60644258780133331</v>
      </c>
      <c r="M262" s="476">
        <f ca="1">H262*(1+BUFF!$H$27)</f>
        <v>0.56100000000000005</v>
      </c>
    </row>
    <row r="263" spans="1:13">
      <c r="A263" s="448">
        <f t="shared" si="17"/>
        <v>2.0868270680138146</v>
      </c>
      <c r="B263" s="49">
        <v>0.51100000000000001</v>
      </c>
      <c r="C263" s="49">
        <f>staticResult!$C$16-B263</f>
        <v>0.40925423898969304</v>
      </c>
      <c r="D263" s="448">
        <f t="shared" si="18"/>
        <v>-2.4994291888180677E-2</v>
      </c>
      <c r="E263" s="49">
        <f>((B263*staticResult!$C$2*100)+配裝模擬!$D$2+staticResult!$D$16*0.47)/staticResult!$C$2/100</f>
        <v>0.60744258780133331</v>
      </c>
      <c r="G263" s="448">
        <f t="shared" ca="1" si="16"/>
        <v>2.9851759951451617</v>
      </c>
      <c r="H263" s="49">
        <v>0.51100000000000001</v>
      </c>
      <c r="I263" s="49">
        <f ca="1">((M263*staticResult!$C$2*100)+配裝模擬!$D$2+staticResult!$D$16*0.47)/staticResult!$C$2/100</f>
        <v>0.65854258780133335</v>
      </c>
      <c r="J263" s="49">
        <f ca="1">(staticResult!$C$16-H263)+BUFF!$F$27</f>
        <v>0.63675423898969308</v>
      </c>
      <c r="K263" s="448">
        <f t="shared" ca="1" si="19"/>
        <v>-0.10218210805712492</v>
      </c>
      <c r="L263" s="49">
        <f>((H263*staticResult!$C$2*100)+配裝模擬!$D$2+staticResult!$D$16*0.47)/staticResult!$C$2/100</f>
        <v>0.60744258780133331</v>
      </c>
      <c r="M263" s="476">
        <f ca="1">H263*(1+BUFF!$H$27)</f>
        <v>0.56210000000000004</v>
      </c>
    </row>
    <row r="264" spans="1:13">
      <c r="A264" s="448">
        <f t="shared" si="17"/>
        <v>2.0868002113585575</v>
      </c>
      <c r="B264" s="49">
        <v>0.51200000000000001</v>
      </c>
      <c r="C264" s="49">
        <f>staticResult!$C$16-B264</f>
        <v>0.40825423898969304</v>
      </c>
      <c r="D264" s="448">
        <f t="shared" si="18"/>
        <v>-2.6856655257034821E-2</v>
      </c>
      <c r="E264" s="49">
        <f>((B264*staticResult!$C$2*100)+配裝模擬!$D$2+staticResult!$D$16*0.47)/staticResult!$C$2/100</f>
        <v>0.60844258780133342</v>
      </c>
      <c r="G264" s="448">
        <f t="shared" ca="1" si="16"/>
        <v>2.9850710494373991</v>
      </c>
      <c r="H264" s="49">
        <v>0.51200000000000001</v>
      </c>
      <c r="I264" s="49">
        <f ca="1">((M264*staticResult!$C$2*100)+配裝模擬!$D$2+staticResult!$D$16*0.47)/staticResult!$C$2/100</f>
        <v>0.65964258780133345</v>
      </c>
      <c r="J264" s="49">
        <f ca="1">(staticResult!$C$16-H264)+BUFF!$F$27</f>
        <v>0.63575423898969308</v>
      </c>
      <c r="K264" s="448">
        <f t="shared" ca="1" si="19"/>
        <v>-0.10494570776264912</v>
      </c>
      <c r="L264" s="49">
        <f>((H264*staticResult!$C$2*100)+配裝模擬!$D$2+staticResult!$D$16*0.47)/staticResult!$C$2/100</f>
        <v>0.60844258780133342</v>
      </c>
      <c r="M264" s="476">
        <f ca="1">H264*(1+BUFF!$H$27)</f>
        <v>0.56320000000000003</v>
      </c>
    </row>
    <row r="265" spans="1:13">
      <c r="A265" s="448">
        <f t="shared" si="17"/>
        <v>2.0867714923399308</v>
      </c>
      <c r="B265" s="49">
        <v>0.51300000000000001</v>
      </c>
      <c r="C265" s="49">
        <f>staticResult!$C$16-B265</f>
        <v>0.40725423898969304</v>
      </c>
      <c r="D265" s="448">
        <f t="shared" si="18"/>
        <v>-2.8719018626777146E-2</v>
      </c>
      <c r="E265" s="49">
        <f>((B265*staticResult!$C$2*100)+配裝模擬!$D$2+staticResult!$D$16*0.47)/staticResult!$C$2/100</f>
        <v>0.60944258780133331</v>
      </c>
      <c r="G265" s="448">
        <f t="shared" ca="1" si="16"/>
        <v>2.9849633401299305</v>
      </c>
      <c r="H265" s="49">
        <v>0.51300000000000001</v>
      </c>
      <c r="I265" s="49">
        <f ca="1">((M265*staticResult!$C$2*100)+配裝模擬!$D$2+staticResult!$D$16*0.47)/staticResult!$C$2/100</f>
        <v>0.66074258780133344</v>
      </c>
      <c r="J265" s="49">
        <f ca="1">(staticResult!$C$16-H265)+BUFF!$F$27</f>
        <v>0.63475423898969308</v>
      </c>
      <c r="K265" s="448">
        <f t="shared" ca="1" si="19"/>
        <v>-0.10770930746861741</v>
      </c>
      <c r="L265" s="49">
        <f>((H265*staticResult!$C$2*100)+配裝模擬!$D$2+staticResult!$D$16*0.47)/staticResult!$C$2/100</f>
        <v>0.60944258780133331</v>
      </c>
      <c r="M265" s="476">
        <f ca="1">H265*(1+BUFF!$H$27)</f>
        <v>0.56430000000000002</v>
      </c>
    </row>
    <row r="266" spans="1:13">
      <c r="A266" s="448">
        <f t="shared" si="17"/>
        <v>2.086740910957936</v>
      </c>
      <c r="B266" s="49">
        <v>0.51400000000000001</v>
      </c>
      <c r="C266" s="49">
        <f>staticResult!$C$16-B266</f>
        <v>0.40625423898969304</v>
      </c>
      <c r="D266" s="448">
        <f t="shared" si="18"/>
        <v>-3.0581381994743112E-2</v>
      </c>
      <c r="E266" s="49">
        <f>((B266*staticResult!$C$2*100)+配裝模擬!$D$2+staticResult!$D$16*0.47)/staticResult!$C$2/100</f>
        <v>0.61044258780133343</v>
      </c>
      <c r="G266" s="448">
        <f t="shared" ca="1" si="16"/>
        <v>2.9848528672227563</v>
      </c>
      <c r="H266" s="49">
        <v>0.51400000000000001</v>
      </c>
      <c r="I266" s="49">
        <f ca="1">((M266*staticResult!$C$2*100)+配裝模擬!$D$2+staticResult!$D$16*0.47)/staticResult!$C$2/100</f>
        <v>0.66184258780133343</v>
      </c>
      <c r="J266" s="49">
        <f ca="1">(staticResult!$C$16-H266)+BUFF!$F$27</f>
        <v>0.63375423898969308</v>
      </c>
      <c r="K266" s="448">
        <f t="shared" ca="1" si="19"/>
        <v>-0.11047290717414161</v>
      </c>
      <c r="L266" s="49">
        <f>((H266*staticResult!$C$2*100)+配裝模擬!$D$2+staticResult!$D$16*0.47)/staticResult!$C$2/100</f>
        <v>0.61044258780133343</v>
      </c>
      <c r="M266" s="476">
        <f ca="1">H266*(1+BUFF!$H$27)</f>
        <v>0.56540000000000001</v>
      </c>
    </row>
    <row r="267" spans="1:13">
      <c r="A267" s="448">
        <f t="shared" si="17"/>
        <v>2.086708467212572</v>
      </c>
      <c r="B267" s="49">
        <v>0.51500000000000001</v>
      </c>
      <c r="C267" s="49">
        <f>staticResult!$C$16-B267</f>
        <v>0.40525423898969304</v>
      </c>
      <c r="D267" s="448">
        <f t="shared" si="18"/>
        <v>-3.2443745364041349E-2</v>
      </c>
      <c r="E267" s="49">
        <f>((B267*staticResult!$C$2*100)+配裝模擬!$D$2+staticResult!$D$16*0.47)/staticResult!$C$2/100</f>
        <v>0.61144258780133343</v>
      </c>
      <c r="G267" s="448">
        <f t="shared" ca="1" si="16"/>
        <v>2.9847396307158767</v>
      </c>
      <c r="H267" s="49">
        <v>0.51500000000000001</v>
      </c>
      <c r="I267" s="49">
        <f ca="1">((M267*staticResult!$C$2*100)+配裝模擬!$D$2+staticResult!$D$16*0.47)/staticResult!$C$2/100</f>
        <v>0.66294258780133364</v>
      </c>
      <c r="J267" s="49">
        <f ca="1">(staticResult!$C$16-H267)+BUFF!$F$27</f>
        <v>0.63275423898969307</v>
      </c>
      <c r="K267" s="448">
        <f t="shared" ca="1" si="19"/>
        <v>-0.11323650687966581</v>
      </c>
      <c r="L267" s="49">
        <f>((H267*staticResult!$C$2*100)+配裝模擬!$D$2+staticResult!$D$16*0.47)/staticResult!$C$2/100</f>
        <v>0.61144258780133343</v>
      </c>
      <c r="M267" s="476">
        <f ca="1">H267*(1+BUFF!$H$27)</f>
        <v>0.56650000000000011</v>
      </c>
    </row>
    <row r="268" spans="1:13">
      <c r="A268" s="448">
        <f t="shared" si="17"/>
        <v>2.0866741611038386</v>
      </c>
      <c r="B268" s="49">
        <v>0.51600000000000001</v>
      </c>
      <c r="C268" s="49">
        <f>staticResult!$C$16-B268</f>
        <v>0.40425423898969304</v>
      </c>
      <c r="D268" s="448">
        <f t="shared" si="18"/>
        <v>-3.4306108733339585E-2</v>
      </c>
      <c r="E268" s="49">
        <f>((B268*staticResult!$C$2*100)+配裝模擬!$D$2+staticResult!$D$16*0.47)/staticResult!$C$2/100</f>
        <v>0.61244258780133332</v>
      </c>
      <c r="G268" s="448">
        <f t="shared" ca="1" si="16"/>
        <v>2.984623630609291</v>
      </c>
      <c r="H268" s="49">
        <v>0.51600000000000001</v>
      </c>
      <c r="I268" s="49">
        <f ca="1">((M268*staticResult!$C$2*100)+配裝模擬!$D$2+staticResult!$D$16*0.47)/staticResult!$C$2/100</f>
        <v>0.66404258780133352</v>
      </c>
      <c r="J268" s="49">
        <f ca="1">(staticResult!$C$16-H268)+BUFF!$F$27</f>
        <v>0.63175423898969307</v>
      </c>
      <c r="K268" s="448">
        <f t="shared" ca="1" si="19"/>
        <v>-0.1160001065856341</v>
      </c>
      <c r="L268" s="49">
        <f>((H268*staticResult!$C$2*100)+配裝模擬!$D$2+staticResult!$D$16*0.47)/staticResult!$C$2/100</f>
        <v>0.61244258780133332</v>
      </c>
      <c r="M268" s="476">
        <f ca="1">H268*(1+BUFF!$H$27)</f>
        <v>0.5676000000000001</v>
      </c>
    </row>
    <row r="269" spans="1:13">
      <c r="A269" s="448">
        <f t="shared" si="17"/>
        <v>2.0866379926317369</v>
      </c>
      <c r="B269" s="49">
        <v>0.51700000000000002</v>
      </c>
      <c r="C269" s="49">
        <f>staticResult!$C$16-B269</f>
        <v>0.40325423898969304</v>
      </c>
      <c r="D269" s="448">
        <f t="shared" si="18"/>
        <v>-3.6168472101749637E-2</v>
      </c>
      <c r="E269" s="49">
        <f>((B269*staticResult!$C$2*100)+配裝模擬!$D$2+staticResult!$D$16*0.47)/staticResult!$C$2/100</f>
        <v>0.61344258780133343</v>
      </c>
      <c r="G269" s="448">
        <f t="shared" ca="1" si="16"/>
        <v>2.9845048669029994</v>
      </c>
      <c r="H269" s="49">
        <v>0.51700000000000002</v>
      </c>
      <c r="I269" s="49">
        <f ca="1">((M269*staticResult!$C$2*100)+配裝模擬!$D$2+staticResult!$D$16*0.47)/staticResult!$C$2/100</f>
        <v>0.66514258780133362</v>
      </c>
      <c r="J269" s="49">
        <f ca="1">(staticResult!$C$16-H269)+BUFF!$F$27</f>
        <v>0.63075423898969307</v>
      </c>
      <c r="K269" s="448">
        <f t="shared" ca="1" si="19"/>
        <v>-0.11876370629160238</v>
      </c>
      <c r="L269" s="49">
        <f>((H269*staticResult!$C$2*100)+配裝模擬!$D$2+staticResult!$D$16*0.47)/staticResult!$C$2/100</f>
        <v>0.61344258780133343</v>
      </c>
      <c r="M269" s="476">
        <f ca="1">H269*(1+BUFF!$H$27)</f>
        <v>0.56870000000000009</v>
      </c>
    </row>
    <row r="270" spans="1:13">
      <c r="A270" s="448">
        <f t="shared" si="17"/>
        <v>2.0865999617962663</v>
      </c>
      <c r="B270" s="49">
        <v>0.51800000000000002</v>
      </c>
      <c r="C270" s="49">
        <f>staticResult!$C$16-B270</f>
        <v>0.40225423898969304</v>
      </c>
      <c r="D270" s="448">
        <f t="shared" si="18"/>
        <v>-3.8030835470603784E-2</v>
      </c>
      <c r="E270" s="49">
        <f>((B270*staticResult!$C$2*100)+配裝模擬!$D$2+staticResult!$D$16*0.47)/staticResult!$C$2/100</f>
        <v>0.61444258780133343</v>
      </c>
      <c r="G270" s="448">
        <f t="shared" ca="1" si="16"/>
        <v>2.9843833395970019</v>
      </c>
      <c r="H270" s="49">
        <v>0.51800000000000002</v>
      </c>
      <c r="I270" s="49">
        <f ca="1">((M270*staticResult!$C$2*100)+配裝模擬!$D$2+staticResult!$D$16*0.47)/staticResult!$C$2/100</f>
        <v>0.66624258780133361</v>
      </c>
      <c r="J270" s="49">
        <f ca="1">(staticResult!$C$16-H270)+BUFF!$F$27</f>
        <v>0.62975423898969307</v>
      </c>
      <c r="K270" s="448">
        <f t="shared" ca="1" si="19"/>
        <v>-0.12152730599757067</v>
      </c>
      <c r="L270" s="49">
        <f>((H270*staticResult!$C$2*100)+配裝模擬!$D$2+staticResult!$D$16*0.47)/staticResult!$C$2/100</f>
        <v>0.61444258780133343</v>
      </c>
      <c r="M270" s="476">
        <f ca="1">H270*(1+BUFF!$H$27)</f>
        <v>0.56980000000000008</v>
      </c>
    </row>
    <row r="271" spans="1:13">
      <c r="A271" s="448">
        <f t="shared" si="17"/>
        <v>2.0865600685974273</v>
      </c>
      <c r="B271" s="49">
        <v>0.51900000000000002</v>
      </c>
      <c r="C271" s="49">
        <f>staticResult!$C$16-B271</f>
        <v>0.40125423898969304</v>
      </c>
      <c r="D271" s="448">
        <f t="shared" si="18"/>
        <v>-3.9893198839013842E-2</v>
      </c>
      <c r="E271" s="49">
        <f>((B271*staticResult!$C$2*100)+配裝模擬!$D$2+staticResult!$D$16*0.47)/staticResult!$C$2/100</f>
        <v>0.61544258780133343</v>
      </c>
      <c r="G271" s="448">
        <f t="shared" ca="1" si="16"/>
        <v>2.9842590486912988</v>
      </c>
      <c r="H271" s="49">
        <v>0.51900000000000002</v>
      </c>
      <c r="I271" s="49">
        <f ca="1">((M271*staticResult!$C$2*100)+配裝模擬!$D$2+staticResult!$D$16*0.47)/staticResult!$C$2/100</f>
        <v>0.6673425878013336</v>
      </c>
      <c r="J271" s="49">
        <f ca="1">(staticResult!$C$16-H271)+BUFF!$F$27</f>
        <v>0.62875423898969307</v>
      </c>
      <c r="K271" s="448">
        <f t="shared" ca="1" si="19"/>
        <v>-0.12429090570309487</v>
      </c>
      <c r="L271" s="49">
        <f>((H271*staticResult!$C$2*100)+配裝模擬!$D$2+staticResult!$D$16*0.47)/staticResult!$C$2/100</f>
        <v>0.61544258780133343</v>
      </c>
      <c r="M271" s="476">
        <f ca="1">H271*(1+BUFF!$H$27)</f>
        <v>0.57090000000000007</v>
      </c>
    </row>
    <row r="272" spans="1:13">
      <c r="A272" s="448">
        <f t="shared" si="17"/>
        <v>2.0865183130352185</v>
      </c>
      <c r="B272" s="49">
        <v>0.52</v>
      </c>
      <c r="C272" s="49">
        <f>staticResult!$C$16-B272</f>
        <v>0.40025423898969303</v>
      </c>
      <c r="D272" s="448">
        <f t="shared" si="18"/>
        <v>-4.1755562208756168E-2</v>
      </c>
      <c r="E272" s="49">
        <f>((B272*staticResult!$C$2*100)+配裝模擬!$D$2+staticResult!$D$16*0.47)/staticResult!$C$2/100</f>
        <v>0.61644258780133343</v>
      </c>
      <c r="G272" s="448">
        <f t="shared" ca="1" si="16"/>
        <v>2.9841319941858897</v>
      </c>
      <c r="H272" s="49">
        <v>0.52</v>
      </c>
      <c r="I272" s="49">
        <f ca="1">((M272*staticResult!$C$2*100)+配裝模擬!$D$2+staticResult!$D$16*0.47)/staticResult!$C$2/100</f>
        <v>0.66844258780133348</v>
      </c>
      <c r="J272" s="49">
        <f ca="1">(staticResult!$C$16-H272)+BUFF!$F$27</f>
        <v>0.62775423898969307</v>
      </c>
      <c r="K272" s="448">
        <f t="shared" ca="1" si="19"/>
        <v>-0.12705450540906316</v>
      </c>
      <c r="L272" s="49">
        <f>((H272*staticResult!$C$2*100)+配裝模擬!$D$2+staticResult!$D$16*0.47)/staticResult!$C$2/100</f>
        <v>0.61644258780133343</v>
      </c>
      <c r="M272" s="476">
        <f ca="1">H272*(1+BUFF!$H$27)</f>
        <v>0.57200000000000006</v>
      </c>
    </row>
    <row r="273" spans="1:13">
      <c r="A273" s="448">
        <f t="shared" si="17"/>
        <v>2.0864746951096409</v>
      </c>
      <c r="B273" s="49">
        <v>0.52100000000000002</v>
      </c>
      <c r="C273" s="49">
        <f>staticResult!$C$16-B273</f>
        <v>0.39925423898969303</v>
      </c>
      <c r="D273" s="448">
        <f t="shared" si="18"/>
        <v>-4.3617925577610309E-2</v>
      </c>
      <c r="E273" s="49">
        <f>((B273*staticResult!$C$2*100)+配裝模擬!$D$2+staticResult!$D$16*0.47)/staticResult!$C$2/100</f>
        <v>0.61744258780133343</v>
      </c>
      <c r="G273" s="448">
        <f t="shared" ca="1" si="16"/>
        <v>2.9840021760807747</v>
      </c>
      <c r="H273" s="49">
        <v>0.52100000000000002</v>
      </c>
      <c r="I273" s="49">
        <f ca="1">((M273*staticResult!$C$2*100)+配裝模擬!$D$2+staticResult!$D$16*0.47)/staticResult!$C$2/100</f>
        <v>0.66954258780133358</v>
      </c>
      <c r="J273" s="49">
        <f ca="1">(staticResult!$C$16-H273)+BUFF!$F$27</f>
        <v>0.62675423898969307</v>
      </c>
      <c r="K273" s="448">
        <f t="shared" ca="1" si="19"/>
        <v>-0.12981810511503145</v>
      </c>
      <c r="L273" s="49">
        <f>((H273*staticResult!$C$2*100)+配裝模擬!$D$2+staticResult!$D$16*0.47)/staticResult!$C$2/100</f>
        <v>0.61744258780133343</v>
      </c>
      <c r="M273" s="476">
        <f ca="1">H273*(1+BUFF!$H$27)</f>
        <v>0.57310000000000005</v>
      </c>
    </row>
    <row r="274" spans="1:13">
      <c r="A274" s="448">
        <f t="shared" si="17"/>
        <v>2.0864292148206944</v>
      </c>
      <c r="B274" s="49">
        <v>0.52200000000000002</v>
      </c>
      <c r="C274" s="49">
        <f>staticResult!$C$16-B274</f>
        <v>0.39825423898969303</v>
      </c>
      <c r="D274" s="448">
        <f t="shared" si="18"/>
        <v>-4.5480288946464456E-2</v>
      </c>
      <c r="E274" s="49">
        <f>((B274*staticResult!$C$2*100)+配裝模擬!$D$2+staticResult!$D$16*0.47)/staticResult!$C$2/100</f>
        <v>0.61844258780133354</v>
      </c>
      <c r="G274" s="448">
        <f t="shared" ca="1" si="16"/>
        <v>2.9838695943759537</v>
      </c>
      <c r="H274" s="49">
        <v>0.52200000000000002</v>
      </c>
      <c r="I274" s="49">
        <f ca="1">((M274*staticResult!$C$2*100)+配裝模擬!$D$2+staticResult!$D$16*0.47)/staticResult!$C$2/100</f>
        <v>0.67064258780133346</v>
      </c>
      <c r="J274" s="49">
        <f ca="1">(staticResult!$C$16-H274)+BUFF!$F$27</f>
        <v>0.62575423898969307</v>
      </c>
      <c r="K274" s="448">
        <f t="shared" ca="1" si="19"/>
        <v>-0.13258170482099974</v>
      </c>
      <c r="L274" s="49">
        <f>((H274*staticResult!$C$2*100)+配裝模擬!$D$2+staticResult!$D$16*0.47)/staticResult!$C$2/100</f>
        <v>0.61844258780133354</v>
      </c>
      <c r="M274" s="476">
        <f ca="1">H274*(1+BUFF!$H$27)</f>
        <v>0.57420000000000004</v>
      </c>
    </row>
    <row r="275" spans="1:13">
      <c r="A275" s="448">
        <f t="shared" si="17"/>
        <v>2.0863818721683796</v>
      </c>
      <c r="B275" s="49">
        <v>0.52300000000000002</v>
      </c>
      <c r="C275" s="49">
        <f>staticResult!$C$16-B275</f>
        <v>0.39725423898969303</v>
      </c>
      <c r="D275" s="448">
        <f t="shared" si="18"/>
        <v>-4.7342652314874514E-2</v>
      </c>
      <c r="E275" s="49">
        <f>((B275*staticResult!$C$2*100)+配裝模擬!$D$2+staticResult!$D$16*0.47)/staticResult!$C$2/100</f>
        <v>0.61944258780133343</v>
      </c>
      <c r="G275" s="448">
        <f t="shared" ca="1" si="16"/>
        <v>2.9837342490714271</v>
      </c>
      <c r="H275" s="49">
        <v>0.52300000000000002</v>
      </c>
      <c r="I275" s="49">
        <f ca="1">((M275*staticResult!$C$2*100)+配裝模擬!$D$2+staticResult!$D$16*0.47)/staticResult!$C$2/100</f>
        <v>0.67174258780133345</v>
      </c>
      <c r="J275" s="49">
        <f ca="1">(staticResult!$C$16-H275)+BUFF!$F$27</f>
        <v>0.62475423898969307</v>
      </c>
      <c r="K275" s="448">
        <f t="shared" ca="1" si="19"/>
        <v>-0.13534530452652394</v>
      </c>
      <c r="L275" s="49">
        <f>((H275*staticResult!$C$2*100)+配裝模擬!$D$2+staticResult!$D$16*0.47)/staticResult!$C$2/100</f>
        <v>0.61944258780133343</v>
      </c>
      <c r="M275" s="476">
        <f ca="1">H275*(1+BUFF!$H$27)</f>
        <v>0.57530000000000003</v>
      </c>
    </row>
    <row r="276" spans="1:13">
      <c r="A276" s="448">
        <f t="shared" si="17"/>
        <v>2.0863326671526954</v>
      </c>
      <c r="B276" s="49">
        <v>0.52400000000000002</v>
      </c>
      <c r="C276" s="49">
        <f>staticResult!$C$16-B276</f>
        <v>0.39625423898969303</v>
      </c>
      <c r="D276" s="448">
        <f t="shared" si="18"/>
        <v>-4.9205015684172751E-2</v>
      </c>
      <c r="E276" s="49">
        <f>((B276*staticResult!$C$2*100)+配裝模擬!$D$2+staticResult!$D$16*0.47)/staticResult!$C$2/100</f>
        <v>0.62044258780133343</v>
      </c>
      <c r="G276" s="448">
        <f t="shared" ca="1" si="16"/>
        <v>2.9835961401671955</v>
      </c>
      <c r="H276" s="49">
        <v>0.52400000000000002</v>
      </c>
      <c r="I276" s="49">
        <f ca="1">((M276*staticResult!$C$2*100)+配裝模擬!$D$2+staticResult!$D$16*0.47)/staticResult!$C$2/100</f>
        <v>0.67284258780133344</v>
      </c>
      <c r="J276" s="49">
        <f ca="1">(staticResult!$C$16-H276)+BUFF!$F$27</f>
        <v>0.62375423898969307</v>
      </c>
      <c r="K276" s="448">
        <f t="shared" ca="1" si="19"/>
        <v>-0.13810890423160405</v>
      </c>
      <c r="L276" s="49">
        <f>((H276*staticResult!$C$2*100)+配裝模擬!$D$2+staticResult!$D$16*0.47)/staticResult!$C$2/100</f>
        <v>0.62044258780133343</v>
      </c>
      <c r="M276" s="476">
        <f ca="1">H276*(1+BUFF!$H$27)</f>
        <v>0.57640000000000002</v>
      </c>
    </row>
    <row r="277" spans="1:13">
      <c r="A277" s="448">
        <f t="shared" si="17"/>
        <v>2.0862815997736424</v>
      </c>
      <c r="B277" s="49">
        <v>0.52500000000000002</v>
      </c>
      <c r="C277" s="49">
        <f>staticResult!$C$16-B277</f>
        <v>0.39525423898969303</v>
      </c>
      <c r="D277" s="448">
        <f t="shared" si="18"/>
        <v>-5.1067379053026891E-2</v>
      </c>
      <c r="E277" s="49">
        <f>((B277*staticResult!$C$2*100)+配裝模擬!$D$2+staticResult!$D$16*0.47)/staticResult!$C$2/100</f>
        <v>0.62144258780133343</v>
      </c>
      <c r="G277" s="448">
        <f t="shared" ca="1" si="16"/>
        <v>2.9834552676632575</v>
      </c>
      <c r="H277" s="49">
        <v>0.52500000000000002</v>
      </c>
      <c r="I277" s="49">
        <f ca="1">((M277*staticResult!$C$2*100)+配裝模擬!$D$2+staticResult!$D$16*0.47)/staticResult!$C$2/100</f>
        <v>0.67394258780133354</v>
      </c>
      <c r="J277" s="49">
        <f ca="1">(staticResult!$C$16-H277)+BUFF!$F$27</f>
        <v>0.62275423898969307</v>
      </c>
      <c r="K277" s="448">
        <f t="shared" ca="1" si="19"/>
        <v>-0.1408725039380164</v>
      </c>
      <c r="L277" s="49">
        <f>((H277*staticResult!$C$2*100)+配裝模擬!$D$2+staticResult!$D$16*0.47)/staticResult!$C$2/100</f>
        <v>0.62144258780133343</v>
      </c>
      <c r="M277" s="476">
        <f ca="1">H277*(1+BUFF!$H$27)</f>
        <v>0.57750000000000012</v>
      </c>
    </row>
    <row r="278" spans="1:13">
      <c r="A278" s="448">
        <f t="shared" si="17"/>
        <v>2.0862286700312209</v>
      </c>
      <c r="B278" s="49">
        <v>0.52600000000000002</v>
      </c>
      <c r="C278" s="49">
        <f>staticResult!$C$16-B278</f>
        <v>0.39425423898969303</v>
      </c>
      <c r="D278" s="448">
        <f t="shared" si="18"/>
        <v>-5.292974242143695E-2</v>
      </c>
      <c r="E278" s="49">
        <f>((B278*staticResult!$C$2*100)+配裝模擬!$D$2+staticResult!$D$16*0.47)/staticResult!$C$2/100</f>
        <v>0.62244258780133344</v>
      </c>
      <c r="G278" s="448">
        <f t="shared" ca="1" si="16"/>
        <v>2.9833116315596135</v>
      </c>
      <c r="H278" s="49">
        <v>0.52600000000000002</v>
      </c>
      <c r="I278" s="49">
        <f ca="1">((M278*staticResult!$C$2*100)+配裝模擬!$D$2+staticResult!$D$16*0.47)/staticResult!$C$2/100</f>
        <v>0.67504258780133353</v>
      </c>
      <c r="J278" s="49">
        <f ca="1">(staticResult!$C$16-H278)+BUFF!$F$27</f>
        <v>0.62175423898969306</v>
      </c>
      <c r="K278" s="448">
        <f t="shared" ca="1" si="19"/>
        <v>-0.14363610364398469</v>
      </c>
      <c r="L278" s="49">
        <f>((H278*staticResult!$C$2*100)+配裝模擬!$D$2+staticResult!$D$16*0.47)/staticResult!$C$2/100</f>
        <v>0.62244258780133344</v>
      </c>
      <c r="M278" s="476">
        <f ca="1">H278*(1+BUFF!$H$27)</f>
        <v>0.57860000000000011</v>
      </c>
    </row>
    <row r="279" spans="1:13">
      <c r="A279" s="448">
        <f t="shared" si="17"/>
        <v>2.0861738779254302</v>
      </c>
      <c r="B279" s="49">
        <v>0.52700000000000002</v>
      </c>
      <c r="C279" s="49">
        <f>staticResult!$C$16-B279</f>
        <v>0.39325423898969303</v>
      </c>
      <c r="D279" s="448">
        <f t="shared" si="18"/>
        <v>-5.4792105790735186E-2</v>
      </c>
      <c r="E279" s="49">
        <f>((B279*staticResult!$C$2*100)+配裝模擬!$D$2+staticResult!$D$16*0.47)/staticResult!$C$2/100</f>
        <v>0.62344258780133344</v>
      </c>
      <c r="G279" s="448">
        <f t="shared" ca="1" si="16"/>
        <v>2.983165231856264</v>
      </c>
      <c r="H279" s="49">
        <v>0.52700000000000002</v>
      </c>
      <c r="I279" s="49">
        <f ca="1">((M279*staticResult!$C$2*100)+配裝模擬!$D$2+staticResult!$D$16*0.47)/staticResult!$C$2/100</f>
        <v>0.67614258780133352</v>
      </c>
      <c r="J279" s="49">
        <f ca="1">(staticResult!$C$16-H279)+BUFF!$F$27</f>
        <v>0.62075423898969306</v>
      </c>
      <c r="K279" s="448">
        <f t="shared" ca="1" si="19"/>
        <v>-0.14639970334950889</v>
      </c>
      <c r="L279" s="49">
        <f>((H279*staticResult!$C$2*100)+配裝模擬!$D$2+staticResult!$D$16*0.47)/staticResult!$C$2/100</f>
        <v>0.62344258780133344</v>
      </c>
      <c r="M279" s="476">
        <f ca="1">H279*(1+BUFF!$H$27)</f>
        <v>0.5797000000000001</v>
      </c>
    </row>
    <row r="280" spans="1:13">
      <c r="A280" s="448">
        <f t="shared" si="17"/>
        <v>2.0861172234562702</v>
      </c>
      <c r="B280" s="49">
        <v>0.52800000000000002</v>
      </c>
      <c r="C280" s="49">
        <f>staticResult!$C$16-B280</f>
        <v>0.39225423898969303</v>
      </c>
      <c r="D280" s="448">
        <f t="shared" si="18"/>
        <v>-5.6654469160033423E-2</v>
      </c>
      <c r="E280" s="49">
        <f>((B280*staticResult!$C$2*100)+配裝模擬!$D$2+staticResult!$D$16*0.47)/staticResult!$C$2/100</f>
        <v>0.62444258780133355</v>
      </c>
      <c r="G280" s="448">
        <f t="shared" ca="1" si="16"/>
        <v>2.983016068553209</v>
      </c>
      <c r="H280" s="49">
        <v>0.52800000000000002</v>
      </c>
      <c r="I280" s="49">
        <f ca="1">((M280*staticResult!$C$2*100)+配裝模擬!$D$2+staticResult!$D$16*0.47)/staticResult!$C$2/100</f>
        <v>0.6772425878013334</v>
      </c>
      <c r="J280" s="49">
        <f ca="1">(staticResult!$C$16-H280)+BUFF!$F$27</f>
        <v>0.61975423898969306</v>
      </c>
      <c r="K280" s="448">
        <f t="shared" ca="1" si="19"/>
        <v>-0.14916330305503309</v>
      </c>
      <c r="L280" s="49">
        <f>((H280*staticResult!$C$2*100)+配裝模擬!$D$2+staticResult!$D$16*0.47)/staticResult!$C$2/100</f>
        <v>0.62444258780133355</v>
      </c>
      <c r="M280" s="476">
        <f ca="1">H280*(1+BUFF!$H$27)</f>
        <v>0.58080000000000009</v>
      </c>
    </row>
    <row r="281" spans="1:13">
      <c r="A281" s="448">
        <f t="shared" si="17"/>
        <v>2.0860587066237413</v>
      </c>
      <c r="B281" s="49">
        <v>0.52900000000000003</v>
      </c>
      <c r="C281" s="49">
        <f>staticResult!$C$16-B281</f>
        <v>0.39125423898969303</v>
      </c>
      <c r="D281" s="448">
        <f t="shared" si="18"/>
        <v>-5.851683252888757E-2</v>
      </c>
      <c r="E281" s="49">
        <f>((B281*staticResult!$C$2*100)+配裝模擬!$D$2+staticResult!$D$16*0.47)/staticResult!$C$2/100</f>
        <v>0.62544258780133344</v>
      </c>
      <c r="G281" s="448">
        <f t="shared" ca="1" si="16"/>
        <v>2.982864141650448</v>
      </c>
      <c r="H281" s="49">
        <v>0.52900000000000003</v>
      </c>
      <c r="I281" s="49">
        <f ca="1">((M281*staticResult!$C$2*100)+配裝模擬!$D$2+staticResult!$D$16*0.47)/staticResult!$C$2/100</f>
        <v>0.6783425878013335</v>
      </c>
      <c r="J281" s="49">
        <f ca="1">(staticResult!$C$16-H281)+BUFF!$F$27</f>
        <v>0.61875423898969306</v>
      </c>
      <c r="K281" s="448">
        <f t="shared" ca="1" si="19"/>
        <v>-0.15192690276100138</v>
      </c>
      <c r="L281" s="49">
        <f>((H281*staticResult!$C$2*100)+配裝模擬!$D$2+staticResult!$D$16*0.47)/staticResult!$C$2/100</f>
        <v>0.62544258780133344</v>
      </c>
      <c r="M281" s="476">
        <f ca="1">H281*(1+BUFF!$H$27)</f>
        <v>0.58190000000000008</v>
      </c>
    </row>
    <row r="282" spans="1:13">
      <c r="A282" s="448">
        <f t="shared" si="17"/>
        <v>2.085998327427844</v>
      </c>
      <c r="B282" s="49">
        <v>0.53</v>
      </c>
      <c r="C282" s="49">
        <f>staticResult!$C$16-B282</f>
        <v>0.39025423898969303</v>
      </c>
      <c r="D282" s="448">
        <f t="shared" si="18"/>
        <v>-6.0379195897297622E-2</v>
      </c>
      <c r="E282" s="49">
        <f>((B282*staticResult!$C$2*100)+配裝模擬!$D$2+staticResult!$D$16*0.47)/staticResult!$C$2/100</f>
        <v>0.62644258780133344</v>
      </c>
      <c r="G282" s="448">
        <f t="shared" ca="1" si="16"/>
        <v>2.9827094511479815</v>
      </c>
      <c r="H282" s="49">
        <v>0.53</v>
      </c>
      <c r="I282" s="49">
        <f ca="1">((M282*staticResult!$C$2*100)+配裝模擬!$D$2+staticResult!$D$16*0.47)/staticResult!$C$2/100</f>
        <v>0.67944258780133371</v>
      </c>
      <c r="J282" s="49">
        <f ca="1">(staticResult!$C$16-H282)+BUFF!$F$27</f>
        <v>0.61775423898969306</v>
      </c>
      <c r="K282" s="448">
        <f t="shared" ca="1" si="19"/>
        <v>-0.15469050246652558</v>
      </c>
      <c r="L282" s="49">
        <f>((H282*staticResult!$C$2*100)+配裝模擬!$D$2+staticResult!$D$16*0.47)/staticResult!$C$2/100</f>
        <v>0.62644258780133344</v>
      </c>
      <c r="M282" s="476">
        <f ca="1">H282*(1+BUFF!$H$27)</f>
        <v>0.58300000000000007</v>
      </c>
    </row>
    <row r="283" spans="1:13">
      <c r="A283" s="448">
        <f t="shared" si="17"/>
        <v>2.0859360858685778</v>
      </c>
      <c r="B283" s="49">
        <v>0.53100000000000003</v>
      </c>
      <c r="C283" s="49">
        <f>staticResult!$C$16-B283</f>
        <v>0.38925423898969302</v>
      </c>
      <c r="D283" s="448">
        <f t="shared" si="18"/>
        <v>-6.2241559266151769E-2</v>
      </c>
      <c r="E283" s="49">
        <f>((B283*staticResult!$C$2*100)+配裝模擬!$D$2+staticResult!$D$16*0.47)/staticResult!$C$2/100</f>
        <v>0.62744258780133355</v>
      </c>
      <c r="G283" s="448">
        <f t="shared" ca="1" si="16"/>
        <v>2.9825519970458081</v>
      </c>
      <c r="H283" s="49">
        <v>0.53100000000000003</v>
      </c>
      <c r="I283" s="49">
        <f ca="1">((M283*staticResult!$C$2*100)+配裝模擬!$D$2+staticResult!$D$16*0.47)/staticResult!$C$2/100</f>
        <v>0.68054258780133348</v>
      </c>
      <c r="J283" s="49">
        <f ca="1">(staticResult!$C$16-H283)+BUFF!$F$27</f>
        <v>0.61675423898969306</v>
      </c>
      <c r="K283" s="448">
        <f t="shared" ca="1" si="19"/>
        <v>-0.15745410217338204</v>
      </c>
      <c r="L283" s="49">
        <f>((H283*staticResult!$C$2*100)+配裝模擬!$D$2+staticResult!$D$16*0.47)/staticResult!$C$2/100</f>
        <v>0.62744258780133355</v>
      </c>
      <c r="M283" s="476">
        <f ca="1">H283*(1+BUFF!$H$27)</f>
        <v>0.58410000000000006</v>
      </c>
    </row>
    <row r="284" spans="1:13">
      <c r="A284" s="448">
        <f t="shared" si="17"/>
        <v>2.0858719819459424</v>
      </c>
      <c r="B284" s="49">
        <v>0.53200000000000003</v>
      </c>
      <c r="C284" s="49">
        <f>staticResult!$C$16-B284</f>
        <v>0.38825423898969302</v>
      </c>
      <c r="D284" s="448">
        <f t="shared" si="18"/>
        <v>-6.4103922635450006E-2</v>
      </c>
      <c r="E284" s="49">
        <f>((B284*staticResult!$C$2*100)+配裝模擬!$D$2+staticResult!$D$16*0.47)/staticResult!$C$2/100</f>
        <v>0.62844258780133344</v>
      </c>
      <c r="G284" s="448">
        <f t="shared" ca="1" si="16"/>
        <v>2.9823917793439296</v>
      </c>
      <c r="H284" s="49">
        <v>0.53200000000000003</v>
      </c>
      <c r="I284" s="49">
        <f ca="1">((M284*staticResult!$C$2*100)+配裝模擬!$D$2+staticResult!$D$16*0.47)/staticResult!$C$2/100</f>
        <v>0.68164258780133347</v>
      </c>
      <c r="J284" s="49">
        <f ca="1">(staticResult!$C$16-H284)+BUFF!$F$27</f>
        <v>0.61575423898969306</v>
      </c>
      <c r="K284" s="448">
        <f t="shared" ca="1" si="19"/>
        <v>-0.16021770187846215</v>
      </c>
      <c r="L284" s="49">
        <f>((H284*staticResult!$C$2*100)+配裝模擬!$D$2+staticResult!$D$16*0.47)/staticResult!$C$2/100</f>
        <v>0.62844258780133344</v>
      </c>
      <c r="M284" s="476">
        <f ca="1">H284*(1+BUFF!$H$27)</f>
        <v>0.58520000000000005</v>
      </c>
    </row>
    <row r="285" spans="1:13">
      <c r="A285" s="448">
        <f t="shared" si="17"/>
        <v>2.0858060156599381</v>
      </c>
      <c r="B285" s="49">
        <v>0.53300000000000003</v>
      </c>
      <c r="C285" s="49">
        <f>staticResult!$C$16-B285</f>
        <v>0.38725423898969302</v>
      </c>
      <c r="D285" s="448">
        <f t="shared" si="18"/>
        <v>-6.5966286004304153E-2</v>
      </c>
      <c r="E285" s="49">
        <f>((B285*staticResult!$C$2*100)+配裝模擬!$D$2+staticResult!$D$16*0.47)/staticResult!$C$2/100</f>
        <v>0.62944258780133344</v>
      </c>
      <c r="G285" s="448">
        <f t="shared" ca="1" si="16"/>
        <v>2.9822287980423461</v>
      </c>
      <c r="H285" s="49">
        <v>0.53300000000000003</v>
      </c>
      <c r="I285" s="49">
        <f ca="1">((M285*staticResult!$C$2*100)+配裝模擬!$D$2+staticResult!$D$16*0.47)/staticResult!$C$2/100</f>
        <v>0.68274258780133357</v>
      </c>
      <c r="J285" s="49">
        <f ca="1">(staticResult!$C$16-H285)+BUFF!$F$27</f>
        <v>0.61475423898969306</v>
      </c>
      <c r="K285" s="448">
        <f t="shared" ca="1" si="19"/>
        <v>-0.16298130158354227</v>
      </c>
      <c r="L285" s="49">
        <f>((H285*staticResult!$C$2*100)+配裝模擬!$D$2+staticResult!$D$16*0.47)/staticResult!$C$2/100</f>
        <v>0.62944258780133344</v>
      </c>
      <c r="M285" s="476">
        <f ca="1">H285*(1+BUFF!$H$27)</f>
        <v>0.58630000000000004</v>
      </c>
    </row>
    <row r="286" spans="1:13">
      <c r="A286" s="448">
        <f t="shared" si="17"/>
        <v>2.0857381870105653</v>
      </c>
      <c r="B286" s="49">
        <v>0.53400000000000003</v>
      </c>
      <c r="C286" s="49">
        <f>staticResult!$C$16-B286</f>
        <v>0.38625423898969302</v>
      </c>
      <c r="D286" s="448">
        <f t="shared" si="18"/>
        <v>-6.7828649372714211E-2</v>
      </c>
      <c r="E286" s="49">
        <f>((B286*staticResult!$C$2*100)+配裝模擬!$D$2+staticResult!$D$16*0.47)/staticResult!$C$2/100</f>
        <v>0.63044258780133344</v>
      </c>
      <c r="G286" s="448">
        <f t="shared" ca="1" si="16"/>
        <v>2.9820630531410557</v>
      </c>
      <c r="H286" s="49">
        <v>0.53400000000000003</v>
      </c>
      <c r="I286" s="49">
        <f ca="1">((M286*staticResult!$C$2*100)+配裝模擬!$D$2+staticResult!$D$16*0.47)/staticResult!$C$2/100</f>
        <v>0.68384258780133356</v>
      </c>
      <c r="J286" s="49">
        <f ca="1">(staticResult!$C$16-H286)+BUFF!$F$27</f>
        <v>0.61375423898969306</v>
      </c>
      <c r="K286" s="448">
        <f t="shared" ca="1" si="19"/>
        <v>-0.16574490129039873</v>
      </c>
      <c r="L286" s="49">
        <f>((H286*staticResult!$C$2*100)+配裝模擬!$D$2+staticResult!$D$16*0.47)/staticResult!$C$2/100</f>
        <v>0.63044258780133344</v>
      </c>
      <c r="M286" s="476">
        <f ca="1">H286*(1+BUFF!$H$27)</f>
        <v>0.58740000000000003</v>
      </c>
    </row>
    <row r="287" spans="1:13">
      <c r="A287" s="448">
        <f t="shared" si="17"/>
        <v>2.0856684959978233</v>
      </c>
      <c r="B287" s="49">
        <v>0.53500000000000003</v>
      </c>
      <c r="C287" s="49">
        <f>staticResult!$C$16-B287</f>
        <v>0.38525423898969302</v>
      </c>
      <c r="D287" s="448">
        <f t="shared" si="18"/>
        <v>-6.9691012742012448E-2</v>
      </c>
      <c r="E287" s="49">
        <f>((B287*staticResult!$C$2*100)+配裝模擬!$D$2+staticResult!$D$16*0.47)/staticResult!$C$2/100</f>
        <v>0.63144258780133344</v>
      </c>
      <c r="G287" s="448">
        <f t="shared" ca="1" si="16"/>
        <v>2.9818945446400602</v>
      </c>
      <c r="H287" s="49">
        <v>0.53500000000000003</v>
      </c>
      <c r="I287" s="49">
        <f ca="1">((M287*staticResult!$C$2*100)+配裝模擬!$D$2+staticResult!$D$16*0.47)/staticResult!$C$2/100</f>
        <v>0.68494258780133355</v>
      </c>
      <c r="J287" s="49">
        <f ca="1">(staticResult!$C$16-H287)+BUFF!$F$27</f>
        <v>0.61275423898969306</v>
      </c>
      <c r="K287" s="448">
        <f t="shared" ca="1" si="19"/>
        <v>-0.16850850099547884</v>
      </c>
      <c r="L287" s="49">
        <f>((H287*staticResult!$C$2*100)+配裝模擬!$D$2+staticResult!$D$16*0.47)/staticResult!$C$2/100</f>
        <v>0.63144258780133344</v>
      </c>
      <c r="M287" s="476">
        <f ca="1">H287*(1+BUFF!$H$27)</f>
        <v>0.58850000000000013</v>
      </c>
    </row>
    <row r="288" spans="1:13">
      <c r="A288" s="448">
        <f t="shared" si="17"/>
        <v>2.085596942621712</v>
      </c>
      <c r="B288" s="49">
        <v>0.53600000000000003</v>
      </c>
      <c r="C288" s="49">
        <f>staticResult!$C$16-B288</f>
        <v>0.38425423898969302</v>
      </c>
      <c r="D288" s="448">
        <f t="shared" si="18"/>
        <v>-7.1553376111310671E-2</v>
      </c>
      <c r="E288" s="49">
        <f>((B288*staticResult!$C$2*100)+配裝模擬!$D$2+staticResult!$D$16*0.47)/staticResult!$C$2/100</f>
        <v>0.63244258780133356</v>
      </c>
      <c r="G288" s="448">
        <f t="shared" ca="1" si="16"/>
        <v>2.9817232725393583</v>
      </c>
      <c r="H288" s="49">
        <v>0.53600000000000003</v>
      </c>
      <c r="I288" s="49">
        <f ca="1">((M288*staticResult!$C$2*100)+配裝模擬!$D$2+staticResult!$D$16*0.47)/staticResult!$C$2/100</f>
        <v>0.68604258780133365</v>
      </c>
      <c r="J288" s="49">
        <f ca="1">(staticResult!$C$16-H288)+BUFF!$F$27</f>
        <v>0.61175423898969306</v>
      </c>
      <c r="K288" s="448">
        <f t="shared" ca="1" si="19"/>
        <v>-0.17127210070189122</v>
      </c>
      <c r="L288" s="49">
        <f>((H288*staticResult!$C$2*100)+配裝模擬!$D$2+staticResult!$D$16*0.47)/staticResult!$C$2/100</f>
        <v>0.63244258780133356</v>
      </c>
      <c r="M288" s="476">
        <f ca="1">H288*(1+BUFF!$H$27)</f>
        <v>0.58960000000000012</v>
      </c>
    </row>
    <row r="289" spans="1:13">
      <c r="A289" s="448">
        <f t="shared" si="17"/>
        <v>2.0855235268822319</v>
      </c>
      <c r="B289" s="49">
        <v>0.53700000000000003</v>
      </c>
      <c r="C289" s="49">
        <f>staticResult!$C$16-B289</f>
        <v>0.38325423898969302</v>
      </c>
      <c r="D289" s="448">
        <f t="shared" si="18"/>
        <v>-7.3415739480164818E-2</v>
      </c>
      <c r="E289" s="49">
        <f>((B289*staticResult!$C$2*100)+配裝模擬!$D$2+staticResult!$D$16*0.47)/staticResult!$C$2/100</f>
        <v>0.63344258780133345</v>
      </c>
      <c r="G289" s="448">
        <f t="shared" ca="1" si="16"/>
        <v>2.9815492368389505</v>
      </c>
      <c r="H289" s="49">
        <v>0.53700000000000003</v>
      </c>
      <c r="I289" s="49">
        <f ca="1">((M289*staticResult!$C$2*100)+配裝模擬!$D$2+staticResult!$D$16*0.47)/staticResult!$C$2/100</f>
        <v>0.68714258780133353</v>
      </c>
      <c r="J289" s="49">
        <f ca="1">(staticResult!$C$16-H289)+BUFF!$F$27</f>
        <v>0.61075423898969305</v>
      </c>
      <c r="K289" s="448">
        <f t="shared" ca="1" si="19"/>
        <v>-0.17403570040785948</v>
      </c>
      <c r="L289" s="49">
        <f>((H289*staticResult!$C$2*100)+配裝模擬!$D$2+staticResult!$D$16*0.47)/staticResult!$C$2/100</f>
        <v>0.63344258780133345</v>
      </c>
      <c r="M289" s="476">
        <f ca="1">H289*(1+BUFF!$H$27)</f>
        <v>0.59070000000000011</v>
      </c>
    </row>
    <row r="290" spans="1:13">
      <c r="A290" s="448">
        <f t="shared" si="17"/>
        <v>2.0854482487793837</v>
      </c>
      <c r="B290" s="49">
        <v>0.53800000000000003</v>
      </c>
      <c r="C290" s="49">
        <f>staticResult!$C$16-B290</f>
        <v>0.38225423898969302</v>
      </c>
      <c r="D290" s="448">
        <f t="shared" si="18"/>
        <v>-7.5278102848130787E-2</v>
      </c>
      <c r="E290" s="49">
        <f>((B290*staticResult!$C$2*100)+配裝模擬!$D$2+staticResult!$D$16*0.47)/staticResult!$C$2/100</f>
        <v>0.63444258780133345</v>
      </c>
      <c r="G290" s="448">
        <f t="shared" ca="1" si="16"/>
        <v>2.981372437538838</v>
      </c>
      <c r="H290" s="49">
        <v>0.53800000000000003</v>
      </c>
      <c r="I290" s="49">
        <f ca="1">((M290*staticResult!$C$2*100)+配裝模擬!$D$2+staticResult!$D$16*0.47)/staticResult!$C$2/100</f>
        <v>0.68824258780133363</v>
      </c>
      <c r="J290" s="49">
        <f ca="1">(staticResult!$C$16-H290)+BUFF!$F$27</f>
        <v>0.60975423898969305</v>
      </c>
      <c r="K290" s="448">
        <f t="shared" ca="1" si="19"/>
        <v>-0.17679930011249551</v>
      </c>
      <c r="L290" s="49">
        <f>((H290*staticResult!$C$2*100)+配裝模擬!$D$2+staticResult!$D$16*0.47)/staticResult!$C$2/100</f>
        <v>0.63444258780133345</v>
      </c>
      <c r="M290" s="476">
        <f ca="1">H290*(1+BUFF!$H$27)</f>
        <v>0.5918000000000001</v>
      </c>
    </row>
    <row r="291" spans="1:13">
      <c r="A291" s="448">
        <f t="shared" si="17"/>
        <v>2.0853711083131663</v>
      </c>
      <c r="B291" s="49">
        <v>0.53900000000000003</v>
      </c>
      <c r="C291" s="49">
        <f>staticResult!$C$16-B291</f>
        <v>0.38125423898969302</v>
      </c>
      <c r="D291" s="448">
        <f t="shared" si="18"/>
        <v>-7.7140466217429024E-2</v>
      </c>
      <c r="E291" s="49">
        <f>((B291*staticResult!$C$2*100)+配裝模擬!$D$2+staticResult!$D$16*0.47)/staticResult!$C$2/100</f>
        <v>0.63544258780133356</v>
      </c>
      <c r="G291" s="448">
        <f t="shared" ca="1" si="16"/>
        <v>2.9811928746390182</v>
      </c>
      <c r="H291" s="49">
        <v>0.53900000000000003</v>
      </c>
      <c r="I291" s="49">
        <f ca="1">((M291*staticResult!$C$2*100)+配裝模擬!$D$2+staticResult!$D$16*0.47)/staticResult!$C$2/100</f>
        <v>0.68934258780133351</v>
      </c>
      <c r="J291" s="49">
        <f ca="1">(staticResult!$C$16-H291)+BUFF!$F$27</f>
        <v>0.60875423898969305</v>
      </c>
      <c r="K291" s="448">
        <f t="shared" ca="1" si="19"/>
        <v>-0.17956289981979606</v>
      </c>
      <c r="L291" s="49">
        <f>((H291*staticResult!$C$2*100)+配裝模擬!$D$2+staticResult!$D$16*0.47)/staticResult!$C$2/100</f>
        <v>0.63544258780133356</v>
      </c>
      <c r="M291" s="476">
        <f ca="1">H291*(1+BUFF!$H$27)</f>
        <v>0.59290000000000009</v>
      </c>
    </row>
    <row r="292" spans="1:13">
      <c r="A292" s="448">
        <f t="shared" si="17"/>
        <v>2.08529210548358</v>
      </c>
      <c r="B292" s="49">
        <v>0.54</v>
      </c>
      <c r="C292" s="49">
        <f>staticResult!$C$16-B292</f>
        <v>0.38025423898969302</v>
      </c>
      <c r="D292" s="448">
        <f t="shared" si="18"/>
        <v>-7.9002829586283171E-2</v>
      </c>
      <c r="E292" s="49">
        <f>((B292*staticResult!$C$2*100)+配裝模擬!$D$2+staticResult!$D$16*0.47)/staticResult!$C$2/100</f>
        <v>0.63644258780133345</v>
      </c>
      <c r="G292" s="448">
        <f t="shared" ca="1" si="16"/>
        <v>2.9810105481394933</v>
      </c>
      <c r="H292" s="49">
        <v>0.54</v>
      </c>
      <c r="I292" s="49">
        <f ca="1">((M292*staticResult!$C$2*100)+配裝模擬!$D$2+staticResult!$D$16*0.47)/staticResult!$C$2/100</f>
        <v>0.6904425878013335</v>
      </c>
      <c r="J292" s="49">
        <f ca="1">(staticResult!$C$16-H292)+BUFF!$F$27</f>
        <v>0.60775423898969305</v>
      </c>
      <c r="K292" s="448">
        <f t="shared" ca="1" si="19"/>
        <v>-0.18232649952487617</v>
      </c>
      <c r="L292" s="49">
        <f>((H292*staticResult!$C$2*100)+配裝模擬!$D$2+staticResult!$D$16*0.47)/staticResult!$C$2/100</f>
        <v>0.63644258780133345</v>
      </c>
      <c r="M292" s="476">
        <f ca="1">H292*(1+BUFF!$H$27)</f>
        <v>0.59400000000000008</v>
      </c>
    </row>
    <row r="293" spans="1:13">
      <c r="A293" s="448">
        <f t="shared" si="17"/>
        <v>2.0852112402906244</v>
      </c>
      <c r="B293" s="49">
        <v>0.54100000000000004</v>
      </c>
      <c r="C293" s="49">
        <f>staticResult!$C$16-B293</f>
        <v>0.37925423898969302</v>
      </c>
      <c r="D293" s="448">
        <f t="shared" si="18"/>
        <v>-8.0865192955581408E-2</v>
      </c>
      <c r="E293" s="49">
        <f>((B293*staticResult!$C$2*100)+配裝模擬!$D$2+staticResult!$D$16*0.47)/staticResult!$C$2/100</f>
        <v>0.63744258780133345</v>
      </c>
      <c r="G293" s="448">
        <f t="shared" ca="1" si="16"/>
        <v>2.9808254580402629</v>
      </c>
      <c r="H293" s="49">
        <v>0.54100000000000004</v>
      </c>
      <c r="I293" s="49">
        <f ca="1">((M293*staticResult!$C$2*100)+配裝模擬!$D$2+staticResult!$D$16*0.47)/staticResult!$C$2/100</f>
        <v>0.69154258780133349</v>
      </c>
      <c r="J293" s="49">
        <f ca="1">(staticResult!$C$16-H293)+BUFF!$F$27</f>
        <v>0.60675423898969305</v>
      </c>
      <c r="K293" s="448">
        <f t="shared" ca="1" si="19"/>
        <v>-0.18509009923040037</v>
      </c>
      <c r="L293" s="49">
        <f>((H293*staticResult!$C$2*100)+配裝模擬!$D$2+staticResult!$D$16*0.47)/staticResult!$C$2/100</f>
        <v>0.63744258780133345</v>
      </c>
      <c r="M293" s="476">
        <f ca="1">H293*(1+BUFF!$H$27)</f>
        <v>0.59510000000000007</v>
      </c>
    </row>
    <row r="294" spans="1:13">
      <c r="A294" s="448">
        <f t="shared" si="17"/>
        <v>2.0851285127343</v>
      </c>
      <c r="B294" s="49">
        <v>0.54200000000000004</v>
      </c>
      <c r="C294" s="49">
        <f>staticResult!$C$16-B294</f>
        <v>0.37825423898969301</v>
      </c>
      <c r="D294" s="448">
        <f t="shared" si="18"/>
        <v>-8.2727556324435556E-2</v>
      </c>
      <c r="E294" s="49">
        <f>((B294*staticResult!$C$2*100)+配裝模擬!$D$2+staticResult!$D$16*0.47)/staticResult!$C$2/100</f>
        <v>0.63844258780133356</v>
      </c>
      <c r="G294" s="448">
        <f t="shared" ca="1" si="16"/>
        <v>2.980637604341327</v>
      </c>
      <c r="H294" s="49">
        <v>0.54200000000000004</v>
      </c>
      <c r="I294" s="49">
        <f ca="1">((M294*staticResult!$C$2*100)+配裝模擬!$D$2+staticResult!$D$16*0.47)/staticResult!$C$2/100</f>
        <v>0.69264258780133359</v>
      </c>
      <c r="J294" s="49">
        <f ca="1">(staticResult!$C$16-H294)+BUFF!$F$27</f>
        <v>0.60575423898969305</v>
      </c>
      <c r="K294" s="448">
        <f t="shared" ca="1" si="19"/>
        <v>-0.18785369893592457</v>
      </c>
      <c r="L294" s="49">
        <f>((H294*staticResult!$C$2*100)+配裝模擬!$D$2+staticResult!$D$16*0.47)/staticResult!$C$2/100</f>
        <v>0.63844258780133356</v>
      </c>
      <c r="M294" s="476">
        <f ca="1">H294*(1+BUFF!$H$27)</f>
        <v>0.59620000000000006</v>
      </c>
    </row>
    <row r="295" spans="1:13">
      <c r="A295" s="448">
        <f t="shared" si="17"/>
        <v>2.0850439228146067</v>
      </c>
      <c r="B295" s="49">
        <v>0.54300000000000004</v>
      </c>
      <c r="C295" s="49">
        <f>staticResult!$C$16-B295</f>
        <v>0.37725423898969301</v>
      </c>
      <c r="D295" s="448">
        <f t="shared" si="18"/>
        <v>-8.4589919693289703E-2</v>
      </c>
      <c r="E295" s="49">
        <f>((B295*staticResult!$C$2*100)+配裝模擬!$D$2+staticResult!$D$16*0.47)/staticResult!$C$2/100</f>
        <v>0.63944258780133345</v>
      </c>
      <c r="G295" s="448">
        <f t="shared" ca="1" si="16"/>
        <v>2.9804469870426846</v>
      </c>
      <c r="H295" s="49">
        <v>0.54300000000000004</v>
      </c>
      <c r="I295" s="49">
        <f ca="1">((M295*staticResult!$C$2*100)+配裝模擬!$D$2+staticResult!$D$16*0.47)/staticResult!$C$2/100</f>
        <v>0.69374258780133347</v>
      </c>
      <c r="J295" s="49">
        <f ca="1">(staticResult!$C$16-H295)+BUFF!$F$27</f>
        <v>0.60475423898969305</v>
      </c>
      <c r="K295" s="448">
        <f t="shared" ca="1" si="19"/>
        <v>-0.19061729864233695</v>
      </c>
      <c r="L295" s="49">
        <f>((H295*staticResult!$C$2*100)+配裝模擬!$D$2+staticResult!$D$16*0.47)/staticResult!$C$2/100</f>
        <v>0.63944258780133345</v>
      </c>
      <c r="M295" s="476">
        <f ca="1">H295*(1+BUFF!$H$27)</f>
        <v>0.59730000000000005</v>
      </c>
    </row>
    <row r="296" spans="1:13">
      <c r="A296" s="448">
        <f t="shared" si="17"/>
        <v>2.0849574705315446</v>
      </c>
      <c r="B296" s="49">
        <v>0.54400000000000004</v>
      </c>
      <c r="C296" s="49">
        <f>staticResult!$C$16-B296</f>
        <v>0.37625423898969301</v>
      </c>
      <c r="D296" s="448">
        <f t="shared" si="18"/>
        <v>-8.6452283062143837E-2</v>
      </c>
      <c r="E296" s="49">
        <f>((B296*staticResult!$C$2*100)+配裝模擬!$D$2+staticResult!$D$16*0.47)/staticResult!$C$2/100</f>
        <v>0.64044258780133345</v>
      </c>
      <c r="G296" s="448">
        <f t="shared" ca="1" si="16"/>
        <v>2.9802536061443363</v>
      </c>
      <c r="H296" s="49">
        <v>0.54400000000000004</v>
      </c>
      <c r="I296" s="49">
        <f ca="1">((M296*staticResult!$C$2*100)+配裝模擬!$D$2+staticResult!$D$16*0.47)/staticResult!$C$2/100</f>
        <v>0.69484258780133346</v>
      </c>
      <c r="J296" s="49">
        <f ca="1">(staticResult!$C$16-H296)+BUFF!$F$27</f>
        <v>0.60375423898969305</v>
      </c>
      <c r="K296" s="448">
        <f t="shared" ca="1" si="19"/>
        <v>-0.19338089834830524</v>
      </c>
      <c r="L296" s="49">
        <f>((H296*staticResult!$C$2*100)+配裝模擬!$D$2+staticResult!$D$16*0.47)/staticResult!$C$2/100</f>
        <v>0.64044258780133345</v>
      </c>
      <c r="M296" s="476">
        <f ca="1">H296*(1+BUFF!$H$27)</f>
        <v>0.59840000000000004</v>
      </c>
    </row>
    <row r="297" spans="1:13">
      <c r="A297" s="448">
        <f t="shared" si="17"/>
        <v>2.0848691558851136</v>
      </c>
      <c r="B297" s="49">
        <v>0.54500000000000004</v>
      </c>
      <c r="C297" s="49">
        <f>staticResult!$C$16-B297</f>
        <v>0.37525423898969301</v>
      </c>
      <c r="D297" s="448">
        <f t="shared" si="18"/>
        <v>-8.8314646430997984E-2</v>
      </c>
      <c r="E297" s="49">
        <f>((B297*staticResult!$C$2*100)+配裝模擬!$D$2+staticResult!$D$16*0.47)/staticResult!$C$2/100</f>
        <v>0.64144258780133356</v>
      </c>
      <c r="G297" s="448">
        <f t="shared" ca="1" si="16"/>
        <v>2.9800574616462829</v>
      </c>
      <c r="H297" s="49">
        <v>0.54500000000000004</v>
      </c>
      <c r="I297" s="49">
        <f ca="1">((M297*staticResult!$C$2*100)+配裝模擬!$D$2+staticResult!$D$16*0.47)/staticResult!$C$2/100</f>
        <v>0.69594258780133356</v>
      </c>
      <c r="J297" s="49">
        <f ca="1">(staticResult!$C$16-H297)+BUFF!$F$27</f>
        <v>0.60275423898969305</v>
      </c>
      <c r="K297" s="448">
        <f t="shared" ca="1" si="19"/>
        <v>-0.19614449805338535</v>
      </c>
      <c r="L297" s="49">
        <f>((H297*staticResult!$C$2*100)+配裝模擬!$D$2+staticResult!$D$16*0.47)/staticResult!$C$2/100</f>
        <v>0.64144258780133356</v>
      </c>
      <c r="M297" s="476">
        <f ca="1">H297*(1+BUFF!$H$27)</f>
        <v>0.59950000000000014</v>
      </c>
    </row>
    <row r="298" spans="1:13">
      <c r="A298" s="448">
        <f t="shared" si="17"/>
        <v>2.0847789788753137</v>
      </c>
      <c r="B298" s="49">
        <v>0.54600000000000004</v>
      </c>
      <c r="C298" s="49">
        <f>staticResult!$C$16-B298</f>
        <v>0.37425423898969301</v>
      </c>
      <c r="D298" s="448">
        <f t="shared" si="18"/>
        <v>-9.0177009799852131E-2</v>
      </c>
      <c r="E298" s="49">
        <f>((B298*staticResult!$C$2*100)+配裝模擬!$D$2+staticResult!$D$16*0.47)/staticResult!$C$2/100</f>
        <v>0.64244258780133345</v>
      </c>
      <c r="G298" s="448">
        <f t="shared" ca="1" si="16"/>
        <v>2.9798585535485236</v>
      </c>
      <c r="H298" s="49">
        <v>0.54600000000000004</v>
      </c>
      <c r="I298" s="49">
        <f ca="1">((M298*staticResult!$C$2*100)+配裝模擬!$D$2+staticResult!$D$16*0.47)/staticResult!$C$2/100</f>
        <v>0.69704258780133355</v>
      </c>
      <c r="J298" s="49">
        <f ca="1">(staticResult!$C$16-H298)+BUFF!$F$27</f>
        <v>0.60175423898969305</v>
      </c>
      <c r="K298" s="448">
        <f t="shared" ca="1" si="19"/>
        <v>-0.19890809775935364</v>
      </c>
      <c r="L298" s="49">
        <f>((H298*staticResult!$C$2*100)+配裝模擬!$D$2+staticResult!$D$16*0.47)/staticResult!$C$2/100</f>
        <v>0.64244258780133345</v>
      </c>
      <c r="M298" s="476">
        <f ca="1">H298*(1+BUFF!$H$27)</f>
        <v>0.60060000000000013</v>
      </c>
    </row>
    <row r="299" spans="1:13">
      <c r="A299" s="448">
        <f t="shared" si="17"/>
        <v>2.0846869395021455</v>
      </c>
      <c r="B299" s="49">
        <v>0.54700000000000004</v>
      </c>
      <c r="C299" s="49">
        <f>staticResult!$C$16-B299</f>
        <v>0.37325423898969301</v>
      </c>
      <c r="D299" s="448">
        <f t="shared" si="18"/>
        <v>-9.203937316826219E-2</v>
      </c>
      <c r="E299" s="49">
        <f>((B299*staticResult!$C$2*100)+配裝模擬!$D$2+staticResult!$D$16*0.47)/staticResult!$C$2/100</f>
        <v>0.64344258780133345</v>
      </c>
      <c r="G299" s="448">
        <f t="shared" ca="1" si="16"/>
        <v>2.9796568818510583</v>
      </c>
      <c r="H299" s="49">
        <v>0.54700000000000004</v>
      </c>
      <c r="I299" s="49">
        <f ca="1">((M299*staticResult!$C$2*100)+配裝模擬!$D$2+staticResult!$D$16*0.47)/staticResult!$C$2/100</f>
        <v>0.69814258780133354</v>
      </c>
      <c r="J299" s="49">
        <f ca="1">(staticResult!$C$16-H299)+BUFF!$F$27</f>
        <v>0.60075423898969305</v>
      </c>
      <c r="K299" s="448">
        <f t="shared" ca="1" si="19"/>
        <v>-0.20167169746532193</v>
      </c>
      <c r="L299" s="49">
        <f>((H299*staticResult!$C$2*100)+配裝模擬!$D$2+staticResult!$D$16*0.47)/staticResult!$C$2/100</f>
        <v>0.64344258780133345</v>
      </c>
      <c r="M299" s="476">
        <f ca="1">H299*(1+BUFF!$H$27)</f>
        <v>0.60170000000000012</v>
      </c>
    </row>
    <row r="300" spans="1:13">
      <c r="A300" s="448">
        <f t="shared" si="17"/>
        <v>2.0845930377656074</v>
      </c>
      <c r="B300" s="49">
        <v>0.54800000000000004</v>
      </c>
      <c r="C300" s="49">
        <f>staticResult!$C$16-B300</f>
        <v>0.37225423898969301</v>
      </c>
      <c r="D300" s="448">
        <f t="shared" si="18"/>
        <v>-9.3901736538004515E-2</v>
      </c>
      <c r="E300" s="49">
        <f>((B300*staticResult!$C$2*100)+配裝模擬!$D$2+staticResult!$D$16*0.47)/staticResult!$C$2/100</f>
        <v>0.64444258780133357</v>
      </c>
      <c r="G300" s="448">
        <f t="shared" ca="1" si="16"/>
        <v>2.979452446553887</v>
      </c>
      <c r="H300" s="49">
        <v>0.54800000000000004</v>
      </c>
      <c r="I300" s="49">
        <f ca="1">((M300*staticResult!$C$2*100)+配裝模擬!$D$2+staticResult!$D$16*0.47)/staticResult!$C$2/100</f>
        <v>0.69924258780133353</v>
      </c>
      <c r="J300" s="49">
        <f ca="1">(staticResult!$C$16-H300)+BUFF!$F$27</f>
        <v>0.59975423898969304</v>
      </c>
      <c r="K300" s="448">
        <f t="shared" ca="1" si="19"/>
        <v>-0.20443529717129019</v>
      </c>
      <c r="L300" s="49">
        <f>((H300*staticResult!$C$2*100)+配裝模擬!$D$2+staticResult!$D$16*0.47)/staticResult!$C$2/100</f>
        <v>0.64444258780133357</v>
      </c>
      <c r="M300" s="476">
        <f ca="1">H300*(1+BUFF!$H$27)</f>
        <v>0.60280000000000011</v>
      </c>
    </row>
    <row r="301" spans="1:13">
      <c r="A301" s="448">
        <f t="shared" si="17"/>
        <v>2.0844972736657006</v>
      </c>
      <c r="B301" s="49">
        <v>0.54900000000000004</v>
      </c>
      <c r="C301" s="49">
        <f>staticResult!$C$16-B301</f>
        <v>0.37125423898969301</v>
      </c>
      <c r="D301" s="448">
        <f t="shared" si="18"/>
        <v>-9.5764099906858663E-2</v>
      </c>
      <c r="E301" s="49">
        <f>((B301*staticResult!$C$2*100)+配裝模擬!$D$2+staticResult!$D$16*0.47)/staticResult!$C$2/100</f>
        <v>0.64544258780133346</v>
      </c>
      <c r="G301" s="448">
        <f t="shared" ca="1" si="16"/>
        <v>2.9792452476570102</v>
      </c>
      <c r="H301" s="49">
        <v>0.54900000000000004</v>
      </c>
      <c r="I301" s="49">
        <f ca="1">((M301*staticResult!$C$2*100)+配裝模擬!$D$2+staticResult!$D$16*0.47)/staticResult!$C$2/100</f>
        <v>0.70034258780133352</v>
      </c>
      <c r="J301" s="49">
        <f ca="1">(staticResult!$C$16-H301)+BUFF!$F$27</f>
        <v>0.59875423898969304</v>
      </c>
      <c r="K301" s="448">
        <f t="shared" ca="1" si="19"/>
        <v>-0.20719889687681439</v>
      </c>
      <c r="L301" s="49">
        <f>((H301*staticResult!$C$2*100)+配裝模擬!$D$2+staticResult!$D$16*0.47)/staticResult!$C$2/100</f>
        <v>0.64544258780133346</v>
      </c>
      <c r="M301" s="476">
        <f ca="1">H301*(1+BUFF!$H$27)</f>
        <v>0.6039000000000001</v>
      </c>
    </row>
    <row r="302" spans="1:13">
      <c r="A302" s="448">
        <f t="shared" si="17"/>
        <v>2.0843996472024253</v>
      </c>
      <c r="B302" s="49">
        <v>0.55000000000000004</v>
      </c>
      <c r="C302" s="49">
        <f>staticResult!$C$16-B302</f>
        <v>0.37025423898969301</v>
      </c>
      <c r="D302" s="448">
        <f t="shared" si="18"/>
        <v>-9.7626463275268721E-2</v>
      </c>
      <c r="E302" s="49">
        <f>((B302*staticResult!$C$2*100)+配裝模擬!$D$2+staticResult!$D$16*0.47)/staticResult!$C$2/100</f>
        <v>0.64644258780133357</v>
      </c>
      <c r="G302" s="448">
        <f t="shared" ca="1" si="16"/>
        <v>2.9790352851604274</v>
      </c>
      <c r="H302" s="49">
        <v>0.55000000000000004</v>
      </c>
      <c r="I302" s="49">
        <f ca="1">((M302*staticResult!$C$2*100)+配裝模擬!$D$2+staticResult!$D$16*0.47)/staticResult!$C$2/100</f>
        <v>0.70144258780133351</v>
      </c>
      <c r="J302" s="49">
        <f ca="1">(staticResult!$C$16-H302)+BUFF!$F$27</f>
        <v>0.59775423898969304</v>
      </c>
      <c r="K302" s="448">
        <f t="shared" ca="1" si="19"/>
        <v>-0.20996249658278268</v>
      </c>
      <c r="L302" s="49">
        <f>((H302*staticResult!$C$2*100)+配裝模擬!$D$2+staticResult!$D$16*0.47)/staticResult!$C$2/100</f>
        <v>0.64644258780133357</v>
      </c>
      <c r="M302" s="476">
        <f ca="1">H302*(1+BUFF!$H$27)</f>
        <v>0.60500000000000009</v>
      </c>
    </row>
    <row r="303" spans="1:13">
      <c r="A303" s="448">
        <f t="shared" si="17"/>
        <v>2.0843001583757812</v>
      </c>
      <c r="B303" s="49">
        <v>0.55100000000000005</v>
      </c>
      <c r="C303" s="49">
        <f>staticResult!$C$16-B303</f>
        <v>0.36925423898969301</v>
      </c>
      <c r="D303" s="448">
        <f t="shared" si="18"/>
        <v>-9.9488826644122869E-2</v>
      </c>
      <c r="E303" s="49">
        <f>((B303*staticResult!$C$2*100)+配裝模擬!$D$2+staticResult!$D$16*0.47)/staticResult!$C$2/100</f>
        <v>0.64744258780133346</v>
      </c>
      <c r="G303" s="448">
        <f t="shared" ca="1" si="16"/>
        <v>2.9788225590641395</v>
      </c>
      <c r="H303" s="49">
        <v>0.55100000000000005</v>
      </c>
      <c r="I303" s="49">
        <f ca="1">((M303*staticResult!$C$2*100)+配裝模擬!$D$2+staticResult!$D$16*0.47)/staticResult!$C$2/100</f>
        <v>0.70254258780133361</v>
      </c>
      <c r="J303" s="49">
        <f ca="1">(staticResult!$C$16-H303)+BUFF!$F$27</f>
        <v>0.59675423898969304</v>
      </c>
      <c r="K303" s="448">
        <f t="shared" ca="1" si="19"/>
        <v>-0.21272609628786279</v>
      </c>
      <c r="L303" s="49">
        <f>((H303*staticResult!$C$2*100)+配裝模擬!$D$2+staticResult!$D$16*0.47)/staticResult!$C$2/100</f>
        <v>0.64744258780133346</v>
      </c>
      <c r="M303" s="476">
        <f ca="1">H303*(1+BUFF!$H$27)</f>
        <v>0.60610000000000008</v>
      </c>
    </row>
    <row r="304" spans="1:13">
      <c r="A304" s="448">
        <f t="shared" si="17"/>
        <v>2.0841988071857678</v>
      </c>
      <c r="B304" s="49">
        <v>0.55200000000000005</v>
      </c>
      <c r="C304" s="49">
        <f>staticResult!$C$16-B304</f>
        <v>0.36825423898969301</v>
      </c>
      <c r="D304" s="448">
        <f t="shared" si="18"/>
        <v>-0.10135119001342111</v>
      </c>
      <c r="E304" s="49">
        <f>((B304*staticResult!$C$2*100)+配裝模擬!$D$2+staticResult!$D$16*0.47)/staticResult!$C$2/100</f>
        <v>0.64844258780133346</v>
      </c>
      <c r="G304" s="448">
        <f t="shared" ca="1" si="16"/>
        <v>2.9786070693681452</v>
      </c>
      <c r="H304" s="49">
        <v>0.55200000000000005</v>
      </c>
      <c r="I304" s="49">
        <f ca="1">((M304*staticResult!$C$2*100)+配裝模擬!$D$2+staticResult!$D$16*0.47)/staticResult!$C$2/100</f>
        <v>0.7036425878013336</v>
      </c>
      <c r="J304" s="49">
        <f ca="1">(staticResult!$C$16-H304)+BUFF!$F$27</f>
        <v>0.59575423898969304</v>
      </c>
      <c r="K304" s="448">
        <f t="shared" ca="1" si="19"/>
        <v>-0.21548969599427517</v>
      </c>
      <c r="L304" s="49">
        <f>((H304*staticResult!$C$2*100)+配裝模擬!$D$2+staticResult!$D$16*0.47)/staticResult!$C$2/100</f>
        <v>0.64844258780133346</v>
      </c>
      <c r="M304" s="476">
        <f ca="1">H304*(1+BUFF!$H$27)</f>
        <v>0.60720000000000007</v>
      </c>
    </row>
    <row r="305" spans="1:13">
      <c r="A305" s="448">
        <f t="shared" si="17"/>
        <v>2.0840955936323855</v>
      </c>
      <c r="B305" s="49">
        <v>0.55300000000000005</v>
      </c>
      <c r="C305" s="49">
        <f>staticResult!$C$16-B305</f>
        <v>0.367254238989693</v>
      </c>
      <c r="D305" s="448">
        <f t="shared" si="18"/>
        <v>-0.10321355338227524</v>
      </c>
      <c r="E305" s="49">
        <f>((B305*staticResult!$C$2*100)+配裝模擬!$D$2+staticResult!$D$16*0.47)/staticResult!$C$2/100</f>
        <v>0.64944258780133357</v>
      </c>
      <c r="G305" s="448">
        <f t="shared" ca="1" si="16"/>
        <v>2.9783888160724445</v>
      </c>
      <c r="H305" s="49">
        <v>0.55300000000000005</v>
      </c>
      <c r="I305" s="49">
        <f ca="1">((M305*staticResult!$C$2*100)+配裝模擬!$D$2+staticResult!$D$16*0.47)/staticResult!$C$2/100</f>
        <v>0.70474258780133359</v>
      </c>
      <c r="J305" s="49">
        <f ca="1">(staticResult!$C$16-H305)+BUFF!$F$27</f>
        <v>0.59475423898969304</v>
      </c>
      <c r="K305" s="448">
        <f t="shared" ca="1" si="19"/>
        <v>-0.21825329570068755</v>
      </c>
      <c r="L305" s="49">
        <f>((H305*staticResult!$C$2*100)+配裝模擬!$D$2+staticResult!$D$16*0.47)/staticResult!$C$2/100</f>
        <v>0.64944258780133357</v>
      </c>
      <c r="M305" s="476">
        <f ca="1">H305*(1+BUFF!$H$27)</f>
        <v>0.60830000000000006</v>
      </c>
    </row>
    <row r="306" spans="1:13">
      <c r="A306" s="448">
        <f t="shared" si="17"/>
        <v>2.0839905177156348</v>
      </c>
      <c r="B306" s="49">
        <v>0.55400000000000005</v>
      </c>
      <c r="C306" s="49">
        <f>staticResult!$C$16-B306</f>
        <v>0.366254238989693</v>
      </c>
      <c r="D306" s="448">
        <f t="shared" si="18"/>
        <v>-0.1050759167506853</v>
      </c>
      <c r="E306" s="49">
        <f>((B306*staticResult!$C$2*100)+配裝模擬!$D$2+staticResult!$D$16*0.47)/staticResult!$C$2/100</f>
        <v>0.65044258780133357</v>
      </c>
      <c r="G306" s="448">
        <f t="shared" ca="1" si="16"/>
        <v>2.9781677991770388</v>
      </c>
      <c r="H306" s="49">
        <v>0.55400000000000005</v>
      </c>
      <c r="I306" s="49">
        <f ca="1">((M306*staticResult!$C$2*100)+配裝模擬!$D$2+staticResult!$D$16*0.47)/staticResult!$C$2/100</f>
        <v>0.70584258780133358</v>
      </c>
      <c r="J306" s="49">
        <f ca="1">(staticResult!$C$16-H306)+BUFF!$F$27</f>
        <v>0.59375423898969304</v>
      </c>
      <c r="K306" s="448">
        <f t="shared" ca="1" si="19"/>
        <v>-0.22101689540576766</v>
      </c>
      <c r="L306" s="49">
        <f>((H306*staticResult!$C$2*100)+配裝模擬!$D$2+staticResult!$D$16*0.47)/staticResult!$C$2/100</f>
        <v>0.65044258780133357</v>
      </c>
      <c r="M306" s="476">
        <f ca="1">H306*(1+BUFF!$H$27)</f>
        <v>0.60940000000000005</v>
      </c>
    </row>
    <row r="307" spans="1:13">
      <c r="A307" s="448">
        <f t="shared" si="17"/>
        <v>2.0838835794355148</v>
      </c>
      <c r="B307" s="49">
        <v>0.55500000000000005</v>
      </c>
      <c r="C307" s="49">
        <f>staticResult!$C$16-B307</f>
        <v>0.365254238989693</v>
      </c>
      <c r="D307" s="448">
        <f t="shared" si="18"/>
        <v>-0.10693828011998353</v>
      </c>
      <c r="E307" s="49">
        <f>((B307*staticResult!$C$2*100)+配裝模擬!$D$2+staticResult!$D$16*0.47)/staticResult!$C$2/100</f>
        <v>0.65144258780133346</v>
      </c>
      <c r="G307" s="448">
        <f t="shared" ca="1" si="16"/>
        <v>2.977944018681927</v>
      </c>
      <c r="H307" s="49">
        <v>0.55500000000000005</v>
      </c>
      <c r="I307" s="49">
        <f ca="1">((M307*staticResult!$C$2*100)+配裝模擬!$D$2+staticResult!$D$16*0.47)/staticResult!$C$2/100</f>
        <v>0.70694258780133368</v>
      </c>
      <c r="J307" s="49">
        <f ca="1">(staticResult!$C$16-H307)+BUFF!$F$27</f>
        <v>0.59275423898969304</v>
      </c>
      <c r="K307" s="448">
        <f t="shared" ca="1" si="19"/>
        <v>-0.22378049511173595</v>
      </c>
      <c r="L307" s="49">
        <f>((H307*staticResult!$C$2*100)+配裝模擬!$D$2+staticResult!$D$16*0.47)/staticResult!$C$2/100</f>
        <v>0.65144258780133346</v>
      </c>
      <c r="M307" s="476">
        <f ca="1">H307*(1+BUFF!$H$27)</f>
        <v>0.61050000000000015</v>
      </c>
    </row>
    <row r="308" spans="1:13">
      <c r="A308" s="448">
        <f t="shared" si="17"/>
        <v>2.0837747787920256</v>
      </c>
      <c r="B308" s="49">
        <v>0.55600000000000005</v>
      </c>
      <c r="C308" s="49">
        <f>staticResult!$C$16-B308</f>
        <v>0.364254238989693</v>
      </c>
      <c r="D308" s="448">
        <f t="shared" si="18"/>
        <v>-0.10880064348928177</v>
      </c>
      <c r="E308" s="49">
        <f>((B308*staticResult!$C$2*100)+配裝模擬!$D$2+staticResult!$D$16*0.47)/staticResult!$C$2/100</f>
        <v>0.65244258780133346</v>
      </c>
      <c r="G308" s="448">
        <f t="shared" ca="1" si="16"/>
        <v>2.9777174745871098</v>
      </c>
      <c r="H308" s="49">
        <v>0.55600000000000005</v>
      </c>
      <c r="I308" s="49">
        <f ca="1">((M308*staticResult!$C$2*100)+配裝模擬!$D$2+staticResult!$D$16*0.47)/staticResult!$C$2/100</f>
        <v>0.70804258780133367</v>
      </c>
      <c r="J308" s="49">
        <f ca="1">(staticResult!$C$16-H308)+BUFF!$F$27</f>
        <v>0.59175423898969304</v>
      </c>
      <c r="K308" s="448">
        <f t="shared" ca="1" si="19"/>
        <v>-0.22654409481726015</v>
      </c>
      <c r="L308" s="49">
        <f>((H308*staticResult!$C$2*100)+配裝模擬!$D$2+staticResult!$D$16*0.47)/staticResult!$C$2/100</f>
        <v>0.65244258780133346</v>
      </c>
      <c r="M308" s="476">
        <f ca="1">H308*(1+BUFF!$H$27)</f>
        <v>0.61160000000000014</v>
      </c>
    </row>
    <row r="309" spans="1:13">
      <c r="A309" s="448">
        <f t="shared" si="17"/>
        <v>2.0836641157851679</v>
      </c>
      <c r="B309" s="49">
        <v>0.55700000000000005</v>
      </c>
      <c r="C309" s="49">
        <f>staticResult!$C$16-B309</f>
        <v>0.363254238989693</v>
      </c>
      <c r="D309" s="448">
        <f t="shared" si="18"/>
        <v>-0.11066300685769183</v>
      </c>
      <c r="E309" s="49">
        <f>((B309*staticResult!$C$2*100)+配裝模擬!$D$2+staticResult!$D$16*0.47)/staticResult!$C$2/100</f>
        <v>0.65344258780133357</v>
      </c>
      <c r="G309" s="448">
        <f t="shared" ca="1" si="16"/>
        <v>2.9774881668925866</v>
      </c>
      <c r="H309" s="49">
        <v>0.55700000000000005</v>
      </c>
      <c r="I309" s="49">
        <f ca="1">((M309*staticResult!$C$2*100)+配裝模擬!$D$2+staticResult!$D$16*0.47)/staticResult!$C$2/100</f>
        <v>0.70914258780133355</v>
      </c>
      <c r="J309" s="49">
        <f ca="1">(staticResult!$C$16-H309)+BUFF!$F$27</f>
        <v>0.59075423898969304</v>
      </c>
      <c r="K309" s="448">
        <f t="shared" ca="1" si="19"/>
        <v>-0.22930769452322844</v>
      </c>
      <c r="L309" s="49">
        <f>((H309*staticResult!$C$2*100)+配裝模擬!$D$2+staticResult!$D$16*0.47)/staticResult!$C$2/100</f>
        <v>0.65344258780133357</v>
      </c>
      <c r="M309" s="476">
        <f ca="1">H309*(1+BUFF!$H$27)</f>
        <v>0.61270000000000013</v>
      </c>
    </row>
    <row r="310" spans="1:13">
      <c r="A310" s="448">
        <f t="shared" si="17"/>
        <v>2.0835515904149409</v>
      </c>
      <c r="B310" s="49">
        <v>0.55800000000000005</v>
      </c>
      <c r="C310" s="49">
        <f>staticResult!$C$16-B310</f>
        <v>0.362254238989693</v>
      </c>
      <c r="D310" s="448">
        <f t="shared" si="18"/>
        <v>-0.11252537022699007</v>
      </c>
      <c r="E310" s="49">
        <f>((B310*staticResult!$C$2*100)+配裝模擬!$D$2+staticResult!$D$16*0.47)/staticResult!$C$2/100</f>
        <v>0.65444258780133358</v>
      </c>
      <c r="G310" s="448">
        <f t="shared" ca="1" si="16"/>
        <v>2.9772560955983574</v>
      </c>
      <c r="H310" s="49">
        <v>0.55800000000000005</v>
      </c>
      <c r="I310" s="49">
        <f ca="1">((M310*staticResult!$C$2*100)+配裝模擬!$D$2+staticResult!$D$16*0.47)/staticResult!$C$2/100</f>
        <v>0.71024258780133354</v>
      </c>
      <c r="J310" s="49">
        <f ca="1">(staticResult!$C$16-H310)+BUFF!$F$27</f>
        <v>0.58975423898969304</v>
      </c>
      <c r="K310" s="448">
        <f t="shared" ca="1" si="19"/>
        <v>-0.23207129422919673</v>
      </c>
      <c r="L310" s="49">
        <f>((H310*staticResult!$C$2*100)+配裝模擬!$D$2+staticResult!$D$16*0.47)/staticResult!$C$2/100</f>
        <v>0.65444258780133358</v>
      </c>
      <c r="M310" s="476">
        <f ca="1">H310*(1+BUFF!$H$27)</f>
        <v>0.61380000000000012</v>
      </c>
    </row>
    <row r="311" spans="1:13">
      <c r="A311" s="448">
        <f t="shared" si="17"/>
        <v>2.0834372026813459</v>
      </c>
      <c r="B311" s="49">
        <v>0.55900000000000005</v>
      </c>
      <c r="C311" s="49">
        <f>staticResult!$C$16-B311</f>
        <v>0.361254238989693</v>
      </c>
      <c r="D311" s="448">
        <f t="shared" si="18"/>
        <v>-0.11438773359495603</v>
      </c>
      <c r="E311" s="49">
        <f>((B311*staticResult!$C$2*100)+配裝模擬!$D$2+staticResult!$D$16*0.47)/staticResult!$C$2/100</f>
        <v>0.65544258780133346</v>
      </c>
      <c r="G311" s="448">
        <f t="shared" ca="1" si="16"/>
        <v>2.9770212607044226</v>
      </c>
      <c r="H311" s="49">
        <v>0.55900000000000005</v>
      </c>
      <c r="I311" s="49">
        <f ca="1">((M311*staticResult!$C$2*100)+配裝模擬!$D$2+staticResult!$D$16*0.47)/staticResult!$C$2/100</f>
        <v>0.71134258780133364</v>
      </c>
      <c r="J311" s="49">
        <f ca="1">(staticResult!$C$16-H311)+BUFF!$F$27</f>
        <v>0.58875423898969304</v>
      </c>
      <c r="K311" s="448">
        <f t="shared" ca="1" si="19"/>
        <v>-0.2348348939347209</v>
      </c>
      <c r="L311" s="49">
        <f>((H311*staticResult!$C$2*100)+配裝模擬!$D$2+staticResult!$D$16*0.47)/staticResult!$C$2/100</f>
        <v>0.65544258780133346</v>
      </c>
      <c r="M311" s="476">
        <f ca="1">H311*(1+BUFF!$H$27)</f>
        <v>0.61490000000000011</v>
      </c>
    </row>
    <row r="312" spans="1:13">
      <c r="A312" s="448">
        <f t="shared" si="17"/>
        <v>2.0833209525843812</v>
      </c>
      <c r="B312" s="49">
        <v>0.56000000000000005</v>
      </c>
      <c r="C312" s="49">
        <f>staticResult!$C$16-B312</f>
        <v>0.360254238989693</v>
      </c>
      <c r="D312" s="448">
        <f t="shared" si="18"/>
        <v>-0.11625009696469836</v>
      </c>
      <c r="E312" s="49">
        <f>((B312*staticResult!$C$2*100)+配裝模擬!$D$2+staticResult!$D$16*0.47)/staticResult!$C$2/100</f>
        <v>0.65644258780133347</v>
      </c>
      <c r="G312" s="448">
        <f t="shared" ca="1" si="16"/>
        <v>2.9767836622107824</v>
      </c>
      <c r="H312" s="49">
        <v>0.56000000000000005</v>
      </c>
      <c r="I312" s="49">
        <f ca="1">((M312*staticResult!$C$2*100)+配裝模擬!$D$2+staticResult!$D$16*0.47)/staticResult!$C$2/100</f>
        <v>0.71244258780133363</v>
      </c>
      <c r="J312" s="49">
        <f ca="1">(staticResult!$C$16-H312)+BUFF!$F$27</f>
        <v>0.58775423898969303</v>
      </c>
      <c r="K312" s="448">
        <f t="shared" ca="1" si="19"/>
        <v>-0.2375984936402451</v>
      </c>
      <c r="L312" s="49">
        <f>((H312*staticResult!$C$2*100)+配裝模擬!$D$2+staticResult!$D$16*0.47)/staticResult!$C$2/100</f>
        <v>0.65644258780133347</v>
      </c>
      <c r="M312" s="476">
        <f ca="1">H312*(1+BUFF!$H$27)</f>
        <v>0.6160000000000001</v>
      </c>
    </row>
    <row r="313" spans="1:13">
      <c r="A313" s="448">
        <f t="shared" si="17"/>
        <v>2.0832028401240481</v>
      </c>
      <c r="B313" s="49">
        <v>0.56100000000000005</v>
      </c>
      <c r="C313" s="49">
        <f>staticResult!$C$16-B313</f>
        <v>0.359254238989693</v>
      </c>
      <c r="D313" s="448">
        <f t="shared" si="18"/>
        <v>-0.1181124603331084</v>
      </c>
      <c r="E313" s="49">
        <f>((B313*staticResult!$C$2*100)+配裝模擬!$D$2+staticResult!$D$16*0.47)/staticResult!$C$2/100</f>
        <v>0.65744258780133347</v>
      </c>
      <c r="G313" s="448">
        <f t="shared" ca="1" si="16"/>
        <v>2.9765433001174362</v>
      </c>
      <c r="H313" s="49">
        <v>0.56100000000000005</v>
      </c>
      <c r="I313" s="49">
        <f ca="1">((M313*staticResult!$C$2*100)+配裝模擬!$D$2+staticResult!$D$16*0.47)/staticResult!$C$2/100</f>
        <v>0.71354258780133351</v>
      </c>
      <c r="J313" s="49">
        <f ca="1">(staticResult!$C$16-H313)+BUFF!$F$27</f>
        <v>0.58675423898969303</v>
      </c>
      <c r="K313" s="448">
        <f t="shared" ca="1" si="19"/>
        <v>-0.24036209334621339</v>
      </c>
      <c r="L313" s="49">
        <f>((H313*staticResult!$C$2*100)+配裝模擬!$D$2+staticResult!$D$16*0.47)/staticResult!$C$2/100</f>
        <v>0.65744258780133347</v>
      </c>
      <c r="M313" s="476">
        <f ca="1">H313*(1+BUFF!$H$27)</f>
        <v>0.61710000000000009</v>
      </c>
    </row>
    <row r="314" spans="1:13">
      <c r="A314" s="448">
        <f t="shared" si="17"/>
        <v>2.0830828653003457</v>
      </c>
      <c r="B314" s="49">
        <v>0.56200000000000006</v>
      </c>
      <c r="C314" s="49">
        <f>staticResult!$C$16-B314</f>
        <v>0.358254238989693</v>
      </c>
      <c r="D314" s="448">
        <f t="shared" si="18"/>
        <v>-0.11997482370240664</v>
      </c>
      <c r="E314" s="49">
        <f>((B314*staticResult!$C$2*100)+配裝模擬!$D$2+staticResult!$D$16*0.47)/staticResult!$C$2/100</f>
        <v>0.65844258780133358</v>
      </c>
      <c r="G314" s="448">
        <f t="shared" ca="1" si="16"/>
        <v>2.9763001744243835</v>
      </c>
      <c r="H314" s="49">
        <v>0.56200000000000006</v>
      </c>
      <c r="I314" s="49">
        <f ca="1">((M314*staticResult!$C$2*100)+配裝模擬!$D$2+staticResult!$D$16*0.47)/staticResult!$C$2/100</f>
        <v>0.7146425878013335</v>
      </c>
      <c r="J314" s="49">
        <f ca="1">(staticResult!$C$16-H314)+BUFF!$F$27</f>
        <v>0.58575423898969303</v>
      </c>
      <c r="K314" s="448">
        <f t="shared" ca="1" si="19"/>
        <v>-0.24312569305262577</v>
      </c>
      <c r="L314" s="49">
        <f>((H314*staticResult!$C$2*100)+配裝模擬!$D$2+staticResult!$D$16*0.47)/staticResult!$C$2/100</f>
        <v>0.65844258780133358</v>
      </c>
      <c r="M314" s="476">
        <f ca="1">H314*(1+BUFF!$H$27)</f>
        <v>0.61820000000000008</v>
      </c>
    </row>
    <row r="315" spans="1:13">
      <c r="A315" s="448">
        <f t="shared" si="17"/>
        <v>2.0829610281132744</v>
      </c>
      <c r="B315" s="49">
        <v>0.56299999999999994</v>
      </c>
      <c r="C315" s="49">
        <f>staticResult!$C$16-B315</f>
        <v>0.35725423898969311</v>
      </c>
      <c r="D315" s="448">
        <f t="shared" si="18"/>
        <v>-0.12183718707127432</v>
      </c>
      <c r="E315" s="49">
        <f>((B315*staticResult!$C$2*100)+配裝模擬!$D$2+staticResult!$D$16*0.47)/staticResult!$C$2/100</f>
        <v>0.65944258780133336</v>
      </c>
      <c r="G315" s="448">
        <f t="shared" ca="1" si="16"/>
        <v>2.9760542851316258</v>
      </c>
      <c r="H315" s="49">
        <v>0.56299999999999994</v>
      </c>
      <c r="I315" s="49">
        <f ca="1">((M315*staticResult!$C$2*100)+配裝模擬!$D$2+staticResult!$D$16*0.47)/staticResult!$C$2/100</f>
        <v>0.71574258780133349</v>
      </c>
      <c r="J315" s="49">
        <f ca="1">(staticResult!$C$16-H315)+BUFF!$F$27</f>
        <v>0.58475423898969314</v>
      </c>
      <c r="K315" s="448">
        <f t="shared" ca="1" si="19"/>
        <v>-0.24588929275773319</v>
      </c>
      <c r="L315" s="49">
        <f>((H315*staticResult!$C$2*100)+配裝模擬!$D$2+staticResult!$D$16*0.47)/staticResult!$C$2/100</f>
        <v>0.65944258780133336</v>
      </c>
      <c r="M315" s="476">
        <f ca="1">H315*(1+BUFF!$H$27)</f>
        <v>0.61929999999999996</v>
      </c>
    </row>
    <row r="316" spans="1:13">
      <c r="A316" s="448">
        <f t="shared" si="17"/>
        <v>2.0828373285628343</v>
      </c>
      <c r="B316" s="49">
        <v>0.56399999999999995</v>
      </c>
      <c r="C316" s="49">
        <f>staticResult!$C$16-B316</f>
        <v>0.35625423898969311</v>
      </c>
      <c r="D316" s="448">
        <f t="shared" si="18"/>
        <v>-0.12369955044011494</v>
      </c>
      <c r="E316" s="49">
        <f>((B316*staticResult!$C$2*100)+配裝模擬!$D$2+staticResult!$D$16*0.47)/staticResult!$C$2/100</f>
        <v>0.66044258780133336</v>
      </c>
      <c r="G316" s="448">
        <f t="shared" ca="1" si="16"/>
        <v>2.9758056322391626</v>
      </c>
      <c r="H316" s="49">
        <v>0.56399999999999995</v>
      </c>
      <c r="I316" s="49">
        <f ca="1">((M316*staticResult!$C$2*100)+配裝模擬!$D$2+staticResult!$D$16*0.47)/staticResult!$C$2/100</f>
        <v>0.71684258780133348</v>
      </c>
      <c r="J316" s="49">
        <f ca="1">(staticResult!$C$16-H316)+BUFF!$F$27</f>
        <v>0.58375423898969314</v>
      </c>
      <c r="K316" s="448">
        <f t="shared" ca="1" si="19"/>
        <v>-0.24865289246323008</v>
      </c>
      <c r="L316" s="49">
        <f>((H316*staticResult!$C$2*100)+配裝模擬!$D$2+staticResult!$D$16*0.47)/staticResult!$C$2/100</f>
        <v>0.66044258780133336</v>
      </c>
      <c r="M316" s="476">
        <f ca="1">H316*(1+BUFF!$H$27)</f>
        <v>0.62039999999999995</v>
      </c>
    </row>
    <row r="317" spans="1:13">
      <c r="A317" s="448">
        <f t="shared" si="17"/>
        <v>2.0827117666490254</v>
      </c>
      <c r="B317" s="49">
        <v>0.56499999999999995</v>
      </c>
      <c r="C317" s="49">
        <f>staticResult!$C$16-B317</f>
        <v>0.35525423898969311</v>
      </c>
      <c r="D317" s="448">
        <f t="shared" si="18"/>
        <v>-0.12556191380896908</v>
      </c>
      <c r="E317" s="49">
        <f>((B317*staticResult!$C$2*100)+配裝模擬!$D$2+staticResult!$D$16*0.47)/staticResult!$C$2/100</f>
        <v>0.66144258780133347</v>
      </c>
      <c r="G317" s="448">
        <f t="shared" ca="1" si="16"/>
        <v>2.9755542157469925</v>
      </c>
      <c r="H317" s="49">
        <v>0.56499999999999995</v>
      </c>
      <c r="I317" s="49">
        <f ca="1">((M317*staticResult!$C$2*100)+配裝模擬!$D$2+staticResult!$D$16*0.47)/staticResult!$C$2/100</f>
        <v>0.71794258780133335</v>
      </c>
      <c r="J317" s="49">
        <f ca="1">(staticResult!$C$16-H317)+BUFF!$F$27</f>
        <v>0.58275423898969314</v>
      </c>
      <c r="K317" s="448">
        <f t="shared" ca="1" si="19"/>
        <v>-0.25141649217008655</v>
      </c>
      <c r="L317" s="49">
        <f>((H317*staticResult!$C$2*100)+配裝模擬!$D$2+staticResult!$D$16*0.47)/staticResult!$C$2/100</f>
        <v>0.66144258780133347</v>
      </c>
      <c r="M317" s="476">
        <f ca="1">H317*(1+BUFF!$H$27)</f>
        <v>0.62149999999999994</v>
      </c>
    </row>
    <row r="318" spans="1:13">
      <c r="A318" s="448">
        <f t="shared" si="17"/>
        <v>2.0825843423718475</v>
      </c>
      <c r="B318" s="49">
        <v>0.56599999999999995</v>
      </c>
      <c r="C318" s="49">
        <f>staticResult!$C$16-B318</f>
        <v>0.3542542389896931</v>
      </c>
      <c r="D318" s="448">
        <f t="shared" si="18"/>
        <v>-0.12742427717782323</v>
      </c>
      <c r="E318" s="49">
        <f>((B318*staticResult!$C$2*100)+配裝模擬!$D$2+staticResult!$D$16*0.47)/staticResult!$C$2/100</f>
        <v>0.66244258780133336</v>
      </c>
      <c r="G318" s="448">
        <f t="shared" ca="1" si="16"/>
        <v>2.9753000356551169</v>
      </c>
      <c r="H318" s="49">
        <v>0.56599999999999995</v>
      </c>
      <c r="I318" s="49">
        <f ca="1">((M318*staticResult!$C$2*100)+配裝模擬!$D$2+staticResult!$D$16*0.47)/staticResult!$C$2/100</f>
        <v>0.71904258780133345</v>
      </c>
      <c r="J318" s="49">
        <f ca="1">(staticResult!$C$16-H318)+BUFF!$F$27</f>
        <v>0.58175423898969314</v>
      </c>
      <c r="K318" s="448">
        <f t="shared" ca="1" si="19"/>
        <v>-0.25418009187561075</v>
      </c>
      <c r="L318" s="49">
        <f>((H318*staticResult!$C$2*100)+配裝模擬!$D$2+staticResult!$D$16*0.47)/staticResult!$C$2/100</f>
        <v>0.66244258780133336</v>
      </c>
      <c r="M318" s="476">
        <f ca="1">H318*(1+BUFF!$H$27)</f>
        <v>0.62260000000000004</v>
      </c>
    </row>
    <row r="319" spans="1:13">
      <c r="A319" s="448">
        <f t="shared" si="17"/>
        <v>2.0824550557313009</v>
      </c>
      <c r="B319" s="49">
        <v>0.56699999999999995</v>
      </c>
      <c r="C319" s="49">
        <f>staticResult!$C$16-B319</f>
        <v>0.3532542389896931</v>
      </c>
      <c r="D319" s="448">
        <f t="shared" si="18"/>
        <v>-0.12928664054667738</v>
      </c>
      <c r="E319" s="49">
        <f>((B319*staticResult!$C$2*100)+配裝模擬!$D$2+staticResult!$D$16*0.47)/staticResult!$C$2/100</f>
        <v>0.66344258780133347</v>
      </c>
      <c r="G319" s="448">
        <f t="shared" ca="1" si="16"/>
        <v>2.9750430919635362</v>
      </c>
      <c r="H319" s="49">
        <v>0.56699999999999995</v>
      </c>
      <c r="I319" s="49">
        <f ca="1">((M319*staticResult!$C$2*100)+配裝模擬!$D$2+staticResult!$D$16*0.47)/staticResult!$C$2/100</f>
        <v>0.72014258780133344</v>
      </c>
      <c r="J319" s="49">
        <f ca="1">(staticResult!$C$16-H319)+BUFF!$F$27</f>
        <v>0.58075423898969314</v>
      </c>
      <c r="K319" s="448">
        <f t="shared" ca="1" si="19"/>
        <v>-0.25694369158069086</v>
      </c>
      <c r="L319" s="49">
        <f>((H319*staticResult!$C$2*100)+配裝模擬!$D$2+staticResult!$D$16*0.47)/staticResult!$C$2/100</f>
        <v>0.66344258780133347</v>
      </c>
      <c r="M319" s="476">
        <f ca="1">H319*(1+BUFF!$H$27)</f>
        <v>0.62370000000000003</v>
      </c>
    </row>
    <row r="320" spans="1:13">
      <c r="A320" s="448">
        <f t="shared" si="17"/>
        <v>2.0823239067273853</v>
      </c>
      <c r="B320" s="49">
        <v>0.56799999999999995</v>
      </c>
      <c r="C320" s="49">
        <f>staticResult!$C$16-B320</f>
        <v>0.3522542389896931</v>
      </c>
      <c r="D320" s="448">
        <f t="shared" si="18"/>
        <v>-0.13114900391553153</v>
      </c>
      <c r="E320" s="49">
        <f>((B320*staticResult!$C$2*100)+配裝模擬!$D$2+staticResult!$D$16*0.47)/staticResult!$C$2/100</f>
        <v>0.66444258780133336</v>
      </c>
      <c r="G320" s="448">
        <f t="shared" ca="1" si="16"/>
        <v>2.9747833846722496</v>
      </c>
      <c r="H320" s="49">
        <v>0.56799999999999995</v>
      </c>
      <c r="I320" s="49">
        <f ca="1">((M320*staticResult!$C$2*100)+配裝模擬!$D$2+staticResult!$D$16*0.47)/staticResult!$C$2/100</f>
        <v>0.72124258780133343</v>
      </c>
      <c r="J320" s="49">
        <f ca="1">(staticResult!$C$16-H320)+BUFF!$F$27</f>
        <v>0.57975423898969314</v>
      </c>
      <c r="K320" s="448">
        <f t="shared" ca="1" si="19"/>
        <v>-0.25970729128665915</v>
      </c>
      <c r="L320" s="49">
        <f>((H320*staticResult!$C$2*100)+配裝模擬!$D$2+staticResult!$D$16*0.47)/staticResult!$C$2/100</f>
        <v>0.66444258780133336</v>
      </c>
      <c r="M320" s="476">
        <f ca="1">H320*(1+BUFF!$H$27)</f>
        <v>0.62480000000000002</v>
      </c>
    </row>
    <row r="321" spans="1:13">
      <c r="A321" s="448">
        <f t="shared" si="17"/>
        <v>2.0821908953601005</v>
      </c>
      <c r="B321" s="49">
        <v>0.56899999999999995</v>
      </c>
      <c r="C321" s="49">
        <f>staticResult!$C$16-B321</f>
        <v>0.3512542389896931</v>
      </c>
      <c r="D321" s="448">
        <f t="shared" si="18"/>
        <v>-0.13301136728482976</v>
      </c>
      <c r="E321" s="49">
        <f>((B321*staticResult!$C$2*100)+配裝模擬!$D$2+staticResult!$D$16*0.47)/staticResult!$C$2/100</f>
        <v>0.66544258780133336</v>
      </c>
      <c r="G321" s="448">
        <f t="shared" ca="1" si="16"/>
        <v>2.9745209137812565</v>
      </c>
      <c r="H321" s="49">
        <v>0.56899999999999995</v>
      </c>
      <c r="I321" s="49">
        <f ca="1">((M321*staticResult!$C$2*100)+配裝模擬!$D$2+staticResult!$D$16*0.47)/staticResult!$C$2/100</f>
        <v>0.72234258780133342</v>
      </c>
      <c r="J321" s="49">
        <f ca="1">(staticResult!$C$16-H321)+BUFF!$F$27</f>
        <v>0.57875423898969314</v>
      </c>
      <c r="K321" s="448">
        <f t="shared" ca="1" si="19"/>
        <v>-0.26247089099307153</v>
      </c>
      <c r="L321" s="49">
        <f>((H321*staticResult!$C$2*100)+配裝模擬!$D$2+staticResult!$D$16*0.47)/staticResult!$C$2/100</f>
        <v>0.66544258780133336</v>
      </c>
      <c r="M321" s="476">
        <f ca="1">H321*(1+BUFF!$H$27)</f>
        <v>0.62590000000000001</v>
      </c>
    </row>
    <row r="322" spans="1:13">
      <c r="A322" s="448">
        <f t="shared" si="17"/>
        <v>2.0820560216294468</v>
      </c>
      <c r="B322" s="49">
        <v>0.56999999999999995</v>
      </c>
      <c r="C322" s="49">
        <f>staticResult!$C$16-B322</f>
        <v>0.3502542389896931</v>
      </c>
      <c r="D322" s="448">
        <f t="shared" si="18"/>
        <v>-0.13487373065368391</v>
      </c>
      <c r="E322" s="49">
        <f>((B322*staticResult!$C$2*100)+配裝模擬!$D$2+staticResult!$D$16*0.47)/staticResult!$C$2/100</f>
        <v>0.66644258780133336</v>
      </c>
      <c r="G322" s="448">
        <f t="shared" ref="G322:G385" ca="1" si="20">(1+I322)*(J322*$F$13+(1-J322))</f>
        <v>2.9742556792905579</v>
      </c>
      <c r="H322" s="49">
        <v>0.56999999999999995</v>
      </c>
      <c r="I322" s="49">
        <f ca="1">((M322*staticResult!$C$2*100)+配裝模擬!$D$2+staticResult!$D$16*0.47)/staticResult!$C$2/100</f>
        <v>0.72344258780133341</v>
      </c>
      <c r="J322" s="49">
        <f ca="1">(staticResult!$C$16-H322)+BUFF!$F$27</f>
        <v>0.57775423898969314</v>
      </c>
      <c r="K322" s="448">
        <f t="shared" ca="1" si="19"/>
        <v>-0.26523449069859573</v>
      </c>
      <c r="L322" s="49">
        <f>((H322*staticResult!$C$2*100)+配裝模擬!$D$2+staticResult!$D$16*0.47)/staticResult!$C$2/100</f>
        <v>0.66644258780133336</v>
      </c>
      <c r="M322" s="476">
        <f ca="1">H322*(1+BUFF!$H$27)</f>
        <v>0.627</v>
      </c>
    </row>
    <row r="323" spans="1:13">
      <c r="A323" s="448">
        <f t="shared" ref="A323:A352" si="21">(1+B323)*(C323*$F$3+(1-C323))</f>
        <v>2.0819192855354247</v>
      </c>
      <c r="B323" s="49">
        <v>0.57099999999999995</v>
      </c>
      <c r="C323" s="49">
        <f>staticResult!$C$16-B323</f>
        <v>0.3492542389896931</v>
      </c>
      <c r="D323" s="448">
        <f t="shared" ref="D323:D352" si="22">(A323-A322)/(B323-B322)</f>
        <v>-0.13673609402209397</v>
      </c>
      <c r="E323" s="49">
        <f>((B323*staticResult!$C$2*100)+配裝模擬!$D$2+staticResult!$D$16*0.47)/staticResult!$C$2/100</f>
        <v>0.66744258780133348</v>
      </c>
      <c r="G323" s="448">
        <f t="shared" ca="1" si="20"/>
        <v>2.9739876812001538</v>
      </c>
      <c r="H323" s="49">
        <v>0.57099999999999995</v>
      </c>
      <c r="I323" s="49">
        <f ca="1">((M323*staticResult!$C$2*100)+配裝模擬!$D$2+staticResult!$D$16*0.47)/staticResult!$C$2/100</f>
        <v>0.7245425878013334</v>
      </c>
      <c r="J323" s="49">
        <f ca="1">(staticResult!$C$16-H323)+BUFF!$F$27</f>
        <v>0.57675423898969314</v>
      </c>
      <c r="K323" s="448">
        <f t="shared" ref="K323:K386" ca="1" si="23">(G323-G322)/(H323-H322)</f>
        <v>-0.26799809040411993</v>
      </c>
      <c r="L323" s="49">
        <f>((H323*staticResult!$C$2*100)+配裝模擬!$D$2+staticResult!$D$16*0.47)/staticResult!$C$2/100</f>
        <v>0.66744258780133348</v>
      </c>
      <c r="M323" s="476">
        <f ca="1">H323*(1+BUFF!$H$27)</f>
        <v>0.62809999999999999</v>
      </c>
    </row>
    <row r="324" spans="1:13">
      <c r="A324" s="448">
        <f t="shared" si="21"/>
        <v>2.0817806870780338</v>
      </c>
      <c r="B324" s="49">
        <v>0.57199999999999995</v>
      </c>
      <c r="C324" s="49">
        <f>staticResult!$C$16-B324</f>
        <v>0.3482542389896931</v>
      </c>
      <c r="D324" s="448">
        <f t="shared" si="22"/>
        <v>-0.13859845739094812</v>
      </c>
      <c r="E324" s="49">
        <f>((B324*staticResult!$C$2*100)+配裝模擬!$D$2+staticResult!$D$16*0.47)/staticResult!$C$2/100</f>
        <v>0.66844258780133348</v>
      </c>
      <c r="G324" s="448">
        <f t="shared" ca="1" si="20"/>
        <v>2.9737169195100441</v>
      </c>
      <c r="H324" s="49">
        <v>0.57199999999999995</v>
      </c>
      <c r="I324" s="49">
        <f ca="1">((M324*staticResult!$C$2*100)+配裝模擬!$D$2+staticResult!$D$16*0.47)/staticResult!$C$2/100</f>
        <v>0.72564258780133339</v>
      </c>
      <c r="J324" s="49">
        <f ca="1">(staticResult!$C$16-H324)+BUFF!$F$27</f>
        <v>0.57575423898969313</v>
      </c>
      <c r="K324" s="448">
        <f t="shared" ca="1" si="23"/>
        <v>-0.27076169010964413</v>
      </c>
      <c r="L324" s="49">
        <f>((H324*staticResult!$C$2*100)+配裝模擬!$D$2+staticResult!$D$16*0.47)/staticResult!$C$2/100</f>
        <v>0.66844258780133348</v>
      </c>
      <c r="M324" s="476">
        <f ca="1">H324*(1+BUFF!$H$27)</f>
        <v>0.62919999999999998</v>
      </c>
    </row>
    <row r="325" spans="1:13">
      <c r="A325" s="448">
        <f t="shared" si="21"/>
        <v>2.0816402262572731</v>
      </c>
      <c r="B325" s="49">
        <v>0.57299999999999995</v>
      </c>
      <c r="C325" s="49">
        <f>staticResult!$C$16-B325</f>
        <v>0.3472542389896931</v>
      </c>
      <c r="D325" s="448">
        <f t="shared" si="22"/>
        <v>-0.14046082076069044</v>
      </c>
      <c r="E325" s="49">
        <f>((B325*staticResult!$C$2*100)+配裝模擬!$D$2+staticResult!$D$16*0.47)/staticResult!$C$2/100</f>
        <v>0.66944258780133337</v>
      </c>
      <c r="G325" s="448">
        <f t="shared" ca="1" si="20"/>
        <v>2.9734433942202281</v>
      </c>
      <c r="H325" s="49">
        <v>0.57299999999999995</v>
      </c>
      <c r="I325" s="49">
        <f ca="1">((M325*staticResult!$C$2*100)+配裝模擬!$D$2+staticResult!$D$16*0.47)/staticResult!$C$2/100</f>
        <v>0.72674258780133338</v>
      </c>
      <c r="J325" s="49">
        <f ca="1">(staticResult!$C$16-H325)+BUFF!$F$27</f>
        <v>0.57475423898969313</v>
      </c>
      <c r="K325" s="448">
        <f t="shared" ca="1" si="23"/>
        <v>-0.2735252898160565</v>
      </c>
      <c r="L325" s="49">
        <f>((H325*staticResult!$C$2*100)+配裝模擬!$D$2+staticResult!$D$16*0.47)/staticResult!$C$2/100</f>
        <v>0.66944258780133337</v>
      </c>
      <c r="M325" s="476">
        <f ca="1">H325*(1+BUFF!$H$27)</f>
        <v>0.63029999999999997</v>
      </c>
    </row>
    <row r="326" spans="1:13">
      <c r="A326" s="448">
        <f t="shared" si="21"/>
        <v>2.0814979030731444</v>
      </c>
      <c r="B326" s="49">
        <v>0.57399999999999995</v>
      </c>
      <c r="C326" s="49">
        <f>staticResult!$C$16-B326</f>
        <v>0.3462542389896931</v>
      </c>
      <c r="D326" s="448">
        <f t="shared" si="22"/>
        <v>-0.14232318412865638</v>
      </c>
      <c r="E326" s="49">
        <f>((B326*staticResult!$C$2*100)+配裝模擬!$D$2+staticResult!$D$16*0.47)/staticResult!$C$2/100</f>
        <v>0.67044258780133348</v>
      </c>
      <c r="G326" s="448">
        <f t="shared" ca="1" si="20"/>
        <v>2.9731671053307065</v>
      </c>
      <c r="H326" s="49">
        <v>0.57399999999999995</v>
      </c>
      <c r="I326" s="49">
        <f ca="1">((M326*staticResult!$C$2*100)+配裝模擬!$D$2+staticResult!$D$16*0.47)/staticResult!$C$2/100</f>
        <v>0.72784258780133337</v>
      </c>
      <c r="J326" s="49">
        <f ca="1">(staticResult!$C$16-H326)+BUFF!$F$27</f>
        <v>0.57375423898969313</v>
      </c>
      <c r="K326" s="448">
        <f t="shared" ca="1" si="23"/>
        <v>-0.27628888952158071</v>
      </c>
      <c r="L326" s="49">
        <f>((H326*staticResult!$C$2*100)+配裝模擬!$D$2+staticResult!$D$16*0.47)/staticResult!$C$2/100</f>
        <v>0.67044258780133348</v>
      </c>
      <c r="M326" s="476">
        <f ca="1">H326*(1+BUFF!$H$27)</f>
        <v>0.63139999999999996</v>
      </c>
    </row>
    <row r="327" spans="1:13">
      <c r="A327" s="448">
        <f t="shared" si="21"/>
        <v>2.0813537175256465</v>
      </c>
      <c r="B327" s="49">
        <v>0.57499999999999996</v>
      </c>
      <c r="C327" s="49">
        <f>staticResult!$C$16-B327</f>
        <v>0.3452542389896931</v>
      </c>
      <c r="D327" s="448">
        <f t="shared" si="22"/>
        <v>-0.14418554749795462</v>
      </c>
      <c r="E327" s="49">
        <f>((B327*staticResult!$C$2*100)+配裝模擬!$D$2+staticResult!$D$16*0.47)/staticResult!$C$2/100</f>
        <v>0.67144258780133337</v>
      </c>
      <c r="G327" s="448">
        <f t="shared" ca="1" si="20"/>
        <v>2.9728880528414789</v>
      </c>
      <c r="H327" s="49">
        <v>0.57499999999999996</v>
      </c>
      <c r="I327" s="49">
        <f ca="1">((M327*staticResult!$C$2*100)+配裝模擬!$D$2+staticResult!$D$16*0.47)/staticResult!$C$2/100</f>
        <v>0.72894258780133336</v>
      </c>
      <c r="J327" s="49">
        <f ca="1">(staticResult!$C$16-H327)+BUFF!$F$27</f>
        <v>0.57275423898969313</v>
      </c>
      <c r="K327" s="448">
        <f t="shared" ca="1" si="23"/>
        <v>-0.27905248922754899</v>
      </c>
      <c r="L327" s="49">
        <f>((H327*staticResult!$C$2*100)+配裝模擬!$D$2+staticResult!$D$16*0.47)/staticResult!$C$2/100</f>
        <v>0.67144258780133337</v>
      </c>
      <c r="M327" s="476">
        <f ca="1">H327*(1+BUFF!$H$27)</f>
        <v>0.63249999999999995</v>
      </c>
    </row>
    <row r="328" spans="1:13">
      <c r="A328" s="448">
        <f t="shared" si="21"/>
        <v>2.0812076696147797</v>
      </c>
      <c r="B328" s="49">
        <v>0.57599999999999996</v>
      </c>
      <c r="C328" s="49">
        <f>staticResult!$C$16-B328</f>
        <v>0.3442542389896931</v>
      </c>
      <c r="D328" s="448">
        <f t="shared" si="22"/>
        <v>-0.14604791086680877</v>
      </c>
      <c r="E328" s="49">
        <f>((B328*staticResult!$C$2*100)+配裝模擬!$D$2+staticResult!$D$16*0.47)/staticResult!$C$2/100</f>
        <v>0.67244258780133348</v>
      </c>
      <c r="G328" s="448">
        <f t="shared" ca="1" si="20"/>
        <v>2.9726062367525463</v>
      </c>
      <c r="H328" s="49">
        <v>0.57599999999999996</v>
      </c>
      <c r="I328" s="49">
        <f ca="1">((M328*staticResult!$C$2*100)+配裝模擬!$D$2+staticResult!$D$16*0.47)/staticResult!$C$2/100</f>
        <v>0.73004258780133358</v>
      </c>
      <c r="J328" s="49">
        <f ca="1">(staticResult!$C$16-H328)+BUFF!$F$27</f>
        <v>0.57175423898969313</v>
      </c>
      <c r="K328" s="448">
        <f t="shared" ca="1" si="23"/>
        <v>-0.28181608893262905</v>
      </c>
      <c r="L328" s="49">
        <f>((H328*staticResult!$C$2*100)+配裝模擬!$D$2+staticResult!$D$16*0.47)/staticResult!$C$2/100</f>
        <v>0.67244258780133348</v>
      </c>
      <c r="M328" s="476">
        <f ca="1">H328*(1+BUFF!$H$27)</f>
        <v>0.63360000000000005</v>
      </c>
    </row>
    <row r="329" spans="1:13">
      <c r="A329" s="448">
        <f t="shared" si="21"/>
        <v>2.0810597593405435</v>
      </c>
      <c r="B329" s="49">
        <v>0.57699999999999996</v>
      </c>
      <c r="C329" s="49">
        <f>staticResult!$C$16-B329</f>
        <v>0.34325423898969309</v>
      </c>
      <c r="D329" s="448">
        <f t="shared" si="22"/>
        <v>-0.147910274236107</v>
      </c>
      <c r="E329" s="49">
        <f>((B329*staticResult!$C$2*100)+配裝模擬!$D$2+staticResult!$D$16*0.47)/staticResult!$C$2/100</f>
        <v>0.67344258780133326</v>
      </c>
      <c r="G329" s="448">
        <f t="shared" ca="1" si="20"/>
        <v>2.9723216570639068</v>
      </c>
      <c r="H329" s="49">
        <v>0.57699999999999996</v>
      </c>
      <c r="I329" s="49">
        <f ca="1">((M329*staticResult!$C$2*100)+配裝模擬!$D$2+staticResult!$D$16*0.47)/staticResult!$C$2/100</f>
        <v>0.73114258780133357</v>
      </c>
      <c r="J329" s="49">
        <f ca="1">(staticResult!$C$16-H329)+BUFF!$F$27</f>
        <v>0.57075423898969313</v>
      </c>
      <c r="K329" s="448">
        <f t="shared" ca="1" si="23"/>
        <v>-0.28457968863948552</v>
      </c>
      <c r="L329" s="49">
        <f>((H329*staticResult!$C$2*100)+配裝模擬!$D$2+staticResult!$D$16*0.47)/staticResult!$C$2/100</f>
        <v>0.67344258780133326</v>
      </c>
      <c r="M329" s="476">
        <f ca="1">H329*(1+BUFF!$H$27)</f>
        <v>0.63470000000000004</v>
      </c>
    </row>
    <row r="330" spans="1:13">
      <c r="A330" s="448">
        <f t="shared" si="21"/>
        <v>2.0809099867029386</v>
      </c>
      <c r="B330" s="49">
        <v>0.57799999999999996</v>
      </c>
      <c r="C330" s="49">
        <f>staticResult!$C$16-B330</f>
        <v>0.34225423898969309</v>
      </c>
      <c r="D330" s="448">
        <f t="shared" si="22"/>
        <v>-0.14977263760496115</v>
      </c>
      <c r="E330" s="49">
        <f>((B330*staticResult!$C$2*100)+配裝模擬!$D$2+staticResult!$D$16*0.47)/staticResult!$C$2/100</f>
        <v>0.67444258780133337</v>
      </c>
      <c r="G330" s="448">
        <f t="shared" ca="1" si="20"/>
        <v>2.9720343137755623</v>
      </c>
      <c r="H330" s="49">
        <v>0.57799999999999996</v>
      </c>
      <c r="I330" s="49">
        <f ca="1">((M330*staticResult!$C$2*100)+配裝模擬!$D$2+staticResult!$D$16*0.47)/staticResult!$C$2/100</f>
        <v>0.73224258780133344</v>
      </c>
      <c r="J330" s="49">
        <f ca="1">(staticResult!$C$16-H330)+BUFF!$F$27</f>
        <v>0.56975423898969313</v>
      </c>
      <c r="K330" s="448">
        <f t="shared" ca="1" si="23"/>
        <v>-0.28734328834456563</v>
      </c>
      <c r="L330" s="49">
        <f>((H330*staticResult!$C$2*100)+配裝模擬!$D$2+staticResult!$D$16*0.47)/staticResult!$C$2/100</f>
        <v>0.67444258780133337</v>
      </c>
      <c r="M330" s="476">
        <f ca="1">H330*(1+BUFF!$H$27)</f>
        <v>0.63580000000000003</v>
      </c>
    </row>
    <row r="331" spans="1:13">
      <c r="A331" s="448">
        <f t="shared" si="21"/>
        <v>2.0807583517019657</v>
      </c>
      <c r="B331" s="49">
        <v>0.57899999999999996</v>
      </c>
      <c r="C331" s="49">
        <f>staticResult!$C$16-B331</f>
        <v>0.34125423898969309</v>
      </c>
      <c r="D331" s="448">
        <f t="shared" si="22"/>
        <v>-0.15163500097292712</v>
      </c>
      <c r="E331" s="49">
        <f>((B331*staticResult!$C$2*100)+配裝模擬!$D$2+staticResult!$D$16*0.47)/staticResult!$C$2/100</f>
        <v>0.67544258780133348</v>
      </c>
      <c r="G331" s="448">
        <f t="shared" ca="1" si="20"/>
        <v>2.9717442068875113</v>
      </c>
      <c r="H331" s="49">
        <v>0.57899999999999996</v>
      </c>
      <c r="I331" s="49">
        <f ca="1">((M331*staticResult!$C$2*100)+配裝模擬!$D$2+staticResult!$D$16*0.47)/staticResult!$C$2/100</f>
        <v>0.73334258780133343</v>
      </c>
      <c r="J331" s="49">
        <f ca="1">(staticResult!$C$16-H331)+BUFF!$F$27</f>
        <v>0.56875423898969313</v>
      </c>
      <c r="K331" s="448">
        <f t="shared" ca="1" si="23"/>
        <v>-0.29010688805097801</v>
      </c>
      <c r="L331" s="49">
        <f>((H331*staticResult!$C$2*100)+配裝模擬!$D$2+staticResult!$D$16*0.47)/staticResult!$C$2/100</f>
        <v>0.67544258780133348</v>
      </c>
      <c r="M331" s="476">
        <f ca="1">H331*(1+BUFF!$H$27)</f>
        <v>0.63690000000000002</v>
      </c>
    </row>
    <row r="332" spans="1:13">
      <c r="A332" s="448">
        <f t="shared" si="21"/>
        <v>2.080604854337623</v>
      </c>
      <c r="B332" s="49">
        <v>0.57999999999999996</v>
      </c>
      <c r="C332" s="49">
        <f>staticResult!$C$16-B332</f>
        <v>0.34025423898969309</v>
      </c>
      <c r="D332" s="448">
        <f t="shared" si="22"/>
        <v>-0.15349736434266945</v>
      </c>
      <c r="E332" s="49">
        <f>((B332*staticResult!$C$2*100)+配裝模擬!$D$2+staticResult!$D$16*0.47)/staticResult!$C$2/100</f>
        <v>0.67644258780133337</v>
      </c>
      <c r="G332" s="448">
        <f t="shared" ca="1" si="20"/>
        <v>2.9714513363997557</v>
      </c>
      <c r="H332" s="49">
        <v>0.57999999999999996</v>
      </c>
      <c r="I332" s="49">
        <f ca="1">((M332*staticResult!$C$2*100)+配裝模擬!$D$2+staticResult!$D$16*0.47)/staticResult!$C$2/100</f>
        <v>0.73444258780133354</v>
      </c>
      <c r="J332" s="49">
        <f ca="1">(staticResult!$C$16-H332)+BUFF!$F$27</f>
        <v>0.56775423898969313</v>
      </c>
      <c r="K332" s="448">
        <f t="shared" ca="1" si="23"/>
        <v>-0.29287048775561403</v>
      </c>
      <c r="L332" s="49">
        <f>((H332*staticResult!$C$2*100)+配裝模擬!$D$2+staticResult!$D$16*0.47)/staticResult!$C$2/100</f>
        <v>0.67644258780133337</v>
      </c>
      <c r="M332" s="476">
        <f ca="1">H332*(1+BUFF!$H$27)</f>
        <v>0.63800000000000001</v>
      </c>
    </row>
    <row r="333" spans="1:13">
      <c r="A333" s="448">
        <f t="shared" si="21"/>
        <v>2.0804494946099119</v>
      </c>
      <c r="B333" s="49">
        <v>0.58099999999999996</v>
      </c>
      <c r="C333" s="49">
        <f>staticResult!$C$16-B333</f>
        <v>0.33925423898969309</v>
      </c>
      <c r="D333" s="448">
        <f t="shared" si="22"/>
        <v>-0.1553597277110795</v>
      </c>
      <c r="E333" s="49">
        <f>((B333*staticResult!$C$2*100)+配裝模擬!$D$2+staticResult!$D$16*0.47)/staticResult!$C$2/100</f>
        <v>0.67744258780133337</v>
      </c>
      <c r="G333" s="448">
        <f t="shared" ca="1" si="20"/>
        <v>2.9711557023122932</v>
      </c>
      <c r="H333" s="49">
        <v>0.58099999999999996</v>
      </c>
      <c r="I333" s="49">
        <f ca="1">((M333*staticResult!$C$2*100)+配裝模擬!$D$2+staticResult!$D$16*0.47)/staticResult!$C$2/100</f>
        <v>0.73554258780133353</v>
      </c>
      <c r="J333" s="49">
        <f ca="1">(staticResult!$C$16-H333)+BUFF!$F$27</f>
        <v>0.56675423898969313</v>
      </c>
      <c r="K333" s="448">
        <f t="shared" ca="1" si="23"/>
        <v>-0.2956340874624705</v>
      </c>
      <c r="L333" s="49">
        <f>((H333*staticResult!$C$2*100)+配裝模擬!$D$2+staticResult!$D$16*0.47)/staticResult!$C$2/100</f>
        <v>0.67744258780133337</v>
      </c>
      <c r="M333" s="476">
        <f ca="1">H333*(1+BUFF!$H$27)</f>
        <v>0.6391</v>
      </c>
    </row>
    <row r="334" spans="1:13">
      <c r="A334" s="448">
        <f t="shared" si="21"/>
        <v>2.0802922725188315</v>
      </c>
      <c r="B334" s="49">
        <v>0.58199999999999996</v>
      </c>
      <c r="C334" s="49">
        <f>staticResult!$C$16-B334</f>
        <v>0.33825423898969309</v>
      </c>
      <c r="D334" s="448">
        <f t="shared" si="22"/>
        <v>-0.15722209108037774</v>
      </c>
      <c r="E334" s="49">
        <f>((B334*staticResult!$C$2*100)+配裝模擬!$D$2+staticResult!$D$16*0.47)/staticResult!$C$2/100</f>
        <v>0.67844258780133349</v>
      </c>
      <c r="G334" s="448">
        <f t="shared" ca="1" si="20"/>
        <v>2.9708573046251248</v>
      </c>
      <c r="H334" s="49">
        <v>0.58199999999999996</v>
      </c>
      <c r="I334" s="49">
        <f ca="1">((M334*staticResult!$C$2*100)+配裝模擬!$D$2+staticResult!$D$16*0.47)/staticResult!$C$2/100</f>
        <v>0.7366425878013334</v>
      </c>
      <c r="J334" s="49">
        <f ca="1">(staticResult!$C$16-H334)+BUFF!$F$27</f>
        <v>0.56575423898969313</v>
      </c>
      <c r="K334" s="448">
        <f t="shared" ca="1" si="23"/>
        <v>-0.29839768716843879</v>
      </c>
      <c r="L334" s="49">
        <f>((H334*staticResult!$C$2*100)+配裝模擬!$D$2+staticResult!$D$16*0.47)/staticResult!$C$2/100</f>
        <v>0.67844258780133349</v>
      </c>
      <c r="M334" s="476">
        <f ca="1">H334*(1+BUFF!$H$27)</f>
        <v>0.64019999999999999</v>
      </c>
    </row>
    <row r="335" spans="1:13">
      <c r="A335" s="448">
        <f t="shared" si="21"/>
        <v>2.0801331880643823</v>
      </c>
      <c r="B335" s="49">
        <v>0.58299999999999996</v>
      </c>
      <c r="C335" s="49">
        <f>staticResult!$C$16-B335</f>
        <v>0.33725423898969309</v>
      </c>
      <c r="D335" s="448">
        <f t="shared" si="22"/>
        <v>-0.15908445444923189</v>
      </c>
      <c r="E335" s="49">
        <f>((B335*staticResult!$C$2*100)+配裝模擬!$D$2+staticResult!$D$16*0.47)/staticResult!$C$2/100</f>
        <v>0.67944258780133338</v>
      </c>
      <c r="G335" s="448">
        <f t="shared" ca="1" si="20"/>
        <v>2.9705561433382512</v>
      </c>
      <c r="H335" s="49">
        <v>0.58299999999999996</v>
      </c>
      <c r="I335" s="49">
        <f ca="1">((M335*staticResult!$C$2*100)+配裝模擬!$D$2+staticResult!$D$16*0.47)/staticResult!$C$2/100</f>
        <v>0.73774258780133339</v>
      </c>
      <c r="J335" s="49">
        <f ca="1">(staticResult!$C$16-H335)+BUFF!$F$27</f>
        <v>0.56475423898969312</v>
      </c>
      <c r="K335" s="448">
        <f t="shared" ca="1" si="23"/>
        <v>-0.3011612868735189</v>
      </c>
      <c r="L335" s="49">
        <f>((H335*staticResult!$C$2*100)+配裝模擬!$D$2+staticResult!$D$16*0.47)/staticResult!$C$2/100</f>
        <v>0.67944258780133338</v>
      </c>
      <c r="M335" s="476">
        <f ca="1">H335*(1+BUFF!$H$27)</f>
        <v>0.64129999999999998</v>
      </c>
    </row>
    <row r="336" spans="1:13">
      <c r="A336" s="448">
        <f t="shared" si="21"/>
        <v>2.0799722412465642</v>
      </c>
      <c r="B336" s="49">
        <v>0.58399999999999996</v>
      </c>
      <c r="C336" s="49">
        <f>staticResult!$C$16-B336</f>
        <v>0.33625423898969309</v>
      </c>
      <c r="D336" s="448">
        <f t="shared" si="22"/>
        <v>-0.16094681781808604</v>
      </c>
      <c r="E336" s="49">
        <f>((B336*staticResult!$C$2*100)+配裝模擬!$D$2+staticResult!$D$16*0.47)/staticResult!$C$2/100</f>
        <v>0.68044258780133349</v>
      </c>
      <c r="G336" s="448">
        <f t="shared" ca="1" si="20"/>
        <v>2.9702522184516718</v>
      </c>
      <c r="H336" s="49">
        <v>0.58399999999999996</v>
      </c>
      <c r="I336" s="49">
        <f ca="1">((M336*staticResult!$C$2*100)+配裝模擬!$D$2+staticResult!$D$16*0.47)/staticResult!$C$2/100</f>
        <v>0.73884258780133338</v>
      </c>
      <c r="J336" s="49">
        <f ca="1">(staticResult!$C$16-H336)+BUFF!$F$27</f>
        <v>0.56375423898969312</v>
      </c>
      <c r="K336" s="448">
        <f t="shared" ca="1" si="23"/>
        <v>-0.30392488657948719</v>
      </c>
      <c r="L336" s="49">
        <f>((H336*staticResult!$C$2*100)+配裝模擬!$D$2+staticResult!$D$16*0.47)/staticResult!$C$2/100</f>
        <v>0.68044258780133349</v>
      </c>
      <c r="M336" s="476">
        <f ca="1">H336*(1+BUFF!$H$27)</f>
        <v>0.64239999999999997</v>
      </c>
    </row>
    <row r="337" spans="1:13">
      <c r="A337" s="448">
        <f t="shared" si="21"/>
        <v>2.0798094320653773</v>
      </c>
      <c r="B337" s="49">
        <v>0.58499999999999996</v>
      </c>
      <c r="C337" s="49">
        <f>staticResult!$C$16-B337</f>
        <v>0.33525423898969309</v>
      </c>
      <c r="D337" s="448">
        <f t="shared" si="22"/>
        <v>-0.16280918118694018</v>
      </c>
      <c r="E337" s="49">
        <f>((B337*staticResult!$C$2*100)+配裝模擬!$D$2+staticResult!$D$16*0.47)/staticResult!$C$2/100</f>
        <v>0.68144258780133338</v>
      </c>
      <c r="G337" s="448">
        <f t="shared" ca="1" si="20"/>
        <v>2.9699455299653867</v>
      </c>
      <c r="H337" s="49">
        <v>0.58499999999999996</v>
      </c>
      <c r="I337" s="49">
        <f ca="1">((M337*staticResult!$C$2*100)+配裝模擬!$D$2+staticResult!$D$16*0.47)/staticResult!$C$2/100</f>
        <v>0.73994258780133348</v>
      </c>
      <c r="J337" s="49">
        <f ca="1">(staticResult!$C$16-H337)+BUFF!$F$27</f>
        <v>0.56275423898969312</v>
      </c>
      <c r="K337" s="448">
        <f t="shared" ca="1" si="23"/>
        <v>-0.30668848628501139</v>
      </c>
      <c r="L337" s="49">
        <f>((H337*staticResult!$C$2*100)+配裝模擬!$D$2+staticResult!$D$16*0.47)/staticResult!$C$2/100</f>
        <v>0.68144258780133338</v>
      </c>
      <c r="M337" s="476">
        <f ca="1">H337*(1+BUFF!$H$27)</f>
        <v>0.64349999999999996</v>
      </c>
    </row>
    <row r="338" spans="1:13">
      <c r="A338" s="448">
        <f t="shared" si="21"/>
        <v>2.0796447605208215</v>
      </c>
      <c r="B338" s="49">
        <v>0.58599999999999997</v>
      </c>
      <c r="C338" s="49">
        <f>staticResult!$C$16-B338</f>
        <v>0.33425423898969309</v>
      </c>
      <c r="D338" s="448">
        <f t="shared" si="22"/>
        <v>-0.16467154455579433</v>
      </c>
      <c r="E338" s="49">
        <f>((B338*staticResult!$C$2*100)+配裝模擬!$D$2+staticResult!$D$16*0.47)/staticResult!$C$2/100</f>
        <v>0.68244258780133338</v>
      </c>
      <c r="G338" s="448">
        <f t="shared" ca="1" si="20"/>
        <v>2.9696360778793958</v>
      </c>
      <c r="H338" s="49">
        <v>0.58599999999999997</v>
      </c>
      <c r="I338" s="49">
        <f ca="1">((M338*staticResult!$C$2*100)+配裝模擬!$D$2+staticResult!$D$16*0.47)/staticResult!$C$2/100</f>
        <v>0.74104258780133347</v>
      </c>
      <c r="J338" s="49">
        <f ca="1">(staticResult!$C$16-H338)+BUFF!$F$27</f>
        <v>0.56175423898969312</v>
      </c>
      <c r="K338" s="448">
        <f t="shared" ca="1" si="23"/>
        <v>-0.30945208599097968</v>
      </c>
      <c r="L338" s="49">
        <f>((H338*staticResult!$C$2*100)+配裝模擬!$D$2+staticResult!$D$16*0.47)/staticResult!$C$2/100</f>
        <v>0.68244258780133338</v>
      </c>
      <c r="M338" s="476">
        <f ca="1">H338*(1+BUFF!$H$27)</f>
        <v>0.64460000000000006</v>
      </c>
    </row>
    <row r="339" spans="1:13">
      <c r="A339" s="448">
        <f t="shared" si="21"/>
        <v>2.0794782266128968</v>
      </c>
      <c r="B339" s="49">
        <v>0.58699999999999997</v>
      </c>
      <c r="C339" s="49">
        <f>staticResult!$C$16-B339</f>
        <v>0.33325423898969309</v>
      </c>
      <c r="D339" s="448">
        <f t="shared" si="22"/>
        <v>-0.16653390792464848</v>
      </c>
      <c r="E339" s="49">
        <f>((B339*staticResult!$C$2*100)+配裝模擬!$D$2+staticResult!$D$16*0.47)/staticResult!$C$2/100</f>
        <v>0.68344258780133349</v>
      </c>
      <c r="G339" s="448">
        <f t="shared" ca="1" si="20"/>
        <v>2.9693238621936988</v>
      </c>
      <c r="H339" s="49">
        <v>0.58699999999999997</v>
      </c>
      <c r="I339" s="49">
        <f ca="1">((M339*staticResult!$C$2*100)+配裝模擬!$D$2+staticResult!$D$16*0.47)/staticResult!$C$2/100</f>
        <v>0.74214258780133346</v>
      </c>
      <c r="J339" s="49">
        <f ca="1">(staticResult!$C$16-H339)+BUFF!$F$27</f>
        <v>0.56075423898969312</v>
      </c>
      <c r="K339" s="448">
        <f t="shared" ca="1" si="23"/>
        <v>-0.31221568569694796</v>
      </c>
      <c r="L339" s="49">
        <f>((H339*staticResult!$C$2*100)+配裝模擬!$D$2+staticResult!$D$16*0.47)/staticResult!$C$2/100</f>
        <v>0.68344258780133349</v>
      </c>
      <c r="M339" s="476">
        <f ca="1">H339*(1+BUFF!$H$27)</f>
        <v>0.64570000000000005</v>
      </c>
    </row>
    <row r="340" spans="1:13">
      <c r="A340" s="448">
        <f t="shared" si="21"/>
        <v>2.0793098303416033</v>
      </c>
      <c r="B340" s="49">
        <v>0.58799999999999997</v>
      </c>
      <c r="C340" s="49">
        <f>staticResult!$C$16-B340</f>
        <v>0.33225423898969308</v>
      </c>
      <c r="D340" s="448">
        <f t="shared" si="22"/>
        <v>-0.16839627129350263</v>
      </c>
      <c r="E340" s="49">
        <f>((B340*staticResult!$C$2*100)+配裝模擬!$D$2+staticResult!$D$16*0.47)/staticResult!$C$2/100</f>
        <v>0.68444258780133349</v>
      </c>
      <c r="G340" s="448">
        <f t="shared" ca="1" si="20"/>
        <v>2.9690088829082959</v>
      </c>
      <c r="H340" s="49">
        <v>0.58799999999999997</v>
      </c>
      <c r="I340" s="49">
        <f ca="1">((M340*staticResult!$C$2*100)+配裝模擬!$D$2+staticResult!$D$16*0.47)/staticResult!$C$2/100</f>
        <v>0.74324258780133345</v>
      </c>
      <c r="J340" s="49">
        <f ca="1">(staticResult!$C$16-H340)+BUFF!$F$27</f>
        <v>0.55975423898969312</v>
      </c>
      <c r="K340" s="448">
        <f t="shared" ca="1" si="23"/>
        <v>-0.31497928540291625</v>
      </c>
      <c r="L340" s="49">
        <f>((H340*staticResult!$C$2*100)+配裝模擬!$D$2+staticResult!$D$16*0.47)/staticResult!$C$2/100</f>
        <v>0.68444258780133349</v>
      </c>
      <c r="M340" s="476">
        <f ca="1">H340*(1+BUFF!$H$27)</f>
        <v>0.64680000000000004</v>
      </c>
    </row>
    <row r="341" spans="1:13">
      <c r="A341" s="448">
        <f t="shared" si="21"/>
        <v>2.0791395717069405</v>
      </c>
      <c r="B341" s="49">
        <v>0.58899999999999997</v>
      </c>
      <c r="C341" s="49">
        <f>staticResult!$C$16-B341</f>
        <v>0.33125423898969308</v>
      </c>
      <c r="D341" s="448">
        <f t="shared" si="22"/>
        <v>-0.17025863466280086</v>
      </c>
      <c r="E341" s="49">
        <f>((B341*staticResult!$C$2*100)+配裝模擬!$D$2+staticResult!$D$16*0.47)/staticResult!$C$2/100</f>
        <v>0.68544258780133338</v>
      </c>
      <c r="G341" s="448">
        <f t="shared" ca="1" si="20"/>
        <v>2.9686911400231875</v>
      </c>
      <c r="H341" s="49">
        <v>0.58899999999999997</v>
      </c>
      <c r="I341" s="49">
        <f ca="1">((M341*staticResult!$C$2*100)+配裝模擬!$D$2+staticResult!$D$16*0.47)/staticResult!$C$2/100</f>
        <v>0.74434258780133344</v>
      </c>
      <c r="J341" s="49">
        <f ca="1">(staticResult!$C$16-H341)+BUFF!$F$27</f>
        <v>0.55875423898969312</v>
      </c>
      <c r="K341" s="448">
        <f t="shared" ca="1" si="23"/>
        <v>-0.31774288510844045</v>
      </c>
      <c r="L341" s="49">
        <f>((H341*staticResult!$C$2*100)+配裝模擬!$D$2+staticResult!$D$16*0.47)/staticResult!$C$2/100</f>
        <v>0.68544258780133338</v>
      </c>
      <c r="M341" s="476">
        <f ca="1">H341*(1+BUFF!$H$27)</f>
        <v>0.64790000000000003</v>
      </c>
    </row>
    <row r="342" spans="1:13">
      <c r="A342" s="448">
        <f t="shared" si="21"/>
        <v>2.0789674507089089</v>
      </c>
      <c r="B342" s="49">
        <v>0.59</v>
      </c>
      <c r="C342" s="49">
        <f>staticResult!$C$16-B342</f>
        <v>0.33025423898969308</v>
      </c>
      <c r="D342" s="448">
        <f t="shared" si="22"/>
        <v>-0.17212099803165498</v>
      </c>
      <c r="E342" s="49">
        <f>((B342*staticResult!$C$2*100)+配裝模擬!$D$2+staticResult!$D$16*0.47)/staticResult!$C$2/100</f>
        <v>0.68644258780133327</v>
      </c>
      <c r="G342" s="448">
        <f t="shared" ca="1" si="20"/>
        <v>2.9683706335383735</v>
      </c>
      <c r="H342" s="49">
        <v>0.59</v>
      </c>
      <c r="I342" s="49">
        <f ca="1">((M342*staticResult!$C$2*100)+配裝模擬!$D$2+staticResult!$D$16*0.47)/staticResult!$C$2/100</f>
        <v>0.74544258780133343</v>
      </c>
      <c r="J342" s="49">
        <f ca="1">(staticResult!$C$16-H342)+BUFF!$F$27</f>
        <v>0.55775423898969312</v>
      </c>
      <c r="K342" s="448">
        <f t="shared" ca="1" si="23"/>
        <v>-0.32050648481396465</v>
      </c>
      <c r="L342" s="49">
        <f>((H342*staticResult!$C$2*100)+配裝模擬!$D$2+staticResult!$D$16*0.47)/staticResult!$C$2/100</f>
        <v>0.68644258780133327</v>
      </c>
      <c r="M342" s="476">
        <f ca="1">H342*(1+BUFF!$H$27)</f>
        <v>0.64900000000000002</v>
      </c>
    </row>
    <row r="343" spans="1:13">
      <c r="A343" s="448">
        <f t="shared" si="21"/>
        <v>2.0787934673475088</v>
      </c>
      <c r="B343" s="49">
        <v>0.59099999999999997</v>
      </c>
      <c r="C343" s="49">
        <f>staticResult!$C$16-B343</f>
        <v>0.32925423898969308</v>
      </c>
      <c r="D343" s="448">
        <f t="shared" si="22"/>
        <v>-0.17398336140006504</v>
      </c>
      <c r="E343" s="49">
        <f>((B343*staticResult!$C$2*100)+配裝模擬!$D$2+staticResult!$D$16*0.47)/staticResult!$C$2/100</f>
        <v>0.68744258780133349</v>
      </c>
      <c r="G343" s="448">
        <f t="shared" ca="1" si="20"/>
        <v>2.9680473634538536</v>
      </c>
      <c r="H343" s="49">
        <v>0.59099999999999997</v>
      </c>
      <c r="I343" s="49">
        <f ca="1">((M343*staticResult!$C$2*100)+配裝模擬!$D$2+staticResult!$D$16*0.47)/staticResult!$C$2/100</f>
        <v>0.74654258780133342</v>
      </c>
      <c r="J343" s="49">
        <f ca="1">(staticResult!$C$16-H343)+BUFF!$F$27</f>
        <v>0.55675423898969312</v>
      </c>
      <c r="K343" s="448">
        <f t="shared" ca="1" si="23"/>
        <v>-0.32327008451993294</v>
      </c>
      <c r="L343" s="49">
        <f>((H343*staticResult!$C$2*100)+配裝模擬!$D$2+staticResult!$D$16*0.47)/staticResult!$C$2/100</f>
        <v>0.68744258780133349</v>
      </c>
      <c r="M343" s="476">
        <f ca="1">H343*(1+BUFF!$H$27)</f>
        <v>0.65010000000000001</v>
      </c>
    </row>
    <row r="344" spans="1:13">
      <c r="A344" s="448">
        <f t="shared" si="21"/>
        <v>2.0786176216227394</v>
      </c>
      <c r="B344" s="49">
        <v>0.59199999999999997</v>
      </c>
      <c r="C344" s="49">
        <f>staticResult!$C$16-B344</f>
        <v>0.32825423898969308</v>
      </c>
      <c r="D344" s="448">
        <f t="shared" si="22"/>
        <v>-0.17584572476936328</v>
      </c>
      <c r="E344" s="49">
        <f>((B344*staticResult!$C$2*100)+配裝模擬!$D$2+staticResult!$D$16*0.47)/staticResult!$C$2/100</f>
        <v>0.68844258780133349</v>
      </c>
      <c r="G344" s="448">
        <f t="shared" ca="1" si="20"/>
        <v>2.9677213297696272</v>
      </c>
      <c r="H344" s="49">
        <v>0.59199999999999997</v>
      </c>
      <c r="I344" s="49">
        <f ca="1">((M344*staticResult!$C$2*100)+配裝模擬!$D$2+staticResult!$D$16*0.47)/staticResult!$C$2/100</f>
        <v>0.74764258780133341</v>
      </c>
      <c r="J344" s="49">
        <f ca="1">(staticResult!$C$16-H344)+BUFF!$F$27</f>
        <v>0.55575423898969312</v>
      </c>
      <c r="K344" s="448">
        <f t="shared" ca="1" si="23"/>
        <v>-0.32603368422634532</v>
      </c>
      <c r="L344" s="49">
        <f>((H344*staticResult!$C$2*100)+配裝模擬!$D$2+staticResult!$D$16*0.47)/staticResult!$C$2/100</f>
        <v>0.68844258780133349</v>
      </c>
      <c r="M344" s="476">
        <f ca="1">H344*(1+BUFF!$H$27)</f>
        <v>0.6512</v>
      </c>
    </row>
    <row r="345" spans="1:13">
      <c r="A345" s="448">
        <f t="shared" si="21"/>
        <v>2.0784399135346012</v>
      </c>
      <c r="B345" s="49">
        <v>0.59299999999999997</v>
      </c>
      <c r="C345" s="49">
        <f>staticResult!$C$16-B345</f>
        <v>0.32725423898969308</v>
      </c>
      <c r="D345" s="448">
        <f t="shared" si="22"/>
        <v>-0.17770808813821742</v>
      </c>
      <c r="E345" s="49">
        <f>((B345*staticResult!$C$2*100)+配裝模擬!$D$2+staticResult!$D$16*0.47)/staticResult!$C$2/100</f>
        <v>0.68944258780133338</v>
      </c>
      <c r="G345" s="448">
        <f t="shared" ca="1" si="20"/>
        <v>2.9673925324856958</v>
      </c>
      <c r="H345" s="49">
        <v>0.59299999999999997</v>
      </c>
      <c r="I345" s="49">
        <f ca="1">((M345*staticResult!$C$2*100)+配裝模擬!$D$2+staticResult!$D$16*0.47)/staticResult!$C$2/100</f>
        <v>0.7487425878013334</v>
      </c>
      <c r="J345" s="49">
        <f ca="1">(staticResult!$C$16-H345)+BUFF!$F$27</f>
        <v>0.55475423898969312</v>
      </c>
      <c r="K345" s="448">
        <f t="shared" ca="1" si="23"/>
        <v>-0.32879728393142543</v>
      </c>
      <c r="L345" s="49">
        <f>((H345*staticResult!$C$2*100)+配裝模擬!$D$2+staticResult!$D$16*0.47)/staticResult!$C$2/100</f>
        <v>0.68944258780133338</v>
      </c>
      <c r="M345" s="476">
        <f ca="1">H345*(1+BUFF!$H$27)</f>
        <v>0.65229999999999999</v>
      </c>
    </row>
    <row r="346" spans="1:13">
      <c r="A346" s="448">
        <f t="shared" si="21"/>
        <v>2.0782603430830942</v>
      </c>
      <c r="B346" s="49">
        <v>0.59399999999999997</v>
      </c>
      <c r="C346" s="49">
        <f>staticResult!$C$16-B346</f>
        <v>0.32625423898969308</v>
      </c>
      <c r="D346" s="448">
        <f t="shared" si="22"/>
        <v>-0.17957045150707157</v>
      </c>
      <c r="E346" s="49">
        <f>((B346*staticResult!$C$2*100)+配裝模擬!$D$2+staticResult!$D$16*0.47)/staticResult!$C$2/100</f>
        <v>0.6904425878013335</v>
      </c>
      <c r="G346" s="448">
        <f t="shared" ca="1" si="20"/>
        <v>2.9670609716020588</v>
      </c>
      <c r="H346" s="49">
        <v>0.59399999999999997</v>
      </c>
      <c r="I346" s="49">
        <f ca="1">((M346*staticResult!$C$2*100)+配裝模擬!$D$2+staticResult!$D$16*0.47)/staticResult!$C$2/100</f>
        <v>0.7498425878013335</v>
      </c>
      <c r="J346" s="49">
        <f ca="1">(staticResult!$C$16-H346)+BUFF!$F$27</f>
        <v>0.55375423898969311</v>
      </c>
      <c r="K346" s="448">
        <f t="shared" ca="1" si="23"/>
        <v>-0.33156088363694963</v>
      </c>
      <c r="L346" s="49">
        <f>((H346*staticResult!$C$2*100)+配裝模擬!$D$2+staticResult!$D$16*0.47)/staticResult!$C$2/100</f>
        <v>0.6904425878013335</v>
      </c>
      <c r="M346" s="476">
        <f ca="1">H346*(1+BUFF!$H$27)</f>
        <v>0.65339999999999998</v>
      </c>
    </row>
    <row r="347" spans="1:13">
      <c r="A347" s="448">
        <f t="shared" si="21"/>
        <v>2.0780789102682187</v>
      </c>
      <c r="B347" s="49">
        <v>0.59499999999999997</v>
      </c>
      <c r="C347" s="49">
        <f>staticResult!$C$16-B347</f>
        <v>0.32525423898969308</v>
      </c>
      <c r="D347" s="448">
        <f t="shared" si="22"/>
        <v>-0.18143281487548163</v>
      </c>
      <c r="E347" s="49">
        <f>((B347*staticResult!$C$2*100)+配裝模擬!$D$2+staticResult!$D$16*0.47)/staticResult!$C$2/100</f>
        <v>0.69144258780133339</v>
      </c>
      <c r="G347" s="448">
        <f t="shared" ca="1" si="20"/>
        <v>2.9667266471187146</v>
      </c>
      <c r="H347" s="49">
        <v>0.59499999999999997</v>
      </c>
      <c r="I347" s="49">
        <f ca="1">((M347*staticResult!$C$2*100)+配裝模擬!$D$2+staticResult!$D$16*0.47)/staticResult!$C$2/100</f>
        <v>0.75094258780133327</v>
      </c>
      <c r="J347" s="49">
        <f ca="1">(staticResult!$C$16-H347)+BUFF!$F$27</f>
        <v>0.55275423898969311</v>
      </c>
      <c r="K347" s="448">
        <f t="shared" ca="1" si="23"/>
        <v>-0.33432448334425019</v>
      </c>
      <c r="L347" s="49">
        <f>((H347*staticResult!$C$2*100)+配裝模擬!$D$2+staticResult!$D$16*0.47)/staticResult!$C$2/100</f>
        <v>0.69144258780133339</v>
      </c>
      <c r="M347" s="476">
        <f ca="1">H347*(1+BUFF!$H$27)</f>
        <v>0.65449999999999997</v>
      </c>
    </row>
    <row r="348" spans="1:13">
      <c r="A348" s="448">
        <f t="shared" si="21"/>
        <v>2.0778956150899739</v>
      </c>
      <c r="B348" s="49">
        <v>0.59599999999999997</v>
      </c>
      <c r="C348" s="49">
        <f>staticResult!$C$16-B348</f>
        <v>0.32425423898969308</v>
      </c>
      <c r="D348" s="448">
        <f t="shared" si="22"/>
        <v>-0.18329517824477987</v>
      </c>
      <c r="E348" s="49">
        <f>((B348*staticResult!$C$2*100)+配裝模擬!$D$2+staticResult!$D$16*0.47)/staticResult!$C$2/100</f>
        <v>0.69244258780133339</v>
      </c>
      <c r="G348" s="448">
        <f t="shared" ca="1" si="20"/>
        <v>2.9663895590356661</v>
      </c>
      <c r="H348" s="49">
        <v>0.59599999999999997</v>
      </c>
      <c r="I348" s="49">
        <f ca="1">((M348*staticResult!$C$2*100)+配裝模擬!$D$2+staticResult!$D$16*0.47)/staticResult!$C$2/100</f>
        <v>0.75204258780133348</v>
      </c>
      <c r="J348" s="49">
        <f ca="1">(staticResult!$C$16-H348)+BUFF!$F$27</f>
        <v>0.55175423898969311</v>
      </c>
      <c r="K348" s="448">
        <f t="shared" ca="1" si="23"/>
        <v>-0.33708808304844212</v>
      </c>
      <c r="L348" s="49">
        <f>((H348*staticResult!$C$2*100)+配裝模擬!$D$2+staticResult!$D$16*0.47)/staticResult!$C$2/100</f>
        <v>0.69244258780133339</v>
      </c>
      <c r="M348" s="476">
        <f ca="1">H348*(1+BUFF!$H$27)</f>
        <v>0.65560000000000007</v>
      </c>
    </row>
    <row r="349" spans="1:13">
      <c r="A349" s="448">
        <f t="shared" si="21"/>
        <v>2.0777104575483598</v>
      </c>
      <c r="B349" s="49">
        <v>0.59699999999999998</v>
      </c>
      <c r="C349" s="49">
        <f>staticResult!$C$16-B349</f>
        <v>0.32325423898969308</v>
      </c>
      <c r="D349" s="448">
        <f t="shared" si="22"/>
        <v>-0.1851575416140781</v>
      </c>
      <c r="E349" s="49">
        <f>((B349*staticResult!$C$2*100)+配裝模擬!$D$2+staticResult!$D$16*0.47)/staticResult!$C$2/100</f>
        <v>0.6934425878013335</v>
      </c>
      <c r="G349" s="448">
        <f t="shared" ca="1" si="20"/>
        <v>2.9660497073529117</v>
      </c>
      <c r="H349" s="49">
        <v>0.59699999999999998</v>
      </c>
      <c r="I349" s="49">
        <f ca="1">((M349*staticResult!$C$2*100)+配裝模擬!$D$2+staticResult!$D$16*0.47)/staticResult!$C$2/100</f>
        <v>0.75314258780133359</v>
      </c>
      <c r="J349" s="49">
        <f ca="1">(staticResult!$C$16-H349)+BUFF!$F$27</f>
        <v>0.55075423898969311</v>
      </c>
      <c r="K349" s="448">
        <f t="shared" ca="1" si="23"/>
        <v>-0.33985168275441041</v>
      </c>
      <c r="L349" s="49">
        <f>((H349*staticResult!$C$2*100)+配裝模擬!$D$2+staticResult!$D$16*0.47)/staticResult!$C$2/100</f>
        <v>0.6934425878013335</v>
      </c>
      <c r="M349" s="476">
        <f ca="1">H349*(1+BUFF!$H$27)</f>
        <v>0.65670000000000006</v>
      </c>
    </row>
    <row r="350" spans="1:13">
      <c r="A350" s="448">
        <f t="shared" si="21"/>
        <v>2.0775234376433769</v>
      </c>
      <c r="B350" s="49">
        <v>0.59799999999999998</v>
      </c>
      <c r="C350" s="49">
        <f>staticResult!$C$16-B350</f>
        <v>0.32225423898969308</v>
      </c>
      <c r="D350" s="448">
        <f t="shared" si="22"/>
        <v>-0.18701990498293225</v>
      </c>
      <c r="E350" s="49">
        <f>((B350*staticResult!$C$2*100)+配裝模擬!$D$2+staticResult!$D$16*0.47)/staticResult!$C$2/100</f>
        <v>0.69444258780133339</v>
      </c>
      <c r="G350" s="448">
        <f t="shared" ca="1" si="20"/>
        <v>2.9657070920704509</v>
      </c>
      <c r="H350" s="49">
        <v>0.59799999999999998</v>
      </c>
      <c r="I350" s="49">
        <f ca="1">((M350*staticResult!$C$2*100)+配裝模擬!$D$2+staticResult!$D$16*0.47)/staticResult!$C$2/100</f>
        <v>0.75424258780133357</v>
      </c>
      <c r="J350" s="49">
        <f ca="1">(staticResult!$C$16-H350)+BUFF!$F$27</f>
        <v>0.54975423898969311</v>
      </c>
      <c r="K350" s="448">
        <f t="shared" ca="1" si="23"/>
        <v>-0.34261528246082279</v>
      </c>
      <c r="L350" s="49">
        <f>((H350*staticResult!$C$2*100)+配裝模擬!$D$2+staticResult!$D$16*0.47)/staticResult!$C$2/100</f>
        <v>0.69444258780133339</v>
      </c>
      <c r="M350" s="476">
        <f ca="1">H350*(1+BUFF!$H$27)</f>
        <v>0.65780000000000005</v>
      </c>
    </row>
    <row r="351" spans="1:13">
      <c r="A351" s="448">
        <f t="shared" si="21"/>
        <v>2.0773345553750255</v>
      </c>
      <c r="B351" s="49">
        <v>0.59899999999999998</v>
      </c>
      <c r="C351" s="49">
        <f>staticResult!$C$16-B351</f>
        <v>0.32125423898969308</v>
      </c>
      <c r="D351" s="448">
        <f t="shared" si="22"/>
        <v>-0.18888226835134231</v>
      </c>
      <c r="E351" s="49">
        <f>((B351*staticResult!$C$2*100)+配裝模擬!$D$2+staticResult!$D$16*0.47)/staticResult!$C$2/100</f>
        <v>0.69544258780133328</v>
      </c>
      <c r="G351" s="448">
        <f t="shared" ca="1" si="20"/>
        <v>2.965361713188285</v>
      </c>
      <c r="H351" s="49">
        <v>0.59899999999999998</v>
      </c>
      <c r="I351" s="49">
        <f ca="1">((M351*staticResult!$C$2*100)+配裝模擬!$D$2+staticResult!$D$16*0.47)/staticResult!$C$2/100</f>
        <v>0.75534258780133345</v>
      </c>
      <c r="J351" s="49">
        <f ca="1">(staticResult!$C$16-H351)+BUFF!$F$27</f>
        <v>0.54875423898969311</v>
      </c>
      <c r="K351" s="448">
        <f t="shared" ca="1" si="23"/>
        <v>-0.34537888216590285</v>
      </c>
      <c r="L351" s="49">
        <f>((H351*staticResult!$C$2*100)+配裝模擬!$D$2+staticResult!$D$16*0.47)/staticResult!$C$2/100</f>
        <v>0.69544258780133328</v>
      </c>
      <c r="M351" s="476">
        <f ca="1">H351*(1+BUFF!$H$27)</f>
        <v>0.65890000000000004</v>
      </c>
    </row>
    <row r="352" spans="1:13">
      <c r="A352" s="448">
        <f t="shared" si="21"/>
        <v>2.0771438107433053</v>
      </c>
      <c r="B352" s="49">
        <v>0.6</v>
      </c>
      <c r="C352" s="49">
        <f>staticResult!$C$16-B352</f>
        <v>0.32025423898969307</v>
      </c>
      <c r="D352" s="448">
        <f t="shared" si="22"/>
        <v>-0.19074463172019646</v>
      </c>
      <c r="E352" s="49">
        <f>((B352*staticResult!$C$2*100)+配裝模擬!$D$2+staticResult!$D$16*0.47)/staticResult!$C$2/100</f>
        <v>0.69644258780133361</v>
      </c>
      <c r="G352" s="448">
        <f t="shared" ca="1" si="20"/>
        <v>2.9650135707064122</v>
      </c>
      <c r="H352" s="49">
        <v>0.6</v>
      </c>
      <c r="I352" s="49">
        <f ca="1">((M352*staticResult!$C$2*100)+配裝模擬!$D$2+staticResult!$D$16*0.47)/staticResult!$C$2/100</f>
        <v>0.75644258780133344</v>
      </c>
      <c r="J352" s="49">
        <f ca="1">(staticResult!$C$16-H352)+BUFF!$F$27</f>
        <v>0.54775423898969311</v>
      </c>
      <c r="K352" s="448">
        <f t="shared" ca="1" si="23"/>
        <v>-0.34814248187275931</v>
      </c>
      <c r="L352" s="49">
        <f>((H352*staticResult!$C$2*100)+配裝模擬!$D$2+staticResult!$D$16*0.47)/staticResult!$C$2/100</f>
        <v>0.69644258780133361</v>
      </c>
      <c r="M352" s="476">
        <f ca="1">H352*(1+BUFF!$H$27)</f>
        <v>0.66</v>
      </c>
    </row>
    <row r="353" spans="7:13">
      <c r="G353" s="448">
        <f t="shared" ca="1" si="20"/>
        <v>2.9646626646248344</v>
      </c>
      <c r="H353" s="49">
        <v>0.60099999999999998</v>
      </c>
      <c r="I353" s="49">
        <f ca="1">((M353*staticResult!$C$2*100)+配裝模擬!$D$2+staticResult!$D$16*0.47)/staticResult!$C$2/100</f>
        <v>0.75754258780133354</v>
      </c>
      <c r="J353" s="49">
        <f ca="1">(staticResult!$C$16-H353)+BUFF!$F$27</f>
        <v>0.54675423898969311</v>
      </c>
      <c r="K353" s="448">
        <f t="shared" ca="1" si="23"/>
        <v>-0.35090608157783942</v>
      </c>
      <c r="L353" s="49">
        <f>((H353*staticResult!$C$2*100)+配裝模擬!$D$2+staticResult!$D$16*0.47)/staticResult!$C$2/100</f>
        <v>0.6974425878013335</v>
      </c>
      <c r="M353" s="476">
        <f ca="1">H353*(1+BUFF!$H$27)</f>
        <v>0.66110000000000002</v>
      </c>
    </row>
    <row r="354" spans="7:13">
      <c r="G354" s="448">
        <f t="shared" ca="1" si="20"/>
        <v>2.9643089949435506</v>
      </c>
      <c r="H354" s="49">
        <v>0.60199999999999998</v>
      </c>
      <c r="I354" s="49">
        <f ca="1">((M354*staticResult!$C$2*100)+配裝模擬!$D$2+staticResult!$D$16*0.47)/staticResult!$C$2/100</f>
        <v>0.75864258780133342</v>
      </c>
      <c r="J354" s="49">
        <f ca="1">(staticResult!$C$16-H354)+BUFF!$F$27</f>
        <v>0.54575423898969311</v>
      </c>
      <c r="K354" s="448">
        <f t="shared" ca="1" si="23"/>
        <v>-0.35366968128380771</v>
      </c>
      <c r="L354" s="49">
        <f>((H354*staticResult!$C$2*100)+配裝模擬!$D$2+staticResult!$D$16*0.47)/staticResult!$C$2/100</f>
        <v>0.69844258780133328</v>
      </c>
      <c r="M354" s="476">
        <f ca="1">H354*(1+BUFF!$H$27)</f>
        <v>0.66220000000000001</v>
      </c>
    </row>
    <row r="355" spans="7:13">
      <c r="G355" s="448">
        <f t="shared" ca="1" si="20"/>
        <v>2.9639525616625613</v>
      </c>
      <c r="H355" s="49">
        <v>0.60299999999999998</v>
      </c>
      <c r="I355" s="49">
        <f ca="1">((M355*staticResult!$C$2*100)+配裝模擬!$D$2+staticResult!$D$16*0.47)/staticResult!$C$2/100</f>
        <v>0.75974258780133352</v>
      </c>
      <c r="J355" s="49">
        <f ca="1">(staticResult!$C$16-H355)+BUFF!$F$27</f>
        <v>0.54475423898969311</v>
      </c>
      <c r="K355" s="448">
        <f t="shared" ca="1" si="23"/>
        <v>-0.35643328098933191</v>
      </c>
      <c r="L355" s="49">
        <f>((H355*staticResult!$C$2*100)+配裝模擬!$D$2+staticResult!$D$16*0.47)/staticResult!$C$2/100</f>
        <v>0.69944258780133339</v>
      </c>
      <c r="M355" s="476">
        <f ca="1">H355*(1+BUFF!$H$27)</f>
        <v>0.6633</v>
      </c>
    </row>
    <row r="356" spans="7:13">
      <c r="G356" s="448">
        <f t="shared" ca="1" si="20"/>
        <v>2.963593364781866</v>
      </c>
      <c r="H356" s="49">
        <v>0.60399999999999998</v>
      </c>
      <c r="I356" s="49">
        <f ca="1">((M356*staticResult!$C$2*100)+配裝模擬!$D$2+staticResult!$D$16*0.47)/staticResult!$C$2/100</f>
        <v>0.7608425878013334</v>
      </c>
      <c r="J356" s="49">
        <f ca="1">(staticResult!$C$16-H356)+BUFF!$F$27</f>
        <v>0.54375423898969311</v>
      </c>
      <c r="K356" s="448">
        <f t="shared" ca="1" si="23"/>
        <v>-0.3591968806953002</v>
      </c>
      <c r="L356" s="49">
        <f>((H356*staticResult!$C$2*100)+配裝模擬!$D$2+staticResult!$D$16*0.47)/staticResult!$C$2/100</f>
        <v>0.7004425878013335</v>
      </c>
      <c r="M356" s="476">
        <f ca="1">H356*(1+BUFF!$H$27)</f>
        <v>0.66439999999999999</v>
      </c>
    </row>
    <row r="357" spans="7:13">
      <c r="G357" s="448">
        <f t="shared" ca="1" si="20"/>
        <v>2.9632314043014651</v>
      </c>
      <c r="H357" s="49">
        <v>0.60499999999999998</v>
      </c>
      <c r="I357" s="49">
        <f ca="1">((M357*staticResult!$C$2*100)+配裝模擬!$D$2+staticResult!$D$16*0.47)/staticResult!$C$2/100</f>
        <v>0.7619425878013335</v>
      </c>
      <c r="J357" s="49">
        <f ca="1">(staticResult!$C$16-H357)+BUFF!$F$27</f>
        <v>0.54275423898969311</v>
      </c>
      <c r="K357" s="448">
        <f t="shared" ca="1" si="23"/>
        <v>-0.3619604804008244</v>
      </c>
      <c r="L357" s="49">
        <f>((H357*staticResult!$C$2*100)+配裝模擬!$D$2+staticResult!$D$16*0.47)/staticResult!$C$2/100</f>
        <v>0.70144258780133339</v>
      </c>
      <c r="M357" s="476">
        <f ca="1">H357*(1+BUFF!$H$27)</f>
        <v>0.66549999999999998</v>
      </c>
    </row>
    <row r="358" spans="7:13">
      <c r="G358" s="448">
        <f t="shared" ca="1" si="20"/>
        <v>2.9628666802213579</v>
      </c>
      <c r="H358" s="49">
        <v>0.60599999999999998</v>
      </c>
      <c r="I358" s="49">
        <f ca="1">((M358*staticResult!$C$2*100)+配裝模擬!$D$2+staticResult!$D$16*0.47)/staticResult!$C$2/100</f>
        <v>0.76304258780133349</v>
      </c>
      <c r="J358" s="49">
        <f ca="1">(staticResult!$C$16-H358)+BUFF!$F$27</f>
        <v>0.5417542389896931</v>
      </c>
      <c r="K358" s="448">
        <f t="shared" ca="1" si="23"/>
        <v>-0.36472408010723678</v>
      </c>
      <c r="L358" s="49">
        <f>((H358*staticResult!$C$2*100)+配裝模擬!$D$2+staticResult!$D$16*0.47)/staticResult!$C$2/100</f>
        <v>0.7024425878013334</v>
      </c>
      <c r="M358" s="476">
        <f ca="1">H358*(1+BUFF!$H$27)</f>
        <v>0.66660000000000008</v>
      </c>
    </row>
    <row r="359" spans="7:13">
      <c r="G359" s="448">
        <f t="shared" ca="1" si="20"/>
        <v>2.9624991925415456</v>
      </c>
      <c r="H359" s="49">
        <v>0.60699999999999998</v>
      </c>
      <c r="I359" s="49">
        <f ca="1">((M359*staticResult!$C$2*100)+配裝模擬!$D$2+staticResult!$D$16*0.47)/staticResult!$C$2/100</f>
        <v>0.76414258780133348</v>
      </c>
      <c r="J359" s="49">
        <f ca="1">(staticResult!$C$16-H359)+BUFF!$F$27</f>
        <v>0.5407542389896931</v>
      </c>
      <c r="K359" s="448">
        <f t="shared" ca="1" si="23"/>
        <v>-0.36748767981231689</v>
      </c>
      <c r="L359" s="49">
        <f>((H359*staticResult!$C$2*100)+配裝模擬!$D$2+staticResult!$D$16*0.47)/staticResult!$C$2/100</f>
        <v>0.7034425878013334</v>
      </c>
      <c r="M359" s="476">
        <f ca="1">H359*(1+BUFF!$H$27)</f>
        <v>0.66770000000000007</v>
      </c>
    </row>
    <row r="360" spans="7:13">
      <c r="G360" s="448">
        <f t="shared" ca="1" si="20"/>
        <v>2.9621289412620269</v>
      </c>
      <c r="H360" s="49">
        <v>0.60799999999999998</v>
      </c>
      <c r="I360" s="49">
        <f ca="1">((M360*staticResult!$C$2*100)+配裝模擬!$D$2+staticResult!$D$16*0.47)/staticResult!$C$2/100</f>
        <v>0.76524258780133336</v>
      </c>
      <c r="J360" s="49">
        <f ca="1">(staticResult!$C$16-H360)+BUFF!$F$27</f>
        <v>0.5397542389896931</v>
      </c>
      <c r="K360" s="448">
        <f t="shared" ca="1" si="23"/>
        <v>-0.37025127951872927</v>
      </c>
      <c r="L360" s="49">
        <f>((H360*staticResult!$C$2*100)+配裝模擬!$D$2+staticResult!$D$16*0.47)/staticResult!$C$2/100</f>
        <v>0.7044425878013334</v>
      </c>
      <c r="M360" s="476">
        <f ca="1">H360*(1+BUFF!$H$27)</f>
        <v>0.66880000000000006</v>
      </c>
    </row>
    <row r="361" spans="7:13">
      <c r="G361" s="448">
        <f t="shared" ca="1" si="20"/>
        <v>2.9617559263828026</v>
      </c>
      <c r="H361" s="49">
        <v>0.60899999999999999</v>
      </c>
      <c r="I361" s="49">
        <f ca="1">((M361*staticResult!$C$2*100)+配裝模擬!$D$2+staticResult!$D$16*0.47)/staticResult!$C$2/100</f>
        <v>0.76634258780133346</v>
      </c>
      <c r="J361" s="49">
        <f ca="1">(staticResult!$C$16-H361)+BUFF!$F$27</f>
        <v>0.5387542389896931</v>
      </c>
      <c r="K361" s="448">
        <f t="shared" ca="1" si="23"/>
        <v>-0.37301487922425347</v>
      </c>
      <c r="L361" s="49">
        <f>((H361*staticResult!$C$2*100)+配裝模擬!$D$2+staticResult!$D$16*0.47)/staticResult!$C$2/100</f>
        <v>0.70544258780133351</v>
      </c>
      <c r="M361" s="476">
        <f ca="1">H361*(1+BUFF!$H$27)</f>
        <v>0.66990000000000005</v>
      </c>
    </row>
    <row r="362" spans="7:13">
      <c r="G362" s="448">
        <f t="shared" ca="1" si="20"/>
        <v>2.9613801479038728</v>
      </c>
      <c r="H362" s="49">
        <v>0.61</v>
      </c>
      <c r="I362" s="49">
        <f ca="1">((M362*staticResult!$C$2*100)+配裝模擬!$D$2+staticResult!$D$16*0.47)/staticResult!$C$2/100</f>
        <v>0.76744258780133345</v>
      </c>
      <c r="J362" s="49">
        <f ca="1">(staticResult!$C$16-H362)+BUFF!$F$27</f>
        <v>0.5377542389896931</v>
      </c>
      <c r="K362" s="448">
        <f t="shared" ca="1" si="23"/>
        <v>-0.37577847892977767</v>
      </c>
      <c r="L362" s="49">
        <f>((H362*staticResult!$C$2*100)+配裝模擬!$D$2+staticResult!$D$16*0.47)/staticResult!$C$2/100</f>
        <v>0.7064425878013334</v>
      </c>
      <c r="M362" s="476">
        <f ca="1">H362*(1+BUFF!$H$27)</f>
        <v>0.67100000000000004</v>
      </c>
    </row>
    <row r="363" spans="7:13">
      <c r="G363" s="448">
        <f t="shared" ca="1" si="20"/>
        <v>2.9610016058252366</v>
      </c>
      <c r="H363" s="49">
        <v>0.61099999999999999</v>
      </c>
      <c r="I363" s="49">
        <f ca="1">((M363*staticResult!$C$2*100)+配裝模擬!$D$2+staticResult!$D$16*0.47)/staticResult!$C$2/100</f>
        <v>0.76854258780133344</v>
      </c>
      <c r="J363" s="49">
        <f ca="1">(staticResult!$C$16-H363)+BUFF!$F$27</f>
        <v>0.5367542389896931</v>
      </c>
      <c r="K363" s="448">
        <f t="shared" ca="1" si="23"/>
        <v>-0.37854207863619005</v>
      </c>
      <c r="L363" s="49">
        <f>((H363*staticResult!$C$2*100)+配裝模擬!$D$2+staticResult!$D$16*0.47)/staticResult!$C$2/100</f>
        <v>0.7074425878013334</v>
      </c>
      <c r="M363" s="476">
        <f ca="1">H363*(1+BUFF!$H$27)</f>
        <v>0.67210000000000003</v>
      </c>
    </row>
    <row r="364" spans="7:13">
      <c r="G364" s="448">
        <f t="shared" ca="1" si="20"/>
        <v>2.9606203001468945</v>
      </c>
      <c r="H364" s="49">
        <v>0.61199999999999999</v>
      </c>
      <c r="I364" s="49">
        <f ca="1">((M364*staticResult!$C$2*100)+配裝模擬!$D$2+staticResult!$D$16*0.47)/staticResult!$C$2/100</f>
        <v>0.76964258780133332</v>
      </c>
      <c r="J364" s="49">
        <f ca="1">(staticResult!$C$16-H364)+BUFF!$F$27</f>
        <v>0.5357542389896931</v>
      </c>
      <c r="K364" s="448">
        <f t="shared" ca="1" si="23"/>
        <v>-0.38130567834215834</v>
      </c>
      <c r="L364" s="49">
        <f>((H364*staticResult!$C$2*100)+配裝模擬!$D$2+staticResult!$D$16*0.47)/staticResult!$C$2/100</f>
        <v>0.7084425878013334</v>
      </c>
      <c r="M364" s="476">
        <f ca="1">H364*(1+BUFF!$H$27)</f>
        <v>0.67320000000000002</v>
      </c>
    </row>
    <row r="365" spans="7:13">
      <c r="G365" s="448">
        <f t="shared" ca="1" si="20"/>
        <v>2.9602362308688481</v>
      </c>
      <c r="H365" s="49">
        <v>0.61299999999999999</v>
      </c>
      <c r="I365" s="49">
        <f ca="1">((M365*staticResult!$C$2*100)+配裝模擬!$D$2+staticResult!$D$16*0.47)/staticResult!$C$2/100</f>
        <v>0.77074258780133353</v>
      </c>
      <c r="J365" s="49">
        <f ca="1">(staticResult!$C$16-H365)+BUFF!$F$27</f>
        <v>0.5347542389896931</v>
      </c>
      <c r="K365" s="448">
        <f t="shared" ca="1" si="23"/>
        <v>-0.38406927804635027</v>
      </c>
      <c r="L365" s="49">
        <f>((H365*staticResult!$C$2*100)+配裝模擬!$D$2+staticResult!$D$16*0.47)/staticResult!$C$2/100</f>
        <v>0.70944258780133351</v>
      </c>
      <c r="M365" s="476">
        <f ca="1">H365*(1+BUFF!$H$27)</f>
        <v>0.67430000000000001</v>
      </c>
    </row>
    <row r="366" spans="7:13">
      <c r="G366" s="448">
        <f t="shared" ca="1" si="20"/>
        <v>2.9598493979910945</v>
      </c>
      <c r="H366" s="49">
        <v>0.61399999999999999</v>
      </c>
      <c r="I366" s="49">
        <f ca="1">((M366*staticResult!$C$2*100)+配裝模擬!$D$2+staticResult!$D$16*0.47)/staticResult!$C$2/100</f>
        <v>0.77184258780133352</v>
      </c>
      <c r="J366" s="49">
        <f ca="1">(staticResult!$C$16-H366)+BUFF!$F$27</f>
        <v>0.5337542389896931</v>
      </c>
      <c r="K366" s="448">
        <f t="shared" ca="1" si="23"/>
        <v>-0.38683287775365083</v>
      </c>
      <c r="L366" s="49">
        <f>((H366*staticResult!$C$2*100)+配裝模擬!$D$2+staticResult!$D$16*0.47)/staticResult!$C$2/100</f>
        <v>0.71044258780133351</v>
      </c>
      <c r="M366" s="476">
        <f ca="1">H366*(1+BUFF!$H$27)</f>
        <v>0.6754</v>
      </c>
    </row>
    <row r="367" spans="7:13">
      <c r="G367" s="448">
        <f t="shared" ca="1" si="20"/>
        <v>2.9594598015136357</v>
      </c>
      <c r="H367" s="49">
        <v>0.61499999999999999</v>
      </c>
      <c r="I367" s="49">
        <f ca="1">((M367*staticResult!$C$2*100)+配裝模擬!$D$2+staticResult!$D$16*0.47)/staticResult!$C$2/100</f>
        <v>0.77294258780133351</v>
      </c>
      <c r="J367" s="49">
        <f ca="1">(staticResult!$C$16-H367)+BUFF!$F$27</f>
        <v>0.5327542389896931</v>
      </c>
      <c r="K367" s="448">
        <f t="shared" ca="1" si="23"/>
        <v>-0.38959647745873094</v>
      </c>
      <c r="L367" s="49">
        <f>((H367*staticResult!$C$2*100)+配裝模擬!$D$2+staticResult!$D$16*0.47)/staticResult!$C$2/100</f>
        <v>0.7114425878013334</v>
      </c>
      <c r="M367" s="476">
        <f ca="1">H367*(1+BUFF!$H$27)</f>
        <v>0.67649999999999999</v>
      </c>
    </row>
    <row r="368" spans="7:13">
      <c r="G368" s="448">
        <f t="shared" ca="1" si="20"/>
        <v>2.959067441436471</v>
      </c>
      <c r="H368" s="49">
        <v>0.61599999999999999</v>
      </c>
      <c r="I368" s="49">
        <f ca="1">((M368*staticResult!$C$2*100)+配裝模擬!$D$2+staticResult!$D$16*0.47)/staticResult!$C$2/100</f>
        <v>0.77404258780133361</v>
      </c>
      <c r="J368" s="49">
        <f ca="1">(staticResult!$C$16-H368)+BUFF!$F$27</f>
        <v>0.5317542389896931</v>
      </c>
      <c r="K368" s="448">
        <f t="shared" ca="1" si="23"/>
        <v>-0.39236007716469923</v>
      </c>
      <c r="L368" s="49">
        <f>((H368*staticResult!$C$2*100)+配裝模擬!$D$2+staticResult!$D$16*0.47)/staticResult!$C$2/100</f>
        <v>0.7124425878013334</v>
      </c>
      <c r="M368" s="476">
        <f ca="1">H368*(1+BUFF!$H$27)</f>
        <v>0.67760000000000009</v>
      </c>
    </row>
    <row r="369" spans="7:13">
      <c r="G369" s="448">
        <f t="shared" ca="1" si="20"/>
        <v>2.9586723177596004</v>
      </c>
      <c r="H369" s="49">
        <v>0.61699999999999999</v>
      </c>
      <c r="I369" s="49">
        <f ca="1">((M369*staticResult!$C$2*100)+配裝模擬!$D$2+staticResult!$D$16*0.47)/staticResult!$C$2/100</f>
        <v>0.77514258780133349</v>
      </c>
      <c r="J369" s="49">
        <f ca="1">(staticResult!$C$16-H369)+BUFF!$F$27</f>
        <v>0.53075423898969309</v>
      </c>
      <c r="K369" s="448">
        <f t="shared" ca="1" si="23"/>
        <v>-0.39512367687066752</v>
      </c>
      <c r="L369" s="49">
        <f>((H369*staticResult!$C$2*100)+配裝模擬!$D$2+staticResult!$D$16*0.47)/staticResult!$C$2/100</f>
        <v>0.71344258780133341</v>
      </c>
      <c r="M369" s="476">
        <f ca="1">H369*(1+BUFF!$H$27)</f>
        <v>0.67870000000000008</v>
      </c>
    </row>
    <row r="370" spans="7:13">
      <c r="G370" s="448">
        <f t="shared" ca="1" si="20"/>
        <v>2.9582744304830242</v>
      </c>
      <c r="H370" s="49">
        <v>0.61799999999999999</v>
      </c>
      <c r="I370" s="49">
        <f ca="1">((M370*staticResult!$C$2*100)+配裝模擬!$D$2+staticResult!$D$16*0.47)/staticResult!$C$2/100</f>
        <v>0.77624258780133359</v>
      </c>
      <c r="J370" s="49">
        <f ca="1">(staticResult!$C$16-H370)+BUFF!$F$27</f>
        <v>0.52975423898969309</v>
      </c>
      <c r="K370" s="448">
        <f t="shared" ca="1" si="23"/>
        <v>-0.39788727657619172</v>
      </c>
      <c r="L370" s="49">
        <f>((H370*staticResult!$C$2*100)+配裝模擬!$D$2+staticResult!$D$16*0.47)/staticResult!$C$2/100</f>
        <v>0.71444258780133341</v>
      </c>
      <c r="M370" s="476">
        <f ca="1">H370*(1+BUFF!$H$27)</f>
        <v>0.67980000000000007</v>
      </c>
    </row>
    <row r="371" spans="7:13">
      <c r="G371" s="448">
        <f t="shared" ca="1" si="20"/>
        <v>2.9578737796067416</v>
      </c>
      <c r="H371" s="49">
        <v>0.61899999999999999</v>
      </c>
      <c r="I371" s="49">
        <f ca="1">((M371*staticResult!$C$2*100)+配裝模擬!$D$2+staticResult!$D$16*0.47)/staticResult!$C$2/100</f>
        <v>0.77734258780133347</v>
      </c>
      <c r="J371" s="49">
        <f ca="1">(staticResult!$C$16-H371)+BUFF!$F$27</f>
        <v>0.52875423898969309</v>
      </c>
      <c r="K371" s="448">
        <f t="shared" ca="1" si="23"/>
        <v>-0.4006508762826041</v>
      </c>
      <c r="L371" s="49">
        <f>((H371*staticResult!$C$2*100)+配裝模擬!$D$2+staticResult!$D$16*0.47)/staticResult!$C$2/100</f>
        <v>0.7154425878013333</v>
      </c>
      <c r="M371" s="476">
        <f ca="1">H371*(1+BUFF!$H$27)</f>
        <v>0.68090000000000006</v>
      </c>
    </row>
    <row r="372" spans="7:13">
      <c r="G372" s="448">
        <f t="shared" ca="1" si="20"/>
        <v>2.9574703651307539</v>
      </c>
      <c r="H372" s="49">
        <v>0.62</v>
      </c>
      <c r="I372" s="49">
        <f ca="1">((M372*staticResult!$C$2*100)+配裝模擬!$D$2+staticResult!$D$16*0.47)/staticResult!$C$2/100</f>
        <v>0.77844258780133346</v>
      </c>
      <c r="J372" s="49">
        <f ca="1">(staticResult!$C$16-H372)+BUFF!$F$27</f>
        <v>0.52775423898969309</v>
      </c>
      <c r="K372" s="448">
        <f t="shared" ca="1" si="23"/>
        <v>-0.40341447598768421</v>
      </c>
      <c r="L372" s="49">
        <f>((H372*staticResult!$C$2*100)+配裝模擬!$D$2+staticResult!$D$16*0.47)/staticResult!$C$2/100</f>
        <v>0.71644258780133341</v>
      </c>
      <c r="M372" s="476">
        <f ca="1">H372*(1+BUFF!$H$27)</f>
        <v>0.68200000000000005</v>
      </c>
    </row>
    <row r="373" spans="7:13">
      <c r="G373" s="448">
        <f t="shared" ca="1" si="20"/>
        <v>2.9570641870550607</v>
      </c>
      <c r="H373" s="49">
        <v>0.621</v>
      </c>
      <c r="I373" s="49">
        <f ca="1">((M373*staticResult!$C$2*100)+配裝模擬!$D$2+staticResult!$D$16*0.47)/staticResult!$C$2/100</f>
        <v>0.77954258780133345</v>
      </c>
      <c r="J373" s="49">
        <f ca="1">(staticResult!$C$16-H373)+BUFF!$F$27</f>
        <v>0.52675423898969309</v>
      </c>
      <c r="K373" s="448">
        <f t="shared" ca="1" si="23"/>
        <v>-0.40617807569320841</v>
      </c>
      <c r="L373" s="49">
        <f>((H373*staticResult!$C$2*100)+配裝模擬!$D$2+staticResult!$D$16*0.47)/staticResult!$C$2/100</f>
        <v>0.71744258780133352</v>
      </c>
      <c r="M373" s="476">
        <f ca="1">H373*(1+BUFF!$H$27)</f>
        <v>0.68310000000000004</v>
      </c>
    </row>
    <row r="374" spans="7:13">
      <c r="G374" s="448">
        <f t="shared" ca="1" si="20"/>
        <v>2.9566552453796611</v>
      </c>
      <c r="H374" s="49">
        <v>0.622</v>
      </c>
      <c r="I374" s="49">
        <f ca="1">((M374*staticResult!$C$2*100)+配裝模擬!$D$2+staticResult!$D$16*0.47)/staticResult!$C$2/100</f>
        <v>0.78064258780133355</v>
      </c>
      <c r="J374" s="49">
        <f ca="1">(staticResult!$C$16-H374)+BUFF!$F$27</f>
        <v>0.52575423898969309</v>
      </c>
      <c r="K374" s="448">
        <f t="shared" ca="1" si="23"/>
        <v>-0.40894167539962073</v>
      </c>
      <c r="L374" s="49">
        <f>((H374*staticResult!$C$2*100)+配裝模擬!$D$2+staticResult!$D$16*0.47)/staticResult!$C$2/100</f>
        <v>0.71844258780133341</v>
      </c>
      <c r="M374" s="476">
        <f ca="1">H374*(1+BUFF!$H$27)</f>
        <v>0.68420000000000003</v>
      </c>
    </row>
    <row r="375" spans="7:13">
      <c r="G375" s="448">
        <f t="shared" ca="1" si="20"/>
        <v>2.9562435401045555</v>
      </c>
      <c r="H375" s="49">
        <v>0.623</v>
      </c>
      <c r="I375" s="49">
        <f ca="1">((M375*staticResult!$C$2*100)+配裝模擬!$D$2+staticResult!$D$16*0.47)/staticResult!$C$2/100</f>
        <v>0.78174258780133343</v>
      </c>
      <c r="J375" s="49">
        <f ca="1">(staticResult!$C$16-H375)+BUFF!$F$27</f>
        <v>0.52475423898969309</v>
      </c>
      <c r="K375" s="448">
        <f t="shared" ca="1" si="23"/>
        <v>-0.41170527510558902</v>
      </c>
      <c r="L375" s="49">
        <f>((H375*staticResult!$C$2*100)+配裝模擬!$D$2+staticResult!$D$16*0.47)/staticResult!$C$2/100</f>
        <v>0.71944258780133341</v>
      </c>
      <c r="M375" s="476">
        <f ca="1">H375*(1+BUFF!$H$27)</f>
        <v>0.68530000000000002</v>
      </c>
    </row>
    <row r="376" spans="7:13">
      <c r="G376" s="448">
        <f t="shared" ca="1" si="20"/>
        <v>2.9558290712297444</v>
      </c>
      <c r="H376" s="49">
        <v>0.624</v>
      </c>
      <c r="I376" s="49">
        <f ca="1">((M376*staticResult!$C$2*100)+配裝模擬!$D$2+staticResult!$D$16*0.47)/staticResult!$C$2/100</f>
        <v>0.78284258780133342</v>
      </c>
      <c r="J376" s="49">
        <f ca="1">(staticResult!$C$16-H376)+BUFF!$F$27</f>
        <v>0.52375423898969309</v>
      </c>
      <c r="K376" s="448">
        <f t="shared" ca="1" si="23"/>
        <v>-0.41446887481111322</v>
      </c>
      <c r="L376" s="49">
        <f>((H376*staticResult!$C$2*100)+配裝模擬!$D$2+staticResult!$D$16*0.47)/staticResult!$C$2/100</f>
        <v>0.72044258780133352</v>
      </c>
      <c r="M376" s="476">
        <f ca="1">H376*(1+BUFF!$H$27)</f>
        <v>0.68640000000000001</v>
      </c>
    </row>
    <row r="377" spans="7:13">
      <c r="G377" s="448">
        <f t="shared" ca="1" si="20"/>
        <v>2.9554118387552277</v>
      </c>
      <c r="H377" s="49">
        <v>0.625</v>
      </c>
      <c r="I377" s="49">
        <f ca="1">((M377*staticResult!$C$2*100)+配裝模擬!$D$2+staticResult!$D$16*0.47)/staticResult!$C$2/100</f>
        <v>0.78394258780133341</v>
      </c>
      <c r="J377" s="49">
        <f ca="1">(staticResult!$C$16-H377)+BUFF!$F$27</f>
        <v>0.52275423898969309</v>
      </c>
      <c r="K377" s="448">
        <f t="shared" ca="1" si="23"/>
        <v>-0.41723247451663742</v>
      </c>
      <c r="L377" s="49">
        <f>((H377*staticResult!$C$2*100)+配裝模擬!$D$2+staticResult!$D$16*0.47)/staticResult!$C$2/100</f>
        <v>0.72144258780133341</v>
      </c>
      <c r="M377" s="476">
        <f ca="1">H377*(1+BUFF!$H$27)</f>
        <v>0.6875</v>
      </c>
    </row>
    <row r="378" spans="7:13">
      <c r="G378" s="448">
        <f t="shared" ca="1" si="20"/>
        <v>2.9549918426810056</v>
      </c>
      <c r="H378" s="49">
        <v>0.626</v>
      </c>
      <c r="I378" s="49">
        <f ca="1">((M378*staticResult!$C$2*100)+配裝模擬!$D$2+staticResult!$D$16*0.47)/staticResult!$C$2/100</f>
        <v>0.78504258780133351</v>
      </c>
      <c r="J378" s="49">
        <f ca="1">(staticResult!$C$16-H378)+BUFF!$F$27</f>
        <v>0.52175423898969309</v>
      </c>
      <c r="K378" s="448">
        <f t="shared" ca="1" si="23"/>
        <v>-0.41999607422216162</v>
      </c>
      <c r="L378" s="49">
        <f>((H378*staticResult!$C$2*100)+配裝模擬!$D$2+staticResult!$D$16*0.47)/staticResult!$C$2/100</f>
        <v>0.72244258780133352</v>
      </c>
      <c r="M378" s="476">
        <f ca="1">H378*(1+BUFF!$H$27)</f>
        <v>0.6886000000000001</v>
      </c>
    </row>
    <row r="379" spans="7:13">
      <c r="G379" s="448">
        <f t="shared" ca="1" si="20"/>
        <v>2.954569083007077</v>
      </c>
      <c r="H379" s="49">
        <v>0.627</v>
      </c>
      <c r="I379" s="49">
        <f ca="1">((M379*staticResult!$C$2*100)+配裝模擬!$D$2+staticResult!$D$16*0.47)/staticResult!$C$2/100</f>
        <v>0.78614258780133373</v>
      </c>
      <c r="J379" s="49">
        <f ca="1">(staticResult!$C$16-H379)+BUFF!$F$27</f>
        <v>0.52075423898969309</v>
      </c>
      <c r="K379" s="448">
        <f t="shared" ca="1" si="23"/>
        <v>-0.422759673928574</v>
      </c>
      <c r="L379" s="49">
        <f>((H379*staticResult!$C$2*100)+配裝模擬!$D$2+staticResult!$D$16*0.47)/staticResult!$C$2/100</f>
        <v>0.72344258780133341</v>
      </c>
      <c r="M379" s="476">
        <f ca="1">H379*(1+BUFF!$H$27)</f>
        <v>0.68970000000000009</v>
      </c>
    </row>
    <row r="380" spans="7:13">
      <c r="G380" s="448">
        <f t="shared" ca="1" si="20"/>
        <v>2.9541435597334416</v>
      </c>
      <c r="H380" s="49">
        <v>0.628</v>
      </c>
      <c r="I380" s="49">
        <f ca="1">((M380*staticResult!$C$2*100)+配裝模擬!$D$2+staticResult!$D$16*0.47)/staticResult!$C$2/100</f>
        <v>0.78724258780133349</v>
      </c>
      <c r="J380" s="49">
        <f ca="1">(staticResult!$C$16-H380)+BUFF!$F$27</f>
        <v>0.51975423898969308</v>
      </c>
      <c r="K380" s="448">
        <f t="shared" ca="1" si="23"/>
        <v>-0.42552327363543047</v>
      </c>
      <c r="L380" s="49">
        <f>((H380*staticResult!$C$2*100)+配裝模擬!$D$2+staticResult!$D$16*0.47)/staticResult!$C$2/100</f>
        <v>0.72444258780133342</v>
      </c>
      <c r="M380" s="476">
        <f ca="1">H380*(1+BUFF!$H$27)</f>
        <v>0.69080000000000008</v>
      </c>
    </row>
    <row r="381" spans="7:13">
      <c r="G381" s="448">
        <f t="shared" ca="1" si="20"/>
        <v>2.9537152728601024</v>
      </c>
      <c r="H381" s="49">
        <v>0.629</v>
      </c>
      <c r="I381" s="49">
        <f ca="1">((M381*staticResult!$C$2*100)+配裝模擬!$D$2+staticResult!$D$16*0.47)/staticResult!$C$2/100</f>
        <v>0.78834258780133348</v>
      </c>
      <c r="J381" s="49">
        <f ca="1">(staticResult!$C$16-H381)+BUFF!$F$27</f>
        <v>0.51875423898969308</v>
      </c>
      <c r="K381" s="448">
        <f t="shared" ca="1" si="23"/>
        <v>-0.42828687333917831</v>
      </c>
      <c r="L381" s="49">
        <f>((H381*staticResult!$C$2*100)+配裝模擬!$D$2+staticResult!$D$16*0.47)/staticResult!$C$2/100</f>
        <v>0.72544258780133353</v>
      </c>
      <c r="M381" s="476">
        <f ca="1">H381*(1+BUFF!$H$27)</f>
        <v>0.69190000000000007</v>
      </c>
    </row>
    <row r="382" spans="7:13">
      <c r="G382" s="448">
        <f t="shared" ca="1" si="20"/>
        <v>2.9532842223870563</v>
      </c>
      <c r="H382" s="49">
        <v>0.63</v>
      </c>
      <c r="I382" s="49">
        <f ca="1">((M382*staticResult!$C$2*100)+配裝模擬!$D$2+staticResult!$D$16*0.47)/staticResult!$C$2/100</f>
        <v>0.78944258780133358</v>
      </c>
      <c r="J382" s="49">
        <f ca="1">(staticResult!$C$16-H382)+BUFF!$F$27</f>
        <v>0.51775423898969308</v>
      </c>
      <c r="K382" s="448">
        <f t="shared" ca="1" si="23"/>
        <v>-0.43105047304603478</v>
      </c>
      <c r="L382" s="49">
        <f>((H382*staticResult!$C$2*100)+配裝模擬!$D$2+staticResult!$D$16*0.47)/staticResult!$C$2/100</f>
        <v>0.72644258780133353</v>
      </c>
      <c r="M382" s="476">
        <f ca="1">H382*(1+BUFF!$H$27)</f>
        <v>0.69300000000000006</v>
      </c>
    </row>
    <row r="383" spans="7:13">
      <c r="G383" s="448">
        <f t="shared" ca="1" si="20"/>
        <v>2.9528504083143052</v>
      </c>
      <c r="H383" s="49">
        <v>0.63100000000000001</v>
      </c>
      <c r="I383" s="49">
        <f ca="1">((M383*staticResult!$C$2*100)+配裝模擬!$D$2+staticResult!$D$16*0.47)/staticResult!$C$2/100</f>
        <v>0.79054258780133357</v>
      </c>
      <c r="J383" s="49">
        <f ca="1">(staticResult!$C$16-H383)+BUFF!$F$27</f>
        <v>0.51675423898969308</v>
      </c>
      <c r="K383" s="448">
        <f t="shared" ca="1" si="23"/>
        <v>-0.43381407275111489</v>
      </c>
      <c r="L383" s="49">
        <f>((H383*staticResult!$C$2*100)+配裝模擬!$D$2+staticResult!$D$16*0.47)/staticResult!$C$2/100</f>
        <v>0.72744258780133331</v>
      </c>
      <c r="M383" s="476">
        <f ca="1">H383*(1+BUFF!$H$27)</f>
        <v>0.69410000000000005</v>
      </c>
    </row>
    <row r="384" spans="7:13">
      <c r="G384" s="448">
        <f t="shared" ca="1" si="20"/>
        <v>2.9524138306418473</v>
      </c>
      <c r="H384" s="49">
        <v>0.63200000000000001</v>
      </c>
      <c r="I384" s="49">
        <f ca="1">((M384*staticResult!$C$2*100)+配裝模擬!$D$2+staticResult!$D$16*0.47)/staticResult!$C$2/100</f>
        <v>0.79164258780133356</v>
      </c>
      <c r="J384" s="49">
        <f ca="1">(staticResult!$C$16-H384)+BUFF!$F$27</f>
        <v>0.51575423898969308</v>
      </c>
      <c r="K384" s="448">
        <f t="shared" ca="1" si="23"/>
        <v>-0.43657767245797136</v>
      </c>
      <c r="L384" s="49">
        <f>((H384*staticResult!$C$2*100)+配裝模擬!$D$2+staticResult!$D$16*0.47)/staticResult!$C$2/100</f>
        <v>0.72844258780133342</v>
      </c>
      <c r="M384" s="476">
        <f ca="1">H384*(1+BUFF!$H$27)</f>
        <v>0.69520000000000004</v>
      </c>
    </row>
    <row r="385" spans="7:13">
      <c r="G385" s="448">
        <f t="shared" ca="1" si="20"/>
        <v>2.9519744893696842</v>
      </c>
      <c r="H385" s="49">
        <v>0.63300000000000001</v>
      </c>
      <c r="I385" s="49">
        <f ca="1">((M385*staticResult!$C$2*100)+配裝模擬!$D$2+staticResult!$D$16*0.47)/staticResult!$C$2/100</f>
        <v>0.79274258780133355</v>
      </c>
      <c r="J385" s="49">
        <f ca="1">(staticResult!$C$16-H385)+BUFF!$F$27</f>
        <v>0.51475423898969308</v>
      </c>
      <c r="K385" s="448">
        <f t="shared" ca="1" si="23"/>
        <v>-0.43934127216305147</v>
      </c>
      <c r="L385" s="49">
        <f>((H385*staticResult!$C$2*100)+配裝模擬!$D$2+staticResult!$D$16*0.47)/staticResult!$C$2/100</f>
        <v>0.72944258780133353</v>
      </c>
      <c r="M385" s="476">
        <f ca="1">H385*(1+BUFF!$H$27)</f>
        <v>0.69630000000000003</v>
      </c>
    </row>
    <row r="386" spans="7:13">
      <c r="G386" s="448">
        <f t="shared" ref="G386:G449" ca="1" si="24">(1+I386)*(J386*$F$13+(1-J386))</f>
        <v>2.9515323844978152</v>
      </c>
      <c r="H386" s="49">
        <v>0.63400000000000001</v>
      </c>
      <c r="I386" s="49">
        <f ca="1">((M386*staticResult!$C$2*100)+配裝模擬!$D$2+staticResult!$D$16*0.47)/staticResult!$C$2/100</f>
        <v>0.79384258780133354</v>
      </c>
      <c r="J386" s="49">
        <f ca="1">(staticResult!$C$16-H386)+BUFF!$F$27</f>
        <v>0.51375423898969308</v>
      </c>
      <c r="K386" s="448">
        <f t="shared" ca="1" si="23"/>
        <v>-0.44210487186901976</v>
      </c>
      <c r="L386" s="49">
        <f>((H386*staticResult!$C$2*100)+配裝模擬!$D$2+staticResult!$D$16*0.47)/staticResult!$C$2/100</f>
        <v>0.73044258780133342</v>
      </c>
      <c r="M386" s="476">
        <f ca="1">H386*(1+BUFF!$H$27)</f>
        <v>0.69740000000000002</v>
      </c>
    </row>
    <row r="387" spans="7:13">
      <c r="G387" s="448">
        <f t="shared" ca="1" si="24"/>
        <v>2.9510875160262406</v>
      </c>
      <c r="H387" s="49">
        <v>0.63500000000000001</v>
      </c>
      <c r="I387" s="49">
        <f ca="1">((M387*staticResult!$C$2*100)+配裝模擬!$D$2+staticResult!$D$16*0.47)/staticResult!$C$2/100</f>
        <v>0.79494258780133364</v>
      </c>
      <c r="J387" s="49">
        <f ca="1">(staticResult!$C$16-H387)+BUFF!$F$27</f>
        <v>0.51275423898969308</v>
      </c>
      <c r="K387" s="448">
        <f t="shared" ref="K387:K450" ca="1" si="25">(G387-G386)/(H387-H386)</f>
        <v>-0.44486847157454396</v>
      </c>
      <c r="L387" s="49">
        <f>((H387*staticResult!$C$2*100)+配裝模擬!$D$2+staticResult!$D$16*0.47)/staticResult!$C$2/100</f>
        <v>0.73144258780133342</v>
      </c>
      <c r="M387" s="476">
        <f ca="1">H387*(1+BUFF!$H$27)</f>
        <v>0.69850000000000012</v>
      </c>
    </row>
    <row r="388" spans="7:13">
      <c r="G388" s="448">
        <f t="shared" ca="1" si="24"/>
        <v>2.9506398839549601</v>
      </c>
      <c r="H388" s="49">
        <v>0.63600000000000001</v>
      </c>
      <c r="I388" s="49">
        <f ca="1">((M388*staticResult!$C$2*100)+配裝模擬!$D$2+staticResult!$D$16*0.47)/staticResult!$C$2/100</f>
        <v>0.79604258780133352</v>
      </c>
      <c r="J388" s="49">
        <f ca="1">(staticResult!$C$16-H388)+BUFF!$F$27</f>
        <v>0.51175423898969308</v>
      </c>
      <c r="K388" s="448">
        <f t="shared" ca="1" si="25"/>
        <v>-0.44763207128051224</v>
      </c>
      <c r="L388" s="49">
        <f>((H388*staticResult!$C$2*100)+配裝模擬!$D$2+staticResult!$D$16*0.47)/staticResult!$C$2/100</f>
        <v>0.73244258780133353</v>
      </c>
      <c r="M388" s="476">
        <f ca="1">H388*(1+BUFF!$H$27)</f>
        <v>0.69960000000000011</v>
      </c>
    </row>
    <row r="389" spans="7:13">
      <c r="G389" s="448">
        <f t="shared" ca="1" si="24"/>
        <v>2.9501894882839736</v>
      </c>
      <c r="H389" s="49">
        <v>0.63700000000000001</v>
      </c>
      <c r="I389" s="49">
        <f ca="1">((M389*staticResult!$C$2*100)+配裝模擬!$D$2+staticResult!$D$16*0.47)/staticResult!$C$2/100</f>
        <v>0.79714258780133351</v>
      </c>
      <c r="J389" s="49">
        <f ca="1">(staticResult!$C$16-H389)+BUFF!$F$27</f>
        <v>0.51075423898969308</v>
      </c>
      <c r="K389" s="448">
        <f t="shared" ca="1" si="25"/>
        <v>-0.45039567098648053</v>
      </c>
      <c r="L389" s="49">
        <f>((H389*staticResult!$C$2*100)+配裝模擬!$D$2+staticResult!$D$16*0.47)/staticResult!$C$2/100</f>
        <v>0.73344258780133342</v>
      </c>
      <c r="M389" s="476">
        <f ca="1">H389*(1+BUFF!$H$27)</f>
        <v>0.7007000000000001</v>
      </c>
    </row>
    <row r="390" spans="7:13">
      <c r="G390" s="448">
        <f t="shared" ca="1" si="24"/>
        <v>2.9497363290132816</v>
      </c>
      <c r="H390" s="49">
        <v>0.63800000000000001</v>
      </c>
      <c r="I390" s="49">
        <f ca="1">((M390*staticResult!$C$2*100)+配裝模擬!$D$2+staticResult!$D$16*0.47)/staticResult!$C$2/100</f>
        <v>0.7982425878013335</v>
      </c>
      <c r="J390" s="49">
        <f ca="1">(staticResult!$C$16-H390)+BUFF!$F$27</f>
        <v>0.50975423898969308</v>
      </c>
      <c r="K390" s="448">
        <f t="shared" ca="1" si="25"/>
        <v>-0.45315927069200473</v>
      </c>
      <c r="L390" s="49">
        <f>((H390*staticResult!$C$2*100)+配裝模擬!$D$2+staticResult!$D$16*0.47)/staticResult!$C$2/100</f>
        <v>0.73444258780133354</v>
      </c>
      <c r="M390" s="476">
        <f ca="1">H390*(1+BUFF!$H$27)</f>
        <v>0.70180000000000009</v>
      </c>
    </row>
    <row r="391" spans="7:13">
      <c r="G391" s="448">
        <f t="shared" ca="1" si="24"/>
        <v>2.9492804061428841</v>
      </c>
      <c r="H391" s="49">
        <v>0.63900000000000001</v>
      </c>
      <c r="I391" s="49">
        <f ca="1">((M391*staticResult!$C$2*100)+配裝模擬!$D$2+staticResult!$D$16*0.47)/staticResult!$C$2/100</f>
        <v>0.7993425878013336</v>
      </c>
      <c r="J391" s="49">
        <f ca="1">(staticResult!$C$16-H391)+BUFF!$F$27</f>
        <v>0.50875423898969308</v>
      </c>
      <c r="K391" s="448">
        <f t="shared" ca="1" si="25"/>
        <v>-0.45592287039752893</v>
      </c>
      <c r="L391" s="49">
        <f>((H391*staticResult!$C$2*100)+配裝模擬!$D$2+staticResult!$D$16*0.47)/staticResult!$C$2/100</f>
        <v>0.73544258780133343</v>
      </c>
      <c r="M391" s="476">
        <f ca="1">H391*(1+BUFF!$H$27)</f>
        <v>0.70290000000000008</v>
      </c>
    </row>
    <row r="392" spans="7:13">
      <c r="G392" s="448">
        <f t="shared" ca="1" si="24"/>
        <v>2.9488217196727806</v>
      </c>
      <c r="H392" s="49">
        <v>0.64</v>
      </c>
      <c r="I392" s="49">
        <f ca="1">((M392*staticResult!$C$2*100)+配裝模擬!$D$2+staticResult!$D$16*0.47)/staticResult!$C$2/100</f>
        <v>0.80044258780133359</v>
      </c>
      <c r="J392" s="49">
        <f ca="1">(staticResult!$C$16-H392)+BUFF!$F$27</f>
        <v>0.50775423898969307</v>
      </c>
      <c r="K392" s="448">
        <f t="shared" ca="1" si="25"/>
        <v>-0.45868647010349722</v>
      </c>
      <c r="L392" s="49">
        <f>((H392*staticResult!$C$2*100)+配裝模擬!$D$2+staticResult!$D$16*0.47)/staticResult!$C$2/100</f>
        <v>0.73644258780133343</v>
      </c>
      <c r="M392" s="476">
        <f ca="1">H392*(1+BUFF!$H$27)</f>
        <v>0.70400000000000007</v>
      </c>
    </row>
    <row r="393" spans="7:13">
      <c r="G393" s="448">
        <f t="shared" ca="1" si="24"/>
        <v>2.9483602696029698</v>
      </c>
      <c r="H393" s="49">
        <v>0.64100000000000001</v>
      </c>
      <c r="I393" s="49">
        <f ca="1">((M393*staticResult!$C$2*100)+配裝模擬!$D$2+staticResult!$D$16*0.47)/staticResult!$C$2/100</f>
        <v>0.80154258780133347</v>
      </c>
      <c r="J393" s="49">
        <f ca="1">(staticResult!$C$16-H393)+BUFF!$F$27</f>
        <v>0.50675423898969307</v>
      </c>
      <c r="K393" s="448">
        <f t="shared" ca="1" si="25"/>
        <v>-0.46145006981079778</v>
      </c>
      <c r="L393" s="49">
        <f>((H393*staticResult!$C$2*100)+配裝模擬!$D$2+staticResult!$D$16*0.47)/staticResult!$C$2/100</f>
        <v>0.73744258780133354</v>
      </c>
      <c r="M393" s="476">
        <f ca="1">H393*(1+BUFF!$H$27)</f>
        <v>0.70510000000000006</v>
      </c>
    </row>
    <row r="394" spans="7:13">
      <c r="G394" s="448">
        <f t="shared" ca="1" si="24"/>
        <v>2.9478960559334553</v>
      </c>
      <c r="H394" s="49">
        <v>0.64200000000000002</v>
      </c>
      <c r="I394" s="49">
        <f ca="1">((M394*staticResult!$C$2*100)+配裝模擬!$D$2+staticResult!$D$16*0.47)/staticResult!$C$2/100</f>
        <v>0.80264258780133346</v>
      </c>
      <c r="J394" s="49">
        <f ca="1">(staticResult!$C$16-H394)+BUFF!$F$27</f>
        <v>0.50575423898969307</v>
      </c>
      <c r="K394" s="448">
        <f t="shared" ca="1" si="25"/>
        <v>-0.46421366951454562</v>
      </c>
      <c r="L394" s="49">
        <f>((H394*staticResult!$C$2*100)+配裝模擬!$D$2+staticResult!$D$16*0.47)/staticResult!$C$2/100</f>
        <v>0.73844258780133343</v>
      </c>
      <c r="M394" s="476">
        <f ca="1">H394*(1+BUFF!$H$27)</f>
        <v>0.70620000000000005</v>
      </c>
    </row>
    <row r="395" spans="7:13">
      <c r="G395" s="448">
        <f t="shared" ca="1" si="24"/>
        <v>2.9474290786642339</v>
      </c>
      <c r="H395" s="49">
        <v>0.64300000000000002</v>
      </c>
      <c r="I395" s="49">
        <f ca="1">((M395*staticResult!$C$2*100)+配裝模擬!$D$2+staticResult!$D$16*0.47)/staticResult!$C$2/100</f>
        <v>0.80374258780133356</v>
      </c>
      <c r="J395" s="49">
        <f ca="1">(staticResult!$C$16-H395)+BUFF!$F$27</f>
        <v>0.50475423898969307</v>
      </c>
      <c r="K395" s="448">
        <f t="shared" ca="1" si="25"/>
        <v>-0.46697726922140209</v>
      </c>
      <c r="L395" s="49">
        <f>((H395*staticResult!$C$2*100)+配裝模擬!$D$2+staticResult!$D$16*0.47)/staticResult!$C$2/100</f>
        <v>0.73944258780133343</v>
      </c>
      <c r="M395" s="476">
        <f ca="1">H395*(1+BUFF!$H$27)</f>
        <v>0.70730000000000004</v>
      </c>
    </row>
    <row r="396" spans="7:13">
      <c r="G396" s="448">
        <f t="shared" ca="1" si="24"/>
        <v>2.9469593377953069</v>
      </c>
      <c r="H396" s="49">
        <v>0.64400000000000002</v>
      </c>
      <c r="I396" s="49">
        <f ca="1">((M396*staticResult!$C$2*100)+配裝模擬!$D$2+staticResult!$D$16*0.47)/staticResult!$C$2/100</f>
        <v>0.80484258780133355</v>
      </c>
      <c r="J396" s="49">
        <f ca="1">(staticResult!$C$16-H396)+BUFF!$F$27</f>
        <v>0.50375423898969307</v>
      </c>
      <c r="K396" s="448">
        <f t="shared" ca="1" si="25"/>
        <v>-0.46974086892692624</v>
      </c>
      <c r="L396" s="49">
        <f>((H396*staticResult!$C$2*100)+配裝模擬!$D$2+staticResult!$D$16*0.47)/staticResult!$C$2/100</f>
        <v>0.74044258780133343</v>
      </c>
      <c r="M396" s="476">
        <f ca="1">H396*(1+BUFF!$H$27)</f>
        <v>0.70840000000000003</v>
      </c>
    </row>
    <row r="397" spans="7:13">
      <c r="G397" s="448">
        <f t="shared" ca="1" si="24"/>
        <v>2.9464868333266745</v>
      </c>
      <c r="H397" s="49">
        <v>0.64500000000000002</v>
      </c>
      <c r="I397" s="49">
        <f ca="1">((M397*staticResult!$C$2*100)+配裝模擬!$D$2+staticResult!$D$16*0.47)/staticResult!$C$2/100</f>
        <v>0.80594258780133354</v>
      </c>
      <c r="J397" s="49">
        <f ca="1">(staticResult!$C$16-H397)+BUFF!$F$27</f>
        <v>0.50275423898969307</v>
      </c>
      <c r="K397" s="448">
        <f t="shared" ca="1" si="25"/>
        <v>-0.47250446863245044</v>
      </c>
      <c r="L397" s="49">
        <f>((H397*staticResult!$C$2*100)+配裝模擬!$D$2+staticResult!$D$16*0.47)/staticResult!$C$2/100</f>
        <v>0.74144258780133343</v>
      </c>
      <c r="M397" s="476">
        <f ca="1">H397*(1+BUFF!$H$27)</f>
        <v>0.70950000000000013</v>
      </c>
    </row>
    <row r="398" spans="7:13">
      <c r="G398" s="448">
        <f t="shared" ca="1" si="24"/>
        <v>2.9460115652583356</v>
      </c>
      <c r="H398" s="49">
        <v>0.64600000000000002</v>
      </c>
      <c r="I398" s="49">
        <f ca="1">((M398*staticResult!$C$2*100)+配裝模擬!$D$2+staticResult!$D$16*0.47)/staticResult!$C$2/100</f>
        <v>0.80704258780133353</v>
      </c>
      <c r="J398" s="49">
        <f ca="1">(staticResult!$C$16-H398)+BUFF!$F$27</f>
        <v>0.50175423898969307</v>
      </c>
      <c r="K398" s="448">
        <f t="shared" ca="1" si="25"/>
        <v>-0.47526806833886281</v>
      </c>
      <c r="L398" s="49">
        <f>((H398*staticResult!$C$2*100)+配裝模擬!$D$2+staticResult!$D$16*0.47)/staticResult!$C$2/100</f>
        <v>0.74244258780133354</v>
      </c>
      <c r="M398" s="476">
        <f ca="1">H398*(1+BUFF!$H$27)</f>
        <v>0.71060000000000012</v>
      </c>
    </row>
    <row r="399" spans="7:13">
      <c r="G399" s="448">
        <f t="shared" ca="1" si="24"/>
        <v>2.9455335335902917</v>
      </c>
      <c r="H399" s="49">
        <v>0.64700000000000002</v>
      </c>
      <c r="I399" s="49">
        <f ca="1">((M399*staticResult!$C$2*100)+配裝模擬!$D$2+staticResult!$D$16*0.47)/staticResult!$C$2/100</f>
        <v>0.80814258780133352</v>
      </c>
      <c r="J399" s="49">
        <f ca="1">(staticResult!$C$16-H399)+BUFF!$F$27</f>
        <v>0.50075423898969307</v>
      </c>
      <c r="K399" s="448">
        <f t="shared" ca="1" si="25"/>
        <v>-0.47803166804394293</v>
      </c>
      <c r="L399" s="49">
        <f>((H399*staticResult!$C$2*100)+配裝模擬!$D$2+staticResult!$D$16*0.47)/staticResult!$C$2/100</f>
        <v>0.74344258780133343</v>
      </c>
      <c r="M399" s="476">
        <f ca="1">H399*(1+BUFF!$H$27)</f>
        <v>0.71170000000000011</v>
      </c>
    </row>
    <row r="400" spans="7:13">
      <c r="G400" s="448">
        <f t="shared" ca="1" si="24"/>
        <v>2.9450527383225418</v>
      </c>
      <c r="H400" s="49">
        <v>0.64800000000000002</v>
      </c>
      <c r="I400" s="49">
        <f ca="1">((M400*staticResult!$C$2*100)+配裝模擬!$D$2+staticResult!$D$16*0.47)/staticResult!$C$2/100</f>
        <v>0.80924258780133362</v>
      </c>
      <c r="J400" s="49">
        <f ca="1">(staticResult!$C$16-H400)+BUFF!$F$27</f>
        <v>0.49975423898969307</v>
      </c>
      <c r="K400" s="448">
        <f t="shared" ca="1" si="25"/>
        <v>-0.48079526774991121</v>
      </c>
      <c r="L400" s="49">
        <f>((H400*staticResult!$C$2*100)+配裝模擬!$D$2+staticResult!$D$16*0.47)/staticResult!$C$2/100</f>
        <v>0.74444258780133343</v>
      </c>
      <c r="M400" s="476">
        <f ca="1">H400*(1+BUFF!$H$27)</f>
        <v>0.7128000000000001</v>
      </c>
    </row>
    <row r="401" spans="7:13">
      <c r="G401" s="448">
        <f t="shared" ca="1" si="24"/>
        <v>2.9445691794550863</v>
      </c>
      <c r="H401" s="49">
        <v>0.64900000000000002</v>
      </c>
      <c r="I401" s="49">
        <f ca="1">((M401*staticResult!$C$2*100)+配裝模擬!$D$2+staticResult!$D$16*0.47)/staticResult!$C$2/100</f>
        <v>0.81034258780133361</v>
      </c>
      <c r="J401" s="49">
        <f ca="1">(staticResult!$C$16-H401)+BUFF!$F$27</f>
        <v>0.49875423898969307</v>
      </c>
      <c r="K401" s="448">
        <f t="shared" ca="1" si="25"/>
        <v>-0.48355886745543541</v>
      </c>
      <c r="L401" s="49">
        <f>((H401*staticResult!$C$2*100)+配裝模擬!$D$2+staticResult!$D$16*0.47)/staticResult!$C$2/100</f>
        <v>0.74544258780133343</v>
      </c>
      <c r="M401" s="476">
        <f ca="1">H401*(1+BUFF!$H$27)</f>
        <v>0.71390000000000009</v>
      </c>
    </row>
    <row r="402" spans="7:13">
      <c r="G402" s="448">
        <f t="shared" ca="1" si="24"/>
        <v>2.9440828569879245</v>
      </c>
      <c r="H402" s="49">
        <v>0.65</v>
      </c>
      <c r="I402" s="49">
        <f ca="1">((M402*staticResult!$C$2*100)+配裝模擬!$D$2+staticResult!$D$16*0.47)/staticResult!$C$2/100</f>
        <v>0.8114425878013336</v>
      </c>
      <c r="J402" s="49">
        <f ca="1">(staticResult!$C$16-H402)+BUFF!$F$27</f>
        <v>0.49775423898969307</v>
      </c>
      <c r="K402" s="448">
        <f t="shared" ca="1" si="25"/>
        <v>-0.48632246716184779</v>
      </c>
      <c r="L402" s="49">
        <f>((H402*staticResult!$C$2*100)+配裝模擬!$D$2+staticResult!$D$16*0.47)/staticResult!$C$2/100</f>
        <v>0.74644258780133355</v>
      </c>
      <c r="M402" s="476">
        <f ca="1">H402*(1+BUFF!$H$27)</f>
        <v>0.71500000000000008</v>
      </c>
    </row>
    <row r="403" spans="7:13">
      <c r="G403" s="448">
        <f t="shared" ca="1" si="24"/>
        <v>2.9435937709210571</v>
      </c>
      <c r="H403" s="49">
        <v>0.65100000000000002</v>
      </c>
      <c r="I403" s="49">
        <f ca="1">((M403*staticResult!$C$2*100)+配裝模擬!$D$2+staticResult!$D$16*0.47)/staticResult!$C$2/100</f>
        <v>0.81254258780133337</v>
      </c>
      <c r="J403" s="49">
        <f ca="1">(staticResult!$C$16-H403)+BUFF!$F$27</f>
        <v>0.49675423898969306</v>
      </c>
      <c r="K403" s="448">
        <f t="shared" ca="1" si="25"/>
        <v>-0.48908606686737199</v>
      </c>
      <c r="L403" s="49">
        <f>((H403*staticResult!$C$2*100)+配裝模擬!$D$2+staticResult!$D$16*0.47)/staticResult!$C$2/100</f>
        <v>0.74744258780133355</v>
      </c>
      <c r="M403" s="476">
        <f ca="1">H403*(1+BUFF!$H$27)</f>
        <v>0.71610000000000007</v>
      </c>
    </row>
    <row r="404" spans="7:13">
      <c r="G404" s="448">
        <f t="shared" ca="1" si="24"/>
        <v>2.9431019212544838</v>
      </c>
      <c r="H404" s="49">
        <v>0.65200000000000002</v>
      </c>
      <c r="I404" s="49">
        <f ca="1">((M404*staticResult!$C$2*100)+配裝模擬!$D$2+staticResult!$D$16*0.47)/staticResult!$C$2/100</f>
        <v>0.81364258780133358</v>
      </c>
      <c r="J404" s="49">
        <f ca="1">(staticResult!$C$16-H404)+BUFF!$F$27</f>
        <v>0.49575423898969306</v>
      </c>
      <c r="K404" s="448">
        <f t="shared" ca="1" si="25"/>
        <v>-0.49184966657334028</v>
      </c>
      <c r="L404" s="49">
        <f>((H404*staticResult!$C$2*100)+配裝模擬!$D$2+staticResult!$D$16*0.47)/staticResult!$C$2/100</f>
        <v>0.74844258780133344</v>
      </c>
      <c r="M404" s="476">
        <f ca="1">H404*(1+BUFF!$H$27)</f>
        <v>0.71720000000000006</v>
      </c>
    </row>
    <row r="405" spans="7:13">
      <c r="G405" s="448">
        <f t="shared" ca="1" si="24"/>
        <v>2.9426073079882045</v>
      </c>
      <c r="H405" s="49">
        <v>0.65300000000000002</v>
      </c>
      <c r="I405" s="49">
        <f ca="1">((M405*staticResult!$C$2*100)+配裝模擬!$D$2+staticResult!$D$16*0.47)/staticResult!$C$2/100</f>
        <v>0.81474258780133335</v>
      </c>
      <c r="J405" s="49">
        <f ca="1">(staticResult!$C$16-H405)+BUFF!$F$27</f>
        <v>0.49475423898969306</v>
      </c>
      <c r="K405" s="448">
        <f t="shared" ca="1" si="25"/>
        <v>-0.49461326627930857</v>
      </c>
      <c r="L405" s="49">
        <f>((H405*staticResult!$C$2*100)+配裝模擬!$D$2+staticResult!$D$16*0.47)/staticResult!$C$2/100</f>
        <v>0.74944258780133355</v>
      </c>
      <c r="M405" s="476">
        <f ca="1">H405*(1+BUFF!$H$27)</f>
        <v>0.71830000000000005</v>
      </c>
    </row>
    <row r="406" spans="7:13">
      <c r="G406" s="448">
        <f t="shared" ca="1" si="24"/>
        <v>2.9421099311222201</v>
      </c>
      <c r="H406" s="49">
        <v>0.65400000000000003</v>
      </c>
      <c r="I406" s="49">
        <f ca="1">((M406*staticResult!$C$2*100)+配裝模擬!$D$2+staticResult!$D$16*0.47)/staticResult!$C$2/100</f>
        <v>0.81584258780133334</v>
      </c>
      <c r="J406" s="49">
        <f ca="1">(staticResult!$C$16-H406)+BUFF!$F$27</f>
        <v>0.49375423898969306</v>
      </c>
      <c r="K406" s="448">
        <f t="shared" ca="1" si="25"/>
        <v>-0.49737686598438868</v>
      </c>
      <c r="L406" s="49">
        <f>((H406*staticResult!$C$2*100)+配裝模擬!$D$2+staticResult!$D$16*0.47)/staticResult!$C$2/100</f>
        <v>0.75044258780133344</v>
      </c>
      <c r="M406" s="476">
        <f ca="1">H406*(1+BUFF!$H$27)</f>
        <v>0.71940000000000004</v>
      </c>
    </row>
    <row r="407" spans="7:13">
      <c r="G407" s="448">
        <f t="shared" ca="1" si="24"/>
        <v>2.9416097906565293</v>
      </c>
      <c r="H407" s="49">
        <v>0.65500000000000003</v>
      </c>
      <c r="I407" s="49">
        <f ca="1">((M407*staticResult!$C$2*100)+配裝模擬!$D$2+staticResult!$D$16*0.47)/staticResult!$C$2/100</f>
        <v>0.81694258780133355</v>
      </c>
      <c r="J407" s="49">
        <f ca="1">(staticResult!$C$16-H407)+BUFF!$F$27</f>
        <v>0.49275423898969306</v>
      </c>
      <c r="K407" s="448">
        <f t="shared" ca="1" si="25"/>
        <v>-0.50014046569080106</v>
      </c>
      <c r="L407" s="49">
        <f>((H407*staticResult!$C$2*100)+配裝模擬!$D$2+staticResult!$D$16*0.47)/staticResult!$C$2/100</f>
        <v>0.75144258780133344</v>
      </c>
      <c r="M407" s="476">
        <f ca="1">H407*(1+BUFF!$H$27)</f>
        <v>0.72050000000000014</v>
      </c>
    </row>
    <row r="408" spans="7:13">
      <c r="G408" s="448">
        <f t="shared" ca="1" si="24"/>
        <v>2.9411068865911334</v>
      </c>
      <c r="H408" s="49">
        <v>0.65600000000000003</v>
      </c>
      <c r="I408" s="49">
        <f ca="1">((M408*staticResult!$C$2*100)+配裝模擬!$D$2+staticResult!$D$16*0.47)/staticResult!$C$2/100</f>
        <v>0.81804258780133365</v>
      </c>
      <c r="J408" s="49">
        <f ca="1">(staticResult!$C$16-H408)+BUFF!$F$27</f>
        <v>0.49175423898969306</v>
      </c>
      <c r="K408" s="448">
        <f t="shared" ca="1" si="25"/>
        <v>-0.50290406539588117</v>
      </c>
      <c r="L408" s="49">
        <f>((H408*staticResult!$C$2*100)+配裝模擬!$D$2+staticResult!$D$16*0.47)/staticResult!$C$2/100</f>
        <v>0.75244258780133355</v>
      </c>
      <c r="M408" s="476">
        <f ca="1">H408*(1+BUFF!$H$27)</f>
        <v>0.72160000000000013</v>
      </c>
    </row>
    <row r="409" spans="7:13">
      <c r="G409" s="448">
        <f t="shared" ca="1" si="24"/>
        <v>2.9406012189260311</v>
      </c>
      <c r="H409" s="49">
        <v>0.65700000000000003</v>
      </c>
      <c r="I409" s="49">
        <f ca="1">((M409*staticResult!$C$2*100)+配裝模擬!$D$2+staticResult!$D$16*0.47)/staticResult!$C$2/100</f>
        <v>0.81914258780133364</v>
      </c>
      <c r="J409" s="49">
        <f ca="1">(staticResult!$C$16-H409)+BUFF!$F$27</f>
        <v>0.49075423898969306</v>
      </c>
      <c r="K409" s="448">
        <f t="shared" ca="1" si="25"/>
        <v>-0.50566766510229355</v>
      </c>
      <c r="L409" s="49">
        <f>((H409*staticResult!$C$2*100)+配裝模擬!$D$2+staticResult!$D$16*0.47)/staticResult!$C$2/100</f>
        <v>0.75344258780133344</v>
      </c>
      <c r="M409" s="476">
        <f ca="1">H409*(1+BUFF!$H$27)</f>
        <v>0.72270000000000012</v>
      </c>
    </row>
    <row r="410" spans="7:13">
      <c r="G410" s="448">
        <f t="shared" ca="1" si="24"/>
        <v>2.9400927876612237</v>
      </c>
      <c r="H410" s="49">
        <v>0.65800000000000003</v>
      </c>
      <c r="I410" s="49">
        <f ca="1">((M410*staticResult!$C$2*100)+配裝模擬!$D$2+staticResult!$D$16*0.47)/staticResult!$C$2/100</f>
        <v>0.82024258780133352</v>
      </c>
      <c r="J410" s="49">
        <f ca="1">(staticResult!$C$16-H410)+BUFF!$F$27</f>
        <v>0.48975423898969306</v>
      </c>
      <c r="K410" s="448">
        <f t="shared" ca="1" si="25"/>
        <v>-0.50843126480737366</v>
      </c>
      <c r="L410" s="49">
        <f>((H410*staticResult!$C$2*100)+配裝模擬!$D$2+staticResult!$D$16*0.47)/staticResult!$C$2/100</f>
        <v>0.75444258780133344</v>
      </c>
      <c r="M410" s="476">
        <f ca="1">H410*(1+BUFF!$H$27)</f>
        <v>0.72380000000000011</v>
      </c>
    </row>
    <row r="411" spans="7:13">
      <c r="G411" s="448">
        <f t="shared" ca="1" si="24"/>
        <v>2.9395815927967091</v>
      </c>
      <c r="H411" s="49">
        <v>0.65900000000000003</v>
      </c>
      <c r="I411" s="49">
        <f ca="1">((M411*staticResult!$C$2*100)+配裝模擬!$D$2+staticResult!$D$16*0.47)/staticResult!$C$2/100</f>
        <v>0.82134258780133351</v>
      </c>
      <c r="J411" s="49">
        <f ca="1">(staticResult!$C$16-H411)+BUFF!$F$27</f>
        <v>0.48875423898969306</v>
      </c>
      <c r="K411" s="448">
        <f t="shared" ca="1" si="25"/>
        <v>-0.51119486451467422</v>
      </c>
      <c r="L411" s="49">
        <f>((H411*staticResult!$C$2*100)+配裝模擬!$D$2+staticResult!$D$16*0.47)/staticResult!$C$2/100</f>
        <v>0.75544258780133366</v>
      </c>
      <c r="M411" s="476">
        <f ca="1">H411*(1+BUFF!$H$27)</f>
        <v>0.7249000000000001</v>
      </c>
    </row>
    <row r="412" spans="7:13">
      <c r="G412" s="448">
        <f t="shared" ca="1" si="24"/>
        <v>2.9390676343324897</v>
      </c>
      <c r="H412" s="49">
        <v>0.66</v>
      </c>
      <c r="I412" s="49">
        <f ca="1">((M412*staticResult!$C$2*100)+配裝模擬!$D$2+staticResult!$D$16*0.47)/staticResult!$C$2/100</f>
        <v>0.8224425878013335</v>
      </c>
      <c r="J412" s="49">
        <f ca="1">(staticResult!$C$16-H412)+BUFF!$F$27</f>
        <v>0.48775423898969306</v>
      </c>
      <c r="K412" s="448">
        <f t="shared" ca="1" si="25"/>
        <v>-0.51395846421931024</v>
      </c>
      <c r="L412" s="49">
        <f>((H412*staticResult!$C$2*100)+配裝模擬!$D$2+staticResult!$D$16*0.47)/staticResult!$C$2/100</f>
        <v>0.75644258780133344</v>
      </c>
      <c r="M412" s="476">
        <f ca="1">H412*(1+BUFF!$H$27)</f>
        <v>0.72600000000000009</v>
      </c>
    </row>
    <row r="413" spans="7:13">
      <c r="G413" s="448">
        <f t="shared" ca="1" si="24"/>
        <v>2.9385509122685649</v>
      </c>
      <c r="H413" s="49">
        <v>0.66100000000000003</v>
      </c>
      <c r="I413" s="49">
        <f ca="1">((M413*staticResult!$C$2*100)+配裝模擬!$D$2+staticResult!$D$16*0.47)/staticResult!$C$2/100</f>
        <v>0.8235425878013336</v>
      </c>
      <c r="J413" s="49">
        <f ca="1">(staticResult!$C$16-H413)+BUFF!$F$27</f>
        <v>0.48675423898969306</v>
      </c>
      <c r="K413" s="448">
        <f t="shared" ca="1" si="25"/>
        <v>-0.51672206392483444</v>
      </c>
      <c r="L413" s="49">
        <f>((H413*staticResult!$C$2*100)+配裝模擬!$D$2+staticResult!$D$16*0.47)/staticResult!$C$2/100</f>
        <v>0.75744258780133333</v>
      </c>
      <c r="M413" s="476">
        <f ca="1">H413*(1+BUFF!$H$27)</f>
        <v>0.72710000000000008</v>
      </c>
    </row>
    <row r="414" spans="7:13">
      <c r="G414" s="448">
        <f t="shared" ca="1" si="24"/>
        <v>2.9380314266049332</v>
      </c>
      <c r="H414" s="49">
        <v>0.66200000000000003</v>
      </c>
      <c r="I414" s="49">
        <f ca="1">((M414*staticResult!$C$2*100)+配裝模擬!$D$2+staticResult!$D$16*0.47)/staticResult!$C$2/100</f>
        <v>0.82464258780133348</v>
      </c>
      <c r="J414" s="49">
        <f ca="1">(staticResult!$C$16-H414)+BUFF!$F$27</f>
        <v>0.48575423898969305</v>
      </c>
      <c r="K414" s="448">
        <f t="shared" ca="1" si="25"/>
        <v>-0.51948566363169091</v>
      </c>
      <c r="L414" s="49">
        <f>((H414*staticResult!$C$2*100)+配裝模擬!$D$2+staticResult!$D$16*0.47)/staticResult!$C$2/100</f>
        <v>0.75844258780133356</v>
      </c>
      <c r="M414" s="476">
        <f ca="1">H414*(1+BUFF!$H$27)</f>
        <v>0.72820000000000007</v>
      </c>
    </row>
    <row r="415" spans="7:13">
      <c r="G415" s="448">
        <f t="shared" ca="1" si="24"/>
        <v>2.9375091773415964</v>
      </c>
      <c r="H415" s="49">
        <v>0.66300000000000003</v>
      </c>
      <c r="I415" s="49">
        <f ca="1">((M415*staticResult!$C$2*100)+配裝模擬!$D$2+staticResult!$D$16*0.47)/staticResult!$C$2/100</f>
        <v>0.82574258780133347</v>
      </c>
      <c r="J415" s="49">
        <f ca="1">(staticResult!$C$16-H415)+BUFF!$F$27</f>
        <v>0.48475423898969305</v>
      </c>
      <c r="K415" s="448">
        <f t="shared" ca="1" si="25"/>
        <v>-0.52224926333677102</v>
      </c>
      <c r="L415" s="49">
        <f>((H415*staticResult!$C$2*100)+配裝模擬!$D$2+staticResult!$D$16*0.47)/staticResult!$C$2/100</f>
        <v>0.75944258780133356</v>
      </c>
      <c r="M415" s="476">
        <f ca="1">H415*(1+BUFF!$H$27)</f>
        <v>0.72930000000000006</v>
      </c>
    </row>
    <row r="416" spans="7:13">
      <c r="G416" s="448">
        <f t="shared" ca="1" si="24"/>
        <v>2.9369841644785537</v>
      </c>
      <c r="H416" s="49">
        <v>0.66400000000000003</v>
      </c>
      <c r="I416" s="49">
        <f ca="1">((M416*staticResult!$C$2*100)+配裝模擬!$D$2+staticResult!$D$16*0.47)/staticResult!$C$2/100</f>
        <v>0.82684258780133346</v>
      </c>
      <c r="J416" s="49">
        <f ca="1">(staticResult!$C$16-H416)+BUFF!$F$27</f>
        <v>0.48375423898969305</v>
      </c>
      <c r="K416" s="448">
        <f t="shared" ca="1" si="25"/>
        <v>-0.52501286304273931</v>
      </c>
      <c r="L416" s="49">
        <f>((H416*staticResult!$C$2*100)+配裝模擬!$D$2+staticResult!$D$16*0.47)/staticResult!$C$2/100</f>
        <v>0.76044258780133345</v>
      </c>
      <c r="M416" s="476">
        <f ca="1">H416*(1+BUFF!$H$27)</f>
        <v>0.73040000000000005</v>
      </c>
    </row>
    <row r="417" spans="7:13">
      <c r="G417" s="448">
        <f t="shared" ca="1" si="24"/>
        <v>2.9364563880158054</v>
      </c>
      <c r="H417" s="49">
        <v>0.66500000000000004</v>
      </c>
      <c r="I417" s="49">
        <f ca="1">((M417*staticResult!$C$2*100)+配裝模擬!$D$2+staticResult!$D$16*0.47)/staticResult!$C$2/100</f>
        <v>0.82794258780133356</v>
      </c>
      <c r="J417" s="49">
        <f ca="1">(staticResult!$C$16-H417)+BUFF!$F$27</f>
        <v>0.48275423898969305</v>
      </c>
      <c r="K417" s="448">
        <f t="shared" ca="1" si="25"/>
        <v>-0.52777646274826351</v>
      </c>
      <c r="L417" s="49">
        <f>((H417*staticResult!$C$2*100)+配裝模擬!$D$2+staticResult!$D$16*0.47)/staticResult!$C$2/100</f>
        <v>0.76144258780133356</v>
      </c>
      <c r="M417" s="476">
        <f ca="1">H417*(1+BUFF!$H$27)</f>
        <v>0.73150000000000015</v>
      </c>
    </row>
    <row r="418" spans="7:13">
      <c r="G418" s="448">
        <f t="shared" ca="1" si="24"/>
        <v>2.9359258479533517</v>
      </c>
      <c r="H418" s="49">
        <v>0.66600000000000004</v>
      </c>
      <c r="I418" s="49">
        <f ca="1">((M418*staticResult!$C$2*100)+配裝模擬!$D$2+staticResult!$D$16*0.47)/staticResult!$C$2/100</f>
        <v>0.82904258780133366</v>
      </c>
      <c r="J418" s="49">
        <f ca="1">(staticResult!$C$16-H418)+BUFF!$F$27</f>
        <v>0.48175423898969305</v>
      </c>
      <c r="K418" s="448">
        <f t="shared" ca="1" si="25"/>
        <v>-0.53054006245378771</v>
      </c>
      <c r="L418" s="49">
        <f>((H418*staticResult!$C$2*100)+配裝模擬!$D$2+staticResult!$D$16*0.47)/staticResult!$C$2/100</f>
        <v>0.76244258780133345</v>
      </c>
      <c r="M418" s="476">
        <f ca="1">H418*(1+BUFF!$H$27)</f>
        <v>0.73260000000000014</v>
      </c>
    </row>
    <row r="419" spans="7:13">
      <c r="G419" s="448">
        <f t="shared" ca="1" si="24"/>
        <v>2.9353925442911919</v>
      </c>
      <c r="H419" s="49">
        <v>0.66700000000000004</v>
      </c>
      <c r="I419" s="49">
        <f ca="1">((M419*staticResult!$C$2*100)+配裝模擬!$D$2+staticResult!$D$16*0.47)/staticResult!$C$2/100</f>
        <v>0.83014258780133365</v>
      </c>
      <c r="J419" s="49">
        <f ca="1">(staticResult!$C$16-H419)+BUFF!$F$27</f>
        <v>0.48075423898969305</v>
      </c>
      <c r="K419" s="448">
        <f t="shared" ca="1" si="25"/>
        <v>-0.533303662159756</v>
      </c>
      <c r="L419" s="49">
        <f>((H419*staticResult!$C$2*100)+配裝模擬!$D$2+staticResult!$D$16*0.47)/staticResult!$C$2/100</f>
        <v>0.76344258780133345</v>
      </c>
      <c r="M419" s="476">
        <f ca="1">H419*(1+BUFF!$H$27)</f>
        <v>0.73370000000000013</v>
      </c>
    </row>
    <row r="420" spans="7:13">
      <c r="G420" s="448">
        <f t="shared" ca="1" si="24"/>
        <v>2.9348564770293257</v>
      </c>
      <c r="H420" s="49">
        <v>0.66800000000000004</v>
      </c>
      <c r="I420" s="49">
        <f ca="1">((M420*staticResult!$C$2*100)+配裝模擬!$D$2+staticResult!$D$16*0.47)/staticResult!$C$2/100</f>
        <v>0.83124258780133364</v>
      </c>
      <c r="J420" s="49">
        <f ca="1">(staticResult!$C$16-H420)+BUFF!$F$27</f>
        <v>0.47975423898969305</v>
      </c>
      <c r="K420" s="448">
        <f t="shared" ca="1" si="25"/>
        <v>-0.53606726186616838</v>
      </c>
      <c r="L420" s="49">
        <f>((H420*staticResult!$C$2*100)+配裝模擬!$D$2+staticResult!$D$16*0.47)/staticResult!$C$2/100</f>
        <v>0.76444258780133356</v>
      </c>
      <c r="M420" s="476">
        <f ca="1">H420*(1+BUFF!$H$27)</f>
        <v>0.73480000000000012</v>
      </c>
    </row>
    <row r="421" spans="7:13">
      <c r="G421" s="448">
        <f t="shared" ca="1" si="24"/>
        <v>2.934317646167754</v>
      </c>
      <c r="H421" s="49">
        <v>0.66900000000000004</v>
      </c>
      <c r="I421" s="49">
        <f ca="1">((M421*staticResult!$C$2*100)+配裝模擬!$D$2+staticResult!$D$16*0.47)/staticResult!$C$2/100</f>
        <v>0.83234258780133363</v>
      </c>
      <c r="J421" s="49">
        <f ca="1">(staticResult!$C$16-H421)+BUFF!$F$27</f>
        <v>0.47875423898969305</v>
      </c>
      <c r="K421" s="448">
        <f t="shared" ca="1" si="25"/>
        <v>-0.53883086157169258</v>
      </c>
      <c r="L421" s="49">
        <f>((H421*staticResult!$C$2*100)+配裝模擬!$D$2+staticResult!$D$16*0.47)/staticResult!$C$2/100</f>
        <v>0.76544258780133345</v>
      </c>
      <c r="M421" s="476">
        <f ca="1">H421*(1+BUFF!$H$27)</f>
        <v>0.73590000000000011</v>
      </c>
    </row>
    <row r="422" spans="7:13">
      <c r="G422" s="448">
        <f t="shared" ca="1" si="24"/>
        <v>2.9337760517064768</v>
      </c>
      <c r="H422" s="49">
        <v>0.67</v>
      </c>
      <c r="I422" s="49">
        <f ca="1">((M422*staticResult!$C$2*100)+配裝模擬!$D$2+staticResult!$D$16*0.47)/staticResult!$C$2/100</f>
        <v>0.83344258780133362</v>
      </c>
      <c r="J422" s="49">
        <f ca="1">(staticResult!$C$16-H422)+BUFF!$F$27</f>
        <v>0.47775423898969305</v>
      </c>
      <c r="K422" s="448">
        <f t="shared" ca="1" si="25"/>
        <v>-0.54159446127721678</v>
      </c>
      <c r="L422" s="49">
        <f>((H422*staticResult!$C$2*100)+配裝模擬!$D$2+staticResult!$D$16*0.47)/staticResult!$C$2/100</f>
        <v>0.76644258780133345</v>
      </c>
      <c r="M422" s="476">
        <f ca="1">H422*(1+BUFF!$H$27)</f>
        <v>0.7370000000000001</v>
      </c>
    </row>
    <row r="423" spans="7:13">
      <c r="G423" s="448">
        <f t="shared" ca="1" si="24"/>
        <v>2.9332316936454927</v>
      </c>
      <c r="H423" s="49">
        <v>0.67100000000000004</v>
      </c>
      <c r="I423" s="49">
        <f ca="1">((M423*staticResult!$C$2*100)+配裝模擬!$D$2+staticResult!$D$16*0.47)/staticResult!$C$2/100</f>
        <v>0.83454258780133339</v>
      </c>
      <c r="J423" s="49">
        <f ca="1">(staticResult!$C$16-H423)+BUFF!$F$27</f>
        <v>0.47675423898969305</v>
      </c>
      <c r="K423" s="448">
        <f t="shared" ca="1" si="25"/>
        <v>-0.54435806098407324</v>
      </c>
      <c r="L423" s="49">
        <f>((H423*staticResult!$C$2*100)+配裝模擬!$D$2+staticResult!$D$16*0.47)/staticResult!$C$2/100</f>
        <v>0.76744258780133345</v>
      </c>
      <c r="M423" s="476">
        <f ca="1">H423*(1+BUFF!$H$27)</f>
        <v>0.73810000000000009</v>
      </c>
    </row>
    <row r="424" spans="7:13">
      <c r="G424" s="448">
        <f t="shared" ca="1" si="24"/>
        <v>2.9326845719848045</v>
      </c>
      <c r="H424" s="49">
        <v>0.67200000000000004</v>
      </c>
      <c r="I424" s="49">
        <f ca="1">((M424*staticResult!$C$2*100)+配裝模擬!$D$2+staticResult!$D$16*0.47)/staticResult!$C$2/100</f>
        <v>0.83564258780133338</v>
      </c>
      <c r="J424" s="49">
        <f ca="1">(staticResult!$C$16-H424)+BUFF!$F$27</f>
        <v>0.47575423898969305</v>
      </c>
      <c r="K424" s="448">
        <f t="shared" ca="1" si="25"/>
        <v>-0.54712166068826518</v>
      </c>
      <c r="L424" s="49">
        <f>((H424*staticResult!$C$2*100)+配裝模擬!$D$2+staticResult!$D$16*0.47)/staticResult!$C$2/100</f>
        <v>0.76844258780133345</v>
      </c>
      <c r="M424" s="476">
        <f ca="1">H424*(1+BUFF!$H$27)</f>
        <v>0.73920000000000008</v>
      </c>
    </row>
    <row r="425" spans="7:13">
      <c r="G425" s="448">
        <f t="shared" ca="1" si="24"/>
        <v>2.9321346867244098</v>
      </c>
      <c r="H425" s="49">
        <v>0.67300000000000004</v>
      </c>
      <c r="I425" s="49">
        <f ca="1">((M425*staticResult!$C$2*100)+配裝模擬!$D$2+staticResult!$D$16*0.47)/staticResult!$C$2/100</f>
        <v>0.83674258780133359</v>
      </c>
      <c r="J425" s="49">
        <f ca="1">(staticResult!$C$16-H425)+BUFF!$F$27</f>
        <v>0.47475423898969304</v>
      </c>
      <c r="K425" s="448">
        <f t="shared" ca="1" si="25"/>
        <v>-0.54988526039467756</v>
      </c>
      <c r="L425" s="49">
        <f>((H425*staticResult!$C$2*100)+配裝模擬!$D$2+staticResult!$D$16*0.47)/staticResult!$C$2/100</f>
        <v>0.76944258780133334</v>
      </c>
      <c r="M425" s="476">
        <f ca="1">H425*(1+BUFF!$H$27)</f>
        <v>0.74030000000000007</v>
      </c>
    </row>
    <row r="426" spans="7:13">
      <c r="G426" s="448">
        <f t="shared" ca="1" si="24"/>
        <v>2.9315820378643096</v>
      </c>
      <c r="H426" s="49">
        <v>0.67400000000000004</v>
      </c>
      <c r="I426" s="49">
        <f ca="1">((M426*staticResult!$C$2*100)+配裝模擬!$D$2+staticResult!$D$16*0.47)/staticResult!$C$2/100</f>
        <v>0.83784258780133358</v>
      </c>
      <c r="J426" s="49">
        <f ca="1">(staticResult!$C$16-H426)+BUFF!$F$27</f>
        <v>0.47375423898969304</v>
      </c>
      <c r="K426" s="448">
        <f t="shared" ca="1" si="25"/>
        <v>-0.55264886010020176</v>
      </c>
      <c r="L426" s="49">
        <f>((H426*staticResult!$C$2*100)+配裝模擬!$D$2+staticResult!$D$16*0.47)/staticResult!$C$2/100</f>
        <v>0.77044258780133346</v>
      </c>
      <c r="M426" s="476">
        <f ca="1">H426*(1+BUFF!$H$27)</f>
        <v>0.74140000000000006</v>
      </c>
    </row>
    <row r="427" spans="7:13">
      <c r="G427" s="448">
        <f t="shared" ca="1" si="24"/>
        <v>2.931026625404503</v>
      </c>
      <c r="H427" s="49">
        <v>0.67500000000000004</v>
      </c>
      <c r="I427" s="49">
        <f ca="1">((M427*staticResult!$C$2*100)+配裝模擬!$D$2+staticResult!$D$16*0.47)/staticResult!$C$2/100</f>
        <v>0.83894258780133357</v>
      </c>
      <c r="J427" s="49">
        <f ca="1">(staticResult!$C$16-H427)+BUFF!$F$27</f>
        <v>0.47275423898969304</v>
      </c>
      <c r="K427" s="448">
        <f t="shared" ca="1" si="25"/>
        <v>-0.55541245980661413</v>
      </c>
      <c r="L427" s="49">
        <f>((H427*staticResult!$C$2*100)+配裝模擬!$D$2+staticResult!$D$16*0.47)/staticResult!$C$2/100</f>
        <v>0.77144258780133357</v>
      </c>
      <c r="M427" s="476">
        <f ca="1">H427*(1+BUFF!$H$27)</f>
        <v>0.74250000000000016</v>
      </c>
    </row>
    <row r="428" spans="7:13">
      <c r="G428" s="448">
        <f t="shared" ca="1" si="24"/>
        <v>2.9304684493449904</v>
      </c>
      <c r="H428" s="49">
        <v>0.67600000000000005</v>
      </c>
      <c r="I428" s="49">
        <f ca="1">((M428*staticResult!$C$2*100)+配裝模擬!$D$2+staticResult!$D$16*0.47)/staticResult!$C$2/100</f>
        <v>0.84004258780133356</v>
      </c>
      <c r="J428" s="49">
        <f ca="1">(staticResult!$C$16-H428)+BUFF!$F$27</f>
        <v>0.47175423898969304</v>
      </c>
      <c r="K428" s="448">
        <f t="shared" ca="1" si="25"/>
        <v>-0.55817605951258242</v>
      </c>
      <c r="L428" s="49">
        <f>((H428*staticResult!$C$2*100)+配裝模擬!$D$2+staticResult!$D$16*0.47)/staticResult!$C$2/100</f>
        <v>0.77244258780133346</v>
      </c>
      <c r="M428" s="476">
        <f ca="1">H428*(1+BUFF!$H$27)</f>
        <v>0.74360000000000015</v>
      </c>
    </row>
    <row r="429" spans="7:13">
      <c r="G429" s="448">
        <f t="shared" ca="1" si="24"/>
        <v>2.9299075096857727</v>
      </c>
      <c r="H429" s="49">
        <v>0.67700000000000005</v>
      </c>
      <c r="I429" s="49">
        <f ca="1">((M429*staticResult!$C$2*100)+配裝模擬!$D$2+staticResult!$D$16*0.47)/staticResult!$C$2/100</f>
        <v>0.84114258780133355</v>
      </c>
      <c r="J429" s="49">
        <f ca="1">(staticResult!$C$16-H429)+BUFF!$F$27</f>
        <v>0.47075423898969304</v>
      </c>
      <c r="K429" s="448">
        <f t="shared" ca="1" si="25"/>
        <v>-0.56093965921766253</v>
      </c>
      <c r="L429" s="49">
        <f>((H429*staticResult!$C$2*100)+配裝模擬!$D$2+staticResult!$D$16*0.47)/staticResult!$C$2/100</f>
        <v>0.77344258780133346</v>
      </c>
      <c r="M429" s="476">
        <f ca="1">H429*(1+BUFF!$H$27)</f>
        <v>0.74470000000000014</v>
      </c>
    </row>
    <row r="430" spans="7:13">
      <c r="G430" s="448">
        <f t="shared" ca="1" si="24"/>
        <v>2.9293438064268491</v>
      </c>
      <c r="H430" s="49">
        <v>0.67800000000000005</v>
      </c>
      <c r="I430" s="49">
        <f ca="1">((M430*staticResult!$C$2*100)+配裝模擬!$D$2+staticResult!$D$16*0.47)/staticResult!$C$2/100</f>
        <v>0.84224258780133354</v>
      </c>
      <c r="J430" s="49">
        <f ca="1">(staticResult!$C$16-H430)+BUFF!$F$27</f>
        <v>0.46975423898969304</v>
      </c>
      <c r="K430" s="448">
        <f t="shared" ca="1" si="25"/>
        <v>-0.56370325892363071</v>
      </c>
      <c r="L430" s="49">
        <f>((H430*staticResult!$C$2*100)+配裝模擬!$D$2+staticResult!$D$16*0.47)/staticResult!$C$2/100</f>
        <v>0.77444258780133357</v>
      </c>
      <c r="M430" s="476">
        <f ca="1">H430*(1+BUFF!$H$27)</f>
        <v>0.74580000000000013</v>
      </c>
    </row>
    <row r="431" spans="7:13">
      <c r="G431" s="448">
        <f t="shared" ca="1" si="24"/>
        <v>2.9287773395682195</v>
      </c>
      <c r="H431" s="49">
        <v>0.67900000000000005</v>
      </c>
      <c r="I431" s="49">
        <f ca="1">((M431*staticResult!$C$2*100)+配裝模擬!$D$2+staticResult!$D$16*0.47)/staticResult!$C$2/100</f>
        <v>0.84334258780133364</v>
      </c>
      <c r="J431" s="49">
        <f ca="1">(staticResult!$C$16-H431)+BUFF!$F$27</f>
        <v>0.46875423898969304</v>
      </c>
      <c r="K431" s="448">
        <f t="shared" ca="1" si="25"/>
        <v>-0.566466858629599</v>
      </c>
      <c r="L431" s="49">
        <f>((H431*staticResult!$C$2*100)+配裝模擬!$D$2+staticResult!$D$16*0.47)/staticResult!$C$2/100</f>
        <v>0.77544258780133346</v>
      </c>
      <c r="M431" s="476">
        <f ca="1">H431*(1+BUFF!$H$27)</f>
        <v>0.74690000000000012</v>
      </c>
    </row>
    <row r="432" spans="7:13">
      <c r="G432" s="448">
        <f t="shared" ca="1" si="24"/>
        <v>2.9282081091098844</v>
      </c>
      <c r="H432" s="49">
        <v>0.68</v>
      </c>
      <c r="I432" s="49">
        <f ca="1">((M432*staticResult!$C$2*100)+配裝模擬!$D$2+staticResult!$D$16*0.47)/staticResult!$C$2/100</f>
        <v>0.84444258780133352</v>
      </c>
      <c r="J432" s="49">
        <f ca="1">(staticResult!$C$16-H432)+BUFF!$F$27</f>
        <v>0.46775423898969304</v>
      </c>
      <c r="K432" s="448">
        <f t="shared" ca="1" si="25"/>
        <v>-0.5692304583351232</v>
      </c>
      <c r="L432" s="49">
        <f>((H432*staticResult!$C$2*100)+配裝模擬!$D$2+staticResult!$D$16*0.47)/staticResult!$C$2/100</f>
        <v>0.77644258780133357</v>
      </c>
      <c r="M432" s="476">
        <f ca="1">H432*(1+BUFF!$H$27)</f>
        <v>0.74800000000000011</v>
      </c>
    </row>
    <row r="433" spans="7:13">
      <c r="G433" s="448">
        <f t="shared" ca="1" si="24"/>
        <v>2.9276361150518428</v>
      </c>
      <c r="H433" s="49">
        <v>0.68100000000000005</v>
      </c>
      <c r="I433" s="49">
        <f ca="1">((M433*staticResult!$C$2*100)+配裝模擬!$D$2+staticResult!$D$16*0.47)/staticResult!$C$2/100</f>
        <v>0.84554258780133351</v>
      </c>
      <c r="J433" s="49">
        <f ca="1">(staticResult!$C$16-H433)+BUFF!$F$27</f>
        <v>0.46675423898969304</v>
      </c>
      <c r="K433" s="448">
        <f t="shared" ca="1" si="25"/>
        <v>-0.57199405804153558</v>
      </c>
      <c r="L433" s="49">
        <f>((H433*staticResult!$C$2*100)+配裝模擬!$D$2+staticResult!$D$16*0.47)/staticResult!$C$2/100</f>
        <v>0.77744258780133335</v>
      </c>
      <c r="M433" s="476">
        <f ca="1">H433*(1+BUFF!$H$27)</f>
        <v>0.7491000000000001</v>
      </c>
    </row>
    <row r="434" spans="7:13">
      <c r="G434" s="448">
        <f t="shared" ca="1" si="24"/>
        <v>2.9270613573940962</v>
      </c>
      <c r="H434" s="49">
        <v>0.68200000000000005</v>
      </c>
      <c r="I434" s="49">
        <f ca="1">((M434*staticResult!$C$2*100)+配裝模擬!$D$2+staticResult!$D$16*0.47)/staticResult!$C$2/100</f>
        <v>0.8466425878013335</v>
      </c>
      <c r="J434" s="49">
        <f ca="1">(staticResult!$C$16-H434)+BUFF!$F$27</f>
        <v>0.46575423898969304</v>
      </c>
      <c r="K434" s="448">
        <f t="shared" ca="1" si="25"/>
        <v>-0.57475765774661569</v>
      </c>
      <c r="L434" s="49">
        <f>((H434*staticResult!$C$2*100)+配裝模擬!$D$2+staticResult!$D$16*0.47)/staticResult!$C$2/100</f>
        <v>0.77844258780133346</v>
      </c>
      <c r="M434" s="476">
        <f ca="1">H434*(1+BUFF!$H$27)</f>
        <v>0.75020000000000009</v>
      </c>
    </row>
    <row r="435" spans="7:13">
      <c r="G435" s="448">
        <f t="shared" ca="1" si="24"/>
        <v>2.9264838361366441</v>
      </c>
      <c r="H435" s="49">
        <v>0.68300000000000005</v>
      </c>
      <c r="I435" s="49">
        <f ca="1">((M435*staticResult!$C$2*100)+配裝模擬!$D$2+staticResult!$D$16*0.47)/staticResult!$C$2/100</f>
        <v>0.84774258780133349</v>
      </c>
      <c r="J435" s="49">
        <f ca="1">(staticResult!$C$16-H435)+BUFF!$F$27</f>
        <v>0.46475423898969304</v>
      </c>
      <c r="K435" s="448">
        <f t="shared" ca="1" si="25"/>
        <v>-0.57752125745213989</v>
      </c>
      <c r="L435" s="49">
        <f>((H435*staticResult!$C$2*100)+配裝模擬!$D$2+staticResult!$D$16*0.47)/staticResult!$C$2/100</f>
        <v>0.77944258780133358</v>
      </c>
      <c r="M435" s="476">
        <f ca="1">H435*(1+BUFF!$H$27)</f>
        <v>0.75130000000000008</v>
      </c>
    </row>
    <row r="436" spans="7:13">
      <c r="G436" s="448">
        <f t="shared" ca="1" si="24"/>
        <v>2.9259035512794855</v>
      </c>
      <c r="H436" s="49">
        <v>0.68400000000000005</v>
      </c>
      <c r="I436" s="49">
        <f ca="1">((M436*staticResult!$C$2*100)+配裝模擬!$D$2+staticResult!$D$16*0.47)/staticResult!$C$2/100</f>
        <v>0.84884258780133348</v>
      </c>
      <c r="J436" s="49">
        <f ca="1">(staticResult!$C$16-H436)+BUFF!$F$27</f>
        <v>0.46375423898969304</v>
      </c>
      <c r="K436" s="448">
        <f t="shared" ca="1" si="25"/>
        <v>-0.58028485715855227</v>
      </c>
      <c r="L436" s="49">
        <f>((H436*staticResult!$C$2*100)+配裝模擬!$D$2+staticResult!$D$16*0.47)/staticResult!$C$2/100</f>
        <v>0.78044258780133346</v>
      </c>
      <c r="M436" s="476">
        <f ca="1">H436*(1+BUFF!$H$27)</f>
        <v>0.75240000000000007</v>
      </c>
    </row>
    <row r="437" spans="7:13">
      <c r="G437" s="448">
        <f t="shared" ca="1" si="24"/>
        <v>2.9253205028226219</v>
      </c>
      <c r="H437" s="49">
        <v>0.68500000000000005</v>
      </c>
      <c r="I437" s="49">
        <f ca="1">((M437*staticResult!$C$2*100)+配裝模擬!$D$2+staticResult!$D$16*0.47)/staticResult!$C$2/100</f>
        <v>0.84994258780133369</v>
      </c>
      <c r="J437" s="49">
        <f ca="1">(staticResult!$C$16-H437)+BUFF!$F$27</f>
        <v>0.46275423898969303</v>
      </c>
      <c r="K437" s="448">
        <f t="shared" ca="1" si="25"/>
        <v>-0.58304845686363238</v>
      </c>
      <c r="L437" s="49">
        <f>((H437*staticResult!$C$2*100)+配裝模擬!$D$2+staticResult!$D$16*0.47)/staticResult!$C$2/100</f>
        <v>0.78144258780133347</v>
      </c>
      <c r="M437" s="476">
        <f ca="1">H437*(1+BUFF!$H$27)</f>
        <v>0.75350000000000017</v>
      </c>
    </row>
    <row r="438" spans="7:13">
      <c r="G438" s="448">
        <f t="shared" ca="1" si="24"/>
        <v>2.9247346907660514</v>
      </c>
      <c r="H438" s="49">
        <v>0.68600000000000005</v>
      </c>
      <c r="I438" s="49">
        <f ca="1">((M438*staticResult!$C$2*100)+配裝模擬!$D$2+staticResult!$D$16*0.47)/staticResult!$C$2/100</f>
        <v>0.85104258780133368</v>
      </c>
      <c r="J438" s="49">
        <f ca="1">(staticResult!$C$16-H438)+BUFF!$F$27</f>
        <v>0.46175423898969303</v>
      </c>
      <c r="K438" s="448">
        <f t="shared" ca="1" si="25"/>
        <v>-0.58581205657048885</v>
      </c>
      <c r="L438" s="49">
        <f>((H438*staticResult!$C$2*100)+配裝模擬!$D$2+staticResult!$D$16*0.47)/staticResult!$C$2/100</f>
        <v>0.78244258780133347</v>
      </c>
      <c r="M438" s="476">
        <f ca="1">H438*(1+BUFF!$H$27)</f>
        <v>0.75460000000000016</v>
      </c>
    </row>
    <row r="439" spans="7:13">
      <c r="G439" s="448">
        <f t="shared" ca="1" si="24"/>
        <v>2.9241461151097754</v>
      </c>
      <c r="H439" s="49">
        <v>0.68700000000000006</v>
      </c>
      <c r="I439" s="49">
        <f ca="1">((M439*staticResult!$C$2*100)+配裝模擬!$D$2+staticResult!$D$16*0.47)/staticResult!$C$2/100</f>
        <v>0.85214258780133367</v>
      </c>
      <c r="J439" s="49">
        <f ca="1">(staticResult!$C$16-H439)+BUFF!$F$27</f>
        <v>0.46075423898969303</v>
      </c>
      <c r="K439" s="448">
        <f t="shared" ca="1" si="25"/>
        <v>-0.58857565627601305</v>
      </c>
      <c r="L439" s="49">
        <f>((H439*staticResult!$C$2*100)+配裝模擬!$D$2+staticResult!$D$16*0.47)/staticResult!$C$2/100</f>
        <v>0.78344258780133347</v>
      </c>
      <c r="M439" s="476">
        <f ca="1">H439*(1+BUFF!$H$27)</f>
        <v>0.75570000000000015</v>
      </c>
    </row>
    <row r="440" spans="7:13">
      <c r="G440" s="448">
        <f t="shared" ca="1" si="24"/>
        <v>2.9235547758537934</v>
      </c>
      <c r="H440" s="49">
        <v>0.68799999999999994</v>
      </c>
      <c r="I440" s="49">
        <f ca="1">((M440*staticResult!$C$2*100)+配裝模擬!$D$2+staticResult!$D$16*0.47)/staticResult!$C$2/100</f>
        <v>0.85324258780133333</v>
      </c>
      <c r="J440" s="49">
        <f ca="1">(staticResult!$C$16-H440)+BUFF!$F$27</f>
        <v>0.45975423898969314</v>
      </c>
      <c r="K440" s="448">
        <f t="shared" ca="1" si="25"/>
        <v>-0.59133925598204706</v>
      </c>
      <c r="L440" s="49">
        <f>((H440*staticResult!$C$2*100)+配裝模擬!$D$2+staticResult!$D$16*0.47)/staticResult!$C$2/100</f>
        <v>0.78444258780133336</v>
      </c>
      <c r="M440" s="476">
        <f ca="1">H440*(1+BUFF!$H$27)</f>
        <v>0.75680000000000003</v>
      </c>
    </row>
    <row r="441" spans="7:13">
      <c r="G441" s="448">
        <f t="shared" ca="1" si="24"/>
        <v>2.9229606729981059</v>
      </c>
      <c r="H441" s="49">
        <v>0.68899999999999995</v>
      </c>
      <c r="I441" s="49">
        <f ca="1">((M441*staticResult!$C$2*100)+配裝模擬!$D$2+staticResult!$D$16*0.47)/staticResult!$C$2/100</f>
        <v>0.85434258780133343</v>
      </c>
      <c r="J441" s="49">
        <f ca="1">(staticResult!$C$16-H441)+BUFF!$F$27</f>
        <v>0.45875423898969314</v>
      </c>
      <c r="K441" s="448">
        <f t="shared" ca="1" si="25"/>
        <v>-0.59410285568750554</v>
      </c>
      <c r="L441" s="49">
        <f>((H441*staticResult!$C$2*100)+配裝模擬!$D$2+staticResult!$D$16*0.47)/staticResult!$C$2/100</f>
        <v>0.78544258780133347</v>
      </c>
      <c r="M441" s="476">
        <f ca="1">H441*(1+BUFF!$H$27)</f>
        <v>0.75790000000000002</v>
      </c>
    </row>
    <row r="442" spans="7:13">
      <c r="G442" s="448">
        <f t="shared" ca="1" si="24"/>
        <v>2.9223638065427133</v>
      </c>
      <c r="H442" s="49">
        <v>0.69</v>
      </c>
      <c r="I442" s="49">
        <f ca="1">((M442*staticResult!$C$2*100)+配裝模擬!$D$2+staticResult!$D$16*0.47)/staticResult!$C$2/100</f>
        <v>0.85544258780133342</v>
      </c>
      <c r="J442" s="49">
        <f ca="1">(staticResult!$C$16-H442)+BUFF!$F$27</f>
        <v>0.45775423898969314</v>
      </c>
      <c r="K442" s="448">
        <f t="shared" ca="1" si="25"/>
        <v>-0.59686645539258565</v>
      </c>
      <c r="L442" s="49">
        <f>((H442*staticResult!$C$2*100)+配裝模擬!$D$2+staticResult!$D$16*0.47)/staticResult!$C$2/100</f>
        <v>0.78644258780133325</v>
      </c>
      <c r="M442" s="476">
        <f ca="1">H442*(1+BUFF!$H$27)</f>
        <v>0.75900000000000001</v>
      </c>
    </row>
    <row r="443" spans="7:13">
      <c r="G443" s="448">
        <f t="shared" ca="1" si="24"/>
        <v>2.9217641764876143</v>
      </c>
      <c r="H443" s="49">
        <v>0.69099999999999995</v>
      </c>
      <c r="I443" s="49">
        <f ca="1">((M443*staticResult!$C$2*100)+配裝模擬!$D$2+staticResult!$D$16*0.47)/staticResult!$C$2/100</f>
        <v>0.85654258780133352</v>
      </c>
      <c r="J443" s="49">
        <f ca="1">(staticResult!$C$16-H443)+BUFF!$F$27</f>
        <v>0.45675423898969314</v>
      </c>
      <c r="K443" s="448">
        <f t="shared" ca="1" si="25"/>
        <v>-0.59963005509899803</v>
      </c>
      <c r="L443" s="49">
        <f>((H443*staticResult!$C$2*100)+配裝模擬!$D$2+staticResult!$D$16*0.47)/staticResult!$C$2/100</f>
        <v>0.78744258780133336</v>
      </c>
      <c r="M443" s="476">
        <f ca="1">H443*(1+BUFF!$H$27)</f>
        <v>0.7601</v>
      </c>
    </row>
    <row r="444" spans="7:13">
      <c r="G444" s="448">
        <f t="shared" ca="1" si="24"/>
        <v>2.9211617828328089</v>
      </c>
      <c r="H444" s="49">
        <v>0.69199999999999995</v>
      </c>
      <c r="I444" s="49">
        <f ca="1">((M444*staticResult!$C$2*100)+配裝模擬!$D$2+staticResult!$D$16*0.47)/staticResult!$C$2/100</f>
        <v>0.85764258780133329</v>
      </c>
      <c r="J444" s="49">
        <f ca="1">(staticResult!$C$16-H444)+BUFF!$F$27</f>
        <v>0.45575423898969314</v>
      </c>
      <c r="K444" s="448">
        <f t="shared" ca="1" si="25"/>
        <v>-0.60239365480541041</v>
      </c>
      <c r="L444" s="49">
        <f>((H444*staticResult!$C$2*100)+配裝模擬!$D$2+staticResult!$D$16*0.47)/staticResult!$C$2/100</f>
        <v>0.78844258780133347</v>
      </c>
      <c r="M444" s="476">
        <f ca="1">H444*(1+BUFF!$H$27)</f>
        <v>0.76119999999999999</v>
      </c>
    </row>
    <row r="445" spans="7:13">
      <c r="G445" s="448">
        <f t="shared" ca="1" si="24"/>
        <v>2.9205566255782989</v>
      </c>
      <c r="H445" s="49">
        <v>0.69299999999999995</v>
      </c>
      <c r="I445" s="49">
        <f ca="1">((M445*staticResult!$C$2*100)+配裝模擬!$D$2+staticResult!$D$16*0.47)/staticResult!$C$2/100</f>
        <v>0.8587425878013335</v>
      </c>
      <c r="J445" s="49">
        <f ca="1">(staticResult!$C$16-H445)+BUFF!$F$27</f>
        <v>0.45475423898969314</v>
      </c>
      <c r="K445" s="448">
        <f t="shared" ca="1" si="25"/>
        <v>-0.60515725451004643</v>
      </c>
      <c r="L445" s="49">
        <f>((H445*staticResult!$C$2*100)+配裝模擬!$D$2+staticResult!$D$16*0.47)/staticResult!$C$2/100</f>
        <v>0.78944258780133336</v>
      </c>
      <c r="M445" s="476">
        <f ca="1">H445*(1+BUFF!$H$27)</f>
        <v>0.76229999999999998</v>
      </c>
    </row>
    <row r="446" spans="7:13">
      <c r="G446" s="448">
        <f t="shared" ca="1" si="24"/>
        <v>2.9199487047240824</v>
      </c>
      <c r="H446" s="49">
        <v>0.69399999999999995</v>
      </c>
      <c r="I446" s="49">
        <f ca="1">((M446*staticResult!$C$2*100)+配裝模擬!$D$2+staticResult!$D$16*0.47)/staticResult!$C$2/100</f>
        <v>0.85984258780133349</v>
      </c>
      <c r="J446" s="49">
        <f ca="1">(staticResult!$C$16-H446)+BUFF!$F$27</f>
        <v>0.45375423898969314</v>
      </c>
      <c r="K446" s="448">
        <f t="shared" ca="1" si="25"/>
        <v>-0.60792085421645881</v>
      </c>
      <c r="L446" s="49">
        <f>((H446*staticResult!$C$2*100)+配裝模擬!$D$2+staticResult!$D$16*0.47)/staticResult!$C$2/100</f>
        <v>0.79044258780133336</v>
      </c>
      <c r="M446" s="476">
        <f ca="1">H446*(1+BUFF!$H$27)</f>
        <v>0.76339999999999997</v>
      </c>
    </row>
    <row r="447" spans="7:13">
      <c r="G447" s="448">
        <f t="shared" ca="1" si="24"/>
        <v>2.9193380202701609</v>
      </c>
      <c r="H447" s="49">
        <v>0.69499999999999995</v>
      </c>
      <c r="I447" s="49">
        <f ca="1">((M447*staticResult!$C$2*100)+配裝模擬!$D$2+staticResult!$D$16*0.47)/staticResult!$C$2/100</f>
        <v>0.86094258780133348</v>
      </c>
      <c r="J447" s="49">
        <f ca="1">(staticResult!$C$16-H447)+BUFF!$F$27</f>
        <v>0.45275423898969314</v>
      </c>
      <c r="K447" s="448">
        <f t="shared" ca="1" si="25"/>
        <v>-0.61068445392153892</v>
      </c>
      <c r="L447" s="49">
        <f>((H447*staticResult!$C$2*100)+配裝模擬!$D$2+staticResult!$D$16*0.47)/staticResult!$C$2/100</f>
        <v>0.79144258780133336</v>
      </c>
      <c r="M447" s="476">
        <f ca="1">H447*(1+BUFF!$H$27)</f>
        <v>0.76449999999999996</v>
      </c>
    </row>
    <row r="448" spans="7:13">
      <c r="G448" s="448">
        <f t="shared" ca="1" si="24"/>
        <v>2.9187245722165329</v>
      </c>
      <c r="H448" s="49">
        <v>0.69599999999999995</v>
      </c>
      <c r="I448" s="49">
        <f ca="1">((M448*staticResult!$C$2*100)+配裝模擬!$D$2+staticResult!$D$16*0.47)/staticResult!$C$2/100</f>
        <v>0.86204258780133358</v>
      </c>
      <c r="J448" s="49">
        <f ca="1">(staticResult!$C$16-H448)+BUFF!$F$27</f>
        <v>0.45175423898969314</v>
      </c>
      <c r="K448" s="448">
        <f t="shared" ca="1" si="25"/>
        <v>-0.6134480536279513</v>
      </c>
      <c r="L448" s="49">
        <f>((H448*staticResult!$C$2*100)+配裝模擬!$D$2+staticResult!$D$16*0.47)/staticResult!$C$2/100</f>
        <v>0.79244258780133336</v>
      </c>
      <c r="M448" s="476">
        <f ca="1">H448*(1+BUFF!$H$27)</f>
        <v>0.76560000000000006</v>
      </c>
    </row>
    <row r="449" spans="7:13">
      <c r="G449" s="448">
        <f t="shared" ca="1" si="24"/>
        <v>2.918108360563199</v>
      </c>
      <c r="H449" s="49">
        <v>0.69699999999999995</v>
      </c>
      <c r="I449" s="49">
        <f ca="1">((M449*staticResult!$C$2*100)+配裝模擬!$D$2+staticResult!$D$16*0.47)/staticResult!$C$2/100</f>
        <v>0.86314258780133346</v>
      </c>
      <c r="J449" s="49">
        <f ca="1">(staticResult!$C$16-H449)+BUFF!$F$27</f>
        <v>0.45075423898969313</v>
      </c>
      <c r="K449" s="448">
        <f t="shared" ca="1" si="25"/>
        <v>-0.61621165333391958</v>
      </c>
      <c r="L449" s="49">
        <f>((H449*staticResult!$C$2*100)+配裝模擬!$D$2+staticResult!$D$16*0.47)/staticResult!$C$2/100</f>
        <v>0.79344258780133348</v>
      </c>
      <c r="M449" s="476">
        <f ca="1">H449*(1+BUFF!$H$27)</f>
        <v>0.76670000000000005</v>
      </c>
    </row>
    <row r="450" spans="7:13">
      <c r="G450" s="448">
        <f t="shared" ref="G450:G513" ca="1" si="26">(1+I450)*(J450*$F$13+(1-J450))</f>
        <v>2.91748938531016</v>
      </c>
      <c r="H450" s="49">
        <v>0.69799999999999995</v>
      </c>
      <c r="I450" s="49">
        <f ca="1">((M450*staticResult!$C$2*100)+配裝模擬!$D$2+staticResult!$D$16*0.47)/staticResult!$C$2/100</f>
        <v>0.86424258780133356</v>
      </c>
      <c r="J450" s="49">
        <f ca="1">(staticResult!$C$16-H450)+BUFF!$F$27</f>
        <v>0.44975423898969313</v>
      </c>
      <c r="K450" s="448">
        <f t="shared" ca="1" si="25"/>
        <v>-0.6189752530389997</v>
      </c>
      <c r="L450" s="49">
        <f>((H450*staticResult!$C$2*100)+配裝模擬!$D$2+staticResult!$D$16*0.47)/staticResult!$C$2/100</f>
        <v>0.79444258780133337</v>
      </c>
      <c r="M450" s="476">
        <f ca="1">H450*(1+BUFF!$H$27)</f>
        <v>0.76780000000000004</v>
      </c>
    </row>
    <row r="451" spans="7:13">
      <c r="G451" s="448">
        <f t="shared" ca="1" si="26"/>
        <v>2.9168676464574146</v>
      </c>
      <c r="H451" s="49">
        <v>0.69899999999999995</v>
      </c>
      <c r="I451" s="49">
        <f ca="1">((M451*staticResult!$C$2*100)+配裝模擬!$D$2+staticResult!$D$16*0.47)/staticResult!$C$2/100</f>
        <v>0.86534258780133344</v>
      </c>
      <c r="J451" s="49">
        <f ca="1">(staticResult!$C$16-H451)+BUFF!$F$27</f>
        <v>0.44875423898969313</v>
      </c>
      <c r="K451" s="448">
        <f t="shared" ref="K451:K514" ca="1" si="27">(G451-G450)/(H451-H450)</f>
        <v>-0.62173885274541207</v>
      </c>
      <c r="L451" s="49">
        <f>((H451*staticResult!$C$2*100)+配裝模擬!$D$2+staticResult!$D$16*0.47)/staticResult!$C$2/100</f>
        <v>0.79544258780133337</v>
      </c>
      <c r="M451" s="476">
        <f ca="1">H451*(1+BUFF!$H$27)</f>
        <v>0.76890000000000003</v>
      </c>
    </row>
    <row r="452" spans="7:13">
      <c r="G452" s="448">
        <f t="shared" ca="1" si="26"/>
        <v>2.9162431440049632</v>
      </c>
      <c r="H452" s="49">
        <v>0.7</v>
      </c>
      <c r="I452" s="49">
        <f ca="1">((M452*staticResult!$C$2*100)+配裝模擬!$D$2+staticResult!$D$16*0.47)/staticResult!$C$2/100</f>
        <v>0.86644258780133343</v>
      </c>
      <c r="J452" s="49">
        <f ca="1">(staticResult!$C$16-H452)+BUFF!$F$27</f>
        <v>0.44775423898969313</v>
      </c>
      <c r="K452" s="448">
        <f t="shared" ca="1" si="27"/>
        <v>-0.62450245245138036</v>
      </c>
      <c r="L452" s="49">
        <f>((H452*staticResult!$C$2*100)+配裝模擬!$D$2+staticResult!$D$16*0.47)/staticResult!$C$2/100</f>
        <v>0.79644258780133337</v>
      </c>
      <c r="M452" s="476">
        <f ca="1">H452*(1+BUFF!$H$27)</f>
        <v>0.77</v>
      </c>
    </row>
    <row r="453" spans="7:13">
      <c r="G453" s="448">
        <f t="shared" ca="1" si="26"/>
        <v>2.9156158779528067</v>
      </c>
      <c r="H453" s="49">
        <v>0.70099999999999996</v>
      </c>
      <c r="I453" s="49">
        <f ca="1">((M453*staticResult!$C$2*100)+配裝模擬!$D$2+staticResult!$D$16*0.47)/staticResult!$C$2/100</f>
        <v>0.86754258780133342</v>
      </c>
      <c r="J453" s="49">
        <f ca="1">(staticResult!$C$16-H453)+BUFF!$F$27</f>
        <v>0.44675423898969313</v>
      </c>
      <c r="K453" s="448">
        <f t="shared" ca="1" si="27"/>
        <v>-0.62726605215646047</v>
      </c>
      <c r="L453" s="49">
        <f>((H453*staticResult!$C$2*100)+配裝模擬!$D$2+staticResult!$D$16*0.47)/staticResult!$C$2/100</f>
        <v>0.79744258780133337</v>
      </c>
      <c r="M453" s="476">
        <f ca="1">H453*(1+BUFF!$H$27)</f>
        <v>0.77110000000000001</v>
      </c>
    </row>
    <row r="454" spans="7:13">
      <c r="G454" s="448">
        <f t="shared" ca="1" si="26"/>
        <v>2.9149858483009439</v>
      </c>
      <c r="H454" s="49">
        <v>0.70199999999999996</v>
      </c>
      <c r="I454" s="49">
        <f ca="1">((M454*staticResult!$C$2*100)+配裝模擬!$D$2+staticResult!$D$16*0.47)/staticResult!$C$2/100</f>
        <v>0.86864258780133352</v>
      </c>
      <c r="J454" s="49">
        <f ca="1">(staticResult!$C$16-H454)+BUFF!$F$27</f>
        <v>0.44575423898969313</v>
      </c>
      <c r="K454" s="448">
        <f t="shared" ca="1" si="27"/>
        <v>-0.63002965186287285</v>
      </c>
      <c r="L454" s="49">
        <f>((H454*staticResult!$C$2*100)+配裝模擬!$D$2+staticResult!$D$16*0.47)/staticResult!$C$2/100</f>
        <v>0.79844258780133348</v>
      </c>
      <c r="M454" s="476">
        <f ca="1">H454*(1+BUFF!$H$27)</f>
        <v>0.7722</v>
      </c>
    </row>
    <row r="455" spans="7:13">
      <c r="G455" s="448">
        <f t="shared" ca="1" si="26"/>
        <v>2.9143530550493755</v>
      </c>
      <c r="H455" s="49">
        <v>0.70299999999999996</v>
      </c>
      <c r="I455" s="49">
        <f ca="1">((M455*staticResult!$C$2*100)+配裝模擬!$D$2+staticResult!$D$16*0.47)/staticResult!$C$2/100</f>
        <v>0.8697425878013334</v>
      </c>
      <c r="J455" s="49">
        <f ca="1">(staticResult!$C$16-H455)+BUFF!$F$27</f>
        <v>0.44475423898969313</v>
      </c>
      <c r="K455" s="448">
        <f t="shared" ca="1" si="27"/>
        <v>-0.63279325156839705</v>
      </c>
      <c r="L455" s="49">
        <f>((H455*staticResult!$C$2*100)+配裝模擬!$D$2+staticResult!$D$16*0.47)/staticResult!$C$2/100</f>
        <v>0.79944258780133337</v>
      </c>
      <c r="M455" s="476">
        <f ca="1">H455*(1+BUFF!$H$27)</f>
        <v>0.77329999999999999</v>
      </c>
    </row>
    <row r="456" spans="7:13">
      <c r="G456" s="448">
        <f t="shared" ca="1" si="26"/>
        <v>2.9137174981981011</v>
      </c>
      <c r="H456" s="49">
        <v>0.70399999999999996</v>
      </c>
      <c r="I456" s="49">
        <f ca="1">((M456*staticResult!$C$2*100)+配裝模擬!$D$2+staticResult!$D$16*0.47)/staticResult!$C$2/100</f>
        <v>0.87084258780133339</v>
      </c>
      <c r="J456" s="49">
        <f ca="1">(staticResult!$C$16-H456)+BUFF!$F$27</f>
        <v>0.44375423898969313</v>
      </c>
      <c r="K456" s="448">
        <f t="shared" ca="1" si="27"/>
        <v>-0.63555685127436534</v>
      </c>
      <c r="L456" s="49">
        <f>((H456*staticResult!$C$2*100)+配裝模擬!$D$2+staticResult!$D$16*0.47)/staticResult!$C$2/100</f>
        <v>0.80044258780133337</v>
      </c>
      <c r="M456" s="476">
        <f ca="1">H456*(1+BUFF!$H$27)</f>
        <v>0.77439999999999998</v>
      </c>
    </row>
    <row r="457" spans="7:13">
      <c r="G457" s="448">
        <f t="shared" ca="1" si="26"/>
        <v>2.9130791777471212</v>
      </c>
      <c r="H457" s="49">
        <v>0.70499999999999996</v>
      </c>
      <c r="I457" s="49">
        <f ca="1">((M457*staticResult!$C$2*100)+配裝模擬!$D$2+staticResult!$D$16*0.47)/staticResult!$C$2/100</f>
        <v>0.87194258780133338</v>
      </c>
      <c r="J457" s="49">
        <f ca="1">(staticResult!$C$16-H457)+BUFF!$F$27</f>
        <v>0.44275423898969313</v>
      </c>
      <c r="K457" s="448">
        <f t="shared" ca="1" si="27"/>
        <v>-0.63832045097988954</v>
      </c>
      <c r="L457" s="49">
        <f>((H457*staticResult!$C$2*100)+配裝模擬!$D$2+staticResult!$D$16*0.47)/staticResult!$C$2/100</f>
        <v>0.80144258780133337</v>
      </c>
      <c r="M457" s="476">
        <f ca="1">H457*(1+BUFF!$H$27)</f>
        <v>0.77549999999999997</v>
      </c>
    </row>
    <row r="458" spans="7:13">
      <c r="G458" s="448">
        <f t="shared" ca="1" si="26"/>
        <v>2.9124380936964354</v>
      </c>
      <c r="H458" s="49">
        <v>0.70599999999999996</v>
      </c>
      <c r="I458" s="49">
        <f ca="1">((M458*staticResult!$C$2*100)+配裝模擬!$D$2+staticResult!$D$16*0.47)/staticResult!$C$2/100</f>
        <v>0.87304258780133348</v>
      </c>
      <c r="J458" s="49">
        <f ca="1">(staticResult!$C$16-H458)+BUFF!$F$27</f>
        <v>0.44175423898969313</v>
      </c>
      <c r="K458" s="448">
        <f t="shared" ca="1" si="27"/>
        <v>-0.64108405068585783</v>
      </c>
      <c r="L458" s="49">
        <f>((H458*staticResult!$C$2*100)+配裝模擬!$D$2+staticResult!$D$16*0.47)/staticResult!$C$2/100</f>
        <v>0.80244258780133337</v>
      </c>
      <c r="M458" s="476">
        <f ca="1">H458*(1+BUFF!$H$27)</f>
        <v>0.77660000000000007</v>
      </c>
    </row>
    <row r="459" spans="7:13">
      <c r="G459" s="448">
        <f t="shared" ca="1" si="26"/>
        <v>2.9117942460460431</v>
      </c>
      <c r="H459" s="49">
        <v>0.70699999999999996</v>
      </c>
      <c r="I459" s="49">
        <f ca="1">((M459*staticResult!$C$2*100)+配裝模擬!$D$2+staticResult!$D$16*0.47)/staticResult!$C$2/100</f>
        <v>0.87414258780133347</v>
      </c>
      <c r="J459" s="49">
        <f ca="1">(staticResult!$C$16-H459)+BUFF!$F$27</f>
        <v>0.44075423898969313</v>
      </c>
      <c r="K459" s="448">
        <f t="shared" ca="1" si="27"/>
        <v>-0.64384765039227021</v>
      </c>
      <c r="L459" s="49">
        <f>((H459*staticResult!$C$2*100)+配裝模擬!$D$2+staticResult!$D$16*0.47)/staticResult!$C$2/100</f>
        <v>0.80344258780133326</v>
      </c>
      <c r="M459" s="476">
        <f ca="1">H459*(1+BUFF!$H$27)</f>
        <v>0.77770000000000006</v>
      </c>
    </row>
    <row r="460" spans="7:13">
      <c r="G460" s="448">
        <f t="shared" ca="1" si="26"/>
        <v>2.9111476347959466</v>
      </c>
      <c r="H460" s="49">
        <v>0.70799999999999996</v>
      </c>
      <c r="I460" s="49">
        <f ca="1">((M460*staticResult!$C$2*100)+配裝模擬!$D$2+staticResult!$D$16*0.47)/staticResult!$C$2/100</f>
        <v>0.87524258780133346</v>
      </c>
      <c r="J460" s="49">
        <f ca="1">(staticResult!$C$16-H460)+BUFF!$F$27</f>
        <v>0.43975423898969312</v>
      </c>
      <c r="K460" s="448">
        <f t="shared" ca="1" si="27"/>
        <v>-0.64661125009646214</v>
      </c>
      <c r="L460" s="49">
        <f>((H460*staticResult!$C$2*100)+配裝模擬!$D$2+staticResult!$D$16*0.47)/staticResult!$C$2/100</f>
        <v>0.80444258780133338</v>
      </c>
      <c r="M460" s="476">
        <f ca="1">H460*(1+BUFF!$H$27)</f>
        <v>0.77880000000000005</v>
      </c>
    </row>
    <row r="461" spans="7:13">
      <c r="G461" s="448">
        <f t="shared" ca="1" si="26"/>
        <v>2.9104982599461433</v>
      </c>
      <c r="H461" s="49">
        <v>0.70899999999999996</v>
      </c>
      <c r="I461" s="49">
        <f ca="1">((M461*staticResult!$C$2*100)+配裝模擬!$D$2+staticResult!$D$16*0.47)/staticResult!$C$2/100</f>
        <v>0.87634258780133356</v>
      </c>
      <c r="J461" s="49">
        <f ca="1">(staticResult!$C$16-H461)+BUFF!$F$27</f>
        <v>0.43875423898969312</v>
      </c>
      <c r="K461" s="448">
        <f t="shared" ca="1" si="27"/>
        <v>-0.64937484980331861</v>
      </c>
      <c r="L461" s="49">
        <f>((H461*staticResult!$C$2*100)+配裝模擬!$D$2+staticResult!$D$16*0.47)/staticResult!$C$2/100</f>
        <v>0.80544258780133349</v>
      </c>
      <c r="M461" s="476">
        <f ca="1">H461*(1+BUFF!$H$27)</f>
        <v>0.77990000000000004</v>
      </c>
    </row>
    <row r="462" spans="7:13">
      <c r="G462" s="448">
        <f t="shared" ca="1" si="26"/>
        <v>2.9098461214966345</v>
      </c>
      <c r="H462" s="49">
        <v>0.71</v>
      </c>
      <c r="I462" s="49">
        <f ca="1">((M462*staticResult!$C$2*100)+配裝模擬!$D$2+staticResult!$D$16*0.47)/staticResult!$C$2/100</f>
        <v>0.87744258780133355</v>
      </c>
      <c r="J462" s="49">
        <f ca="1">(staticResult!$C$16-H462)+BUFF!$F$27</f>
        <v>0.43775423898969312</v>
      </c>
      <c r="K462" s="448">
        <f t="shared" ca="1" si="27"/>
        <v>-0.65213844950884281</v>
      </c>
      <c r="L462" s="49">
        <f>((H462*staticResult!$C$2*100)+配裝模擬!$D$2+staticResult!$D$16*0.47)/staticResult!$C$2/100</f>
        <v>0.80644258780133338</v>
      </c>
      <c r="M462" s="476">
        <f ca="1">H462*(1+BUFF!$H$27)</f>
        <v>0.78100000000000003</v>
      </c>
    </row>
    <row r="463" spans="7:13">
      <c r="G463" s="448">
        <f t="shared" ca="1" si="26"/>
        <v>2.9091912194474197</v>
      </c>
      <c r="H463" s="49">
        <v>0.71099999999999997</v>
      </c>
      <c r="I463" s="49">
        <f ca="1">((M463*staticResult!$C$2*100)+配裝模擬!$D$2+staticResult!$D$16*0.47)/staticResult!$C$2/100</f>
        <v>0.87854258780133354</v>
      </c>
      <c r="J463" s="49">
        <f ca="1">(staticResult!$C$16-H463)+BUFF!$F$27</f>
        <v>0.43675423898969312</v>
      </c>
      <c r="K463" s="448">
        <f t="shared" ca="1" si="27"/>
        <v>-0.6549020492148111</v>
      </c>
      <c r="L463" s="49">
        <f>((H463*staticResult!$C$2*100)+配裝模擬!$D$2+staticResult!$D$16*0.47)/staticResult!$C$2/100</f>
        <v>0.80744258780133338</v>
      </c>
      <c r="M463" s="476">
        <f ca="1">H463*(1+BUFF!$H$27)</f>
        <v>0.78210000000000002</v>
      </c>
    </row>
    <row r="464" spans="7:13">
      <c r="G464" s="448">
        <f t="shared" ca="1" si="26"/>
        <v>2.9085335537984989</v>
      </c>
      <c r="H464" s="49">
        <v>0.71199999999999997</v>
      </c>
      <c r="I464" s="49">
        <f ca="1">((M464*staticResult!$C$2*100)+配裝模擬!$D$2+staticResult!$D$16*0.47)/staticResult!$C$2/100</f>
        <v>0.87964258780133353</v>
      </c>
      <c r="J464" s="49">
        <f ca="1">(staticResult!$C$16-H464)+BUFF!$F$27</f>
        <v>0.43575423898969312</v>
      </c>
      <c r="K464" s="448">
        <f t="shared" ca="1" si="27"/>
        <v>-0.65766564892077939</v>
      </c>
      <c r="L464" s="49">
        <f>((H464*staticResult!$C$2*100)+配裝模擬!$D$2+staticResult!$D$16*0.47)/staticResult!$C$2/100</f>
        <v>0.80844258780133349</v>
      </c>
      <c r="M464" s="476">
        <f ca="1">H464*(1+BUFF!$H$27)</f>
        <v>0.78320000000000001</v>
      </c>
    </row>
    <row r="465" spans="7:13">
      <c r="G465" s="448">
        <f t="shared" ca="1" si="26"/>
        <v>2.9078731245498726</v>
      </c>
      <c r="H465" s="49">
        <v>0.71299999999999997</v>
      </c>
      <c r="I465" s="49">
        <f ca="1">((M465*staticResult!$C$2*100)+配裝模擬!$D$2+staticResult!$D$16*0.47)/staticResult!$C$2/100</f>
        <v>0.88074258780133352</v>
      </c>
      <c r="J465" s="49">
        <f ca="1">(staticResult!$C$16-H465)+BUFF!$F$27</f>
        <v>0.43475423898969312</v>
      </c>
      <c r="K465" s="448">
        <f t="shared" ca="1" si="27"/>
        <v>-0.66042924862630359</v>
      </c>
      <c r="L465" s="49">
        <f>((H465*staticResult!$C$2*100)+配裝模擬!$D$2+staticResult!$D$16*0.47)/staticResult!$C$2/100</f>
        <v>0.80944258780133338</v>
      </c>
      <c r="M465" s="476">
        <f ca="1">H465*(1+BUFF!$H$27)</f>
        <v>0.7843</v>
      </c>
    </row>
    <row r="466" spans="7:13">
      <c r="G466" s="448">
        <f t="shared" ca="1" si="26"/>
        <v>2.9072099317015403</v>
      </c>
      <c r="H466" s="49">
        <v>0.71399999999999997</v>
      </c>
      <c r="I466" s="49">
        <f ca="1">((M466*staticResult!$C$2*100)+配裝模擬!$D$2+staticResult!$D$16*0.47)/staticResult!$C$2/100</f>
        <v>0.88184258780133351</v>
      </c>
      <c r="J466" s="49">
        <f ca="1">(staticResult!$C$16-H466)+BUFF!$F$27</f>
        <v>0.43375423898969312</v>
      </c>
      <c r="K466" s="448">
        <f t="shared" ca="1" si="27"/>
        <v>-0.66319284833227188</v>
      </c>
      <c r="L466" s="49">
        <f>((H466*staticResult!$C$2*100)+配裝模擬!$D$2+staticResult!$D$16*0.47)/staticResult!$C$2/100</f>
        <v>0.81044258780133349</v>
      </c>
      <c r="M466" s="476">
        <f ca="1">H466*(1+BUFF!$H$27)</f>
        <v>0.78539999999999999</v>
      </c>
    </row>
    <row r="467" spans="7:13">
      <c r="G467" s="448">
        <f t="shared" ca="1" si="26"/>
        <v>2.9065439752535029</v>
      </c>
      <c r="H467" s="49">
        <v>0.71499999999999997</v>
      </c>
      <c r="I467" s="49">
        <f ca="1">((M467*staticResult!$C$2*100)+配裝模擬!$D$2+staticResult!$D$16*0.47)/staticResult!$C$2/100</f>
        <v>0.8829425878013335</v>
      </c>
      <c r="J467" s="49">
        <f ca="1">(staticResult!$C$16-H467)+BUFF!$F$27</f>
        <v>0.43275423898969312</v>
      </c>
      <c r="K467" s="448">
        <f t="shared" ca="1" si="27"/>
        <v>-0.66595644803735199</v>
      </c>
      <c r="L467" s="49">
        <f>((H467*staticResult!$C$2*100)+配裝模擬!$D$2+staticResult!$D$16*0.47)/staticResult!$C$2/100</f>
        <v>0.81144258780133338</v>
      </c>
      <c r="M467" s="476">
        <f ca="1">H467*(1+BUFF!$H$27)</f>
        <v>0.78649999999999998</v>
      </c>
    </row>
    <row r="468" spans="7:13">
      <c r="G468" s="448">
        <f t="shared" ca="1" si="26"/>
        <v>2.9058752552057587</v>
      </c>
      <c r="H468" s="49">
        <v>0.71599999999999997</v>
      </c>
      <c r="I468" s="49">
        <f ca="1">((M468*staticResult!$C$2*100)+配裝模擬!$D$2+staticResult!$D$16*0.47)/staticResult!$C$2/100</f>
        <v>0.88404258780133349</v>
      </c>
      <c r="J468" s="49">
        <f ca="1">(staticResult!$C$16-H468)+BUFF!$F$27</f>
        <v>0.43175423898969312</v>
      </c>
      <c r="K468" s="448">
        <f t="shared" ca="1" si="27"/>
        <v>-0.66872004774420846</v>
      </c>
      <c r="L468" s="49">
        <f>((H468*staticResult!$C$2*100)+配裝模擬!$D$2+staticResult!$D$16*0.47)/staticResult!$C$2/100</f>
        <v>0.81244258780133338</v>
      </c>
      <c r="M468" s="476">
        <f ca="1">H468*(1+BUFF!$H$27)</f>
        <v>0.78760000000000008</v>
      </c>
    </row>
    <row r="469" spans="7:13">
      <c r="G469" s="448">
        <f t="shared" ca="1" si="26"/>
        <v>2.9052037715583094</v>
      </c>
      <c r="H469" s="49">
        <v>0.71699999999999997</v>
      </c>
      <c r="I469" s="49">
        <f ca="1">((M469*staticResult!$C$2*100)+配裝模擬!$D$2+staticResult!$D$16*0.47)/staticResult!$C$2/100</f>
        <v>0.88514258780133348</v>
      </c>
      <c r="J469" s="49">
        <f ca="1">(staticResult!$C$16-H469)+BUFF!$F$27</f>
        <v>0.43075423898969312</v>
      </c>
      <c r="K469" s="448">
        <f t="shared" ca="1" si="27"/>
        <v>-0.67148364744928857</v>
      </c>
      <c r="L469" s="49">
        <f>((H469*staticResult!$C$2*100)+配裝模擬!$D$2+staticResult!$D$16*0.47)/staticResult!$C$2/100</f>
        <v>0.81344258780133349</v>
      </c>
      <c r="M469" s="476">
        <f ca="1">H469*(1+BUFF!$H$27)</f>
        <v>0.78870000000000007</v>
      </c>
    </row>
    <row r="470" spans="7:13">
      <c r="G470" s="448">
        <f t="shared" ca="1" si="26"/>
        <v>2.9045295243111542</v>
      </c>
      <c r="H470" s="49">
        <v>0.71799999999999997</v>
      </c>
      <c r="I470" s="49">
        <f ca="1">((M470*staticResult!$C$2*100)+配裝模擬!$D$2+staticResult!$D$16*0.47)/staticResult!$C$2/100</f>
        <v>0.88624258780133347</v>
      </c>
      <c r="J470" s="49">
        <f ca="1">(staticResult!$C$16-H470)+BUFF!$F$27</f>
        <v>0.42975423898969312</v>
      </c>
      <c r="K470" s="448">
        <f t="shared" ca="1" si="27"/>
        <v>-0.67424724715525686</v>
      </c>
      <c r="L470" s="49">
        <f>((H470*staticResult!$C$2*100)+配裝模擬!$D$2+staticResult!$D$16*0.47)/staticResult!$C$2/100</f>
        <v>0.8144425878013335</v>
      </c>
      <c r="M470" s="476">
        <f ca="1">H470*(1+BUFF!$H$27)</f>
        <v>0.78980000000000006</v>
      </c>
    </row>
    <row r="471" spans="7:13">
      <c r="G471" s="448">
        <f t="shared" ca="1" si="26"/>
        <v>2.9038525134642934</v>
      </c>
      <c r="H471" s="49">
        <v>0.71899999999999997</v>
      </c>
      <c r="I471" s="49">
        <f ca="1">((M471*staticResult!$C$2*100)+配裝模擬!$D$2+staticResult!$D$16*0.47)/staticResult!$C$2/100</f>
        <v>0.88734258780133357</v>
      </c>
      <c r="J471" s="49">
        <f ca="1">(staticResult!$C$16-H471)+BUFF!$F$27</f>
        <v>0.42875423898969311</v>
      </c>
      <c r="K471" s="448">
        <f t="shared" ca="1" si="27"/>
        <v>-0.67701084686078106</v>
      </c>
      <c r="L471" s="49">
        <f>((H471*staticResult!$C$2*100)+配裝模擬!$D$2+staticResult!$D$16*0.47)/staticResult!$C$2/100</f>
        <v>0.81544258780133339</v>
      </c>
      <c r="M471" s="476">
        <f ca="1">H471*(1+BUFF!$H$27)</f>
        <v>0.79090000000000005</v>
      </c>
    </row>
    <row r="472" spans="7:13">
      <c r="G472" s="448">
        <f t="shared" ca="1" si="26"/>
        <v>2.9031727390177262</v>
      </c>
      <c r="H472" s="49">
        <v>0.72</v>
      </c>
      <c r="I472" s="49">
        <f ca="1">((M472*staticResult!$C$2*100)+配裝模擬!$D$2+staticResult!$D$16*0.47)/staticResult!$C$2/100</f>
        <v>0.88844258780133345</v>
      </c>
      <c r="J472" s="49">
        <f ca="1">(staticResult!$C$16-H472)+BUFF!$F$27</f>
        <v>0.42775423898969311</v>
      </c>
      <c r="K472" s="448">
        <f t="shared" ca="1" si="27"/>
        <v>-0.67977444656719344</v>
      </c>
      <c r="L472" s="49">
        <f>((H472*staticResult!$C$2*100)+配裝模擬!$D$2+staticResult!$D$16*0.47)/staticResult!$C$2/100</f>
        <v>0.81644258780133339</v>
      </c>
      <c r="M472" s="476">
        <f ca="1">H472*(1+BUFF!$H$27)</f>
        <v>0.79200000000000004</v>
      </c>
    </row>
    <row r="473" spans="7:13">
      <c r="G473" s="448">
        <f t="shared" ca="1" si="26"/>
        <v>2.902490200971453</v>
      </c>
      <c r="H473" s="49">
        <v>0.72099999999999997</v>
      </c>
      <c r="I473" s="49">
        <f ca="1">((M473*staticResult!$C$2*100)+配裝模擬!$D$2+staticResult!$D$16*0.47)/staticResult!$C$2/100</f>
        <v>0.88954258780133344</v>
      </c>
      <c r="J473" s="49">
        <f ca="1">(staticResult!$C$16-H473)+BUFF!$F$27</f>
        <v>0.42675423898969311</v>
      </c>
      <c r="K473" s="448">
        <f t="shared" ca="1" si="27"/>
        <v>-0.68253804627316172</v>
      </c>
      <c r="L473" s="49">
        <f>((H473*staticResult!$C$2*100)+配裝模擬!$D$2+staticResult!$D$16*0.47)/staticResult!$C$2/100</f>
        <v>0.8174425878013335</v>
      </c>
      <c r="M473" s="476">
        <f ca="1">H473*(1+BUFF!$H$27)</f>
        <v>0.79310000000000003</v>
      </c>
    </row>
    <row r="474" spans="7:13">
      <c r="G474" s="448">
        <f t="shared" ca="1" si="26"/>
        <v>2.9018048993254753</v>
      </c>
      <c r="H474" s="49">
        <v>0.72199999999999998</v>
      </c>
      <c r="I474" s="49">
        <f ca="1">((M474*staticResult!$C$2*100)+配裝模擬!$D$2+staticResult!$D$16*0.47)/staticResult!$C$2/100</f>
        <v>0.89064258780133343</v>
      </c>
      <c r="J474" s="49">
        <f ca="1">(staticResult!$C$16-H474)+BUFF!$F$27</f>
        <v>0.42575423898969311</v>
      </c>
      <c r="K474" s="448">
        <f t="shared" ca="1" si="27"/>
        <v>-0.68530164597779775</v>
      </c>
      <c r="L474" s="49">
        <f>((H474*staticResult!$C$2*100)+配裝模擬!$D$2+staticResult!$D$16*0.47)/staticResult!$C$2/100</f>
        <v>0.8184425878013335</v>
      </c>
      <c r="M474" s="476">
        <f ca="1">H474*(1+BUFF!$H$27)</f>
        <v>0.79420000000000002</v>
      </c>
    </row>
    <row r="475" spans="7:13">
      <c r="G475" s="448">
        <f t="shared" ca="1" si="26"/>
        <v>2.901116834079791</v>
      </c>
      <c r="H475" s="49">
        <v>0.72299999999999998</v>
      </c>
      <c r="I475" s="49">
        <f ca="1">((M475*staticResult!$C$2*100)+配裝模擬!$D$2+staticResult!$D$16*0.47)/staticResult!$C$2/100</f>
        <v>0.89174258780133353</v>
      </c>
      <c r="J475" s="49">
        <f ca="1">(staticResult!$C$16-H475)+BUFF!$F$27</f>
        <v>0.42475423898969311</v>
      </c>
      <c r="K475" s="448">
        <f t="shared" ca="1" si="27"/>
        <v>-0.68806524568421001</v>
      </c>
      <c r="L475" s="49">
        <f>((H475*staticResult!$C$2*100)+配裝模擬!$D$2+staticResult!$D$16*0.47)/staticResult!$C$2/100</f>
        <v>0.81944258780133339</v>
      </c>
      <c r="M475" s="476">
        <f ca="1">H475*(1+BUFF!$H$27)</f>
        <v>0.79530000000000001</v>
      </c>
    </row>
    <row r="476" spans="7:13">
      <c r="G476" s="448">
        <f t="shared" ca="1" si="26"/>
        <v>2.9004260052344009</v>
      </c>
      <c r="H476" s="49">
        <v>0.72399999999999998</v>
      </c>
      <c r="I476" s="49">
        <f ca="1">((M476*staticResult!$C$2*100)+配裝模擬!$D$2+staticResult!$D$16*0.47)/staticResult!$C$2/100</f>
        <v>0.89284258780133341</v>
      </c>
      <c r="J476" s="49">
        <f ca="1">(staticResult!$C$16-H476)+BUFF!$F$27</f>
        <v>0.42375423898969311</v>
      </c>
      <c r="K476" s="448">
        <f t="shared" ca="1" si="27"/>
        <v>-0.6908288453901783</v>
      </c>
      <c r="L476" s="49">
        <f>((H476*staticResult!$C$2*100)+配裝模擬!$D$2+staticResult!$D$16*0.47)/staticResult!$C$2/100</f>
        <v>0.8204425878013335</v>
      </c>
      <c r="M476" s="476">
        <f ca="1">H476*(1+BUFF!$H$27)</f>
        <v>0.7964</v>
      </c>
    </row>
    <row r="477" spans="7:13">
      <c r="G477" s="448">
        <f t="shared" ca="1" si="26"/>
        <v>2.8997324127893052</v>
      </c>
      <c r="H477" s="49">
        <v>0.72499999999999998</v>
      </c>
      <c r="I477" s="49">
        <f ca="1">((M477*staticResult!$C$2*100)+配裝模擬!$D$2+staticResult!$D$16*0.47)/staticResult!$C$2/100</f>
        <v>0.8939425878013334</v>
      </c>
      <c r="J477" s="49">
        <f ca="1">(staticResult!$C$16-H477)+BUFF!$F$27</f>
        <v>0.42275423898969311</v>
      </c>
      <c r="K477" s="448">
        <f t="shared" ca="1" si="27"/>
        <v>-0.6935924450957025</v>
      </c>
      <c r="L477" s="49">
        <f>((H477*staticResult!$C$2*100)+配裝模擬!$D$2+staticResult!$D$16*0.47)/staticResult!$C$2/100</f>
        <v>0.82144258780133339</v>
      </c>
      <c r="M477" s="476">
        <f ca="1">H477*(1+BUFF!$H$27)</f>
        <v>0.79749999999999999</v>
      </c>
    </row>
    <row r="478" spans="7:13">
      <c r="G478" s="448">
        <f t="shared" ca="1" si="26"/>
        <v>2.8990360567445035</v>
      </c>
      <c r="H478" s="49">
        <v>0.72599999999999998</v>
      </c>
      <c r="I478" s="49">
        <f ca="1">((M478*staticResult!$C$2*100)+配裝模擬!$D$2+staticResult!$D$16*0.47)/staticResult!$C$2/100</f>
        <v>0.8950425878013335</v>
      </c>
      <c r="J478" s="49">
        <f ca="1">(staticResult!$C$16-H478)+BUFF!$F$27</f>
        <v>0.42175423898969311</v>
      </c>
      <c r="K478" s="448">
        <f t="shared" ca="1" si="27"/>
        <v>-0.69635604480167079</v>
      </c>
      <c r="L478" s="49">
        <f>((H478*staticResult!$C$2*100)+配裝模擬!$D$2+staticResult!$D$16*0.47)/staticResult!$C$2/100</f>
        <v>0.8224425878013335</v>
      </c>
      <c r="M478" s="476">
        <f ca="1">H478*(1+BUFF!$H$27)</f>
        <v>0.79860000000000009</v>
      </c>
    </row>
    <row r="479" spans="7:13">
      <c r="G479" s="448">
        <f t="shared" ca="1" si="26"/>
        <v>2.8983369370999963</v>
      </c>
      <c r="H479" s="49">
        <v>0.72699999999999998</v>
      </c>
      <c r="I479" s="49">
        <f ca="1">((M479*staticResult!$C$2*100)+配裝模擬!$D$2+staticResult!$D$16*0.47)/staticResult!$C$2/100</f>
        <v>0.8961425878013336</v>
      </c>
      <c r="J479" s="49">
        <f ca="1">(staticResult!$C$16-H479)+BUFF!$F$27</f>
        <v>0.42075423898969311</v>
      </c>
      <c r="K479" s="448">
        <f t="shared" ca="1" si="27"/>
        <v>-0.69911964450719499</v>
      </c>
      <c r="L479" s="49">
        <f>((H479*staticResult!$C$2*100)+配裝模擬!$D$2+staticResult!$D$16*0.47)/staticResult!$C$2/100</f>
        <v>0.82344258780133339</v>
      </c>
      <c r="M479" s="476">
        <f ca="1">H479*(1+BUFF!$H$27)</f>
        <v>0.79970000000000008</v>
      </c>
    </row>
    <row r="480" spans="7:13">
      <c r="G480" s="448">
        <f t="shared" ca="1" si="26"/>
        <v>2.8976350538557836</v>
      </c>
      <c r="H480" s="49">
        <v>0.72799999999999998</v>
      </c>
      <c r="I480" s="49">
        <f ca="1">((M480*staticResult!$C$2*100)+配裝模擬!$D$2+staticResult!$D$16*0.47)/staticResult!$C$2/100</f>
        <v>0.89724258780133359</v>
      </c>
      <c r="J480" s="49">
        <f ca="1">(staticResult!$C$16-H480)+BUFF!$F$27</f>
        <v>0.41975423898969311</v>
      </c>
      <c r="K480" s="448">
        <f t="shared" ca="1" si="27"/>
        <v>-0.70188324421271919</v>
      </c>
      <c r="L480" s="49">
        <f>((H480*staticResult!$C$2*100)+配裝模擬!$D$2+staticResult!$D$16*0.47)/staticResult!$C$2/100</f>
        <v>0.82444258780133339</v>
      </c>
      <c r="M480" s="476">
        <f ca="1">H480*(1+BUFF!$H$27)</f>
        <v>0.80080000000000007</v>
      </c>
    </row>
    <row r="481" spans="7:13">
      <c r="G481" s="448">
        <f t="shared" ca="1" si="26"/>
        <v>2.8969304070118644</v>
      </c>
      <c r="H481" s="49">
        <v>0.72899999999999998</v>
      </c>
      <c r="I481" s="49">
        <f ca="1">((M481*staticResult!$C$2*100)+配裝模擬!$D$2+staticResult!$D$16*0.47)/staticResult!$C$2/100</f>
        <v>0.89834258780133358</v>
      </c>
      <c r="J481" s="49">
        <f ca="1">(staticResult!$C$16-H481)+BUFF!$F$27</f>
        <v>0.41875423898969311</v>
      </c>
      <c r="K481" s="448">
        <f t="shared" ca="1" si="27"/>
        <v>-0.70464684391913157</v>
      </c>
      <c r="L481" s="49">
        <f>((H481*staticResult!$C$2*100)+配裝模擬!$D$2+staticResult!$D$16*0.47)/staticResult!$C$2/100</f>
        <v>0.8254425878013335</v>
      </c>
      <c r="M481" s="476">
        <f ca="1">H481*(1+BUFF!$H$27)</f>
        <v>0.80190000000000006</v>
      </c>
    </row>
    <row r="482" spans="7:13">
      <c r="G482" s="448">
        <f t="shared" ca="1" si="26"/>
        <v>2.8962229965682389</v>
      </c>
      <c r="H482" s="49">
        <v>0.73</v>
      </c>
      <c r="I482" s="49">
        <f ca="1">((M482*staticResult!$C$2*100)+配裝模擬!$D$2+staticResult!$D$16*0.47)/staticResult!$C$2/100</f>
        <v>0.89944258780133357</v>
      </c>
      <c r="J482" s="49">
        <f ca="1">(staticResult!$C$16-H482)+BUFF!$F$27</f>
        <v>0.41775423898969311</v>
      </c>
      <c r="K482" s="448">
        <f t="shared" ca="1" si="27"/>
        <v>-0.70741044362554395</v>
      </c>
      <c r="L482" s="49">
        <f>((H482*staticResult!$C$2*100)+配裝模擬!$D$2+staticResult!$D$16*0.47)/staticResult!$C$2/100</f>
        <v>0.82644258780133339</v>
      </c>
      <c r="M482" s="476">
        <f ca="1">H482*(1+BUFF!$H$27)</f>
        <v>0.80300000000000005</v>
      </c>
    </row>
    <row r="483" spans="7:13">
      <c r="G483" s="448">
        <f t="shared" ca="1" si="26"/>
        <v>2.8955128225249087</v>
      </c>
      <c r="H483" s="49">
        <v>0.73099999999999998</v>
      </c>
      <c r="I483" s="49">
        <f ca="1">((M483*staticResult!$C$2*100)+配裝模擬!$D$2+staticResult!$D$16*0.47)/staticResult!$C$2/100</f>
        <v>0.90054258780133334</v>
      </c>
      <c r="J483" s="49">
        <f ca="1">(staticResult!$C$16-H483)+BUFF!$F$27</f>
        <v>0.4167542389896931</v>
      </c>
      <c r="K483" s="448">
        <f t="shared" ca="1" si="27"/>
        <v>-0.71017404333017997</v>
      </c>
      <c r="L483" s="49">
        <f>((H483*staticResult!$C$2*100)+配裝模擬!$D$2+staticResult!$D$16*0.47)/staticResult!$C$2/100</f>
        <v>0.8274425878013334</v>
      </c>
      <c r="M483" s="476">
        <f ca="1">H483*(1+BUFF!$H$27)</f>
        <v>0.80410000000000004</v>
      </c>
    </row>
    <row r="484" spans="7:13">
      <c r="G484" s="448">
        <f t="shared" ca="1" si="26"/>
        <v>2.8947998848818726</v>
      </c>
      <c r="H484" s="49">
        <v>0.73199999999999998</v>
      </c>
      <c r="I484" s="49">
        <f ca="1">((M484*staticResult!$C$2*100)+配裝模擬!$D$2+staticResult!$D$16*0.47)/staticResult!$C$2/100</f>
        <v>0.90164258780133355</v>
      </c>
      <c r="J484" s="49">
        <f ca="1">(staticResult!$C$16-H484)+BUFF!$F$27</f>
        <v>0.4157542389896931</v>
      </c>
      <c r="K484" s="448">
        <f t="shared" ca="1" si="27"/>
        <v>-0.71293764303614826</v>
      </c>
      <c r="L484" s="49">
        <f>((H484*staticResult!$C$2*100)+配裝模擬!$D$2+staticResult!$D$16*0.47)/staticResult!$C$2/100</f>
        <v>0.8284425878013334</v>
      </c>
      <c r="M484" s="476">
        <f ca="1">H484*(1+BUFF!$H$27)</f>
        <v>0.80520000000000003</v>
      </c>
    </row>
    <row r="485" spans="7:13">
      <c r="G485" s="448">
        <f t="shared" ca="1" si="26"/>
        <v>2.89408418363913</v>
      </c>
      <c r="H485" s="49">
        <v>0.73299999999999998</v>
      </c>
      <c r="I485" s="49">
        <f ca="1">((M485*staticResult!$C$2*100)+配裝模擬!$D$2+staticResult!$D$16*0.47)/staticResult!$C$2/100</f>
        <v>0.90274258780133332</v>
      </c>
      <c r="J485" s="49">
        <f ca="1">(staticResult!$C$16-H485)+BUFF!$F$27</f>
        <v>0.4147542389896931</v>
      </c>
      <c r="K485" s="448">
        <f t="shared" ca="1" si="27"/>
        <v>-0.71570124274256064</v>
      </c>
      <c r="L485" s="49">
        <f>((H485*staticResult!$C$2*100)+配裝模擬!$D$2+staticResult!$D$16*0.47)/staticResult!$C$2/100</f>
        <v>0.8294425878013334</v>
      </c>
      <c r="M485" s="476">
        <f ca="1">H485*(1+BUFF!$H$27)</f>
        <v>0.80630000000000002</v>
      </c>
    </row>
    <row r="486" spans="7:13">
      <c r="G486" s="448">
        <f t="shared" ca="1" si="26"/>
        <v>2.8933657187966824</v>
      </c>
      <c r="H486" s="49">
        <v>0.73399999999999999</v>
      </c>
      <c r="I486" s="49">
        <f ca="1">((M486*staticResult!$C$2*100)+配裝模擬!$D$2+staticResult!$D$16*0.47)/staticResult!$C$2/100</f>
        <v>0.90384258780133353</v>
      </c>
      <c r="J486" s="49">
        <f ca="1">(staticResult!$C$16-H486)+BUFF!$F$27</f>
        <v>0.4137542389896931</v>
      </c>
      <c r="K486" s="448">
        <f t="shared" ca="1" si="27"/>
        <v>-0.71846484244764075</v>
      </c>
      <c r="L486" s="49">
        <f>((H486*staticResult!$C$2*100)+配裝模擬!$D$2+staticResult!$D$16*0.47)/staticResult!$C$2/100</f>
        <v>0.83044258780133351</v>
      </c>
      <c r="M486" s="476">
        <f ca="1">H486*(1+BUFF!$H$27)</f>
        <v>0.80740000000000001</v>
      </c>
    </row>
    <row r="487" spans="7:13">
      <c r="G487" s="448">
        <f t="shared" ca="1" si="26"/>
        <v>2.8926444903545288</v>
      </c>
      <c r="H487" s="49">
        <v>0.73499999999999999</v>
      </c>
      <c r="I487" s="49">
        <f ca="1">((M487*staticResult!$C$2*100)+配裝模擬!$D$2+staticResult!$D$16*0.47)/staticResult!$C$2/100</f>
        <v>0.90494258780133341</v>
      </c>
      <c r="J487" s="49">
        <f ca="1">(staticResult!$C$16-H487)+BUFF!$F$27</f>
        <v>0.4127542389896931</v>
      </c>
      <c r="K487" s="448">
        <f t="shared" ca="1" si="27"/>
        <v>-0.72122844215360904</v>
      </c>
      <c r="L487" s="49">
        <f>((H487*staticResult!$C$2*100)+配裝模擬!$D$2+staticResult!$D$16*0.47)/staticResult!$C$2/100</f>
        <v>0.8314425878013334</v>
      </c>
      <c r="M487" s="476">
        <f ca="1">H487*(1+BUFF!$H$27)</f>
        <v>0.8085</v>
      </c>
    </row>
    <row r="488" spans="7:13">
      <c r="G488" s="448">
        <f t="shared" ca="1" si="26"/>
        <v>2.8919204983126696</v>
      </c>
      <c r="H488" s="49">
        <v>0.73599999999999999</v>
      </c>
      <c r="I488" s="49">
        <f ca="1">((M488*staticResult!$C$2*100)+配裝模擬!$D$2+staticResult!$D$16*0.47)/staticResult!$C$2/100</f>
        <v>0.90604258780133362</v>
      </c>
      <c r="J488" s="49">
        <f ca="1">(staticResult!$C$16-H488)+BUFF!$F$27</f>
        <v>0.4117542389896931</v>
      </c>
      <c r="K488" s="448">
        <f t="shared" ca="1" si="27"/>
        <v>-0.72399204185913324</v>
      </c>
      <c r="L488" s="49">
        <f>((H488*staticResult!$C$2*100)+配裝模擬!$D$2+staticResult!$D$16*0.47)/staticResult!$C$2/100</f>
        <v>0.8324425878013334</v>
      </c>
      <c r="M488" s="476">
        <f ca="1">H488*(1+BUFF!$H$27)</f>
        <v>0.8096000000000001</v>
      </c>
    </row>
    <row r="489" spans="7:13">
      <c r="G489" s="448">
        <f t="shared" ca="1" si="26"/>
        <v>2.8911937426711041</v>
      </c>
      <c r="H489" s="49">
        <v>0.73699999999999999</v>
      </c>
      <c r="I489" s="49">
        <f ca="1">((M489*staticResult!$C$2*100)+配裝模擬!$D$2+staticResult!$D$16*0.47)/staticResult!$C$2/100</f>
        <v>0.90714258780133361</v>
      </c>
      <c r="J489" s="49">
        <f ca="1">(staticResult!$C$16-H489)+BUFF!$F$27</f>
        <v>0.4107542389896931</v>
      </c>
      <c r="K489" s="448">
        <f t="shared" ca="1" si="27"/>
        <v>-0.72675564156554562</v>
      </c>
      <c r="L489" s="49">
        <f>((H489*staticResult!$C$2*100)+配裝模擬!$D$2+staticResult!$D$16*0.47)/staticResult!$C$2/100</f>
        <v>0.8334425878013334</v>
      </c>
      <c r="M489" s="476">
        <f ca="1">H489*(1+BUFF!$H$27)</f>
        <v>0.81070000000000009</v>
      </c>
    </row>
    <row r="490" spans="7:13">
      <c r="G490" s="448">
        <f t="shared" ca="1" si="26"/>
        <v>2.890464223429833</v>
      </c>
      <c r="H490" s="49">
        <v>0.73799999999999999</v>
      </c>
      <c r="I490" s="49">
        <f ca="1">((M490*staticResult!$C$2*100)+配裝模擬!$D$2+staticResult!$D$16*0.47)/staticResult!$C$2/100</f>
        <v>0.90824258780133349</v>
      </c>
      <c r="J490" s="49">
        <f ca="1">(staticResult!$C$16-H490)+BUFF!$F$27</f>
        <v>0.4097542389896931</v>
      </c>
      <c r="K490" s="448">
        <f t="shared" ca="1" si="27"/>
        <v>-0.72951924127106982</v>
      </c>
      <c r="L490" s="49">
        <f>((H490*staticResult!$C$2*100)+配裝模擬!$D$2+staticResult!$D$16*0.47)/staticResult!$C$2/100</f>
        <v>0.83444258780133351</v>
      </c>
      <c r="M490" s="476">
        <f ca="1">H490*(1+BUFF!$H$27)</f>
        <v>0.81180000000000008</v>
      </c>
    </row>
    <row r="491" spans="7:13">
      <c r="G491" s="448">
        <f t="shared" ca="1" si="26"/>
        <v>2.889731940588856</v>
      </c>
      <c r="H491" s="49">
        <v>0.73899999999999999</v>
      </c>
      <c r="I491" s="49">
        <f ca="1">((M491*staticResult!$C$2*100)+配裝模擬!$D$2+staticResult!$D$16*0.47)/staticResult!$C$2/100</f>
        <v>0.90934258780133348</v>
      </c>
      <c r="J491" s="49">
        <f ca="1">(staticResult!$C$16-H491)+BUFF!$F$27</f>
        <v>0.4087542389896931</v>
      </c>
      <c r="K491" s="448">
        <f t="shared" ca="1" si="27"/>
        <v>-0.73228284097703811</v>
      </c>
      <c r="L491" s="49">
        <f>((H491*staticResult!$C$2*100)+配裝模擬!$D$2+staticResult!$D$16*0.47)/staticResult!$C$2/100</f>
        <v>0.83544258780133351</v>
      </c>
      <c r="M491" s="476">
        <f ca="1">H491*(1+BUFF!$H$27)</f>
        <v>0.81290000000000007</v>
      </c>
    </row>
    <row r="492" spans="7:13">
      <c r="G492" s="448">
        <f t="shared" ca="1" si="26"/>
        <v>2.8889968941481738</v>
      </c>
      <c r="H492" s="49">
        <v>0.74</v>
      </c>
      <c r="I492" s="49">
        <f ca="1">((M492*staticResult!$C$2*100)+配裝模擬!$D$2+staticResult!$D$16*0.47)/staticResult!$C$2/100</f>
        <v>0.91044258780133347</v>
      </c>
      <c r="J492" s="49">
        <f ca="1">(staticResult!$C$16-H492)+BUFF!$F$27</f>
        <v>0.4077542389896931</v>
      </c>
      <c r="K492" s="448">
        <f t="shared" ca="1" si="27"/>
        <v>-0.73504644068211822</v>
      </c>
      <c r="L492" s="49">
        <f>((H492*staticResult!$C$2*100)+配裝模擬!$D$2+staticResult!$D$16*0.47)/staticResult!$C$2/100</f>
        <v>0.83644258780133329</v>
      </c>
      <c r="M492" s="476">
        <f ca="1">H492*(1+BUFF!$H$27)</f>
        <v>0.81400000000000006</v>
      </c>
    </row>
    <row r="493" spans="7:13">
      <c r="G493" s="448">
        <f t="shared" ca="1" si="26"/>
        <v>2.8882590841077853</v>
      </c>
      <c r="H493" s="49">
        <v>0.74099999999999999</v>
      </c>
      <c r="I493" s="49">
        <f ca="1">((M493*staticResult!$C$2*100)+配裝模擬!$D$2+staticResult!$D$16*0.47)/staticResult!$C$2/100</f>
        <v>0.91154258780133357</v>
      </c>
      <c r="J493" s="49">
        <f ca="1">(staticResult!$C$16-H493)+BUFF!$F$27</f>
        <v>0.4067542389896931</v>
      </c>
      <c r="K493" s="448">
        <f t="shared" ca="1" si="27"/>
        <v>-0.7378100403885306</v>
      </c>
      <c r="L493" s="49">
        <f>((H493*staticResult!$C$2*100)+配裝模擬!$D$2+staticResult!$D$16*0.47)/staticResult!$C$2/100</f>
        <v>0.83744258780133352</v>
      </c>
      <c r="M493" s="476">
        <f ca="1">H493*(1+BUFF!$H$27)</f>
        <v>0.81510000000000005</v>
      </c>
    </row>
    <row r="494" spans="7:13">
      <c r="G494" s="448">
        <f t="shared" ca="1" si="26"/>
        <v>2.8875185104676908</v>
      </c>
      <c r="H494" s="49">
        <v>0.74199999999999999</v>
      </c>
      <c r="I494" s="49">
        <f ca="1">((M494*staticResult!$C$2*100)+配裝模擬!$D$2+staticResult!$D$16*0.47)/staticResult!$C$2/100</f>
        <v>0.91264258780133345</v>
      </c>
      <c r="J494" s="49">
        <f ca="1">(staticResult!$C$16-H494)+BUFF!$F$27</f>
        <v>0.40575423898969309</v>
      </c>
      <c r="K494" s="448">
        <f t="shared" ca="1" si="27"/>
        <v>-0.74057364009449889</v>
      </c>
      <c r="L494" s="49">
        <f>((H494*staticResult!$C$2*100)+配裝模擬!$D$2+staticResult!$D$16*0.47)/staticResult!$C$2/100</f>
        <v>0.83844258780133341</v>
      </c>
      <c r="M494" s="476">
        <f ca="1">H494*(1+BUFF!$H$27)</f>
        <v>0.81620000000000004</v>
      </c>
    </row>
    <row r="495" spans="7:13">
      <c r="G495" s="448">
        <f t="shared" ca="1" si="26"/>
        <v>2.8867751732278908</v>
      </c>
      <c r="H495" s="49">
        <v>0.74299999999999999</v>
      </c>
      <c r="I495" s="49">
        <f ca="1">((M495*staticResult!$C$2*100)+配裝模擬!$D$2+staticResult!$D$16*0.47)/staticResult!$C$2/100</f>
        <v>0.91374258780133344</v>
      </c>
      <c r="J495" s="49">
        <f ca="1">(staticResult!$C$16-H495)+BUFF!$F$27</f>
        <v>0.40475423898969309</v>
      </c>
      <c r="K495" s="448">
        <f t="shared" ca="1" si="27"/>
        <v>-0.74333723980002309</v>
      </c>
      <c r="L495" s="49">
        <f>((H495*staticResult!$C$2*100)+配裝模擬!$D$2+staticResult!$D$16*0.47)/staticResult!$C$2/100</f>
        <v>0.83944258780133352</v>
      </c>
      <c r="M495" s="476">
        <f ca="1">H495*(1+BUFF!$H$27)</f>
        <v>0.81730000000000003</v>
      </c>
    </row>
    <row r="496" spans="7:13">
      <c r="G496" s="448">
        <f t="shared" ca="1" si="26"/>
        <v>2.8860290723883852</v>
      </c>
      <c r="H496" s="49">
        <v>0.74399999999999999</v>
      </c>
      <c r="I496" s="49">
        <f ca="1">((M496*staticResult!$C$2*100)+配裝模擬!$D$2+staticResult!$D$16*0.47)/staticResult!$C$2/100</f>
        <v>0.91484258780133343</v>
      </c>
      <c r="J496" s="49">
        <f ca="1">(staticResult!$C$16-H496)+BUFF!$F$27</f>
        <v>0.40375423898969309</v>
      </c>
      <c r="K496" s="448">
        <f t="shared" ca="1" si="27"/>
        <v>-0.74610083950554729</v>
      </c>
      <c r="L496" s="49">
        <f>((H496*staticResult!$C$2*100)+配裝模擬!$D$2+staticResult!$D$16*0.47)/staticResult!$C$2/100</f>
        <v>0.84044258780133352</v>
      </c>
      <c r="M496" s="476">
        <f ca="1">H496*(1+BUFF!$H$27)</f>
        <v>0.81840000000000002</v>
      </c>
    </row>
    <row r="497" spans="7:13">
      <c r="G497" s="448">
        <f t="shared" ca="1" si="26"/>
        <v>2.8852802079491737</v>
      </c>
      <c r="H497" s="49">
        <v>0.745</v>
      </c>
      <c r="I497" s="49">
        <f ca="1">((M497*staticResult!$C$2*100)+配裝模擬!$D$2+staticResult!$D$16*0.47)/staticResult!$C$2/100</f>
        <v>0.91594258780133342</v>
      </c>
      <c r="J497" s="49">
        <f ca="1">(staticResult!$C$16-H497)+BUFF!$F$27</f>
        <v>0.40275423898969309</v>
      </c>
      <c r="K497" s="448">
        <f t="shared" ca="1" si="27"/>
        <v>-0.74886443921151558</v>
      </c>
      <c r="L497" s="49">
        <f>((H497*staticResult!$C$2*100)+配裝模擬!$D$2+staticResult!$D$16*0.47)/staticResult!$C$2/100</f>
        <v>0.84144258780133341</v>
      </c>
      <c r="M497" s="476">
        <f ca="1">H497*(1+BUFF!$H$27)</f>
        <v>0.81950000000000001</v>
      </c>
    </row>
    <row r="498" spans="7:13">
      <c r="G498" s="448">
        <f t="shared" ca="1" si="26"/>
        <v>2.8845285799102562</v>
      </c>
      <c r="H498" s="49">
        <v>0.746</v>
      </c>
      <c r="I498" s="49">
        <f ca="1">((M498*staticResult!$C$2*100)+配裝模擬!$D$2+staticResult!$D$16*0.47)/staticResult!$C$2/100</f>
        <v>0.91704258780133363</v>
      </c>
      <c r="J498" s="49">
        <f ca="1">(staticResult!$C$16-H498)+BUFF!$F$27</f>
        <v>0.40175423898969309</v>
      </c>
      <c r="K498" s="448">
        <f t="shared" ca="1" si="27"/>
        <v>-0.75162803891748386</v>
      </c>
      <c r="L498" s="49">
        <f>((H498*staticResult!$C$2*100)+配裝模擬!$D$2+staticResult!$D$16*0.47)/staticResult!$C$2/100</f>
        <v>0.84244258780133341</v>
      </c>
      <c r="M498" s="476">
        <f ca="1">H498*(1+BUFF!$H$27)</f>
        <v>0.82060000000000011</v>
      </c>
    </row>
    <row r="499" spans="7:13">
      <c r="G499" s="448">
        <f t="shared" ca="1" si="26"/>
        <v>2.8837741882716337</v>
      </c>
      <c r="H499" s="49">
        <v>0.747</v>
      </c>
      <c r="I499" s="49">
        <f ca="1">((M499*staticResult!$C$2*100)+配裝模擬!$D$2+staticResult!$D$16*0.47)/staticResult!$C$2/100</f>
        <v>0.91814258780133362</v>
      </c>
      <c r="J499" s="49">
        <f ca="1">(staticResult!$C$16-H499)+BUFF!$F$27</f>
        <v>0.40075423898969309</v>
      </c>
      <c r="K499" s="448">
        <f t="shared" ca="1" si="27"/>
        <v>-0.75439163862256398</v>
      </c>
      <c r="L499" s="49">
        <f>((H499*staticResult!$C$2*100)+配裝模擬!$D$2+staticResult!$D$16*0.47)/staticResult!$C$2/100</f>
        <v>0.84344258780133363</v>
      </c>
      <c r="M499" s="476">
        <f ca="1">H499*(1+BUFF!$H$27)</f>
        <v>0.8217000000000001</v>
      </c>
    </row>
    <row r="500" spans="7:13">
      <c r="G500" s="448">
        <f t="shared" ca="1" si="26"/>
        <v>2.8830170330333038</v>
      </c>
      <c r="H500" s="49">
        <v>0.748</v>
      </c>
      <c r="I500" s="49">
        <f ca="1">((M500*staticResult!$C$2*100)+配裝模擬!$D$2+staticResult!$D$16*0.47)/staticResult!$C$2/100</f>
        <v>0.91924258780133361</v>
      </c>
      <c r="J500" s="49">
        <f ca="1">(staticResult!$C$16-H500)+BUFF!$F$27</f>
        <v>0.39975423898969309</v>
      </c>
      <c r="K500" s="448">
        <f t="shared" ca="1" si="27"/>
        <v>-0.75715523832986453</v>
      </c>
      <c r="L500" s="49">
        <f>((H500*staticResult!$C$2*100)+配裝模擬!$D$2+staticResult!$D$16*0.47)/staticResult!$C$2/100</f>
        <v>0.84444258780133341</v>
      </c>
      <c r="M500" s="476">
        <f ca="1">H500*(1+BUFF!$H$27)</f>
        <v>0.82280000000000009</v>
      </c>
    </row>
    <row r="501" spans="7:13">
      <c r="G501" s="448">
        <f t="shared" ca="1" si="26"/>
        <v>2.8822571141952693</v>
      </c>
      <c r="H501" s="49">
        <v>0.749</v>
      </c>
      <c r="I501" s="49">
        <f ca="1">((M501*staticResult!$C$2*100)+配裝模擬!$D$2+staticResult!$D$16*0.47)/staticResult!$C$2/100</f>
        <v>0.9203425878013336</v>
      </c>
      <c r="J501" s="49">
        <f ca="1">(staticResult!$C$16-H501)+BUFF!$F$27</f>
        <v>0.39875423898969309</v>
      </c>
      <c r="K501" s="448">
        <f t="shared" ca="1" si="27"/>
        <v>-0.75991883803450055</v>
      </c>
      <c r="L501" s="49">
        <f>((H501*staticResult!$C$2*100)+配裝模擬!$D$2+staticResult!$D$16*0.47)/staticResult!$C$2/100</f>
        <v>0.84544258780133352</v>
      </c>
      <c r="M501" s="476">
        <f ca="1">H501*(1+BUFF!$H$27)</f>
        <v>0.82390000000000008</v>
      </c>
    </row>
    <row r="502" spans="7:13">
      <c r="G502" s="448">
        <f t="shared" ca="1" si="26"/>
        <v>2.8814944317575293</v>
      </c>
      <c r="H502" s="49">
        <v>0.75</v>
      </c>
      <c r="I502" s="49">
        <f ca="1">((M502*staticResult!$C$2*100)+配裝模擬!$D$2+staticResult!$D$16*0.47)/staticResult!$C$2/100</f>
        <v>0.92144258780133359</v>
      </c>
      <c r="J502" s="49">
        <f ca="1">(staticResult!$C$16-H502)+BUFF!$F$27</f>
        <v>0.39775423898969309</v>
      </c>
      <c r="K502" s="448">
        <f t="shared" ca="1" si="27"/>
        <v>-0.76268243774002475</v>
      </c>
      <c r="L502" s="49">
        <f>((H502*staticResult!$C$2*100)+配裝模擬!$D$2+staticResult!$D$16*0.47)/staticResult!$C$2/100</f>
        <v>0.84644258780133352</v>
      </c>
      <c r="M502" s="476">
        <f ca="1">H502*(1+BUFF!$H$27)</f>
        <v>0.82500000000000007</v>
      </c>
    </row>
    <row r="503" spans="7:13">
      <c r="G503" s="448">
        <f t="shared" ca="1" si="26"/>
        <v>2.8807289857200824</v>
      </c>
      <c r="H503" s="49">
        <v>0.751</v>
      </c>
      <c r="I503" s="49">
        <f ca="1">((M503*staticResult!$C$2*100)+配裝模擬!$D$2+staticResult!$D$16*0.47)/staticResult!$C$2/100</f>
        <v>0.92254258780133336</v>
      </c>
      <c r="J503" s="49">
        <f ca="1">(staticResult!$C$16-H503)+BUFF!$F$27</f>
        <v>0.39675423898969309</v>
      </c>
      <c r="K503" s="448">
        <f t="shared" ca="1" si="27"/>
        <v>-0.76544603744688122</v>
      </c>
      <c r="L503" s="49">
        <f>((H503*staticResult!$C$2*100)+配裝模擬!$D$2+staticResult!$D$16*0.47)/staticResult!$C$2/100</f>
        <v>0.84744258780133352</v>
      </c>
      <c r="M503" s="476">
        <f ca="1">H503*(1+BUFF!$H$27)</f>
        <v>0.82610000000000006</v>
      </c>
    </row>
    <row r="504" spans="7:13">
      <c r="G504" s="448">
        <f t="shared" ca="1" si="26"/>
        <v>2.8799607760829304</v>
      </c>
      <c r="H504" s="49">
        <v>0.752</v>
      </c>
      <c r="I504" s="49">
        <f ca="1">((M504*staticResult!$C$2*100)+配裝模擬!$D$2+staticResult!$D$16*0.47)/staticResult!$C$2/100</f>
        <v>0.92364258780133357</v>
      </c>
      <c r="J504" s="49">
        <f ca="1">(staticResult!$C$16-H504)+BUFF!$F$27</f>
        <v>0.39575423898969309</v>
      </c>
      <c r="K504" s="448">
        <f t="shared" ca="1" si="27"/>
        <v>-0.76820963715196133</v>
      </c>
      <c r="L504" s="49">
        <f>((H504*staticResult!$C$2*100)+配裝模擬!$D$2+staticResult!$D$16*0.47)/staticResult!$C$2/100</f>
        <v>0.84844258780133341</v>
      </c>
      <c r="M504" s="476">
        <f ca="1">H504*(1+BUFF!$H$27)</f>
        <v>0.82720000000000005</v>
      </c>
    </row>
    <row r="505" spans="7:13">
      <c r="G505" s="448">
        <f t="shared" ca="1" si="26"/>
        <v>2.8791898028460725</v>
      </c>
      <c r="H505" s="49">
        <v>0.753</v>
      </c>
      <c r="I505" s="49">
        <f ca="1">((M505*staticResult!$C$2*100)+配裝模擬!$D$2+staticResult!$D$16*0.47)/staticResult!$C$2/100</f>
        <v>0.92474258780133356</v>
      </c>
      <c r="J505" s="49">
        <f ca="1">(staticResult!$C$16-H505)+BUFF!$F$27</f>
        <v>0.39475423898969308</v>
      </c>
      <c r="K505" s="448">
        <f t="shared" ca="1" si="27"/>
        <v>-0.77097323685792962</v>
      </c>
      <c r="L505" s="49">
        <f>((H505*staticResult!$C$2*100)+配裝模擬!$D$2+staticResult!$D$16*0.47)/staticResult!$C$2/100</f>
        <v>0.84944258780133342</v>
      </c>
      <c r="M505" s="476">
        <f ca="1">H505*(1+BUFF!$H$27)</f>
        <v>0.82830000000000004</v>
      </c>
    </row>
    <row r="506" spans="7:13">
      <c r="G506" s="448">
        <f t="shared" ca="1" si="26"/>
        <v>2.8784160660095091</v>
      </c>
      <c r="H506" s="49">
        <v>0.754</v>
      </c>
      <c r="I506" s="49">
        <f ca="1">((M506*staticResult!$C$2*100)+配裝模擬!$D$2+staticResult!$D$16*0.47)/staticResult!$C$2/100</f>
        <v>0.92584258780133355</v>
      </c>
      <c r="J506" s="49">
        <f ca="1">(staticResult!$C$16-H506)+BUFF!$F$27</f>
        <v>0.39375423898969308</v>
      </c>
      <c r="K506" s="448">
        <f t="shared" ca="1" si="27"/>
        <v>-0.77373683656345382</v>
      </c>
      <c r="L506" s="49">
        <f>((H506*staticResult!$C$2*100)+配裝模擬!$D$2+staticResult!$D$16*0.47)/staticResult!$C$2/100</f>
        <v>0.85044258780133353</v>
      </c>
      <c r="M506" s="476">
        <f ca="1">H506*(1+BUFF!$H$27)</f>
        <v>0.82940000000000003</v>
      </c>
    </row>
    <row r="507" spans="7:13">
      <c r="G507" s="448">
        <f t="shared" ca="1" si="26"/>
        <v>2.8776395655732392</v>
      </c>
      <c r="H507" s="49">
        <v>0.755</v>
      </c>
      <c r="I507" s="49">
        <f ca="1">((M507*staticResult!$C$2*100)+配裝模擬!$D$2+staticResult!$D$16*0.47)/staticResult!$C$2/100</f>
        <v>0.92694258780133354</v>
      </c>
      <c r="J507" s="49">
        <f ca="1">(staticResult!$C$16-H507)+BUFF!$F$27</f>
        <v>0.39275423898969308</v>
      </c>
      <c r="K507" s="448">
        <f t="shared" ca="1" si="27"/>
        <v>-0.7765004362698662</v>
      </c>
      <c r="L507" s="49">
        <f>((H507*staticResult!$C$2*100)+配裝模擬!$D$2+staticResult!$D$16*0.47)/staticResult!$C$2/100</f>
        <v>0.85144258780133353</v>
      </c>
      <c r="M507" s="476">
        <f ca="1">H507*(1+BUFF!$H$27)</f>
        <v>0.83050000000000013</v>
      </c>
    </row>
    <row r="508" spans="7:13">
      <c r="G508" s="448">
        <f t="shared" ca="1" si="26"/>
        <v>2.8768603015372642</v>
      </c>
      <c r="H508" s="49">
        <v>0.75600000000000001</v>
      </c>
      <c r="I508" s="49">
        <f ca="1">((M508*staticResult!$C$2*100)+配裝模擬!$D$2+staticResult!$D$16*0.47)/staticResult!$C$2/100</f>
        <v>0.92804258780133353</v>
      </c>
      <c r="J508" s="49">
        <f ca="1">(staticResult!$C$16-H508)+BUFF!$F$27</f>
        <v>0.39175423898969308</v>
      </c>
      <c r="K508" s="448">
        <f t="shared" ca="1" si="27"/>
        <v>-0.77926403597494631</v>
      </c>
      <c r="L508" s="49">
        <f>((H508*staticResult!$C$2*100)+配裝模擬!$D$2+staticResult!$D$16*0.47)/staticResult!$C$2/100</f>
        <v>0.85244258780133353</v>
      </c>
      <c r="M508" s="476">
        <f ca="1">H508*(1+BUFF!$H$27)</f>
        <v>0.83160000000000012</v>
      </c>
    </row>
    <row r="509" spans="7:13">
      <c r="G509" s="448">
        <f t="shared" ca="1" si="26"/>
        <v>2.8760782739015829</v>
      </c>
      <c r="H509" s="49">
        <v>0.75700000000000001</v>
      </c>
      <c r="I509" s="49">
        <f ca="1">((M509*staticResult!$C$2*100)+配裝模擬!$D$2+staticResult!$D$16*0.47)/staticResult!$C$2/100</f>
        <v>0.92914258780133352</v>
      </c>
      <c r="J509" s="49">
        <f ca="1">(staticResult!$C$16-H509)+BUFF!$F$27</f>
        <v>0.39075423898969308</v>
      </c>
      <c r="K509" s="448">
        <f t="shared" ca="1" si="27"/>
        <v>-0.78202763568135869</v>
      </c>
      <c r="L509" s="49">
        <f>((H509*staticResult!$C$2*100)+配裝模擬!$D$2+staticResult!$D$16*0.47)/staticResult!$C$2/100</f>
        <v>0.85344258780133342</v>
      </c>
      <c r="M509" s="476">
        <f ca="1">H509*(1+BUFF!$H$27)</f>
        <v>0.83270000000000011</v>
      </c>
    </row>
    <row r="510" spans="7:13">
      <c r="G510" s="448">
        <f t="shared" ca="1" si="26"/>
        <v>2.8752934826661964</v>
      </c>
      <c r="H510" s="49">
        <v>0.75800000000000001</v>
      </c>
      <c r="I510" s="49">
        <f ca="1">((M510*staticResult!$C$2*100)+配裝模擬!$D$2+staticResult!$D$16*0.47)/staticResult!$C$2/100</f>
        <v>0.93024258780133362</v>
      </c>
      <c r="J510" s="49">
        <f ca="1">(staticResult!$C$16-H510)+BUFF!$F$27</f>
        <v>0.38975423898969308</v>
      </c>
      <c r="K510" s="448">
        <f t="shared" ca="1" si="27"/>
        <v>-0.7847912353864388</v>
      </c>
      <c r="L510" s="49">
        <f>((H510*staticResult!$C$2*100)+配裝模擬!$D$2+staticResult!$D$16*0.47)/staticResult!$C$2/100</f>
        <v>0.85444258780133342</v>
      </c>
      <c r="M510" s="476">
        <f ca="1">H510*(1+BUFF!$H$27)</f>
        <v>0.8338000000000001</v>
      </c>
    </row>
    <row r="511" spans="7:13">
      <c r="G511" s="448">
        <f t="shared" ca="1" si="26"/>
        <v>2.874505927831104</v>
      </c>
      <c r="H511" s="49">
        <v>0.75900000000000001</v>
      </c>
      <c r="I511" s="49">
        <f ca="1">((M511*staticResult!$C$2*100)+配裝模擬!$D$2+staticResult!$D$16*0.47)/staticResult!$C$2/100</f>
        <v>0.93134258780133361</v>
      </c>
      <c r="J511" s="49">
        <f ca="1">(staticResult!$C$16-H511)+BUFF!$F$27</f>
        <v>0.38875423898969308</v>
      </c>
      <c r="K511" s="448">
        <f t="shared" ca="1" si="27"/>
        <v>-0.78755483509240709</v>
      </c>
      <c r="L511" s="49">
        <f>((H511*staticResult!$C$2*100)+配裝模擬!$D$2+staticResult!$D$16*0.47)/staticResult!$C$2/100</f>
        <v>0.85544258780133342</v>
      </c>
      <c r="M511" s="476">
        <f ca="1">H511*(1+BUFF!$H$27)</f>
        <v>0.83490000000000009</v>
      </c>
    </row>
    <row r="512" spans="7:13">
      <c r="G512" s="448">
        <f t="shared" ca="1" si="26"/>
        <v>2.8737156093963052</v>
      </c>
      <c r="H512" s="49">
        <v>0.76</v>
      </c>
      <c r="I512" s="49">
        <f ca="1">((M512*staticResult!$C$2*100)+配裝模擬!$D$2+staticResult!$D$16*0.47)/staticResult!$C$2/100</f>
        <v>0.93244258780133349</v>
      </c>
      <c r="J512" s="49">
        <f ca="1">(staticResult!$C$16-H512)+BUFF!$F$27</f>
        <v>0.38775423898969308</v>
      </c>
      <c r="K512" s="448">
        <f t="shared" ca="1" si="27"/>
        <v>-0.79031843479881947</v>
      </c>
      <c r="L512" s="49">
        <f>((H512*staticResult!$C$2*100)+配裝模擬!$D$2+staticResult!$D$16*0.47)/staticResult!$C$2/100</f>
        <v>0.85644258780133342</v>
      </c>
      <c r="M512" s="476">
        <f ca="1">H512*(1+BUFF!$H$27)</f>
        <v>0.83600000000000008</v>
      </c>
    </row>
    <row r="513" spans="7:13">
      <c r="G513" s="448">
        <f t="shared" ca="1" si="26"/>
        <v>2.8729225273618009</v>
      </c>
      <c r="H513" s="49">
        <v>0.76100000000000001</v>
      </c>
      <c r="I513" s="49">
        <f ca="1">((M513*staticResult!$C$2*100)+配裝模擬!$D$2+staticResult!$D$16*0.47)/staticResult!$C$2/100</f>
        <v>0.93354258780133348</v>
      </c>
      <c r="J513" s="49">
        <f ca="1">(staticResult!$C$16-H513)+BUFF!$F$27</f>
        <v>0.38675423898969308</v>
      </c>
      <c r="K513" s="448">
        <f t="shared" ca="1" si="27"/>
        <v>-0.79308203450434367</v>
      </c>
      <c r="L513" s="49">
        <f>((H513*staticResult!$C$2*100)+配裝模擬!$D$2+staticResult!$D$16*0.47)/staticResult!$C$2/100</f>
        <v>0.85744258780133353</v>
      </c>
      <c r="M513" s="476">
        <f ca="1">H513*(1+BUFF!$H$27)</f>
        <v>0.83710000000000007</v>
      </c>
    </row>
    <row r="514" spans="7:13">
      <c r="G514" s="448">
        <f t="shared" ref="G514:G552" ca="1" si="28">(1+I514)*(J514*$F$13+(1-J514))</f>
        <v>2.872126681727591</v>
      </c>
      <c r="H514" s="49">
        <v>0.76200000000000001</v>
      </c>
      <c r="I514" s="49">
        <f ca="1">((M514*staticResult!$C$2*100)+配裝模擬!$D$2+staticResult!$D$16*0.47)/staticResult!$C$2/100</f>
        <v>0.93464258780133347</v>
      </c>
      <c r="J514" s="49">
        <f ca="1">(staticResult!$C$16-H514)+BUFF!$F$27</f>
        <v>0.38575423898969308</v>
      </c>
      <c r="K514" s="448">
        <f t="shared" ca="1" si="27"/>
        <v>-0.79584563420986787</v>
      </c>
      <c r="L514" s="49">
        <f>((H514*staticResult!$C$2*100)+配裝模擬!$D$2+staticResult!$D$16*0.47)/staticResult!$C$2/100</f>
        <v>0.85844258780133342</v>
      </c>
      <c r="M514" s="476">
        <f ca="1">H514*(1+BUFF!$H$27)</f>
        <v>0.83820000000000006</v>
      </c>
    </row>
    <row r="515" spans="7:13">
      <c r="G515" s="448">
        <f t="shared" ca="1" si="28"/>
        <v>2.8713280724936752</v>
      </c>
      <c r="H515" s="49">
        <v>0.76300000000000001</v>
      </c>
      <c r="I515" s="49">
        <f ca="1">((M515*staticResult!$C$2*100)+配裝模擬!$D$2+staticResult!$D$16*0.47)/staticResult!$C$2/100</f>
        <v>0.93574258780133346</v>
      </c>
      <c r="J515" s="49">
        <f ca="1">(staticResult!$C$16-H515)+BUFF!$F$27</f>
        <v>0.38475423898969308</v>
      </c>
      <c r="K515" s="448">
        <f t="shared" ref="K515:K552" ca="1" si="29">(G515-G514)/(H515-H514)</f>
        <v>-0.79860923391583616</v>
      </c>
      <c r="L515" s="49">
        <f>((H515*staticResult!$C$2*100)+配裝模擬!$D$2+staticResult!$D$16*0.47)/staticResult!$C$2/100</f>
        <v>0.85944258780133342</v>
      </c>
      <c r="M515" s="476">
        <f ca="1">H515*(1+BUFF!$H$27)</f>
        <v>0.83930000000000005</v>
      </c>
    </row>
    <row r="516" spans="7:13">
      <c r="G516" s="448">
        <f t="shared" ca="1" si="28"/>
        <v>2.8705266996600534</v>
      </c>
      <c r="H516" s="49">
        <v>0.76400000000000001</v>
      </c>
      <c r="I516" s="49">
        <f ca="1">((M516*staticResult!$C$2*100)+配裝模擬!$D$2+staticResult!$D$16*0.47)/staticResult!$C$2/100</f>
        <v>0.93684258780133345</v>
      </c>
      <c r="J516" s="49">
        <f ca="1">(staticResult!$C$16-H516)+BUFF!$F$27</f>
        <v>0.38375423898969308</v>
      </c>
      <c r="K516" s="448">
        <f t="shared" ca="1" si="29"/>
        <v>-0.80137283362180445</v>
      </c>
      <c r="L516" s="49">
        <f>((H516*staticResult!$C$2*100)+配裝模擬!$D$2+staticResult!$D$16*0.47)/staticResult!$C$2/100</f>
        <v>0.86044258780133343</v>
      </c>
      <c r="M516" s="476">
        <f ca="1">H516*(1+BUFF!$H$27)</f>
        <v>0.84040000000000004</v>
      </c>
    </row>
    <row r="517" spans="7:13">
      <c r="G517" s="448">
        <f t="shared" ca="1" si="28"/>
        <v>2.8697225632267265</v>
      </c>
      <c r="H517" s="49">
        <v>0.76500000000000001</v>
      </c>
      <c r="I517" s="49">
        <f ca="1">((M517*staticResult!$C$2*100)+配裝模擬!$D$2+staticResult!$D$16*0.47)/staticResult!$C$2/100</f>
        <v>0.93794258780133366</v>
      </c>
      <c r="J517" s="49">
        <f ca="1">(staticResult!$C$16-H517)+BUFF!$F$27</f>
        <v>0.38275423898969307</v>
      </c>
      <c r="K517" s="448">
        <f t="shared" ca="1" si="29"/>
        <v>-0.80413643332688456</v>
      </c>
      <c r="L517" s="49">
        <f>((H517*staticResult!$C$2*100)+配裝模擬!$D$2+staticResult!$D$16*0.47)/staticResult!$C$2/100</f>
        <v>0.86144258780133343</v>
      </c>
      <c r="M517" s="476">
        <f ca="1">H517*(1+BUFF!$H$27)</f>
        <v>0.84150000000000014</v>
      </c>
    </row>
    <row r="518" spans="7:13">
      <c r="G518" s="448">
        <f t="shared" ca="1" si="28"/>
        <v>2.8689156631936932</v>
      </c>
      <c r="H518" s="49">
        <v>0.76600000000000001</v>
      </c>
      <c r="I518" s="49">
        <f ca="1">((M518*staticResult!$C$2*100)+配裝模擬!$D$2+staticResult!$D$16*0.47)/staticResult!$C$2/100</f>
        <v>0.93904258780133365</v>
      </c>
      <c r="J518" s="49">
        <f ca="1">(staticResult!$C$16-H518)+BUFF!$F$27</f>
        <v>0.38175423898969307</v>
      </c>
      <c r="K518" s="448">
        <f t="shared" ca="1" si="29"/>
        <v>-0.80690003303329694</v>
      </c>
      <c r="L518" s="49">
        <f>((H518*staticResult!$C$2*100)+配裝模擬!$D$2+staticResult!$D$16*0.47)/staticResult!$C$2/100</f>
        <v>0.86244258780133332</v>
      </c>
      <c r="M518" s="476">
        <f ca="1">H518*(1+BUFF!$H$27)</f>
        <v>0.84260000000000013</v>
      </c>
    </row>
    <row r="519" spans="7:13">
      <c r="G519" s="448">
        <f t="shared" ca="1" si="28"/>
        <v>2.8681059995609539</v>
      </c>
      <c r="H519" s="49">
        <v>0.76700000000000002</v>
      </c>
      <c r="I519" s="49">
        <f ca="1">((M519*staticResult!$C$2*100)+配裝模擬!$D$2+staticResult!$D$16*0.47)/staticResult!$C$2/100</f>
        <v>0.94014258780133342</v>
      </c>
      <c r="J519" s="49">
        <f ca="1">(staticResult!$C$16-H519)+BUFF!$F$27</f>
        <v>0.38075423898969307</v>
      </c>
      <c r="K519" s="448">
        <f t="shared" ca="1" si="29"/>
        <v>-0.80966363273926523</v>
      </c>
      <c r="L519" s="49">
        <f>((H519*staticResult!$C$2*100)+配裝模擬!$D$2+staticResult!$D$16*0.47)/staticResult!$C$2/100</f>
        <v>0.86344258780133354</v>
      </c>
      <c r="M519" s="476">
        <f ca="1">H519*(1+BUFF!$H$27)</f>
        <v>0.84370000000000012</v>
      </c>
    </row>
    <row r="520" spans="7:13">
      <c r="G520" s="448">
        <f t="shared" ca="1" si="28"/>
        <v>2.86729357232851</v>
      </c>
      <c r="H520" s="49">
        <v>0.76800000000000002</v>
      </c>
      <c r="I520" s="49">
        <f ca="1">((M520*staticResult!$C$2*100)+配裝模擬!$D$2+staticResult!$D$16*0.47)/staticResult!$C$2/100</f>
        <v>0.94124258780133363</v>
      </c>
      <c r="J520" s="49">
        <f ca="1">(staticResult!$C$16-H520)+BUFF!$F$27</f>
        <v>0.37975423898969307</v>
      </c>
      <c r="K520" s="448">
        <f t="shared" ca="1" si="29"/>
        <v>-0.81242723244390125</v>
      </c>
      <c r="L520" s="49">
        <f>((H520*staticResult!$C$2*100)+配裝模擬!$D$2+staticResult!$D$16*0.47)/staticResult!$C$2/100</f>
        <v>0.86444258780133354</v>
      </c>
      <c r="M520" s="476">
        <f ca="1">H520*(1+BUFF!$H$27)</f>
        <v>0.84480000000000011</v>
      </c>
    </row>
    <row r="521" spans="7:13">
      <c r="G521" s="448">
        <f t="shared" ca="1" si="28"/>
        <v>2.8664783814963584</v>
      </c>
      <c r="H521" s="49">
        <v>0.76900000000000002</v>
      </c>
      <c r="I521" s="49">
        <f ca="1">((M521*staticResult!$C$2*100)+配裝模擬!$D$2+staticResult!$D$16*0.47)/staticResult!$C$2/100</f>
        <v>0.9423425878013334</v>
      </c>
      <c r="J521" s="49">
        <f ca="1">(staticResult!$C$16-H521)+BUFF!$F$27</f>
        <v>0.37875423898969307</v>
      </c>
      <c r="K521" s="448">
        <f t="shared" ca="1" si="29"/>
        <v>-0.81519083215164578</v>
      </c>
      <c r="L521" s="49">
        <f>((H521*staticResult!$C$2*100)+配裝模擬!$D$2+staticResult!$D$16*0.47)/staticResult!$C$2/100</f>
        <v>0.86544258780133332</v>
      </c>
      <c r="M521" s="476">
        <f ca="1">H521*(1+BUFF!$H$27)</f>
        <v>0.8459000000000001</v>
      </c>
    </row>
    <row r="522" spans="7:13">
      <c r="G522" s="448">
        <f t="shared" ca="1" si="28"/>
        <v>2.865660427064503</v>
      </c>
      <c r="H522" s="49">
        <v>0.77</v>
      </c>
      <c r="I522" s="49">
        <f ca="1">((M522*staticResult!$C$2*100)+配裝模擬!$D$2+staticResult!$D$16*0.47)/staticResult!$C$2/100</f>
        <v>0.94344258780133361</v>
      </c>
      <c r="J522" s="49">
        <f ca="1">(staticResult!$C$16-H522)+BUFF!$F$27</f>
        <v>0.37775423898969307</v>
      </c>
      <c r="K522" s="448">
        <f t="shared" ca="1" si="29"/>
        <v>-0.81795443185539363</v>
      </c>
      <c r="L522" s="49">
        <f>((H522*staticResult!$C$2*100)+配裝模擬!$D$2+staticResult!$D$16*0.47)/staticResult!$C$2/100</f>
        <v>0.86644258780133343</v>
      </c>
      <c r="M522" s="476">
        <f ca="1">H522*(1+BUFF!$H$27)</f>
        <v>0.84700000000000009</v>
      </c>
    </row>
    <row r="523" spans="7:13">
      <c r="G523" s="448">
        <f t="shared" ca="1" si="28"/>
        <v>2.8648397090329403</v>
      </c>
      <c r="H523" s="49">
        <v>0.77100000000000002</v>
      </c>
      <c r="I523" s="49">
        <f ca="1">((M523*staticResult!$C$2*100)+配裝模擬!$D$2+staticResult!$D$16*0.47)/staticResult!$C$2/100</f>
        <v>0.94454258780133349</v>
      </c>
      <c r="J523" s="49">
        <f ca="1">(staticResult!$C$16-H523)+BUFF!$F$27</f>
        <v>0.37675423898969307</v>
      </c>
      <c r="K523" s="448">
        <f t="shared" ca="1" si="29"/>
        <v>-0.82071803156269418</v>
      </c>
      <c r="L523" s="49">
        <f>((H523*staticResult!$C$2*100)+配裝模擬!$D$2+staticResult!$D$16*0.47)/staticResult!$C$2/100</f>
        <v>0.86744258780133354</v>
      </c>
      <c r="M523" s="476">
        <f ca="1">H523*(1+BUFF!$H$27)</f>
        <v>0.84810000000000008</v>
      </c>
    </row>
    <row r="524" spans="7:13">
      <c r="G524" s="448">
        <f t="shared" ca="1" si="28"/>
        <v>2.8640162274016729</v>
      </c>
      <c r="H524" s="49">
        <v>0.77200000000000002</v>
      </c>
      <c r="I524" s="49">
        <f ca="1">((M524*staticResult!$C$2*100)+配裝模擬!$D$2+staticResult!$D$16*0.47)/staticResult!$C$2/100</f>
        <v>0.94564258780133359</v>
      </c>
      <c r="J524" s="49">
        <f ca="1">(staticResult!$C$16-H524)+BUFF!$F$27</f>
        <v>0.37575423898969307</v>
      </c>
      <c r="K524" s="448">
        <f t="shared" ca="1" si="29"/>
        <v>-0.82348163126733021</v>
      </c>
      <c r="L524" s="49">
        <f>((H524*staticResult!$C$2*100)+配裝模擬!$D$2+staticResult!$D$16*0.47)/staticResult!$C$2/100</f>
        <v>0.86844258780133343</v>
      </c>
      <c r="M524" s="476">
        <f ca="1">H524*(1+BUFF!$H$27)</f>
        <v>0.84920000000000007</v>
      </c>
    </row>
    <row r="525" spans="7:13">
      <c r="G525" s="448">
        <f t="shared" ca="1" si="28"/>
        <v>2.8631899821706988</v>
      </c>
      <c r="H525" s="49">
        <v>0.77300000000000002</v>
      </c>
      <c r="I525" s="49">
        <f ca="1">((M525*staticResult!$C$2*100)+配裝模擬!$D$2+staticResult!$D$16*0.47)/staticResult!$C$2/100</f>
        <v>0.94674258780133347</v>
      </c>
      <c r="J525" s="49">
        <f ca="1">(staticResult!$C$16-H525)+BUFF!$F$27</f>
        <v>0.37475423898969307</v>
      </c>
      <c r="K525" s="448">
        <f t="shared" ca="1" si="29"/>
        <v>-0.82624523097418667</v>
      </c>
      <c r="L525" s="49">
        <f>((H525*staticResult!$C$2*100)+配裝模擬!$D$2+staticResult!$D$16*0.47)/staticResult!$C$2/100</f>
        <v>0.86944258780133354</v>
      </c>
      <c r="M525" s="476">
        <f ca="1">H525*(1+BUFF!$H$27)</f>
        <v>0.85030000000000006</v>
      </c>
    </row>
    <row r="526" spans="7:13">
      <c r="G526" s="448">
        <f t="shared" ca="1" si="28"/>
        <v>2.8623609733400195</v>
      </c>
      <c r="H526" s="49">
        <v>0.77400000000000002</v>
      </c>
      <c r="I526" s="49">
        <f ca="1">((M526*staticResult!$C$2*100)+配裝模擬!$D$2+staticResult!$D$16*0.47)/staticResult!$C$2/100</f>
        <v>0.94784258780133357</v>
      </c>
      <c r="J526" s="49">
        <f ca="1">(staticResult!$C$16-H526)+BUFF!$F$27</f>
        <v>0.37375423898969307</v>
      </c>
      <c r="K526" s="448">
        <f t="shared" ca="1" si="29"/>
        <v>-0.82900883067926678</v>
      </c>
      <c r="L526" s="49">
        <f>((H526*staticResult!$C$2*100)+配裝模擬!$D$2+staticResult!$D$16*0.47)/staticResult!$C$2/100</f>
        <v>0.87044258780133343</v>
      </c>
      <c r="M526" s="476">
        <f ca="1">H526*(1+BUFF!$H$27)</f>
        <v>0.85140000000000005</v>
      </c>
    </row>
    <row r="527" spans="7:13">
      <c r="G527" s="448">
        <f t="shared" ca="1" si="28"/>
        <v>2.8615292009096343</v>
      </c>
      <c r="H527" s="49">
        <v>0.77500000000000002</v>
      </c>
      <c r="I527" s="49">
        <f ca="1">((M527*staticResult!$C$2*100)+配裝模擬!$D$2+staticResult!$D$16*0.47)/staticResult!$C$2/100</f>
        <v>0.94894258780133356</v>
      </c>
      <c r="J527" s="49">
        <f ca="1">(staticResult!$C$16-H527)+BUFF!$F$27</f>
        <v>0.37275423898969307</v>
      </c>
      <c r="K527" s="448">
        <f t="shared" ca="1" si="29"/>
        <v>-0.83177243038523507</v>
      </c>
      <c r="L527" s="49">
        <f>((H527*staticResult!$C$2*100)+配裝模擬!$D$2+staticResult!$D$16*0.47)/staticResult!$C$2/100</f>
        <v>0.87144258780133343</v>
      </c>
      <c r="M527" s="476">
        <f ca="1">H527*(1+BUFF!$H$27)</f>
        <v>0.85250000000000015</v>
      </c>
    </row>
    <row r="528" spans="7:13">
      <c r="G528" s="448">
        <f t="shared" ca="1" si="28"/>
        <v>2.860694664879543</v>
      </c>
      <c r="H528" s="49">
        <v>0.77600000000000002</v>
      </c>
      <c r="I528" s="49">
        <f ca="1">((M528*staticResult!$C$2*100)+配裝模擬!$D$2+staticResult!$D$16*0.47)/staticResult!$C$2/100</f>
        <v>0.95004258780133355</v>
      </c>
      <c r="J528" s="49">
        <f ca="1">(staticResult!$C$16-H528)+BUFF!$F$27</f>
        <v>0.37175423898969306</v>
      </c>
      <c r="K528" s="448">
        <f t="shared" ca="1" si="29"/>
        <v>-0.83453603009120336</v>
      </c>
      <c r="L528" s="49">
        <f>((H528*staticResult!$C$2*100)+配裝模擬!$D$2+staticResult!$D$16*0.47)/staticResult!$C$2/100</f>
        <v>0.87244258780133355</v>
      </c>
      <c r="M528" s="476">
        <f ca="1">H528*(1+BUFF!$H$27)</f>
        <v>0.85360000000000014</v>
      </c>
    </row>
    <row r="529" spans="7:13">
      <c r="G529" s="448">
        <f t="shared" ca="1" si="28"/>
        <v>2.8598573652497468</v>
      </c>
      <c r="H529" s="49">
        <v>0.77700000000000002</v>
      </c>
      <c r="I529" s="49">
        <f ca="1">((M529*staticResult!$C$2*100)+配裝模擬!$D$2+staticResult!$D$16*0.47)/staticResult!$C$2/100</f>
        <v>0.95114258780133365</v>
      </c>
      <c r="J529" s="49">
        <f ca="1">(staticResult!$C$16-H529)+BUFF!$F$27</f>
        <v>0.37075423898969306</v>
      </c>
      <c r="K529" s="448">
        <f t="shared" ca="1" si="29"/>
        <v>-0.83729962979628347</v>
      </c>
      <c r="L529" s="49">
        <f>((H529*staticResult!$C$2*100)+配裝模擬!$D$2+staticResult!$D$16*0.47)/staticResult!$C$2/100</f>
        <v>0.87344258780133344</v>
      </c>
      <c r="M529" s="476">
        <f ca="1">H529*(1+BUFF!$H$27)</f>
        <v>0.85470000000000013</v>
      </c>
    </row>
    <row r="530" spans="7:13">
      <c r="G530" s="448">
        <f t="shared" ca="1" si="28"/>
        <v>2.8590173020202432</v>
      </c>
      <c r="H530" s="49">
        <v>0.77800000000000002</v>
      </c>
      <c r="I530" s="49">
        <f ca="1">((M530*staticResult!$C$2*100)+配裝模擬!$D$2+staticResult!$D$16*0.47)/staticResult!$C$2/100</f>
        <v>0.95224258780133353</v>
      </c>
      <c r="J530" s="49">
        <f ca="1">(staticResult!$C$16-H530)+BUFF!$F$27</f>
        <v>0.36975423898969306</v>
      </c>
      <c r="K530" s="448">
        <f t="shared" ca="1" si="29"/>
        <v>-0.84006322950358403</v>
      </c>
      <c r="L530" s="49">
        <f>((H530*staticResult!$C$2*100)+配裝模擬!$D$2+staticResult!$D$16*0.47)/staticResult!$C$2/100</f>
        <v>0.87444258780133344</v>
      </c>
      <c r="M530" s="476">
        <f ca="1">H530*(1+BUFF!$H$27)</f>
        <v>0.85580000000000012</v>
      </c>
    </row>
    <row r="531" spans="7:13">
      <c r="G531" s="448">
        <f t="shared" ca="1" si="28"/>
        <v>2.8581744751910354</v>
      </c>
      <c r="H531" s="49">
        <v>0.77900000000000003</v>
      </c>
      <c r="I531" s="49">
        <f ca="1">((M531*staticResult!$C$2*100)+配裝模擬!$D$2+staticResult!$D$16*0.47)/staticResult!$C$2/100</f>
        <v>0.95334258780133352</v>
      </c>
      <c r="J531" s="49">
        <f ca="1">(staticResult!$C$16-H531)+BUFF!$F$27</f>
        <v>0.36875423898969306</v>
      </c>
      <c r="K531" s="448">
        <f t="shared" ca="1" si="29"/>
        <v>-0.84282682920777596</v>
      </c>
      <c r="L531" s="49">
        <f>((H531*staticResult!$C$2*100)+配裝模擬!$D$2+staticResult!$D$16*0.47)/staticResult!$C$2/100</f>
        <v>0.87544258780133344</v>
      </c>
      <c r="M531" s="476">
        <f ca="1">H531*(1+BUFF!$H$27)</f>
        <v>0.85690000000000011</v>
      </c>
    </row>
    <row r="532" spans="7:13">
      <c r="G532" s="448">
        <f t="shared" ca="1" si="28"/>
        <v>2.8573288847621212</v>
      </c>
      <c r="H532" s="49">
        <v>0.78</v>
      </c>
      <c r="I532" s="49">
        <f ca="1">((M532*staticResult!$C$2*100)+配裝模擬!$D$2+staticResult!$D$16*0.47)/staticResult!$C$2/100</f>
        <v>0.95444258780133351</v>
      </c>
      <c r="J532" s="49">
        <f ca="1">(staticResult!$C$16-H532)+BUFF!$F$27</f>
        <v>0.36775423898969306</v>
      </c>
      <c r="K532" s="448">
        <f t="shared" ca="1" si="29"/>
        <v>-0.84559042891418834</v>
      </c>
      <c r="L532" s="49">
        <f>((H532*staticResult!$C$2*100)+配裝模擬!$D$2+staticResult!$D$16*0.47)/staticResult!$C$2/100</f>
        <v>0.87644258780133355</v>
      </c>
      <c r="M532" s="476">
        <f ca="1">H532*(1+BUFF!$H$27)</f>
        <v>0.8580000000000001</v>
      </c>
    </row>
    <row r="533" spans="7:13">
      <c r="G533" s="448">
        <f t="shared" ca="1" si="28"/>
        <v>2.8564805307335011</v>
      </c>
      <c r="H533" s="49">
        <v>0.78100000000000003</v>
      </c>
      <c r="I533" s="49">
        <f ca="1">((M533*staticResult!$C$2*100)+配裝模擬!$D$2+staticResult!$D$16*0.47)/staticResult!$C$2/100</f>
        <v>0.9555425878013335</v>
      </c>
      <c r="J533" s="49">
        <f ca="1">(staticResult!$C$16-H533)+BUFF!$F$27</f>
        <v>0.36675423898969306</v>
      </c>
      <c r="K533" s="448">
        <f t="shared" ca="1" si="29"/>
        <v>-0.84835402862015663</v>
      </c>
      <c r="L533" s="49">
        <f>((H533*staticResult!$C$2*100)+配裝模擬!$D$2+staticResult!$D$16*0.47)/staticResult!$C$2/100</f>
        <v>0.87744258780133355</v>
      </c>
      <c r="M533" s="476">
        <f ca="1">H533*(1+BUFF!$H$27)</f>
        <v>0.85910000000000009</v>
      </c>
    </row>
    <row r="534" spans="7:13">
      <c r="G534" s="448">
        <f t="shared" ca="1" si="28"/>
        <v>2.8556294131051749</v>
      </c>
      <c r="H534" s="49">
        <v>0.78200000000000003</v>
      </c>
      <c r="I534" s="49">
        <f ca="1">((M534*staticResult!$C$2*100)+配裝模擬!$D$2+staticResult!$D$16*0.47)/staticResult!$C$2/100</f>
        <v>0.95664258780133349</v>
      </c>
      <c r="J534" s="49">
        <f ca="1">(staticResult!$C$16-H534)+BUFF!$F$27</f>
        <v>0.36575423898969306</v>
      </c>
      <c r="K534" s="448">
        <f t="shared" ca="1" si="29"/>
        <v>-0.85111762832612492</v>
      </c>
      <c r="L534" s="49">
        <f>((H534*staticResult!$C$2*100)+配裝模擬!$D$2+staticResult!$D$16*0.47)/staticResult!$C$2/100</f>
        <v>0.87844258780133344</v>
      </c>
      <c r="M534" s="476">
        <f ca="1">H534*(1+BUFF!$H$27)</f>
        <v>0.86020000000000008</v>
      </c>
    </row>
    <row r="535" spans="7:13">
      <c r="G535" s="448">
        <f t="shared" ca="1" si="28"/>
        <v>2.8547755318771437</v>
      </c>
      <c r="H535" s="49">
        <v>0.78300000000000003</v>
      </c>
      <c r="I535" s="49">
        <f ca="1">((M535*staticResult!$C$2*100)+配裝模擬!$D$2+staticResult!$D$16*0.47)/staticResult!$C$2/100</f>
        <v>0.95774258780133348</v>
      </c>
      <c r="J535" s="49">
        <f ca="1">(staticResult!$C$16-H535)+BUFF!$F$27</f>
        <v>0.36475423898969306</v>
      </c>
      <c r="K535" s="448">
        <f t="shared" ca="1" si="29"/>
        <v>-0.85388122803120503</v>
      </c>
      <c r="L535" s="49">
        <f>((H535*staticResult!$C$2*100)+配裝模擬!$D$2+staticResult!$D$16*0.47)/staticResult!$C$2/100</f>
        <v>0.87944258780133355</v>
      </c>
      <c r="M535" s="476">
        <f ca="1">H535*(1+BUFF!$H$27)</f>
        <v>0.86130000000000007</v>
      </c>
    </row>
    <row r="536" spans="7:13">
      <c r="G536" s="448">
        <f t="shared" ca="1" si="28"/>
        <v>2.8539188870494061</v>
      </c>
      <c r="H536" s="49">
        <v>0.78400000000000003</v>
      </c>
      <c r="I536" s="49">
        <f ca="1">((M536*staticResult!$C$2*100)+配裝模擬!$D$2+staticResult!$D$16*0.47)/staticResult!$C$2/100</f>
        <v>0.95884258780133336</v>
      </c>
      <c r="J536" s="49">
        <f ca="1">(staticResult!$C$16-H536)+BUFF!$F$27</f>
        <v>0.36375423898969306</v>
      </c>
      <c r="K536" s="448">
        <f t="shared" ca="1" si="29"/>
        <v>-0.85664482773761741</v>
      </c>
      <c r="L536" s="49">
        <f>((H536*staticResult!$C$2*100)+配裝模擬!$D$2+staticResult!$D$16*0.47)/staticResult!$C$2/100</f>
        <v>0.88044258780133344</v>
      </c>
      <c r="M536" s="476">
        <f ca="1">H536*(1+BUFF!$H$27)</f>
        <v>0.86240000000000006</v>
      </c>
    </row>
    <row r="537" spans="7:13">
      <c r="G537" s="448">
        <f t="shared" ca="1" si="28"/>
        <v>2.853059478621963</v>
      </c>
      <c r="H537" s="49">
        <v>0.78500000000000003</v>
      </c>
      <c r="I537" s="49">
        <f ca="1">((M537*staticResult!$C$2*100)+配裝模擬!$D$2+staticResult!$D$16*0.47)/staticResult!$C$2/100</f>
        <v>0.95994258780133346</v>
      </c>
      <c r="J537" s="49">
        <f ca="1">(staticResult!$C$16-H537)+BUFF!$F$27</f>
        <v>0.36275423898969306</v>
      </c>
      <c r="K537" s="448">
        <f t="shared" ca="1" si="29"/>
        <v>-0.85940842744314161</v>
      </c>
      <c r="L537" s="49">
        <f>((H537*staticResult!$C$2*100)+配裝模擬!$D$2+staticResult!$D$16*0.47)/staticResult!$C$2/100</f>
        <v>0.88144258780133355</v>
      </c>
      <c r="M537" s="476">
        <f ca="1">H537*(1+BUFF!$H$27)</f>
        <v>0.86350000000000016</v>
      </c>
    </row>
    <row r="538" spans="7:13">
      <c r="G538" s="448">
        <f t="shared" ca="1" si="28"/>
        <v>2.8521973065948147</v>
      </c>
      <c r="H538" s="49">
        <v>0.78600000000000003</v>
      </c>
      <c r="I538" s="49">
        <f ca="1">((M538*staticResult!$C$2*100)+配裝模擬!$D$2+staticResult!$D$16*0.47)/staticResult!$C$2/100</f>
        <v>0.96104258780133367</v>
      </c>
      <c r="J538" s="49">
        <f ca="1">(staticResult!$C$16-H538)+BUFF!$F$27</f>
        <v>0.36175423898969306</v>
      </c>
      <c r="K538" s="448">
        <f t="shared" ca="1" si="29"/>
        <v>-0.86217202714822172</v>
      </c>
      <c r="L538" s="49">
        <f>((H538*staticResult!$C$2*100)+配裝模擬!$D$2+staticResult!$D$16*0.47)/staticResult!$C$2/100</f>
        <v>0.88244258780133356</v>
      </c>
      <c r="M538" s="476">
        <f ca="1">H538*(1+BUFF!$H$27)</f>
        <v>0.86460000000000015</v>
      </c>
    </row>
    <row r="539" spans="7:13">
      <c r="G539" s="448">
        <f t="shared" ca="1" si="28"/>
        <v>2.8513323709679597</v>
      </c>
      <c r="H539" s="49">
        <v>0.78700000000000003</v>
      </c>
      <c r="I539" s="49">
        <f ca="1">((M539*staticResult!$C$2*100)+配裝模擬!$D$2+staticResult!$D$16*0.47)/staticResult!$C$2/100</f>
        <v>0.96214258780133366</v>
      </c>
      <c r="J539" s="49">
        <f ca="1">(staticResult!$C$16-H539)+BUFF!$F$27</f>
        <v>0.36075423898969305</v>
      </c>
      <c r="K539" s="448">
        <f t="shared" ca="1" si="29"/>
        <v>-0.86493562685507819</v>
      </c>
      <c r="L539" s="49">
        <f>((H539*staticResult!$C$2*100)+配裝模擬!$D$2+staticResult!$D$16*0.47)/staticResult!$C$2/100</f>
        <v>0.88344258780133345</v>
      </c>
      <c r="M539" s="476">
        <f ca="1">H539*(1+BUFF!$H$27)</f>
        <v>0.86570000000000014</v>
      </c>
    </row>
    <row r="540" spans="7:13">
      <c r="G540" s="448">
        <f t="shared" ca="1" si="28"/>
        <v>2.8504646717413991</v>
      </c>
      <c r="H540" s="49">
        <v>0.78800000000000003</v>
      </c>
      <c r="I540" s="49">
        <f ca="1">((M540*staticResult!$C$2*100)+配裝模擬!$D$2+staticResult!$D$16*0.47)/staticResult!$C$2/100</f>
        <v>0.96324258780133365</v>
      </c>
      <c r="J540" s="49">
        <f ca="1">(staticResult!$C$16-H540)+BUFF!$F$27</f>
        <v>0.35975423898969305</v>
      </c>
      <c r="K540" s="448">
        <f t="shared" ca="1" si="29"/>
        <v>-0.86769922656060239</v>
      </c>
      <c r="L540" s="49">
        <f>((H540*staticResult!$C$2*100)+配裝模擬!$D$2+staticResult!$D$16*0.47)/staticResult!$C$2/100</f>
        <v>0.88444258780133356</v>
      </c>
      <c r="M540" s="476">
        <f ca="1">H540*(1+BUFF!$H$27)</f>
        <v>0.86680000000000013</v>
      </c>
    </row>
    <row r="541" spans="7:13">
      <c r="G541" s="448">
        <f t="shared" ca="1" si="28"/>
        <v>2.8495942089151329</v>
      </c>
      <c r="H541" s="49">
        <v>0.78900000000000003</v>
      </c>
      <c r="I541" s="49">
        <f ca="1">((M541*staticResult!$C$2*100)+配裝模擬!$D$2+staticResult!$D$16*0.47)/staticResult!$C$2/100</f>
        <v>0.96434258780133353</v>
      </c>
      <c r="J541" s="49">
        <f ca="1">(staticResult!$C$16-H541)+BUFF!$F$27</f>
        <v>0.35875423898969305</v>
      </c>
      <c r="K541" s="448">
        <f t="shared" ca="1" si="29"/>
        <v>-0.87046282626612659</v>
      </c>
      <c r="L541" s="49">
        <f>((H541*staticResult!$C$2*100)+配裝模擬!$D$2+staticResult!$D$16*0.47)/staticResult!$C$2/100</f>
        <v>0.88544258780133345</v>
      </c>
      <c r="M541" s="476">
        <f ca="1">H541*(1+BUFF!$H$27)</f>
        <v>0.86790000000000012</v>
      </c>
    </row>
    <row r="542" spans="7:13">
      <c r="G542" s="448">
        <f t="shared" ca="1" si="28"/>
        <v>2.8487209824891608</v>
      </c>
      <c r="H542" s="49">
        <v>0.79</v>
      </c>
      <c r="I542" s="49">
        <f ca="1">((M542*staticResult!$C$2*100)+配裝模擬!$D$2+staticResult!$D$16*0.47)/staticResult!$C$2/100</f>
        <v>0.96544258780133363</v>
      </c>
      <c r="J542" s="49">
        <f ca="1">(staticResult!$C$16-H542)+BUFF!$F$27</f>
        <v>0.35775423898969305</v>
      </c>
      <c r="K542" s="448">
        <f t="shared" ca="1" si="29"/>
        <v>-0.87322642597209488</v>
      </c>
      <c r="L542" s="49">
        <f>((H542*staticResult!$C$2*100)+配裝模擬!$D$2+staticResult!$D$16*0.47)/staticResult!$C$2/100</f>
        <v>0.88644258780133345</v>
      </c>
      <c r="M542" s="476">
        <f ca="1">H542*(1+BUFF!$H$27)</f>
        <v>0.86900000000000011</v>
      </c>
    </row>
    <row r="543" spans="7:13">
      <c r="G543" s="448">
        <f t="shared" ca="1" si="28"/>
        <v>2.8478449924634828</v>
      </c>
      <c r="H543" s="49">
        <v>0.79100000000000004</v>
      </c>
      <c r="I543" s="49">
        <f ca="1">((M543*staticResult!$C$2*100)+配裝模擬!$D$2+staticResult!$D$16*0.47)/staticResult!$C$2/100</f>
        <v>0.96654258780133362</v>
      </c>
      <c r="J543" s="49">
        <f ca="1">(staticResult!$C$16-H543)+BUFF!$F$27</f>
        <v>0.35675423898969305</v>
      </c>
      <c r="K543" s="448">
        <f t="shared" ca="1" si="29"/>
        <v>-0.87599002567806317</v>
      </c>
      <c r="L543" s="49">
        <f>((H543*staticResult!$C$2*100)+配裝模擬!$D$2+staticResult!$D$16*0.47)/staticResult!$C$2/100</f>
        <v>0.88744258780133345</v>
      </c>
      <c r="M543" s="476">
        <f ca="1">H543*(1+BUFF!$H$27)</f>
        <v>0.8701000000000001</v>
      </c>
    </row>
    <row r="544" spans="7:13">
      <c r="G544" s="448">
        <f t="shared" ca="1" si="28"/>
        <v>2.8469662388380987</v>
      </c>
      <c r="H544" s="49">
        <v>0.79200000000000004</v>
      </c>
      <c r="I544" s="49">
        <f ca="1">((M544*staticResult!$C$2*100)+配裝模擬!$D$2+staticResult!$D$16*0.47)/staticResult!$C$2/100</f>
        <v>0.96764258780133361</v>
      </c>
      <c r="J544" s="49">
        <f ca="1">(staticResult!$C$16-H544)+BUFF!$F$27</f>
        <v>0.35575423898969305</v>
      </c>
      <c r="K544" s="448">
        <f t="shared" ca="1" si="29"/>
        <v>-0.87875362538403146</v>
      </c>
      <c r="L544" s="49">
        <f>((H544*staticResult!$C$2*100)+配裝模擬!$D$2+staticResult!$D$16*0.47)/staticResult!$C$2/100</f>
        <v>0.88844258780133345</v>
      </c>
      <c r="M544" s="476">
        <f ca="1">H544*(1+BUFF!$H$27)</f>
        <v>0.87120000000000009</v>
      </c>
    </row>
    <row r="545" spans="7:13">
      <c r="G545" s="448">
        <f t="shared" ca="1" si="28"/>
        <v>2.8460847216130101</v>
      </c>
      <c r="H545" s="49">
        <v>0.79300000000000004</v>
      </c>
      <c r="I545" s="49">
        <f ca="1">((M545*staticResult!$C$2*100)+配裝模擬!$D$2+staticResult!$D$16*0.47)/staticResult!$C$2/100</f>
        <v>0.96874258780133349</v>
      </c>
      <c r="J545" s="49">
        <f ca="1">(staticResult!$C$16-H545)+BUFF!$F$27</f>
        <v>0.35475423898969305</v>
      </c>
      <c r="K545" s="448">
        <f t="shared" ca="1" si="29"/>
        <v>-0.88151722508866748</v>
      </c>
      <c r="L545" s="49">
        <f>((H545*staticResult!$C$2*100)+配裝模擬!$D$2+staticResult!$D$16*0.47)/staticResult!$C$2/100</f>
        <v>0.88944258780133356</v>
      </c>
      <c r="M545" s="476">
        <f ca="1">H545*(1+BUFF!$H$27)</f>
        <v>0.87230000000000008</v>
      </c>
    </row>
    <row r="546" spans="7:13">
      <c r="G546" s="448">
        <f t="shared" ca="1" si="28"/>
        <v>2.8452004407882145</v>
      </c>
      <c r="H546" s="49">
        <v>0.79400000000000004</v>
      </c>
      <c r="I546" s="49">
        <f ca="1">((M546*staticResult!$C$2*100)+配裝模擬!$D$2+staticResult!$D$16*0.47)/staticResult!$C$2/100</f>
        <v>0.96984258780133359</v>
      </c>
      <c r="J546" s="49">
        <f ca="1">(staticResult!$C$16-H546)+BUFF!$F$27</f>
        <v>0.35375423898969305</v>
      </c>
      <c r="K546" s="448">
        <f t="shared" ca="1" si="29"/>
        <v>-0.88428082479552395</v>
      </c>
      <c r="L546" s="49">
        <f>((H546*staticResult!$C$2*100)+配裝模擬!$D$2+staticResult!$D$16*0.47)/staticResult!$C$2/100</f>
        <v>0.89044258780133345</v>
      </c>
      <c r="M546" s="476">
        <f ca="1">H546*(1+BUFF!$H$27)</f>
        <v>0.87340000000000007</v>
      </c>
    </row>
    <row r="547" spans="7:13">
      <c r="G547" s="448">
        <f t="shared" ca="1" si="28"/>
        <v>2.8443133963637135</v>
      </c>
      <c r="H547" s="49">
        <v>0.79500000000000004</v>
      </c>
      <c r="I547" s="49">
        <f ca="1">((M547*staticResult!$C$2*100)+配裝模擬!$D$2+staticResult!$D$16*0.47)/staticResult!$C$2/100</f>
        <v>0.97094258780133358</v>
      </c>
      <c r="J547" s="49">
        <f ca="1">(staticResult!$C$16-H547)+BUFF!$F$27</f>
        <v>0.35275423898969305</v>
      </c>
      <c r="K547" s="448">
        <f t="shared" ca="1" si="29"/>
        <v>-0.88704442450104815</v>
      </c>
      <c r="L547" s="49">
        <f>((H547*staticResult!$C$2*100)+配裝模擬!$D$2+staticResult!$D$16*0.47)/staticResult!$C$2/100</f>
        <v>0.89144258780133345</v>
      </c>
      <c r="M547" s="476">
        <f ca="1">H547*(1+BUFF!$H$27)</f>
        <v>0.87450000000000017</v>
      </c>
    </row>
    <row r="548" spans="7:13">
      <c r="G548" s="448">
        <f t="shared" ca="1" si="28"/>
        <v>2.8434235883395065</v>
      </c>
      <c r="H548" s="49">
        <v>0.79600000000000004</v>
      </c>
      <c r="I548" s="49">
        <f ca="1">((M548*staticResult!$C$2*100)+配裝模擬!$D$2+staticResult!$D$16*0.47)/staticResult!$C$2/100</f>
        <v>0.97204258780133368</v>
      </c>
      <c r="J548" s="49">
        <f ca="1">(staticResult!$C$16-H548)+BUFF!$F$27</f>
        <v>0.35175423898969305</v>
      </c>
      <c r="K548" s="448">
        <f t="shared" ca="1" si="29"/>
        <v>-0.88980802420701643</v>
      </c>
      <c r="L548" s="49">
        <f>((H548*staticResult!$C$2*100)+配裝模擬!$D$2+staticResult!$D$16*0.47)/staticResult!$C$2/100</f>
        <v>0.89244258780133345</v>
      </c>
      <c r="M548" s="476">
        <f ca="1">H548*(1+BUFF!$H$27)</f>
        <v>0.87560000000000016</v>
      </c>
    </row>
    <row r="549" spans="7:13">
      <c r="G549" s="448">
        <f t="shared" ca="1" si="28"/>
        <v>2.8425310167155939</v>
      </c>
      <c r="H549" s="49">
        <v>0.79700000000000004</v>
      </c>
      <c r="I549" s="49">
        <f ca="1">((M549*staticResult!$C$2*100)+配裝模擬!$D$2+staticResult!$D$16*0.47)/staticResult!$C$2/100</f>
        <v>0.97314258780133356</v>
      </c>
      <c r="J549" s="49">
        <f ca="1">(staticResult!$C$16-H549)+BUFF!$F$27</f>
        <v>0.35075423898969305</v>
      </c>
      <c r="K549" s="448">
        <f t="shared" ca="1" si="29"/>
        <v>-0.89257162391254063</v>
      </c>
      <c r="L549" s="49">
        <f>((H549*staticResult!$C$2*100)+配裝模擬!$D$2+staticResult!$D$16*0.47)/staticResult!$C$2/100</f>
        <v>0.89344258780133357</v>
      </c>
      <c r="M549" s="476">
        <f ca="1">H549*(1+BUFF!$H$27)</f>
        <v>0.87670000000000015</v>
      </c>
    </row>
    <row r="550" spans="7:13">
      <c r="G550" s="448">
        <f t="shared" ca="1" si="28"/>
        <v>2.8416356814919759</v>
      </c>
      <c r="H550" s="49">
        <v>0.79800000000000004</v>
      </c>
      <c r="I550" s="49">
        <f ca="1">((M550*staticResult!$C$2*100)+配裝模擬!$D$2+staticResult!$D$16*0.47)/staticResult!$C$2/100</f>
        <v>0.97424258780133355</v>
      </c>
      <c r="J550" s="49">
        <f ca="1">(staticResult!$C$16-H550)+BUFF!$F$27</f>
        <v>0.34975423898969304</v>
      </c>
      <c r="K550" s="448">
        <f t="shared" ca="1" si="29"/>
        <v>-0.89533522361806483</v>
      </c>
      <c r="L550" s="49">
        <f>((H550*staticResult!$C$2*100)+配裝模擬!$D$2+staticResult!$D$16*0.47)/staticResult!$C$2/100</f>
        <v>0.89444258780133334</v>
      </c>
      <c r="M550" s="476">
        <f ca="1">H550*(1+BUFF!$H$27)</f>
        <v>0.87780000000000014</v>
      </c>
    </row>
    <row r="551" spans="7:13">
      <c r="G551" s="448">
        <f t="shared" ca="1" si="28"/>
        <v>2.8407375826686514</v>
      </c>
      <c r="H551" s="49">
        <v>0.79900000000000004</v>
      </c>
      <c r="I551" s="49">
        <f ca="1">((M551*staticResult!$C$2*100)+配裝模擬!$D$2+staticResult!$D$16*0.47)/staticResult!$C$2/100</f>
        <v>0.97534258780133354</v>
      </c>
      <c r="J551" s="49">
        <f ca="1">(staticResult!$C$16-H551)+BUFF!$F$27</f>
        <v>0.34875423898969304</v>
      </c>
      <c r="K551" s="448">
        <f t="shared" ca="1" si="29"/>
        <v>-0.89809882332447721</v>
      </c>
      <c r="L551" s="49">
        <f>((H551*staticResult!$C$2*100)+配裝模擬!$D$2+staticResult!$D$16*0.47)/staticResult!$C$2/100</f>
        <v>0.89544258780133346</v>
      </c>
      <c r="M551" s="476">
        <f ca="1">H551*(1+BUFF!$H$27)</f>
        <v>0.87890000000000013</v>
      </c>
    </row>
    <row r="552" spans="7:13">
      <c r="G552" s="448">
        <f t="shared" ca="1" si="28"/>
        <v>2.8398367202456218</v>
      </c>
      <c r="H552" s="49">
        <v>0.8</v>
      </c>
      <c r="I552" s="49">
        <f ca="1">((M552*staticResult!$C$2*100)+配裝模擬!$D$2+staticResult!$D$16*0.47)/staticResult!$C$2/100</f>
        <v>0.97644258780133375</v>
      </c>
      <c r="J552" s="49">
        <f ca="1">(staticResult!$C$16-H552)+BUFF!$F$27</f>
        <v>0.34775423898969304</v>
      </c>
      <c r="K552" s="448">
        <f t="shared" ca="1" si="29"/>
        <v>-0.90086242302955732</v>
      </c>
      <c r="L552" s="49">
        <f>((H552*staticResult!$C$2*100)+配裝模擬!$D$2+staticResult!$D$16*0.47)/staticResult!$C$2/100</f>
        <v>0.89644258780133357</v>
      </c>
      <c r="M552" s="476">
        <f ca="1">H552*(1+BUFF!$H$27)</f>
        <v>0.88000000000000012</v>
      </c>
    </row>
  </sheetData>
  <phoneticPr fontId="44" type="noConversion"/>
  <conditionalFormatting sqref="A1:A1048576">
    <cfRule type="top10" dxfId="89" priority="5" rank="1"/>
    <cfRule type="colorScale" priority="6">
      <colorScale>
        <cfvo type="min"/>
        <cfvo type="max"/>
        <color theme="7" tint="0.79998168889431442"/>
        <color theme="5"/>
      </colorScale>
    </cfRule>
  </conditionalFormatting>
  <conditionalFormatting sqref="D1:D1048576">
    <cfRule type="colorScale" priority="4">
      <colorScale>
        <cfvo type="min"/>
        <cfvo type="num" val="0"/>
        <cfvo type="max"/>
        <color theme="3" tint="-0.499984740745262"/>
        <color theme="7" tint="0.79998168889431442"/>
        <color rgb="FF4D1B1B"/>
      </colorScale>
    </cfRule>
  </conditionalFormatting>
  <conditionalFormatting sqref="G1:G1048576">
    <cfRule type="top10" dxfId="88" priority="7" rank="1"/>
    <cfRule type="colorScale" priority="8">
      <colorScale>
        <cfvo type="min"/>
        <cfvo type="max"/>
        <color theme="7" tint="0.79998168889431442"/>
        <color theme="5"/>
      </colorScale>
    </cfRule>
  </conditionalFormatting>
  <conditionalFormatting sqref="K3">
    <cfRule type="colorScale" priority="190">
      <colorScale>
        <cfvo type="min"/>
        <cfvo type="num" val="0"/>
        <cfvo type="max"/>
        <color theme="3" tint="-0.499984740745262"/>
        <color theme="7" tint="0.79998168889431442"/>
        <color rgb="FF4D1B1B"/>
      </colorScale>
    </cfRule>
  </conditionalFormatting>
  <conditionalFormatting sqref="K4:K552">
    <cfRule type="colorScale" priority="191">
      <colorScale>
        <cfvo type="min"/>
        <cfvo type="num" val="0"/>
        <cfvo type="max"/>
        <color theme="3" tint="-0.499984740745262"/>
        <color theme="7" tint="0.79998168889431442"/>
        <color rgb="FF4D1B1B"/>
      </colorScale>
    </cfRule>
  </conditionalFormatting>
  <conditionalFormatting sqref="K2">
    <cfRule type="colorScale" priority="192">
      <colorScale>
        <cfvo type="min"/>
        <cfvo type="num" val="0"/>
        <cfvo type="max"/>
        <color theme="3" tint="-0.499984740745262"/>
        <color theme="7" tint="0.79998168889431442"/>
        <color rgb="FF4D1B1B"/>
      </colorScale>
    </cfRule>
  </conditionalFormatting>
  <dataValidations count="2">
    <dataValidation type="list" allowBlank="1" showInputMessage="1" showErrorMessage="1" sqref="H3:I3" xr:uid="{3AA63624-523B-4083-9F0D-639E02B40645}">
      <formula1>"1.75,1.8,1.85,1.9,1.95,2,2.05,2.1,2.15,2.2,2.25,2.3,2.35,2.4"</formula1>
    </dataValidation>
    <dataValidation type="list" allowBlank="1" showInputMessage="1" showErrorMessage="1" sqref="P9" xr:uid="{8536CF47-166B-4838-A128-D6F9FBE1A9EF}">
      <formula1>"2600,2900,依據配裝器"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5"/>
  <dimension ref="A1:AE118"/>
  <sheetViews>
    <sheetView topLeftCell="A40" workbookViewId="0">
      <selection activeCell="D47" sqref="D47"/>
    </sheetView>
  </sheetViews>
  <sheetFormatPr defaultRowHeight="16.5"/>
  <cols>
    <col min="1" max="1" width="12.375" style="157" customWidth="1"/>
    <col min="2" max="2" width="10.125" style="157" customWidth="1"/>
    <col min="3" max="3" width="9.625" style="157" customWidth="1"/>
    <col min="4" max="6" width="9" style="157"/>
    <col min="7" max="8" width="9" style="13"/>
    <col min="9" max="9" width="9.625" style="13" customWidth="1"/>
    <col min="10" max="10" width="9" style="13"/>
    <col min="11" max="11" width="10.25" style="13" customWidth="1"/>
    <col min="12" max="12" width="9.875" style="13" bestFit="1" customWidth="1"/>
    <col min="13" max="13" width="9" style="13" customWidth="1"/>
    <col min="14" max="14" width="10.125" style="12" customWidth="1"/>
    <col min="15" max="15" width="9" style="13"/>
    <col min="16" max="16" width="8.25" style="13" customWidth="1"/>
    <col min="17" max="17" width="8" style="13" customWidth="1"/>
    <col min="18" max="18" width="9" style="13"/>
    <col min="19" max="19" width="8.75" style="13" customWidth="1"/>
    <col min="20" max="21" width="9" style="13"/>
    <col min="22" max="22" width="9" style="157"/>
    <col min="23" max="23" width="9" style="13"/>
    <col min="24" max="24" width="9" style="157"/>
    <col min="25" max="25" width="9" style="13"/>
    <col min="26" max="26" width="9.875" style="13" bestFit="1" customWidth="1"/>
    <col min="27" max="29" width="9.875" style="157" customWidth="1"/>
    <col min="30" max="30" width="9.875" style="13" bestFit="1" customWidth="1"/>
    <col min="31" max="16384" width="9" style="13"/>
  </cols>
  <sheetData>
    <row r="1" spans="1:19" ht="17.25" thickBot="1">
      <c r="A1" s="374" t="s">
        <v>580</v>
      </c>
      <c r="B1" s="375" t="s">
        <v>121</v>
      </c>
      <c r="C1" s="374" t="s">
        <v>602</v>
      </c>
      <c r="D1" s="374" t="s">
        <v>120</v>
      </c>
      <c r="E1" s="374" t="s">
        <v>119</v>
      </c>
      <c r="F1" s="374" t="s">
        <v>581</v>
      </c>
      <c r="G1" s="374" t="s">
        <v>582</v>
      </c>
      <c r="H1" s="374" t="s">
        <v>228</v>
      </c>
      <c r="I1" s="6"/>
      <c r="J1" s="374" t="s">
        <v>556</v>
      </c>
      <c r="K1" s="374" t="s">
        <v>121</v>
      </c>
      <c r="L1" s="374" t="s">
        <v>121</v>
      </c>
      <c r="M1" s="374" t="s">
        <v>120</v>
      </c>
      <c r="N1" s="374" t="s">
        <v>119</v>
      </c>
      <c r="O1" s="374" t="s">
        <v>137</v>
      </c>
      <c r="P1" s="374" t="s">
        <v>117</v>
      </c>
      <c r="Q1" s="374" t="s">
        <v>228</v>
      </c>
      <c r="R1" s="6"/>
    </row>
    <row r="2" spans="1:19" ht="17.25" thickBot="1">
      <c r="A2" s="356" t="s">
        <v>486</v>
      </c>
      <c r="B2" s="205" t="b">
        <v>0</v>
      </c>
      <c r="C2" s="205" t="b">
        <v>1</v>
      </c>
      <c r="D2" s="205" t="b">
        <v>1</v>
      </c>
      <c r="E2" s="205" t="b">
        <v>1</v>
      </c>
      <c r="F2" s="205" t="b">
        <v>1</v>
      </c>
      <c r="G2" s="205" t="b">
        <v>0</v>
      </c>
      <c r="H2" s="361">
        <f>IF(B2=TRUE,1,0)+IF(C2=TRUE,1,0)+IF(F2=TRUE,1,0)+IF(G2=TRUE,1,0)+IF(D2=TRUE,1,0)+IF(E2=TRUE,1,0)</f>
        <v>4</v>
      </c>
      <c r="I2" s="6"/>
      <c r="J2" s="367" t="s">
        <v>487</v>
      </c>
      <c r="K2" s="213" t="b">
        <v>0</v>
      </c>
      <c r="L2" s="205" t="b">
        <v>0</v>
      </c>
      <c r="M2" s="205" t="b">
        <v>1</v>
      </c>
      <c r="N2" s="205" t="b">
        <v>1</v>
      </c>
      <c r="O2" s="205" t="b">
        <v>1</v>
      </c>
      <c r="P2" s="205" t="b">
        <v>1</v>
      </c>
      <c r="Q2" s="361">
        <f>IF(K2=TRUE,1,0)+IF(L2=TRUE,1,0)+IF(O2=TRUE,1,0)+IF(P2=TRUE,1,0)+IF(M2=TRUE,1,0)+IF(N2=TRUE,1,0)</f>
        <v>4</v>
      </c>
      <c r="R2" s="6"/>
    </row>
    <row r="3" spans="1:19" ht="17.25" thickBot="1">
      <c r="A3" s="357" t="s">
        <v>226</v>
      </c>
      <c r="B3" s="209"/>
      <c r="C3" s="209"/>
      <c r="D3" s="205">
        <f>IF(D2=TRUE,5%,0%)</f>
        <v>0.05</v>
      </c>
      <c r="E3" s="205">
        <f>IF(E2=TRUE,4%,0%)</f>
        <v>0.04</v>
      </c>
      <c r="F3" s="209"/>
      <c r="G3" s="209"/>
      <c r="H3" s="362">
        <f>SUM(D3:E3)</f>
        <v>0.09</v>
      </c>
      <c r="I3" s="6"/>
      <c r="J3" s="356" t="s">
        <v>226</v>
      </c>
      <c r="K3" s="213"/>
      <c r="L3" s="205"/>
      <c r="M3" s="214">
        <f>IF(M2=TRUE,5%,0%)</f>
        <v>0.05</v>
      </c>
      <c r="N3" s="214">
        <f>IF(N2=TRUE,4%,0%)</f>
        <v>0.04</v>
      </c>
      <c r="O3" s="205"/>
      <c r="P3" s="214"/>
      <c r="Q3" s="373">
        <f>SUM(M3:N3)</f>
        <v>0.09</v>
      </c>
      <c r="R3" s="6"/>
    </row>
    <row r="4" spans="1:19" ht="17.25" thickBot="1">
      <c r="A4" s="358" t="s">
        <v>112</v>
      </c>
      <c r="B4" s="209"/>
      <c r="C4" s="209"/>
      <c r="D4" s="209"/>
      <c r="E4" s="205"/>
      <c r="F4" s="210">
        <f>IF(F2=TRUE,4%,0%)</f>
        <v>0.04</v>
      </c>
      <c r="G4" s="210">
        <f>IF(G2=TRUE,3%,0%)</f>
        <v>0</v>
      </c>
      <c r="H4" s="363">
        <f>SUM(F4:G4)</f>
        <v>0.04</v>
      </c>
      <c r="I4" s="6"/>
      <c r="J4" s="358" t="s">
        <v>112</v>
      </c>
      <c r="K4" s="213"/>
      <c r="L4" s="214"/>
      <c r="M4" s="205"/>
      <c r="N4" s="205"/>
      <c r="O4" s="209">
        <f>IF(O2=TRUE,4%,0%)</f>
        <v>0.04</v>
      </c>
      <c r="P4" s="209">
        <f>IF(P2=TRUE,3%,0%)</f>
        <v>0.03</v>
      </c>
      <c r="Q4" s="372">
        <f>SUM(O4:P4)</f>
        <v>7.0000000000000007E-2</v>
      </c>
      <c r="R4" s="6"/>
    </row>
    <row r="5" spans="1:19" ht="17.25" thickBot="1">
      <c r="A5" s="374" t="s">
        <v>601</v>
      </c>
      <c r="B5" s="374" t="s">
        <v>121</v>
      </c>
      <c r="C5" s="374" t="s">
        <v>602</v>
      </c>
      <c r="D5" s="374" t="s">
        <v>120</v>
      </c>
      <c r="E5" s="374" t="s">
        <v>119</v>
      </c>
      <c r="F5" s="374" t="s">
        <v>581</v>
      </c>
      <c r="G5" s="374" t="s">
        <v>582</v>
      </c>
      <c r="H5" s="374" t="s">
        <v>603</v>
      </c>
      <c r="I5" s="410" t="s">
        <v>228</v>
      </c>
      <c r="J5" s="374" t="s">
        <v>553</v>
      </c>
      <c r="K5" s="374" t="s">
        <v>120</v>
      </c>
      <c r="L5" s="374" t="s">
        <v>119</v>
      </c>
      <c r="M5" s="374" t="s">
        <v>116</v>
      </c>
      <c r="N5" s="374" t="s">
        <v>617</v>
      </c>
      <c r="O5" s="374" t="s">
        <v>618</v>
      </c>
      <c r="P5" s="374" t="s">
        <v>228</v>
      </c>
      <c r="Q5" s="401"/>
    </row>
    <row r="6" spans="1:19" ht="17.25" thickBot="1">
      <c r="A6" s="356" t="s">
        <v>486</v>
      </c>
      <c r="B6" s="205" t="b">
        <v>0</v>
      </c>
      <c r="C6" s="205" t="b">
        <v>0</v>
      </c>
      <c r="D6" s="205" t="b">
        <v>1</v>
      </c>
      <c r="E6" s="205" t="b">
        <v>1</v>
      </c>
      <c r="F6" s="205" t="b">
        <v>1</v>
      </c>
      <c r="G6" s="205" t="b">
        <v>1</v>
      </c>
      <c r="H6" s="205" t="b">
        <v>0</v>
      </c>
      <c r="I6" s="417">
        <f>IF(D6=TRUE,1,0)+IF(E6=TRUE,1,0)+IF(F6=TRUE,1,0)+IF(G6=TRUE,1,0)+IF(B6=TRUE,1,0)+IF(C6=TRUE,1,0)+IF(H6=TRUE,1,0)</f>
        <v>4</v>
      </c>
      <c r="J6" s="403" t="s">
        <v>486</v>
      </c>
      <c r="K6" s="205" t="b">
        <v>1</v>
      </c>
      <c r="L6" s="213" t="b">
        <v>1</v>
      </c>
      <c r="M6" s="205" t="b">
        <v>1</v>
      </c>
      <c r="N6" s="401" t="b">
        <v>1</v>
      </c>
      <c r="O6" s="416" t="b">
        <v>0</v>
      </c>
      <c r="P6" s="405">
        <f>IF(K6=TRUE,1,0)+IF(L6=TRUE,1,0)+IF(M6=TRUE,1,0)+IF(N6=TRUE,1,0)+IF(O6=TRUE,1,0)</f>
        <v>4</v>
      </c>
      <c r="Q6" s="211"/>
    </row>
    <row r="7" spans="1:19" ht="17.25" thickBot="1">
      <c r="A7" s="359" t="s">
        <v>226</v>
      </c>
      <c r="B7" s="205"/>
      <c r="C7" s="205"/>
      <c r="D7" s="205">
        <f>IF(D6=TRUE,5%,0%)</f>
        <v>0.05</v>
      </c>
      <c r="E7" s="205">
        <f>IF(E6=TRUE,4%,0%)</f>
        <v>0.04</v>
      </c>
      <c r="F7" s="205"/>
      <c r="G7" s="205"/>
      <c r="H7" s="205"/>
      <c r="I7" s="423">
        <f>SUM(D7:E7)</f>
        <v>0.09</v>
      </c>
      <c r="J7" s="403" t="s">
        <v>226</v>
      </c>
      <c r="K7" s="214">
        <f>IF(K6=TRUE,5%,0%)</f>
        <v>0.05</v>
      </c>
      <c r="L7" s="214">
        <f>IF(L6=TRUE,4%,0%)</f>
        <v>0.04</v>
      </c>
      <c r="M7" s="214">
        <f>IF(M6=TRUE,3%,0%)</f>
        <v>0.03</v>
      </c>
      <c r="N7" s="211"/>
      <c r="O7" s="214"/>
      <c r="P7" s="418">
        <f>SUM(K7:M7)</f>
        <v>0.12</v>
      </c>
      <c r="Q7" s="211"/>
    </row>
    <row r="8" spans="1:19" ht="17.25" thickBot="1">
      <c r="A8" s="358" t="s">
        <v>112</v>
      </c>
      <c r="B8" s="205"/>
      <c r="C8" s="205"/>
      <c r="D8" s="205"/>
      <c r="E8" s="205"/>
      <c r="F8" s="210">
        <f>IF(F6=TRUE,4%,0%)</f>
        <v>0.04</v>
      </c>
      <c r="G8" s="210">
        <f>IF(G6=TRUE,3%,0%)</f>
        <v>0.03</v>
      </c>
      <c r="H8" s="205"/>
      <c r="I8" s="402">
        <f>SUM(F8:G8)</f>
        <v>7.0000000000000007E-2</v>
      </c>
      <c r="J8" s="404" t="s">
        <v>112</v>
      </c>
      <c r="K8" s="400"/>
      <c r="L8" s="400"/>
      <c r="M8" s="419"/>
      <c r="N8" s="400"/>
      <c r="O8" s="400"/>
      <c r="P8" s="420">
        <f>SUM(K8:M8)</f>
        <v>0</v>
      </c>
      <c r="R8" s="157"/>
    </row>
    <row r="9" spans="1:19" ht="17.25" thickBot="1">
      <c r="A9" s="374" t="s">
        <v>604</v>
      </c>
      <c r="B9" s="374" t="s">
        <v>120</v>
      </c>
      <c r="C9" s="374" t="s">
        <v>119</v>
      </c>
      <c r="D9" s="374" t="s">
        <v>116</v>
      </c>
      <c r="E9" s="374" t="s">
        <v>137</v>
      </c>
      <c r="F9" s="374" t="s">
        <v>117</v>
      </c>
      <c r="G9" s="374" t="s">
        <v>118</v>
      </c>
      <c r="H9" s="374" t="s">
        <v>228</v>
      </c>
      <c r="I9" s="6"/>
      <c r="J9" s="374" t="s">
        <v>583</v>
      </c>
      <c r="K9" s="374" t="s">
        <v>120</v>
      </c>
      <c r="L9" s="374" t="s">
        <v>119</v>
      </c>
      <c r="M9" s="374" t="s">
        <v>116</v>
      </c>
      <c r="N9" s="374" t="s">
        <v>137</v>
      </c>
      <c r="O9" s="374" t="s">
        <v>117</v>
      </c>
      <c r="P9" s="374" t="s">
        <v>118</v>
      </c>
      <c r="Q9" s="374" t="s">
        <v>228</v>
      </c>
      <c r="R9" s="205"/>
    </row>
    <row r="10" spans="1:19" ht="17.25" thickBot="1">
      <c r="A10" s="356" t="s">
        <v>486</v>
      </c>
      <c r="B10" s="211" t="b">
        <v>1</v>
      </c>
      <c r="C10" s="211" t="b">
        <v>1</v>
      </c>
      <c r="D10" s="211" t="b">
        <v>1</v>
      </c>
      <c r="E10" s="211" t="b">
        <v>1</v>
      </c>
      <c r="F10" s="211" t="b">
        <v>0</v>
      </c>
      <c r="G10" s="211"/>
      <c r="H10" s="361">
        <f>IF(B10=TRUE,1,0)+IF(C10=TRUE,1,0)+IF(D10=TRUE,1,0)+IF(E10=TRUE,1,0)+IF(F10=TRUE,1,0)+IF(G10=TRUE,1,0)</f>
        <v>4</v>
      </c>
      <c r="I10" s="6"/>
      <c r="J10" s="367" t="s">
        <v>487</v>
      </c>
      <c r="K10" s="205" t="b">
        <v>1</v>
      </c>
      <c r="L10" s="205" t="b">
        <v>1</v>
      </c>
      <c r="M10" s="205" t="b">
        <v>1</v>
      </c>
      <c r="N10" s="213" t="b">
        <v>1</v>
      </c>
      <c r="O10" s="205" t="b">
        <v>0</v>
      </c>
      <c r="P10" s="205" t="b">
        <v>0</v>
      </c>
      <c r="Q10" s="361">
        <f>IF(K10=TRUE,1,0)+IF(L10=TRUE,1,0)+IF(M10=TRUE,1,0)+IF(N10=TRUE,1,0)+IF(O10=TRUE,1,0)+IF(P10=TRUE,1,0)</f>
        <v>4</v>
      </c>
      <c r="R10" s="205"/>
    </row>
    <row r="11" spans="1:19" ht="17.25" thickBot="1">
      <c r="A11" s="359" t="s">
        <v>226</v>
      </c>
      <c r="B11" s="205">
        <f>IF(B10=TRUE,5%,0%)</f>
        <v>0.05</v>
      </c>
      <c r="C11" s="205">
        <f>IF(C10=TRUE,4%,0%)</f>
        <v>0.04</v>
      </c>
      <c r="D11" s="205">
        <f>IF(D10=TRUE,3%,0%)</f>
        <v>0.03</v>
      </c>
      <c r="E11" s="211"/>
      <c r="F11" s="211"/>
      <c r="G11" s="211"/>
      <c r="H11" s="365">
        <f>SUM(B11:D11)</f>
        <v>0.12</v>
      </c>
      <c r="I11" s="6"/>
      <c r="J11" s="368" t="s">
        <v>226</v>
      </c>
      <c r="K11" s="205">
        <f>IF(K10=TRUE,5%,0%)</f>
        <v>0.05</v>
      </c>
      <c r="L11" s="205">
        <f>IF(L10=TRUE,4%,0%)</f>
        <v>0.04</v>
      </c>
      <c r="M11" s="205">
        <f>IF(M10=TRUE,3%,0%)</f>
        <v>0.03</v>
      </c>
      <c r="N11" s="213"/>
      <c r="O11" s="205"/>
      <c r="P11" s="205"/>
      <c r="Q11" s="365">
        <f>SUM(K11:M11)</f>
        <v>0.12</v>
      </c>
      <c r="R11" s="205"/>
    </row>
    <row r="12" spans="1:19" ht="17.25" thickBot="1">
      <c r="A12" s="360" t="s">
        <v>112</v>
      </c>
      <c r="B12" s="212"/>
      <c r="C12" s="212"/>
      <c r="D12" s="212"/>
      <c r="E12" s="210">
        <f>IF(E10=TRUE,4%,0%)</f>
        <v>0.04</v>
      </c>
      <c r="F12" s="210">
        <f>IF(F10=TRUE,3%,0%)</f>
        <v>0</v>
      </c>
      <c r="G12" s="210">
        <f>IF(G10=TRUE,2%,0%)</f>
        <v>0</v>
      </c>
      <c r="H12" s="366">
        <f>SUM(E12:G12)</f>
        <v>0.04</v>
      </c>
      <c r="J12" s="356" t="s">
        <v>112</v>
      </c>
      <c r="K12" s="214"/>
      <c r="L12" s="214"/>
      <c r="M12" s="214"/>
      <c r="N12" s="209">
        <f>IF(N10=TRUE,4%,0%)</f>
        <v>0.04</v>
      </c>
      <c r="O12" s="209">
        <f>IF(O10=TRUE,3%,0%)</f>
        <v>0</v>
      </c>
      <c r="P12" s="209">
        <f>IF(P10=TRUE,2%,0%)</f>
        <v>0</v>
      </c>
      <c r="Q12" s="362">
        <f>SUM(N12:P12)</f>
        <v>0.04</v>
      </c>
    </row>
    <row r="13" spans="1:19" ht="17.25" thickBot="1">
      <c r="A13" s="616" t="s">
        <v>168</v>
      </c>
      <c r="B13" s="617"/>
      <c r="C13" s="617"/>
      <c r="D13" s="617"/>
      <c r="E13" s="617"/>
      <c r="F13" s="618"/>
      <c r="J13" s="374" t="s">
        <v>605</v>
      </c>
      <c r="K13" s="374" t="s">
        <v>120</v>
      </c>
      <c r="L13" s="374" t="s">
        <v>120</v>
      </c>
      <c r="M13" s="374" t="s">
        <v>117</v>
      </c>
      <c r="N13" s="374" t="s">
        <v>118</v>
      </c>
      <c r="O13" s="374" t="s">
        <v>606</v>
      </c>
      <c r="P13" s="412"/>
      <c r="Q13" s="374" t="s">
        <v>228</v>
      </c>
    </row>
    <row r="14" spans="1:19" ht="17.25" thickBot="1">
      <c r="A14" s="208" t="s">
        <v>169</v>
      </c>
      <c r="B14" s="205" t="s">
        <v>509</v>
      </c>
      <c r="C14" s="205" t="s">
        <v>510</v>
      </c>
      <c r="D14" s="205" t="s">
        <v>511</v>
      </c>
      <c r="E14" s="205"/>
      <c r="F14" s="206"/>
      <c r="J14" s="403" t="s">
        <v>486</v>
      </c>
      <c r="K14" s="211" t="b">
        <v>1</v>
      </c>
      <c r="L14" s="211" t="b">
        <v>1</v>
      </c>
      <c r="M14" s="211" t="b">
        <v>1</v>
      </c>
      <c r="N14" s="211" t="b">
        <v>1</v>
      </c>
      <c r="O14" s="211" t="b">
        <v>0</v>
      </c>
      <c r="P14" s="211"/>
      <c r="Q14" s="405">
        <f>IF(J14=TRUE,1,0)+IF(K14=TRUE,1,0)+IF(L14=TRUE,1,0)+IF(M14=TRUE,1,0)+IF(N14=TRUE,1,0)+IF(O14=TRUE,1,0)</f>
        <v>4</v>
      </c>
    </row>
    <row r="15" spans="1:19" ht="17.25" thickBot="1">
      <c r="A15" s="207" t="s">
        <v>170</v>
      </c>
      <c r="B15" s="205" t="s">
        <v>512</v>
      </c>
      <c r="C15" s="205" t="s">
        <v>513</v>
      </c>
      <c r="D15" s="205" t="s">
        <v>514</v>
      </c>
      <c r="E15" s="205"/>
      <c r="F15" s="206"/>
      <c r="J15" s="406" t="s">
        <v>226</v>
      </c>
      <c r="K15" s="205">
        <f>IF(K14=TRUE,5%,0%)</f>
        <v>0.05</v>
      </c>
      <c r="L15" s="205">
        <f>IF(L14=TRUE,5%,0%)</f>
        <v>0.05</v>
      </c>
      <c r="M15" s="211"/>
      <c r="N15" s="211"/>
      <c r="O15" s="211"/>
      <c r="P15" s="211"/>
      <c r="Q15" s="407">
        <f>SUM(K15:L15)</f>
        <v>0.1</v>
      </c>
    </row>
    <row r="16" spans="1:19" ht="17.25" thickBot="1">
      <c r="A16" s="207" t="s">
        <v>171</v>
      </c>
      <c r="B16" s="205" t="s">
        <v>515</v>
      </c>
      <c r="C16" s="205" t="s">
        <v>517</v>
      </c>
      <c r="D16" s="205" t="s">
        <v>516</v>
      </c>
      <c r="E16" s="205" t="s">
        <v>518</v>
      </c>
      <c r="F16" s="206"/>
      <c r="J16" s="404" t="s">
        <v>112</v>
      </c>
      <c r="K16" s="400"/>
      <c r="L16" s="400"/>
      <c r="M16" s="408">
        <f>IF(M14=TRUE,3%,0%)</f>
        <v>0.03</v>
      </c>
      <c r="N16" s="408">
        <f>IF(N14=TRUE,2%,0%)</f>
        <v>0.02</v>
      </c>
      <c r="O16" s="408"/>
      <c r="P16" s="400"/>
      <c r="Q16" s="409">
        <f>SUM(M16:N16)</f>
        <v>0.05</v>
      </c>
      <c r="R16" s="157"/>
      <c r="S16" s="157"/>
    </row>
    <row r="17" spans="1:30" ht="17.25" thickBot="1">
      <c r="A17" s="207" t="s">
        <v>172</v>
      </c>
      <c r="B17" s="205" t="s">
        <v>519</v>
      </c>
      <c r="C17" s="205" t="s">
        <v>520</v>
      </c>
      <c r="D17" s="205" t="s">
        <v>521</v>
      </c>
      <c r="E17" s="205" t="s">
        <v>522</v>
      </c>
      <c r="F17" s="206"/>
      <c r="H17" s="374" t="s">
        <v>607</v>
      </c>
      <c r="I17" s="374" t="s">
        <v>121</v>
      </c>
      <c r="J17" s="374" t="s">
        <v>121</v>
      </c>
      <c r="K17" s="374" t="s">
        <v>608</v>
      </c>
      <c r="L17" s="374" t="s">
        <v>608</v>
      </c>
      <c r="M17" s="374" t="s">
        <v>228</v>
      </c>
      <c r="N17" s="157"/>
      <c r="O17" s="157"/>
      <c r="R17" s="157"/>
      <c r="S17" s="157"/>
    </row>
    <row r="18" spans="1:30" ht="17.25" thickBot="1">
      <c r="A18" s="207" t="s">
        <v>173</v>
      </c>
      <c r="B18" s="205" t="s">
        <v>523</v>
      </c>
      <c r="C18" s="205" t="s">
        <v>524</v>
      </c>
      <c r="D18" s="205" t="s">
        <v>525</v>
      </c>
      <c r="E18" s="205" t="s">
        <v>526</v>
      </c>
      <c r="F18" s="206"/>
      <c r="H18" s="403" t="s">
        <v>486</v>
      </c>
      <c r="I18" s="211" t="b">
        <v>1</v>
      </c>
      <c r="J18" s="211" t="b">
        <v>1</v>
      </c>
      <c r="K18" s="211" t="b">
        <v>1</v>
      </c>
      <c r="L18" s="401" t="b">
        <v>1</v>
      </c>
      <c r="M18" s="364">
        <f>IF(I18=TRUE,1,0)+IF(J18=TRUE,1,0)+IF(K18=TRUE,1,0)+IF(L18=TRUE,1,0)</f>
        <v>4</v>
      </c>
      <c r="N18" s="157"/>
      <c r="O18" s="157"/>
      <c r="R18" s="157"/>
      <c r="S18" s="157"/>
    </row>
    <row r="19" spans="1:30" ht="17.25" thickBot="1">
      <c r="A19" s="207" t="s">
        <v>174</v>
      </c>
      <c r="B19" s="205" t="s">
        <v>527</v>
      </c>
      <c r="C19" s="205" t="s">
        <v>528</v>
      </c>
      <c r="D19" s="205" t="s">
        <v>529</v>
      </c>
      <c r="E19" s="205" t="s">
        <v>530</v>
      </c>
      <c r="F19" s="206"/>
      <c r="H19" s="404" t="s">
        <v>228</v>
      </c>
      <c r="I19" s="400"/>
      <c r="J19" s="400"/>
      <c r="L19" s="400"/>
      <c r="M19" s="371"/>
      <c r="N19" s="157"/>
      <c r="O19" s="157"/>
      <c r="R19" s="157"/>
      <c r="S19" s="157"/>
    </row>
    <row r="20" spans="1:30" ht="17.25" thickBot="1">
      <c r="A20" s="207" t="s">
        <v>175</v>
      </c>
      <c r="B20" s="205" t="s">
        <v>531</v>
      </c>
      <c r="C20" s="205" t="s">
        <v>532</v>
      </c>
      <c r="D20" s="205" t="s">
        <v>533</v>
      </c>
      <c r="E20" s="205" t="s">
        <v>534</v>
      </c>
      <c r="F20" s="206"/>
      <c r="H20" s="374" t="s">
        <v>565</v>
      </c>
      <c r="I20" s="374" t="s">
        <v>121</v>
      </c>
      <c r="J20" s="374" t="s">
        <v>602</v>
      </c>
      <c r="K20" s="374" t="s">
        <v>609</v>
      </c>
      <c r="L20" s="411" t="s">
        <v>610</v>
      </c>
      <c r="M20" s="374" t="s">
        <v>228</v>
      </c>
      <c r="N20" s="157"/>
      <c r="O20" s="157"/>
    </row>
    <row r="21" spans="1:30" ht="17.25" thickBot="1">
      <c r="A21" s="207" t="s">
        <v>176</v>
      </c>
      <c r="B21" s="205" t="s">
        <v>535</v>
      </c>
      <c r="C21" s="205" t="s">
        <v>536</v>
      </c>
      <c r="D21" s="205" t="s">
        <v>537</v>
      </c>
      <c r="E21" s="205" t="s">
        <v>538</v>
      </c>
      <c r="F21" s="206"/>
      <c r="H21" s="356" t="s">
        <v>486</v>
      </c>
      <c r="I21" s="205" t="b">
        <v>1</v>
      </c>
      <c r="J21" s="205" t="b">
        <v>1</v>
      </c>
      <c r="K21" s="205" t="b">
        <v>1</v>
      </c>
      <c r="L21" s="205" t="b">
        <v>1</v>
      </c>
      <c r="M21" s="364">
        <f>IF(I21=TRUE,1,0)+IF(J21=TRUE,1,0)+IF(K21=TRUE,1,0)+IF(L21=TRUE,1,0)</f>
        <v>4</v>
      </c>
      <c r="N21" s="13"/>
    </row>
    <row r="22" spans="1:30" ht="17.25" thickBot="1">
      <c r="A22" s="207" t="s">
        <v>177</v>
      </c>
      <c r="B22" s="205" t="s">
        <v>539</v>
      </c>
      <c r="C22" s="205" t="s">
        <v>540</v>
      </c>
      <c r="D22" s="205" t="s">
        <v>634</v>
      </c>
      <c r="E22" s="205" t="s">
        <v>541</v>
      </c>
      <c r="F22" s="206"/>
      <c r="H22" s="358" t="s">
        <v>228</v>
      </c>
      <c r="I22" s="205"/>
      <c r="J22" s="205"/>
      <c r="K22" s="205"/>
      <c r="L22" s="205"/>
      <c r="M22" s="371">
        <f>SUM(I22:K22)</f>
        <v>0</v>
      </c>
      <c r="N22" s="13"/>
    </row>
    <row r="23" spans="1:30" ht="17.25" thickBot="1">
      <c r="A23" s="207" t="s">
        <v>178</v>
      </c>
      <c r="B23" s="205" t="s">
        <v>542</v>
      </c>
      <c r="C23" s="205" t="s">
        <v>543</v>
      </c>
      <c r="D23" s="205" t="s">
        <v>544</v>
      </c>
      <c r="E23" s="205" t="s">
        <v>545</v>
      </c>
      <c r="F23" s="206"/>
      <c r="H23" s="374" t="s">
        <v>567</v>
      </c>
      <c r="I23" s="374" t="s">
        <v>611</v>
      </c>
      <c r="J23" s="374" t="s">
        <v>611</v>
      </c>
      <c r="K23" s="374" t="s">
        <v>612</v>
      </c>
      <c r="L23" s="374" t="s">
        <v>613</v>
      </c>
      <c r="M23" s="374" t="s">
        <v>614</v>
      </c>
      <c r="N23" s="374" t="s">
        <v>615</v>
      </c>
      <c r="O23" s="374" t="s">
        <v>616</v>
      </c>
      <c r="P23" s="374" t="s">
        <v>228</v>
      </c>
    </row>
    <row r="24" spans="1:30" ht="17.25" thickBot="1">
      <c r="A24" s="207" t="s">
        <v>179</v>
      </c>
      <c r="B24" s="205" t="s">
        <v>546</v>
      </c>
      <c r="C24" s="205" t="s">
        <v>547</v>
      </c>
      <c r="D24" s="205" t="s">
        <v>548</v>
      </c>
      <c r="E24" s="205" t="s">
        <v>549</v>
      </c>
      <c r="F24" s="206"/>
      <c r="H24" s="356" t="s">
        <v>486</v>
      </c>
      <c r="I24" s="211" t="b">
        <v>1</v>
      </c>
      <c r="J24" s="211" t="b">
        <v>1</v>
      </c>
      <c r="K24" s="211" t="b">
        <v>0</v>
      </c>
      <c r="L24" s="211" t="b">
        <v>0</v>
      </c>
      <c r="M24" s="211" t="b">
        <v>0</v>
      </c>
      <c r="N24" s="211" t="b">
        <v>1</v>
      </c>
      <c r="O24" s="215" t="b">
        <v>1</v>
      </c>
      <c r="P24" s="361">
        <f>IF(I24=TRUE,1,0)+IF(J24=TRUE,1,0)+IF(K24=TRUE,1,0)+IF(L24=TRUE,1,0)+IF(M24=TRUE,1,0)+IF(N24=TRUE,1,0)+IF(O24=TRUE,1,0)</f>
        <v>4</v>
      </c>
    </row>
    <row r="25" spans="1:30">
      <c r="A25" s="218" t="s">
        <v>180</v>
      </c>
      <c r="B25" s="205" t="s">
        <v>633</v>
      </c>
      <c r="C25" s="205" t="s">
        <v>550</v>
      </c>
      <c r="D25" s="205" t="s">
        <v>551</v>
      </c>
      <c r="E25" s="205" t="s">
        <v>552</v>
      </c>
      <c r="F25" s="206"/>
      <c r="H25" s="369" t="s">
        <v>228</v>
      </c>
      <c r="I25" s="205"/>
      <c r="J25" s="205"/>
      <c r="K25" s="205"/>
      <c r="L25" s="211"/>
      <c r="M25" s="211"/>
      <c r="N25" s="211"/>
      <c r="O25" s="215"/>
      <c r="P25" s="370"/>
    </row>
    <row r="26" spans="1:30" s="222" customFormat="1">
      <c r="A26" s="614" t="s">
        <v>228</v>
      </c>
      <c r="B26" s="545" t="s">
        <v>195</v>
      </c>
      <c r="C26" s="545" t="s">
        <v>219</v>
      </c>
      <c r="D26" s="545" t="s">
        <v>508</v>
      </c>
      <c r="E26" s="545" t="s">
        <v>111</v>
      </c>
      <c r="F26" s="545" t="s">
        <v>112</v>
      </c>
      <c r="G26" s="204" t="s">
        <v>185</v>
      </c>
      <c r="H26" s="204" t="s">
        <v>186</v>
      </c>
      <c r="I26" s="204" t="s">
        <v>115</v>
      </c>
      <c r="J26" s="204" t="s">
        <v>234</v>
      </c>
      <c r="K26" s="204" t="s">
        <v>233</v>
      </c>
      <c r="L26" s="204" t="s">
        <v>187</v>
      </c>
      <c r="M26" s="204" t="s">
        <v>188</v>
      </c>
      <c r="N26" s="221" t="s">
        <v>215</v>
      </c>
      <c r="O26" s="204" t="s">
        <v>227</v>
      </c>
      <c r="P26" s="204" t="s">
        <v>283</v>
      </c>
      <c r="Q26" s="204" t="s">
        <v>284</v>
      </c>
      <c r="R26" s="222" t="s">
        <v>577</v>
      </c>
      <c r="S26" s="222" t="s">
        <v>574</v>
      </c>
      <c r="T26" s="222" t="s">
        <v>598</v>
      </c>
      <c r="U26" s="222" t="s">
        <v>1385</v>
      </c>
      <c r="V26" s="222" t="s">
        <v>1386</v>
      </c>
      <c r="W26" s="222" t="s">
        <v>631</v>
      </c>
      <c r="X26" s="222" t="s">
        <v>1384</v>
      </c>
      <c r="Y26" s="431" t="s">
        <v>632</v>
      </c>
      <c r="Z26" s="222" t="s">
        <v>1105</v>
      </c>
      <c r="AA26" s="222" t="s">
        <v>1442</v>
      </c>
      <c r="AB26" s="538" t="s">
        <v>1367</v>
      </c>
      <c r="AC26" s="538" t="s">
        <v>1370</v>
      </c>
      <c r="AD26" s="538" t="s">
        <v>1365</v>
      </c>
    </row>
    <row r="27" spans="1:30" s="230" customFormat="1" ht="17.25" thickBot="1">
      <c r="A27" s="615"/>
      <c r="B27" s="545" t="s">
        <v>485</v>
      </c>
      <c r="C27" s="223">
        <f t="shared" ref="C27:L27" ca="1" si="0">SUM(C56:C130)</f>
        <v>0.25</v>
      </c>
      <c r="D27" s="224">
        <f t="shared" si="0"/>
        <v>52</v>
      </c>
      <c r="E27" s="225">
        <f t="shared" si="0"/>
        <v>0.03</v>
      </c>
      <c r="F27" s="225">
        <f t="shared" ca="1" si="0"/>
        <v>0.22750000000000004</v>
      </c>
      <c r="G27" s="223">
        <f t="shared" si="0"/>
        <v>0.32499999999999996</v>
      </c>
      <c r="H27" s="223">
        <f t="shared" ca="1" si="0"/>
        <v>0.1</v>
      </c>
      <c r="I27" s="226">
        <f t="shared" si="0"/>
        <v>52</v>
      </c>
      <c r="J27" s="227">
        <f t="shared" si="0"/>
        <v>52</v>
      </c>
      <c r="K27" s="225">
        <f t="shared" si="0"/>
        <v>0</v>
      </c>
      <c r="L27" s="223">
        <f t="shared" si="0"/>
        <v>0</v>
      </c>
      <c r="M27" s="223">
        <f>IF(SUM(M79:M130)&gt;=1,1,SUM(M79:M130))</f>
        <v>0.2</v>
      </c>
      <c r="N27" s="227"/>
      <c r="O27" s="228"/>
      <c r="P27" s="226">
        <f t="shared" ref="P27:Y27" si="1">SUM(P56:P130)</f>
        <v>52</v>
      </c>
      <c r="Q27" s="226">
        <f t="shared" si="1"/>
        <v>52</v>
      </c>
      <c r="R27" s="226">
        <f t="shared" si="1"/>
        <v>0.15</v>
      </c>
      <c r="S27" s="229">
        <f t="shared" si="1"/>
        <v>0.45</v>
      </c>
      <c r="T27" s="229">
        <f t="shared" si="1"/>
        <v>0.15</v>
      </c>
      <c r="U27" s="229">
        <f t="shared" si="1"/>
        <v>0.30000000000000004</v>
      </c>
      <c r="V27" s="229">
        <f t="shared" si="1"/>
        <v>0.05</v>
      </c>
      <c r="W27" s="229">
        <f t="shared" si="1"/>
        <v>0</v>
      </c>
      <c r="X27" s="229">
        <f>SUM(X56:X130)</f>
        <v>0</v>
      </c>
      <c r="Y27" s="229">
        <f t="shared" si="1"/>
        <v>0</v>
      </c>
      <c r="Z27" s="469">
        <f>SUM(Z56:Z130)</f>
        <v>0</v>
      </c>
      <c r="AA27" s="225">
        <f>SUM(AA56:AA130)</f>
        <v>0.2</v>
      </c>
      <c r="AB27" s="469"/>
      <c r="AC27" s="469"/>
    </row>
    <row r="28" spans="1:30" s="313" customFormat="1" ht="17.25" thickBot="1">
      <c r="A28" s="301" t="s">
        <v>35</v>
      </c>
      <c r="B28" s="302" t="s">
        <v>59</v>
      </c>
      <c r="C28" s="303" t="s">
        <v>60</v>
      </c>
      <c r="D28" s="304" t="s">
        <v>34</v>
      </c>
      <c r="E28" s="303" t="s">
        <v>62</v>
      </c>
      <c r="F28" s="303" t="s">
        <v>61</v>
      </c>
      <c r="G28" s="304" t="s">
        <v>572</v>
      </c>
      <c r="H28" s="305" t="s">
        <v>58</v>
      </c>
      <c r="I28" s="306" t="s">
        <v>585</v>
      </c>
      <c r="J28" s="306"/>
      <c r="K28" s="307" t="s">
        <v>1149</v>
      </c>
      <c r="L28" s="308" t="s">
        <v>1145</v>
      </c>
      <c r="M28" s="309" t="s">
        <v>1150</v>
      </c>
      <c r="N28" s="310" t="s">
        <v>1151</v>
      </c>
      <c r="O28" s="308" t="s">
        <v>1146</v>
      </c>
      <c r="P28" s="311" t="s">
        <v>1150</v>
      </c>
      <c r="Q28" s="311" t="s">
        <v>1153</v>
      </c>
      <c r="R28" s="311" t="s">
        <v>1219</v>
      </c>
      <c r="S28" s="312" t="s">
        <v>1220</v>
      </c>
    </row>
    <row r="29" spans="1:30" s="291" customFormat="1">
      <c r="A29" s="299" t="s">
        <v>571</v>
      </c>
      <c r="B29" s="292">
        <v>458</v>
      </c>
      <c r="C29" s="292">
        <v>468</v>
      </c>
      <c r="D29" s="293">
        <v>0.73124400000000001</v>
      </c>
      <c r="E29" s="294">
        <f>18-IF(B2=TRUE,1,0)-IF(C2=TRUE,2,0)</f>
        <v>16</v>
      </c>
      <c r="F29" s="294">
        <v>2.5</v>
      </c>
      <c r="G29" s="295">
        <v>1.5</v>
      </c>
      <c r="H29" s="295"/>
      <c r="I29" s="296">
        <v>1</v>
      </c>
      <c r="J29" s="296"/>
      <c r="K29" s="286">
        <f>(配裝模擬!B6/staticResult!F2)/100</f>
        <v>1.7789909138702879E-2</v>
      </c>
      <c r="L29" s="479">
        <f t="shared" ref="L29:L54" si="2">G29/0.0625</f>
        <v>24</v>
      </c>
      <c r="M29" s="287">
        <f t="shared" ref="M29:M54" si="3">INT(L29*1024/($K$31+1024))</f>
        <v>23</v>
      </c>
      <c r="N29" s="288">
        <f t="shared" ref="N29:N54" si="4">M29*0.0625</f>
        <v>1.4375</v>
      </c>
      <c r="O29" s="479">
        <f>F29/staticResult!$J$5</f>
        <v>40</v>
      </c>
      <c r="P29" s="287">
        <f>INT(O29*1024/($K$31+1024))</f>
        <v>39</v>
      </c>
      <c r="Q29" s="288">
        <f t="shared" ref="Q29:Q38" si="5">P29*0.0625</f>
        <v>2.4375</v>
      </c>
      <c r="R29" s="289">
        <f>INT(O29/1.25)</f>
        <v>32</v>
      </c>
      <c r="S29" s="489">
        <f>R29*0.0625</f>
        <v>2</v>
      </c>
    </row>
    <row r="30" spans="1:30" s="291" customFormat="1">
      <c r="A30" s="299" t="s">
        <v>621</v>
      </c>
      <c r="B30" s="292">
        <v>458</v>
      </c>
      <c r="C30" s="292">
        <v>468</v>
      </c>
      <c r="D30" s="293">
        <v>0.28753369000000001</v>
      </c>
      <c r="E30" s="294">
        <f>E29</f>
        <v>16</v>
      </c>
      <c r="F30" s="294">
        <v>2.5</v>
      </c>
      <c r="G30" s="295">
        <v>1.5</v>
      </c>
      <c r="H30" s="295"/>
      <c r="I30" s="296">
        <v>0</v>
      </c>
      <c r="J30" s="296"/>
      <c r="K30" s="286" t="s">
        <v>1148</v>
      </c>
      <c r="L30" s="479">
        <f>G30/0.0625</f>
        <v>24</v>
      </c>
      <c r="M30" s="287">
        <f t="shared" si="3"/>
        <v>23</v>
      </c>
      <c r="N30" s="288">
        <f t="shared" si="4"/>
        <v>1.4375</v>
      </c>
      <c r="O30" s="479">
        <f>F30/staticResult!$J$5</f>
        <v>40</v>
      </c>
      <c r="P30" s="287">
        <f t="shared" ref="P30:P36" si="6">INT(O30*1024/($K$31+1024))</f>
        <v>39</v>
      </c>
      <c r="Q30" s="288">
        <f t="shared" si="5"/>
        <v>2.4375</v>
      </c>
      <c r="R30" s="289">
        <f t="shared" ref="R30:R35" si="7">INT(O30/1.25)</f>
        <v>32</v>
      </c>
      <c r="S30" s="489">
        <f>R30*0.0625</f>
        <v>2</v>
      </c>
    </row>
    <row r="31" spans="1:30" s="291" customFormat="1">
      <c r="A31" s="299" t="s">
        <v>620</v>
      </c>
      <c r="B31" s="378">
        <f>B29+B30</f>
        <v>916</v>
      </c>
      <c r="C31" s="378">
        <f>C29+C30</f>
        <v>936</v>
      </c>
      <c r="D31" s="379">
        <f>D29+D30</f>
        <v>1.0187776900000001</v>
      </c>
      <c r="E31" s="380">
        <f>E29</f>
        <v>16</v>
      </c>
      <c r="F31" s="380">
        <v>2.5</v>
      </c>
      <c r="G31" s="381">
        <v>1.5</v>
      </c>
      <c r="H31" s="381"/>
      <c r="I31" s="382">
        <f>I29+I30</f>
        <v>1</v>
      </c>
      <c r="J31" s="296"/>
      <c r="K31" s="480">
        <f>K29*1024</f>
        <v>18.216866958031748</v>
      </c>
      <c r="L31" s="479">
        <f t="shared" si="2"/>
        <v>24</v>
      </c>
      <c r="M31" s="287">
        <f t="shared" si="3"/>
        <v>23</v>
      </c>
      <c r="N31" s="288">
        <f t="shared" si="4"/>
        <v>1.4375</v>
      </c>
      <c r="O31" s="479">
        <f>F31/staticResult!$J$5</f>
        <v>40</v>
      </c>
      <c r="P31" s="287">
        <f t="shared" si="6"/>
        <v>39</v>
      </c>
      <c r="Q31" s="288">
        <f t="shared" si="5"/>
        <v>2.4375</v>
      </c>
      <c r="R31" s="289">
        <f t="shared" si="7"/>
        <v>32</v>
      </c>
      <c r="S31" s="489">
        <f>R31*0.0625</f>
        <v>2</v>
      </c>
    </row>
    <row r="32" spans="1:30" s="291" customFormat="1">
      <c r="A32" s="299" t="s">
        <v>553</v>
      </c>
      <c r="B32" s="292">
        <v>417</v>
      </c>
      <c r="C32" s="292">
        <v>432</v>
      </c>
      <c r="D32" s="293">
        <v>1.20628428</v>
      </c>
      <c r="E32" s="294">
        <v>5</v>
      </c>
      <c r="F32" s="294">
        <v>1.5</v>
      </c>
      <c r="G32" s="295">
        <v>1.5</v>
      </c>
      <c r="H32" s="295"/>
      <c r="I32" s="296">
        <v>2</v>
      </c>
      <c r="J32" s="296"/>
      <c r="K32" s="286" t="s">
        <v>1208</v>
      </c>
      <c r="L32" s="479">
        <f t="shared" si="2"/>
        <v>24</v>
      </c>
      <c r="M32" s="287">
        <f t="shared" si="3"/>
        <v>23</v>
      </c>
      <c r="N32" s="288">
        <f t="shared" si="4"/>
        <v>1.4375</v>
      </c>
      <c r="O32" s="479">
        <f>F32/staticResult!$J$5</f>
        <v>24</v>
      </c>
      <c r="P32" s="287">
        <f t="shared" si="6"/>
        <v>23</v>
      </c>
      <c r="Q32" s="288">
        <f t="shared" si="5"/>
        <v>1.4375</v>
      </c>
      <c r="R32" s="289">
        <f t="shared" si="7"/>
        <v>19</v>
      </c>
      <c r="S32" s="489">
        <f t="shared" ref="S32:S52" si="8">R32*0.0625</f>
        <v>1.1875</v>
      </c>
    </row>
    <row r="33" spans="1:19" s="291" customFormat="1">
      <c r="A33" s="300" t="s">
        <v>621</v>
      </c>
      <c r="B33" s="292">
        <v>417</v>
      </c>
      <c r="C33" s="292">
        <v>432</v>
      </c>
      <c r="D33" s="293">
        <v>0.79371571999000001</v>
      </c>
      <c r="E33" s="294">
        <f>E32</f>
        <v>5</v>
      </c>
      <c r="F33" s="294">
        <v>1.5</v>
      </c>
      <c r="G33" s="295">
        <v>1.5</v>
      </c>
      <c r="H33" s="295"/>
      <c r="I33" s="296">
        <v>0</v>
      </c>
      <c r="J33" s="296"/>
      <c r="K33" s="480">
        <f>0.5/0.0625</f>
        <v>8</v>
      </c>
      <c r="L33" s="479">
        <f t="shared" si="2"/>
        <v>24</v>
      </c>
      <c r="M33" s="287">
        <f>INT(L33*1024/($K$31+1024))</f>
        <v>23</v>
      </c>
      <c r="N33" s="288">
        <f t="shared" si="4"/>
        <v>1.4375</v>
      </c>
      <c r="O33" s="479">
        <f>F33/staticResult!$J$5</f>
        <v>24</v>
      </c>
      <c r="P33" s="287">
        <f t="shared" si="6"/>
        <v>23</v>
      </c>
      <c r="Q33" s="288">
        <f t="shared" si="5"/>
        <v>1.4375</v>
      </c>
      <c r="R33" s="289">
        <f t="shared" si="7"/>
        <v>19</v>
      </c>
      <c r="S33" s="489">
        <f t="shared" si="8"/>
        <v>1.1875</v>
      </c>
    </row>
    <row r="34" spans="1:19" s="291" customFormat="1">
      <c r="A34" s="300" t="s">
        <v>620</v>
      </c>
      <c r="B34" s="378">
        <f>B32+B33</f>
        <v>834</v>
      </c>
      <c r="C34" s="378">
        <f>C32+C33</f>
        <v>864</v>
      </c>
      <c r="D34" s="379">
        <f>D32+D33</f>
        <v>1.99999999999</v>
      </c>
      <c r="E34" s="380">
        <f>E32</f>
        <v>5</v>
      </c>
      <c r="F34" s="380">
        <v>1.5</v>
      </c>
      <c r="G34" s="381">
        <v>1.5</v>
      </c>
      <c r="H34" s="381"/>
      <c r="I34" s="382">
        <f>I32+I33</f>
        <v>2</v>
      </c>
      <c r="J34" s="296"/>
      <c r="K34" s="286" t="s">
        <v>1209</v>
      </c>
      <c r="L34" s="479">
        <f t="shared" si="2"/>
        <v>24</v>
      </c>
      <c r="M34" s="287">
        <f t="shared" si="3"/>
        <v>23</v>
      </c>
      <c r="N34" s="288">
        <f t="shared" si="4"/>
        <v>1.4375</v>
      </c>
      <c r="O34" s="479">
        <f>F34/staticResult!$J$5</f>
        <v>24</v>
      </c>
      <c r="P34" s="287">
        <f t="shared" si="6"/>
        <v>23</v>
      </c>
      <c r="Q34" s="288">
        <f t="shared" si="5"/>
        <v>1.4375</v>
      </c>
      <c r="R34" s="289">
        <f t="shared" si="7"/>
        <v>19</v>
      </c>
      <c r="S34" s="489">
        <f t="shared" si="8"/>
        <v>1.1875</v>
      </c>
    </row>
    <row r="35" spans="1:19" s="291" customFormat="1">
      <c r="A35" s="299" t="s">
        <v>557</v>
      </c>
      <c r="B35" s="292">
        <v>25</v>
      </c>
      <c r="C35" s="292">
        <v>25</v>
      </c>
      <c r="D35" s="293">
        <v>0.46867999999999999</v>
      </c>
      <c r="E35" s="294"/>
      <c r="F35" s="294">
        <v>3</v>
      </c>
      <c r="G35" s="295">
        <v>0</v>
      </c>
      <c r="H35" s="295"/>
      <c r="I35" s="296">
        <v>0</v>
      </c>
      <c r="J35" s="296"/>
      <c r="K35" s="480">
        <f>INT(K33*1024/($K$31+1024))</f>
        <v>7</v>
      </c>
      <c r="L35" s="479">
        <f t="shared" si="2"/>
        <v>0</v>
      </c>
      <c r="M35" s="287">
        <f t="shared" si="3"/>
        <v>0</v>
      </c>
      <c r="N35" s="288">
        <f t="shared" si="4"/>
        <v>0</v>
      </c>
      <c r="O35" s="479">
        <f>F35/staticResult!$J$5</f>
        <v>48</v>
      </c>
      <c r="P35" s="287">
        <f t="shared" si="6"/>
        <v>47</v>
      </c>
      <c r="Q35" s="288">
        <f t="shared" si="5"/>
        <v>2.9375</v>
      </c>
      <c r="R35" s="289">
        <f t="shared" si="7"/>
        <v>38</v>
      </c>
      <c r="S35" s="489">
        <f t="shared" si="8"/>
        <v>2.375</v>
      </c>
    </row>
    <row r="36" spans="1:19" s="291" customFormat="1">
      <c r="A36" s="300" t="s">
        <v>554</v>
      </c>
      <c r="B36" s="297">
        <v>130</v>
      </c>
      <c r="C36" s="292">
        <v>140</v>
      </c>
      <c r="D36" s="293">
        <v>0.75624999999999998</v>
      </c>
      <c r="E36" s="294">
        <f>40-IF(B6=TRUE,1,0)-IF(C6=TRUE,2,0)</f>
        <v>40</v>
      </c>
      <c r="F36" s="294">
        <v>4</v>
      </c>
      <c r="G36" s="295">
        <v>1.5</v>
      </c>
      <c r="H36" s="295"/>
      <c r="I36" s="296">
        <v>1</v>
      </c>
      <c r="J36" s="296"/>
      <c r="K36" s="286" t="s">
        <v>1207</v>
      </c>
      <c r="L36" s="479">
        <f t="shared" si="2"/>
        <v>24</v>
      </c>
      <c r="M36" s="287">
        <f t="shared" si="3"/>
        <v>23</v>
      </c>
      <c r="N36" s="288">
        <f>M36*0.0625</f>
        <v>1.4375</v>
      </c>
      <c r="O36" s="479">
        <f>F36/staticResult!$J$5</f>
        <v>64</v>
      </c>
      <c r="P36" s="287">
        <f t="shared" si="6"/>
        <v>62</v>
      </c>
      <c r="Q36" s="288">
        <f t="shared" si="5"/>
        <v>3.875</v>
      </c>
      <c r="R36" s="289">
        <f>INT(O36/1.25)</f>
        <v>51</v>
      </c>
      <c r="S36" s="489">
        <f>R36*0.0625</f>
        <v>3.1875</v>
      </c>
    </row>
    <row r="37" spans="1:19" s="291" customFormat="1">
      <c r="A37" s="300" t="s">
        <v>555</v>
      </c>
      <c r="B37" s="292">
        <v>413</v>
      </c>
      <c r="C37" s="292">
        <v>454</v>
      </c>
      <c r="D37" s="293">
        <v>0.43748280000000001</v>
      </c>
      <c r="E37" s="294">
        <v>20</v>
      </c>
      <c r="F37" s="294">
        <v>0</v>
      </c>
      <c r="G37" s="295">
        <v>1.5</v>
      </c>
      <c r="H37" s="295"/>
      <c r="I37" s="296">
        <v>1</v>
      </c>
      <c r="J37" s="296"/>
      <c r="K37" s="480">
        <f>K35*0.0625</f>
        <v>0.4375</v>
      </c>
      <c r="L37" s="479">
        <f t="shared" si="2"/>
        <v>24</v>
      </c>
      <c r="M37" s="287">
        <f t="shared" si="3"/>
        <v>23</v>
      </c>
      <c r="N37" s="288">
        <f t="shared" si="4"/>
        <v>1.4375</v>
      </c>
      <c r="O37" s="479">
        <f>F37/staticResult!$J$5</f>
        <v>0</v>
      </c>
      <c r="P37" s="287">
        <f t="shared" ref="P37:P54" si="9">INT(O37*1024/($K$31+1024))</f>
        <v>0</v>
      </c>
      <c r="Q37" s="288">
        <f t="shared" si="5"/>
        <v>0</v>
      </c>
      <c r="R37" s="289">
        <f>INT(M37/1.25)</f>
        <v>18</v>
      </c>
      <c r="S37" s="489">
        <f t="shared" si="8"/>
        <v>1.125</v>
      </c>
    </row>
    <row r="38" spans="1:19" s="291" customFormat="1">
      <c r="A38" s="300" t="s">
        <v>621</v>
      </c>
      <c r="B38" s="292">
        <v>413</v>
      </c>
      <c r="C38" s="292">
        <v>454</v>
      </c>
      <c r="D38" s="293">
        <v>0.21870000000000001</v>
      </c>
      <c r="E38" s="294">
        <f>E37</f>
        <v>20</v>
      </c>
      <c r="F38" s="294">
        <v>0</v>
      </c>
      <c r="G38" s="295">
        <v>1.5</v>
      </c>
      <c r="H38" s="295"/>
      <c r="I38" s="296">
        <v>0</v>
      </c>
      <c r="J38" s="296"/>
      <c r="K38" s="286"/>
      <c r="L38" s="479">
        <f t="shared" si="2"/>
        <v>24</v>
      </c>
      <c r="M38" s="287">
        <f t="shared" si="3"/>
        <v>23</v>
      </c>
      <c r="N38" s="288">
        <f t="shared" si="4"/>
        <v>1.4375</v>
      </c>
      <c r="O38" s="479">
        <f>F38/staticResult!$J$5</f>
        <v>0</v>
      </c>
      <c r="P38" s="287">
        <f t="shared" si="9"/>
        <v>0</v>
      </c>
      <c r="Q38" s="288">
        <f t="shared" si="5"/>
        <v>0</v>
      </c>
      <c r="R38" s="289">
        <f t="shared" ref="R38:R52" si="10">INT(M38/1.25)</f>
        <v>18</v>
      </c>
      <c r="S38" s="489">
        <f t="shared" si="8"/>
        <v>1.125</v>
      </c>
    </row>
    <row r="39" spans="1:19" s="291" customFormat="1">
      <c r="A39" s="300" t="s">
        <v>620</v>
      </c>
      <c r="B39" s="378">
        <f>B37+B38</f>
        <v>826</v>
      </c>
      <c r="C39" s="378">
        <f>C37+C38</f>
        <v>908</v>
      </c>
      <c r="D39" s="379">
        <f>D37+D38</f>
        <v>0.65618280000000007</v>
      </c>
      <c r="E39" s="380">
        <f>E37</f>
        <v>20</v>
      </c>
      <c r="F39" s="380">
        <v>0</v>
      </c>
      <c r="G39" s="381">
        <v>1.5</v>
      </c>
      <c r="H39" s="381"/>
      <c r="I39" s="383">
        <v>1</v>
      </c>
      <c r="J39" s="296"/>
      <c r="K39" s="286"/>
      <c r="L39" s="479">
        <f t="shared" si="2"/>
        <v>24</v>
      </c>
      <c r="M39" s="287">
        <f t="shared" si="3"/>
        <v>23</v>
      </c>
      <c r="N39" s="288">
        <f t="shared" si="4"/>
        <v>1.4375</v>
      </c>
      <c r="O39" s="479">
        <f>F39/staticResult!$J$5</f>
        <v>0</v>
      </c>
      <c r="P39" s="287">
        <f t="shared" si="9"/>
        <v>0</v>
      </c>
      <c r="Q39" s="288">
        <f t="shared" ref="Q39:Q54" si="11">P39*0.0625</f>
        <v>0</v>
      </c>
      <c r="R39" s="289">
        <f t="shared" si="10"/>
        <v>18</v>
      </c>
      <c r="S39" s="489">
        <f t="shared" si="8"/>
        <v>1.125</v>
      </c>
    </row>
    <row r="40" spans="1:19" s="291" customFormat="1">
      <c r="A40" s="299" t="s">
        <v>556</v>
      </c>
      <c r="B40" s="292">
        <v>1063</v>
      </c>
      <c r="C40" s="292">
        <v>1098</v>
      </c>
      <c r="D40" s="293">
        <v>2.1937340000000001</v>
      </c>
      <c r="E40" s="294">
        <f>8-IF(K2=TRUE,1,0)-IF(L2=TRUE,1,0)</f>
        <v>8</v>
      </c>
      <c r="F40" s="294"/>
      <c r="G40" s="295">
        <v>1.5</v>
      </c>
      <c r="H40" s="295"/>
      <c r="I40" s="296">
        <v>2</v>
      </c>
      <c r="J40" s="296"/>
      <c r="K40" s="286"/>
      <c r="L40" s="479">
        <f t="shared" si="2"/>
        <v>24</v>
      </c>
      <c r="M40" s="287">
        <f t="shared" si="3"/>
        <v>23</v>
      </c>
      <c r="N40" s="288">
        <f t="shared" si="4"/>
        <v>1.4375</v>
      </c>
      <c r="O40" s="479">
        <f>F40/staticResult!$J$5</f>
        <v>0</v>
      </c>
      <c r="P40" s="287">
        <f t="shared" si="9"/>
        <v>0</v>
      </c>
      <c r="Q40" s="288">
        <f t="shared" si="11"/>
        <v>0</v>
      </c>
      <c r="R40" s="289">
        <f t="shared" si="10"/>
        <v>18</v>
      </c>
      <c r="S40" s="489">
        <f t="shared" si="8"/>
        <v>1.125</v>
      </c>
    </row>
    <row r="41" spans="1:19" s="291" customFormat="1">
      <c r="A41" s="300" t="s">
        <v>558</v>
      </c>
      <c r="B41" s="292">
        <v>500</v>
      </c>
      <c r="C41" s="292">
        <v>515</v>
      </c>
      <c r="D41" s="298">
        <v>1.169</v>
      </c>
      <c r="E41" s="294">
        <v>0</v>
      </c>
      <c r="F41" s="294"/>
      <c r="G41" s="295">
        <v>1.5</v>
      </c>
      <c r="H41" s="295"/>
      <c r="I41" s="296">
        <v>1</v>
      </c>
      <c r="J41" s="296"/>
      <c r="K41" s="286"/>
      <c r="L41" s="479">
        <f t="shared" si="2"/>
        <v>24</v>
      </c>
      <c r="M41" s="287">
        <f t="shared" si="3"/>
        <v>23</v>
      </c>
      <c r="N41" s="288">
        <f t="shared" si="4"/>
        <v>1.4375</v>
      </c>
      <c r="O41" s="479">
        <f>F41/staticResult!$J$5</f>
        <v>0</v>
      </c>
      <c r="P41" s="287">
        <f t="shared" si="9"/>
        <v>0</v>
      </c>
      <c r="Q41" s="288">
        <f t="shared" si="11"/>
        <v>0</v>
      </c>
      <c r="R41" s="289">
        <f t="shared" si="10"/>
        <v>18</v>
      </c>
      <c r="S41" s="489">
        <f t="shared" si="8"/>
        <v>1.125</v>
      </c>
    </row>
    <row r="42" spans="1:19" s="291" customFormat="1">
      <c r="A42" s="300" t="s">
        <v>559</v>
      </c>
      <c r="B42" s="292">
        <f>B41</f>
        <v>500</v>
      </c>
      <c r="C42" s="292">
        <f>C41</f>
        <v>515</v>
      </c>
      <c r="D42" s="298">
        <v>1.169</v>
      </c>
      <c r="E42" s="294">
        <v>0</v>
      </c>
      <c r="F42" s="294"/>
      <c r="G42" s="295">
        <v>1.5</v>
      </c>
      <c r="H42" s="295"/>
      <c r="I42" s="296">
        <v>1</v>
      </c>
      <c r="J42" s="296"/>
      <c r="K42" s="286"/>
      <c r="L42" s="479">
        <f t="shared" si="2"/>
        <v>24</v>
      </c>
      <c r="M42" s="287">
        <f t="shared" si="3"/>
        <v>23</v>
      </c>
      <c r="N42" s="288">
        <f t="shared" si="4"/>
        <v>1.4375</v>
      </c>
      <c r="O42" s="479">
        <f>F42/staticResult!$J$5</f>
        <v>0</v>
      </c>
      <c r="P42" s="287">
        <f t="shared" si="9"/>
        <v>0</v>
      </c>
      <c r="Q42" s="288">
        <f t="shared" si="11"/>
        <v>0</v>
      </c>
      <c r="R42" s="289">
        <f t="shared" si="10"/>
        <v>18</v>
      </c>
      <c r="S42" s="489">
        <f t="shared" si="8"/>
        <v>1.125</v>
      </c>
    </row>
    <row r="43" spans="1:19" s="291" customFormat="1">
      <c r="A43" s="300" t="s">
        <v>560</v>
      </c>
      <c r="B43" s="292">
        <f>B42</f>
        <v>500</v>
      </c>
      <c r="C43" s="292">
        <f>C42</f>
        <v>515</v>
      </c>
      <c r="D43" s="298">
        <v>1.169</v>
      </c>
      <c r="E43" s="294">
        <v>0</v>
      </c>
      <c r="F43" s="294"/>
      <c r="G43" s="295">
        <v>1.5</v>
      </c>
      <c r="H43" s="295"/>
      <c r="I43" s="296">
        <v>1</v>
      </c>
      <c r="J43" s="296"/>
      <c r="K43" s="286"/>
      <c r="L43" s="479">
        <f t="shared" si="2"/>
        <v>24</v>
      </c>
      <c r="M43" s="287">
        <f t="shared" si="3"/>
        <v>23</v>
      </c>
      <c r="N43" s="288">
        <f t="shared" si="4"/>
        <v>1.4375</v>
      </c>
      <c r="O43" s="479">
        <f>F43/staticResult!$J$5</f>
        <v>0</v>
      </c>
      <c r="P43" s="287">
        <f t="shared" si="9"/>
        <v>0</v>
      </c>
      <c r="Q43" s="288">
        <f t="shared" si="11"/>
        <v>0</v>
      </c>
      <c r="R43" s="289">
        <f t="shared" si="10"/>
        <v>18</v>
      </c>
      <c r="S43" s="489">
        <f t="shared" si="8"/>
        <v>1.125</v>
      </c>
    </row>
    <row r="44" spans="1:19" s="291" customFormat="1">
      <c r="A44" s="300" t="s">
        <v>561</v>
      </c>
      <c r="B44" s="292">
        <v>1667</v>
      </c>
      <c r="C44" s="292">
        <v>1677</v>
      </c>
      <c r="D44" s="298">
        <v>1.1875</v>
      </c>
      <c r="E44" s="294">
        <v>20</v>
      </c>
      <c r="F44" s="294">
        <v>0</v>
      </c>
      <c r="G44" s="295">
        <v>1.5</v>
      </c>
      <c r="H44" s="295"/>
      <c r="I44" s="296">
        <v>1</v>
      </c>
      <c r="J44" s="296"/>
      <c r="K44" s="286"/>
      <c r="L44" s="479">
        <f t="shared" si="2"/>
        <v>24</v>
      </c>
      <c r="M44" s="287">
        <f t="shared" si="3"/>
        <v>23</v>
      </c>
      <c r="N44" s="288">
        <f t="shared" si="4"/>
        <v>1.4375</v>
      </c>
      <c r="O44" s="479">
        <f>F44/staticResult!$J$5</f>
        <v>0</v>
      </c>
      <c r="P44" s="287">
        <f t="shared" si="9"/>
        <v>0</v>
      </c>
      <c r="Q44" s="288">
        <f t="shared" si="11"/>
        <v>0</v>
      </c>
      <c r="R44" s="289">
        <f t="shared" si="10"/>
        <v>18</v>
      </c>
      <c r="S44" s="489">
        <f t="shared" si="8"/>
        <v>1.125</v>
      </c>
    </row>
    <row r="45" spans="1:19" s="291" customFormat="1">
      <c r="A45" s="300" t="s">
        <v>562</v>
      </c>
      <c r="B45" s="292"/>
      <c r="C45" s="292"/>
      <c r="D45" s="298">
        <v>0</v>
      </c>
      <c r="E45" s="294">
        <f>20-IF(I18=TRUE,1,0)-IF(J18=TRUE,1,0)</f>
        <v>18</v>
      </c>
      <c r="F45" s="294"/>
      <c r="G45" s="295">
        <v>0</v>
      </c>
      <c r="H45" s="295"/>
      <c r="I45" s="296">
        <v>0</v>
      </c>
      <c r="J45" s="296"/>
      <c r="K45" s="286"/>
      <c r="L45" s="479">
        <f t="shared" si="2"/>
        <v>0</v>
      </c>
      <c r="M45" s="287">
        <f t="shared" si="3"/>
        <v>0</v>
      </c>
      <c r="N45" s="288">
        <f t="shared" si="4"/>
        <v>0</v>
      </c>
      <c r="O45" s="479">
        <f>F45/staticResult!$J$5</f>
        <v>0</v>
      </c>
      <c r="P45" s="287">
        <f t="shared" si="9"/>
        <v>0</v>
      </c>
      <c r="Q45" s="288">
        <f t="shared" si="11"/>
        <v>0</v>
      </c>
      <c r="R45" s="289">
        <f t="shared" si="10"/>
        <v>0</v>
      </c>
      <c r="S45" s="489">
        <f t="shared" si="8"/>
        <v>0</v>
      </c>
    </row>
    <row r="46" spans="1:19" s="291" customFormat="1">
      <c r="A46" s="300" t="s">
        <v>563</v>
      </c>
      <c r="B46" s="292">
        <v>833</v>
      </c>
      <c r="C46" s="292">
        <v>843</v>
      </c>
      <c r="D46" s="298">
        <v>0.5</v>
      </c>
      <c r="E46" s="294">
        <v>0</v>
      </c>
      <c r="F46" s="294">
        <v>0</v>
      </c>
      <c r="G46" s="295">
        <v>0</v>
      </c>
      <c r="H46" s="295"/>
      <c r="I46" s="296">
        <v>1</v>
      </c>
      <c r="J46" s="296"/>
      <c r="K46" s="286"/>
      <c r="L46" s="479">
        <f t="shared" si="2"/>
        <v>0</v>
      </c>
      <c r="M46" s="287">
        <f t="shared" si="3"/>
        <v>0</v>
      </c>
      <c r="N46" s="288">
        <f t="shared" si="4"/>
        <v>0</v>
      </c>
      <c r="O46" s="479">
        <f>F46/staticResult!$J$5</f>
        <v>0</v>
      </c>
      <c r="P46" s="287">
        <f t="shared" si="9"/>
        <v>0</v>
      </c>
      <c r="Q46" s="288">
        <f t="shared" si="11"/>
        <v>0</v>
      </c>
      <c r="R46" s="289">
        <f t="shared" si="10"/>
        <v>0</v>
      </c>
      <c r="S46" s="489">
        <f t="shared" si="8"/>
        <v>0</v>
      </c>
    </row>
    <row r="47" spans="1:19" s="291" customFormat="1">
      <c r="A47" s="300" t="s">
        <v>564</v>
      </c>
      <c r="B47" s="292">
        <v>195</v>
      </c>
      <c r="C47" s="292">
        <v>216</v>
      </c>
      <c r="D47" s="298">
        <v>3.25</v>
      </c>
      <c r="E47" s="294">
        <v>30</v>
      </c>
      <c r="F47" s="294"/>
      <c r="G47" s="295">
        <v>1.5</v>
      </c>
      <c r="H47" s="295"/>
      <c r="I47" s="296">
        <v>1</v>
      </c>
      <c r="J47" s="296"/>
      <c r="K47" s="286"/>
      <c r="L47" s="479">
        <f t="shared" si="2"/>
        <v>24</v>
      </c>
      <c r="M47" s="287">
        <f t="shared" si="3"/>
        <v>23</v>
      </c>
      <c r="N47" s="288">
        <f t="shared" si="4"/>
        <v>1.4375</v>
      </c>
      <c r="O47" s="479">
        <f>F47/staticResult!$J$5</f>
        <v>0</v>
      </c>
      <c r="P47" s="287">
        <f t="shared" si="9"/>
        <v>0</v>
      </c>
      <c r="Q47" s="288">
        <f t="shared" si="11"/>
        <v>0</v>
      </c>
      <c r="R47" s="289">
        <f t="shared" si="10"/>
        <v>18</v>
      </c>
      <c r="S47" s="489">
        <f t="shared" si="8"/>
        <v>1.125</v>
      </c>
    </row>
    <row r="48" spans="1:19" s="291" customFormat="1">
      <c r="A48" s="300" t="s">
        <v>565</v>
      </c>
      <c r="B48" s="292"/>
      <c r="C48" s="292"/>
      <c r="D48" s="298"/>
      <c r="E48" s="294">
        <f>30-IF(I21=TRUE,1,0)-IF(J21=TRUE,2,0)-IF(K21=TRUE,3,0)</f>
        <v>24</v>
      </c>
      <c r="F48" s="294"/>
      <c r="G48" s="295">
        <v>1.5</v>
      </c>
      <c r="H48" s="295"/>
      <c r="I48" s="296">
        <v>0</v>
      </c>
      <c r="J48" s="296"/>
      <c r="K48" s="286"/>
      <c r="L48" s="479">
        <f t="shared" si="2"/>
        <v>24</v>
      </c>
      <c r="M48" s="287">
        <f t="shared" si="3"/>
        <v>23</v>
      </c>
      <c r="N48" s="288">
        <f t="shared" si="4"/>
        <v>1.4375</v>
      </c>
      <c r="O48" s="479">
        <f>F48/staticResult!$J$5</f>
        <v>0</v>
      </c>
      <c r="P48" s="287">
        <f t="shared" si="9"/>
        <v>0</v>
      </c>
      <c r="Q48" s="288">
        <f t="shared" si="11"/>
        <v>0</v>
      </c>
      <c r="R48" s="289">
        <f t="shared" si="10"/>
        <v>18</v>
      </c>
      <c r="S48" s="489">
        <f t="shared" si="8"/>
        <v>1.125</v>
      </c>
    </row>
    <row r="49" spans="1:30" s="291" customFormat="1">
      <c r="A49" s="300" t="s">
        <v>566</v>
      </c>
      <c r="B49" s="292"/>
      <c r="C49" s="292"/>
      <c r="D49" s="298"/>
      <c r="E49" s="294">
        <v>12</v>
      </c>
      <c r="F49" s="294">
        <v>0</v>
      </c>
      <c r="G49" s="295">
        <v>0</v>
      </c>
      <c r="H49" s="295"/>
      <c r="I49" s="296">
        <v>0</v>
      </c>
      <c r="J49" s="296"/>
      <c r="K49" s="286"/>
      <c r="L49" s="479">
        <f t="shared" si="2"/>
        <v>0</v>
      </c>
      <c r="M49" s="287">
        <f t="shared" si="3"/>
        <v>0</v>
      </c>
      <c r="N49" s="288">
        <f t="shared" si="4"/>
        <v>0</v>
      </c>
      <c r="O49" s="479">
        <f>F49/staticResult!$J$5</f>
        <v>0</v>
      </c>
      <c r="P49" s="287">
        <f t="shared" si="9"/>
        <v>0</v>
      </c>
      <c r="Q49" s="288">
        <f t="shared" si="11"/>
        <v>0</v>
      </c>
      <c r="R49" s="289">
        <f t="shared" si="10"/>
        <v>0</v>
      </c>
      <c r="S49" s="489">
        <f t="shared" si="8"/>
        <v>0</v>
      </c>
    </row>
    <row r="50" spans="1:30" s="291" customFormat="1">
      <c r="A50" s="300" t="s">
        <v>567</v>
      </c>
      <c r="B50" s="292"/>
      <c r="C50" s="292"/>
      <c r="D50" s="298"/>
      <c r="E50" s="294"/>
      <c r="F50" s="294"/>
      <c r="G50" s="295">
        <v>1.5</v>
      </c>
      <c r="H50" s="295"/>
      <c r="I50" s="296">
        <v>0</v>
      </c>
      <c r="J50" s="296"/>
      <c r="K50" s="286"/>
      <c r="L50" s="479">
        <f t="shared" si="2"/>
        <v>24</v>
      </c>
      <c r="M50" s="287">
        <f t="shared" si="3"/>
        <v>23</v>
      </c>
      <c r="N50" s="288">
        <f t="shared" si="4"/>
        <v>1.4375</v>
      </c>
      <c r="O50" s="479">
        <f>F50/staticResult!$J$5</f>
        <v>0</v>
      </c>
      <c r="P50" s="287">
        <f t="shared" si="9"/>
        <v>0</v>
      </c>
      <c r="Q50" s="288">
        <f t="shared" si="11"/>
        <v>0</v>
      </c>
      <c r="R50" s="289">
        <f t="shared" si="10"/>
        <v>18</v>
      </c>
      <c r="S50" s="489">
        <f t="shared" si="8"/>
        <v>1.125</v>
      </c>
    </row>
    <row r="51" spans="1:30" s="291" customFormat="1">
      <c r="A51" s="300" t="s">
        <v>568</v>
      </c>
      <c r="B51" s="292"/>
      <c r="C51" s="292"/>
      <c r="D51" s="298"/>
      <c r="E51" s="294">
        <v>35</v>
      </c>
      <c r="F51" s="294"/>
      <c r="G51" s="295">
        <v>1.5</v>
      </c>
      <c r="H51" s="295"/>
      <c r="I51" s="296">
        <v>0</v>
      </c>
      <c r="J51" s="296"/>
      <c r="K51" s="286"/>
      <c r="L51" s="479">
        <f t="shared" si="2"/>
        <v>24</v>
      </c>
      <c r="M51" s="287">
        <f t="shared" si="3"/>
        <v>23</v>
      </c>
      <c r="N51" s="288">
        <f t="shared" si="4"/>
        <v>1.4375</v>
      </c>
      <c r="O51" s="479">
        <f>F51/staticResult!$J$5</f>
        <v>0</v>
      </c>
      <c r="P51" s="287">
        <f t="shared" si="9"/>
        <v>0</v>
      </c>
      <c r="Q51" s="288">
        <f t="shared" si="11"/>
        <v>0</v>
      </c>
      <c r="R51" s="289">
        <f t="shared" si="10"/>
        <v>18</v>
      </c>
      <c r="S51" s="489">
        <f t="shared" si="8"/>
        <v>1.125</v>
      </c>
    </row>
    <row r="52" spans="1:30" s="291" customFormat="1">
      <c r="A52" s="300" t="s">
        <v>552</v>
      </c>
      <c r="B52" s="292"/>
      <c r="C52" s="292"/>
      <c r="D52" s="298"/>
      <c r="E52" s="294"/>
      <c r="F52" s="294"/>
      <c r="G52" s="295">
        <v>1.5</v>
      </c>
      <c r="H52" s="295"/>
      <c r="I52" s="296">
        <v>0</v>
      </c>
      <c r="J52" s="296"/>
      <c r="K52" s="286"/>
      <c r="L52" s="479">
        <f t="shared" si="2"/>
        <v>24</v>
      </c>
      <c r="M52" s="287">
        <f t="shared" si="3"/>
        <v>23</v>
      </c>
      <c r="N52" s="288">
        <f t="shared" si="4"/>
        <v>1.4375</v>
      </c>
      <c r="O52" s="479">
        <f>F52/staticResult!$J$5</f>
        <v>0</v>
      </c>
      <c r="P52" s="287">
        <f t="shared" si="9"/>
        <v>0</v>
      </c>
      <c r="Q52" s="288">
        <f t="shared" si="11"/>
        <v>0</v>
      </c>
      <c r="R52" s="289">
        <f t="shared" si="10"/>
        <v>18</v>
      </c>
      <c r="S52" s="489">
        <f t="shared" si="8"/>
        <v>1.125</v>
      </c>
    </row>
    <row r="53" spans="1:30" s="291" customFormat="1">
      <c r="A53" s="300" t="s">
        <v>569</v>
      </c>
      <c r="B53" s="292">
        <v>272</v>
      </c>
      <c r="C53" s="292">
        <v>292</v>
      </c>
      <c r="D53" s="298">
        <v>0.375</v>
      </c>
      <c r="E53" s="294"/>
      <c r="F53" s="294">
        <v>0</v>
      </c>
      <c r="G53" s="295">
        <v>0</v>
      </c>
      <c r="H53" s="294">
        <v>10</v>
      </c>
      <c r="I53" s="296"/>
      <c r="J53" s="296"/>
      <c r="K53" s="286"/>
      <c r="L53" s="479">
        <f t="shared" si="2"/>
        <v>0</v>
      </c>
      <c r="M53" s="287">
        <f t="shared" si="3"/>
        <v>0</v>
      </c>
      <c r="N53" s="288">
        <f t="shared" si="4"/>
        <v>0</v>
      </c>
      <c r="O53" s="479">
        <f>F53/staticResult!$J$5</f>
        <v>0</v>
      </c>
      <c r="P53" s="287">
        <f t="shared" si="9"/>
        <v>0</v>
      </c>
      <c r="Q53" s="288">
        <f t="shared" si="11"/>
        <v>0</v>
      </c>
      <c r="R53" s="289"/>
      <c r="S53" s="290"/>
    </row>
    <row r="54" spans="1:30" s="291" customFormat="1">
      <c r="A54" s="300" t="s">
        <v>570</v>
      </c>
      <c r="B54" s="297">
        <v>294</v>
      </c>
      <c r="C54" s="297">
        <v>294</v>
      </c>
      <c r="D54" s="298">
        <v>1</v>
      </c>
      <c r="E54" s="294"/>
      <c r="F54" s="294">
        <v>0</v>
      </c>
      <c r="G54" s="295">
        <v>0</v>
      </c>
      <c r="H54" s="294">
        <v>10</v>
      </c>
      <c r="I54" s="296"/>
      <c r="J54" s="296"/>
      <c r="K54" s="286"/>
      <c r="L54" s="479">
        <f t="shared" si="2"/>
        <v>0</v>
      </c>
      <c r="M54" s="287">
        <f t="shared" si="3"/>
        <v>0</v>
      </c>
      <c r="N54" s="288">
        <f t="shared" si="4"/>
        <v>0</v>
      </c>
      <c r="O54" s="479">
        <f>F54/staticResult!$J$5</f>
        <v>0</v>
      </c>
      <c r="P54" s="287">
        <f t="shared" si="9"/>
        <v>0</v>
      </c>
      <c r="Q54" s="288">
        <f t="shared" si="11"/>
        <v>0</v>
      </c>
      <c r="R54" s="289"/>
      <c r="S54" s="290"/>
    </row>
    <row r="55" spans="1:30" s="219" customFormat="1">
      <c r="A55" s="219" t="s">
        <v>573</v>
      </c>
      <c r="B55" s="219" t="s">
        <v>488</v>
      </c>
      <c r="C55" s="219" t="s">
        <v>219</v>
      </c>
      <c r="D55" s="219" t="s">
        <v>508</v>
      </c>
      <c r="E55" s="219" t="s">
        <v>111</v>
      </c>
      <c r="F55" s="219" t="s">
        <v>112</v>
      </c>
      <c r="G55" s="219" t="s">
        <v>185</v>
      </c>
      <c r="H55" s="219" t="s">
        <v>186</v>
      </c>
      <c r="I55" s="219" t="s">
        <v>115</v>
      </c>
      <c r="J55" s="219" t="s">
        <v>234</v>
      </c>
      <c r="K55" s="219" t="s">
        <v>233</v>
      </c>
      <c r="L55" s="219" t="s">
        <v>187</v>
      </c>
      <c r="M55" s="219" t="s">
        <v>188</v>
      </c>
      <c r="N55" s="220" t="s">
        <v>215</v>
      </c>
      <c r="O55" s="219" t="s">
        <v>487</v>
      </c>
      <c r="P55" s="219" t="s">
        <v>283</v>
      </c>
      <c r="Q55" s="219" t="s">
        <v>284</v>
      </c>
      <c r="R55" s="219" t="s">
        <v>578</v>
      </c>
      <c r="S55" s="219" t="s">
        <v>575</v>
      </c>
      <c r="T55" s="219" t="s">
        <v>599</v>
      </c>
      <c r="U55" s="219" t="s">
        <v>630</v>
      </c>
      <c r="V55" s="219" t="s">
        <v>1386</v>
      </c>
      <c r="W55" s="219" t="s">
        <v>631</v>
      </c>
      <c r="X55" s="219" t="s">
        <v>1384</v>
      </c>
      <c r="Y55" s="430" t="s">
        <v>632</v>
      </c>
      <c r="Z55" s="219" t="s">
        <v>1105</v>
      </c>
      <c r="AA55" s="219" t="s">
        <v>1442</v>
      </c>
      <c r="AB55" s="219" t="s">
        <v>1367</v>
      </c>
      <c r="AC55" s="219" t="s">
        <v>1370</v>
      </c>
      <c r="AD55" s="219" t="s">
        <v>1365</v>
      </c>
    </row>
    <row r="56" spans="1:30">
      <c r="A56" s="217" t="s">
        <v>509</v>
      </c>
      <c r="B56" s="114">
        <f>IF(傷害計算!B10=A56,1,0)</f>
        <v>1</v>
      </c>
      <c r="C56" s="114"/>
      <c r="D56" s="114"/>
      <c r="E56" s="114"/>
      <c r="F56" s="39"/>
      <c r="G56" s="39"/>
      <c r="H56" s="39"/>
      <c r="I56" s="114"/>
      <c r="J56" s="114"/>
      <c r="K56" s="114"/>
      <c r="L56" s="114"/>
      <c r="M56" s="114"/>
      <c r="N56" s="51"/>
      <c r="O56" s="40"/>
      <c r="P56" s="40"/>
      <c r="Q56" s="114"/>
      <c r="R56" s="114"/>
    </row>
    <row r="57" spans="1:30">
      <c r="A57" s="216" t="s">
        <v>511</v>
      </c>
      <c r="B57" s="114">
        <f>IF(傷害計算!B10=A57,1,0)</f>
        <v>0</v>
      </c>
      <c r="C57" s="114"/>
      <c r="D57" s="114"/>
      <c r="E57" s="114"/>
      <c r="F57" s="39"/>
      <c r="G57" s="39"/>
      <c r="H57" s="39"/>
      <c r="I57" s="114"/>
      <c r="J57" s="114"/>
      <c r="K57" s="114"/>
      <c r="L57" s="114"/>
      <c r="M57" s="114"/>
      <c r="N57" s="51"/>
      <c r="O57" s="40"/>
      <c r="P57" s="40"/>
      <c r="Q57" s="114"/>
      <c r="R57" s="114"/>
    </row>
    <row r="58" spans="1:30">
      <c r="A58" s="216" t="s">
        <v>1435</v>
      </c>
      <c r="B58" s="114">
        <f>IF(傷害計算!C10=A58,1,0)</f>
        <v>0</v>
      </c>
      <c r="C58" s="114"/>
      <c r="D58" s="114"/>
      <c r="E58" s="114"/>
      <c r="F58" s="39"/>
      <c r="G58" s="39"/>
      <c r="H58" s="39"/>
      <c r="I58" s="114"/>
      <c r="J58" s="114"/>
      <c r="K58" s="114"/>
      <c r="L58" s="114"/>
      <c r="M58" s="114"/>
      <c r="N58" s="51"/>
      <c r="O58" s="40"/>
      <c r="P58" s="40"/>
      <c r="Q58" s="114"/>
      <c r="R58" s="114"/>
    </row>
    <row r="59" spans="1:30">
      <c r="A59" s="216" t="s">
        <v>515</v>
      </c>
      <c r="B59" s="114">
        <f>IF(傷害計算!D10=A59,1,0)</f>
        <v>1</v>
      </c>
      <c r="C59" s="114"/>
      <c r="D59" s="114"/>
      <c r="E59" s="114"/>
      <c r="F59" s="39"/>
      <c r="G59" s="39"/>
      <c r="H59" s="39"/>
      <c r="I59" s="114"/>
      <c r="J59" s="114"/>
      <c r="K59" s="40"/>
      <c r="L59" s="114"/>
      <c r="M59" s="114"/>
      <c r="N59" s="51"/>
      <c r="O59" s="40"/>
      <c r="P59" s="40"/>
      <c r="Q59" s="40"/>
      <c r="R59" s="114"/>
      <c r="T59" s="48">
        <f>IF(B59=1,15%,0%)</f>
        <v>0.15</v>
      </c>
    </row>
    <row r="60" spans="1:30">
      <c r="A60" s="216" t="s">
        <v>519</v>
      </c>
      <c r="B60" s="114">
        <f>IF(傷害計算!E10=A60,1,0)</f>
        <v>1</v>
      </c>
      <c r="C60" s="40"/>
      <c r="D60" s="114"/>
      <c r="E60" s="114"/>
      <c r="F60" s="39"/>
      <c r="G60" s="39"/>
      <c r="H60" s="39"/>
      <c r="I60" s="114"/>
      <c r="J60" s="114"/>
      <c r="K60" s="114"/>
      <c r="L60" s="114"/>
      <c r="M60" s="114"/>
      <c r="N60" s="51"/>
      <c r="O60" s="40"/>
      <c r="P60" s="40"/>
      <c r="Q60" s="114"/>
      <c r="R60" s="114"/>
      <c r="U60" s="48"/>
      <c r="V60" s="48"/>
    </row>
    <row r="61" spans="1:30">
      <c r="A61" s="216" t="s">
        <v>523</v>
      </c>
      <c r="B61" s="114">
        <f>IF(傷害計算!F10=A61,1,0)</f>
        <v>0</v>
      </c>
      <c r="C61" s="40"/>
      <c r="D61" s="114"/>
      <c r="E61" s="114"/>
      <c r="F61" s="39"/>
      <c r="G61" s="39"/>
      <c r="H61" s="39"/>
      <c r="I61" s="114"/>
      <c r="J61" s="114"/>
      <c r="K61" s="114"/>
      <c r="L61" s="114"/>
      <c r="M61" s="114"/>
      <c r="N61" s="51"/>
      <c r="O61" s="40"/>
      <c r="P61" s="40"/>
      <c r="Q61" s="114"/>
      <c r="R61" s="114"/>
    </row>
    <row r="62" spans="1:30">
      <c r="A62" s="216" t="s">
        <v>525</v>
      </c>
      <c r="B62" s="114">
        <f>IF(傷害計算!F10=A62,1,0)</f>
        <v>0</v>
      </c>
      <c r="C62" s="114"/>
      <c r="D62" s="114"/>
      <c r="E62" s="114"/>
      <c r="F62" s="39"/>
      <c r="G62" s="39"/>
      <c r="H62" s="39"/>
      <c r="I62" s="114"/>
      <c r="J62" s="114"/>
      <c r="K62" s="114"/>
      <c r="L62" s="114"/>
      <c r="M62" s="114"/>
      <c r="N62" s="51"/>
      <c r="O62" s="40"/>
      <c r="P62" s="40"/>
      <c r="Q62" s="114"/>
      <c r="R62" s="114"/>
      <c r="S62" s="48">
        <f>IF(B76=TRUE,IF(B62=1,10%,0%),0%)</f>
        <v>0</v>
      </c>
    </row>
    <row r="63" spans="1:30">
      <c r="A63" s="216" t="s">
        <v>527</v>
      </c>
      <c r="B63" s="114">
        <f>IF(傷害計算!G10=A63,1,0)</f>
        <v>1</v>
      </c>
      <c r="C63" s="114"/>
      <c r="D63" s="114"/>
      <c r="E63" s="114"/>
      <c r="F63" s="39"/>
      <c r="G63" s="39"/>
      <c r="H63" s="39"/>
      <c r="I63" s="114"/>
      <c r="J63" s="114"/>
      <c r="K63" s="114"/>
      <c r="L63" s="114"/>
      <c r="M63" s="114"/>
      <c r="N63" s="51"/>
      <c r="O63" s="40"/>
      <c r="P63" s="40"/>
      <c r="Q63" s="114"/>
      <c r="R63" s="114"/>
      <c r="U63" s="48">
        <f>IF(B60=1,20%,0%)</f>
        <v>0.2</v>
      </c>
      <c r="V63" s="48"/>
      <c r="Y63" s="48">
        <f>IF(B60=1,0%,0%)</f>
        <v>0</v>
      </c>
    </row>
    <row r="64" spans="1:30">
      <c r="A64" s="216" t="s">
        <v>528</v>
      </c>
      <c r="B64" s="114">
        <f>IF(傷害計算!G10=A64,1,0)</f>
        <v>0</v>
      </c>
      <c r="C64" s="114"/>
      <c r="D64" s="114"/>
      <c r="E64" s="114"/>
      <c r="F64" s="39"/>
      <c r="G64" s="39"/>
      <c r="H64" s="39"/>
      <c r="I64" s="114"/>
      <c r="J64" s="114"/>
      <c r="K64" s="114"/>
      <c r="L64" s="114"/>
      <c r="M64" s="114"/>
      <c r="N64" s="51"/>
      <c r="O64" s="40"/>
      <c r="P64" s="40"/>
      <c r="Q64" s="114"/>
      <c r="R64" s="114"/>
    </row>
    <row r="65" spans="1:31">
      <c r="A65" s="216" t="s">
        <v>531</v>
      </c>
      <c r="B65" s="114">
        <f>IF(傷害計算!H10=A65,1,0)</f>
        <v>1</v>
      </c>
      <c r="C65" s="114"/>
      <c r="D65" s="114"/>
      <c r="E65" s="114"/>
      <c r="F65" s="39"/>
      <c r="G65" s="39"/>
      <c r="H65" s="39"/>
      <c r="I65" s="114"/>
      <c r="J65" s="114"/>
      <c r="K65" s="114"/>
      <c r="L65" s="114"/>
      <c r="M65" s="114"/>
      <c r="N65" s="51"/>
      <c r="O65" s="40"/>
      <c r="P65" s="40"/>
      <c r="Q65" s="114"/>
      <c r="R65" s="114"/>
    </row>
    <row r="66" spans="1:31">
      <c r="A66" s="216" t="s">
        <v>534</v>
      </c>
      <c r="B66" s="114">
        <f>IF(傷害計算!H10=A66,1,0)</f>
        <v>0</v>
      </c>
      <c r="C66" s="114"/>
      <c r="D66" s="114"/>
      <c r="E66" s="114"/>
      <c r="F66" s="39"/>
      <c r="G66" s="39"/>
      <c r="H66" s="39"/>
      <c r="I66" s="114"/>
      <c r="J66" s="114"/>
      <c r="K66" s="114"/>
      <c r="L66" s="114"/>
      <c r="M66" s="114"/>
      <c r="N66" s="51"/>
      <c r="O66" s="40"/>
      <c r="P66" s="114"/>
      <c r="Q66" s="114"/>
      <c r="R66" s="114"/>
    </row>
    <row r="67" spans="1:31">
      <c r="A67" s="216" t="s">
        <v>535</v>
      </c>
      <c r="B67" s="114">
        <f>IF(傷害計算!I10=A67,1,0)</f>
        <v>1</v>
      </c>
      <c r="C67" s="114"/>
      <c r="D67" s="114"/>
      <c r="E67" s="114"/>
      <c r="F67" s="39"/>
      <c r="G67" s="39"/>
      <c r="H67" s="39"/>
      <c r="I67" s="114"/>
      <c r="J67" s="114"/>
      <c r="K67" s="114"/>
      <c r="L67" s="114"/>
      <c r="M67" s="114"/>
      <c r="N67" s="51"/>
      <c r="O67" s="40"/>
      <c r="P67" s="114"/>
      <c r="Q67" s="114"/>
      <c r="R67" s="114"/>
    </row>
    <row r="68" spans="1:31">
      <c r="A68" s="216" t="s">
        <v>538</v>
      </c>
      <c r="B68" s="114">
        <f>IF(傷害計算!I10=A68,1,0)</f>
        <v>0</v>
      </c>
      <c r="C68" s="114"/>
      <c r="D68" s="114"/>
      <c r="E68" s="114"/>
      <c r="F68" s="39"/>
      <c r="G68" s="39"/>
      <c r="H68" s="39"/>
      <c r="I68" s="114"/>
      <c r="J68" s="114"/>
      <c r="K68" s="114"/>
      <c r="L68" s="114"/>
      <c r="M68" s="114"/>
      <c r="N68" s="51"/>
      <c r="O68" s="40"/>
      <c r="P68" s="114"/>
      <c r="Q68" s="114"/>
      <c r="R68" s="114"/>
    </row>
    <row r="69" spans="1:31">
      <c r="A69" s="216" t="s">
        <v>539</v>
      </c>
      <c r="B69" s="114">
        <f>IF(傷害計算!J10=A69,1,0)</f>
        <v>1</v>
      </c>
      <c r="C69" s="114"/>
      <c r="D69" s="114"/>
      <c r="E69" s="114"/>
      <c r="F69" s="39"/>
      <c r="G69" s="39"/>
      <c r="H69" s="39"/>
      <c r="I69" s="114"/>
      <c r="J69" s="114"/>
      <c r="K69" s="114"/>
      <c r="L69" s="114"/>
      <c r="M69" s="114"/>
      <c r="N69" s="51"/>
      <c r="O69" s="40"/>
      <c r="P69" s="40"/>
      <c r="Q69" s="114"/>
      <c r="R69" s="114"/>
    </row>
    <row r="70" spans="1:31">
      <c r="A70" s="216" t="s">
        <v>541</v>
      </c>
      <c r="B70" s="114">
        <f>IF(傷害計算!J10=A70,1,0)</f>
        <v>0</v>
      </c>
      <c r="C70" s="114"/>
      <c r="D70" s="114"/>
      <c r="E70" s="114"/>
      <c r="F70" s="39"/>
      <c r="G70" s="39"/>
      <c r="H70" s="39"/>
      <c r="I70" s="114"/>
      <c r="J70" s="114"/>
      <c r="K70" s="114"/>
      <c r="L70" s="114"/>
      <c r="M70" s="114"/>
      <c r="N70" s="51"/>
      <c r="O70" s="40"/>
      <c r="P70" s="40"/>
      <c r="Q70" s="114"/>
      <c r="R70" s="114"/>
    </row>
    <row r="71" spans="1:31">
      <c r="A71" s="216" t="s">
        <v>576</v>
      </c>
      <c r="B71" s="114">
        <f>IF(傷害計算!K10=A71,1,0)</f>
        <v>0</v>
      </c>
      <c r="C71" s="114"/>
      <c r="D71" s="114"/>
      <c r="E71" s="114"/>
      <c r="F71" s="39"/>
      <c r="G71" s="39"/>
      <c r="H71" s="39"/>
      <c r="I71" s="114"/>
      <c r="J71" s="114"/>
      <c r="K71" s="114"/>
      <c r="L71" s="114"/>
      <c r="M71" s="114"/>
      <c r="N71" s="51"/>
      <c r="O71" s="40"/>
      <c r="P71" s="40"/>
      <c r="Q71" s="114"/>
      <c r="R71" s="114"/>
    </row>
    <row r="72" spans="1:31">
      <c r="A72" s="216" t="s">
        <v>545</v>
      </c>
      <c r="B72" s="114">
        <f>IF(傷害計算!K10=A72,1,0)</f>
        <v>1</v>
      </c>
      <c r="C72" s="114"/>
      <c r="D72" s="114"/>
      <c r="E72" s="114"/>
      <c r="F72" s="39"/>
      <c r="G72" s="39"/>
      <c r="H72" s="39"/>
      <c r="I72" s="114"/>
      <c r="J72" s="114"/>
      <c r="K72" s="114"/>
      <c r="L72" s="114"/>
      <c r="M72" s="114"/>
      <c r="N72" s="51"/>
      <c r="O72" s="40"/>
      <c r="P72" s="40"/>
      <c r="Q72" s="114"/>
      <c r="R72" s="114"/>
    </row>
    <row r="73" spans="1:31">
      <c r="A73" s="216" t="s">
        <v>548</v>
      </c>
      <c r="B73" s="114">
        <f>IF(傷害計算!L10=A73,1,0)</f>
        <v>1</v>
      </c>
      <c r="C73" s="114"/>
      <c r="D73" s="114"/>
      <c r="E73" s="114"/>
      <c r="F73" s="39"/>
      <c r="G73" s="39"/>
      <c r="H73" s="39"/>
      <c r="I73" s="114"/>
      <c r="J73" s="114"/>
      <c r="K73" s="114"/>
      <c r="L73" s="114"/>
      <c r="M73" s="114"/>
      <c r="N73" s="51"/>
      <c r="O73" s="40"/>
      <c r="P73" s="40"/>
      <c r="Q73" s="114"/>
      <c r="R73" s="114"/>
    </row>
    <row r="74" spans="1:31">
      <c r="A74" s="216" t="s">
        <v>551</v>
      </c>
      <c r="B74" s="114">
        <f>IF(傷害計算!M10=A74,1,0)</f>
        <v>0</v>
      </c>
      <c r="C74" s="40"/>
      <c r="D74" s="114"/>
      <c r="E74" s="114"/>
      <c r="F74" s="39"/>
      <c r="G74" s="39"/>
      <c r="H74" s="39"/>
      <c r="I74" s="114"/>
      <c r="J74" s="114"/>
      <c r="K74" s="53"/>
      <c r="L74" s="114"/>
      <c r="M74" s="114"/>
      <c r="N74" s="51"/>
      <c r="O74" s="40"/>
      <c r="P74" s="40"/>
      <c r="Q74" s="114"/>
      <c r="R74" s="114"/>
    </row>
    <row r="75" spans="1:31">
      <c r="A75" s="216" t="s">
        <v>552</v>
      </c>
      <c r="B75" s="114">
        <f>IF(傷害計算!M10=A75,1,0)</f>
        <v>1</v>
      </c>
      <c r="C75" s="40"/>
      <c r="D75" s="114"/>
      <c r="E75" s="114"/>
      <c r="F75" s="39"/>
      <c r="G75" s="39"/>
      <c r="H75" s="39"/>
      <c r="I75" s="114"/>
      <c r="J75" s="114"/>
      <c r="K75" s="53"/>
      <c r="L75" s="114"/>
      <c r="M75" s="114"/>
      <c r="N75" s="51"/>
      <c r="O75" s="40"/>
      <c r="P75" s="40"/>
      <c r="Q75" s="114"/>
      <c r="R75" s="114"/>
    </row>
    <row r="76" spans="1:31">
      <c r="A76" s="231" t="s">
        <v>622</v>
      </c>
      <c r="B76" s="114" t="b">
        <v>1</v>
      </c>
      <c r="C76" s="114"/>
      <c r="D76" s="114"/>
      <c r="E76" s="114"/>
      <c r="F76" s="53"/>
      <c r="G76" s="39"/>
      <c r="H76" s="39"/>
      <c r="I76" s="114"/>
      <c r="J76" s="114"/>
      <c r="K76" s="114"/>
      <c r="L76" s="114"/>
      <c r="M76" s="40"/>
      <c r="N76" s="51"/>
      <c r="O76" s="40"/>
      <c r="P76" s="40"/>
      <c r="Q76" s="114"/>
      <c r="R76" s="114"/>
      <c r="S76" s="48">
        <f>IF(B76=TRUE,30%,0%)</f>
        <v>0.3</v>
      </c>
    </row>
    <row r="77" spans="1:31" s="556" customFormat="1">
      <c r="A77" s="549" t="s">
        <v>1378</v>
      </c>
      <c r="B77" s="550" t="b">
        <v>0</v>
      </c>
      <c r="C77" s="550"/>
      <c r="D77" s="550"/>
      <c r="E77" s="550"/>
      <c r="F77" s="551"/>
      <c r="G77" s="552"/>
      <c r="H77" s="552"/>
      <c r="I77" s="550"/>
      <c r="J77" s="550"/>
      <c r="K77" s="550"/>
      <c r="L77" s="550"/>
      <c r="M77" s="553"/>
      <c r="N77" s="554"/>
      <c r="O77" s="553"/>
      <c r="P77" s="553"/>
      <c r="Q77" s="550"/>
      <c r="R77" s="550"/>
      <c r="S77" s="555"/>
    </row>
    <row r="78" spans="1:31" s="232" customFormat="1">
      <c r="A78" s="233" t="s">
        <v>1177</v>
      </c>
      <c r="B78" s="239" t="s">
        <v>488</v>
      </c>
      <c r="C78" s="239" t="s">
        <v>219</v>
      </c>
      <c r="D78" s="239" t="s">
        <v>508</v>
      </c>
      <c r="E78" s="239" t="s">
        <v>111</v>
      </c>
      <c r="F78" s="239" t="s">
        <v>112</v>
      </c>
      <c r="G78" s="232" t="s">
        <v>185</v>
      </c>
      <c r="H78" s="232" t="s">
        <v>186</v>
      </c>
      <c r="I78" s="232" t="s">
        <v>115</v>
      </c>
      <c r="J78" s="232" t="s">
        <v>234</v>
      </c>
      <c r="K78" s="232" t="s">
        <v>233</v>
      </c>
      <c r="L78" s="232" t="s">
        <v>187</v>
      </c>
      <c r="M78" s="232" t="s">
        <v>188</v>
      </c>
      <c r="N78" s="232" t="s">
        <v>215</v>
      </c>
      <c r="O78" s="239" t="s">
        <v>487</v>
      </c>
      <c r="P78" s="240" t="s">
        <v>283</v>
      </c>
      <c r="Q78" s="239" t="s">
        <v>284</v>
      </c>
      <c r="R78" s="239" t="s">
        <v>577</v>
      </c>
      <c r="S78" s="239" t="s">
        <v>574</v>
      </c>
      <c r="T78" s="232" t="s">
        <v>598</v>
      </c>
      <c r="U78" s="232" t="s">
        <v>629</v>
      </c>
      <c r="V78" s="239" t="s">
        <v>1386</v>
      </c>
      <c r="W78" s="232" t="s">
        <v>631</v>
      </c>
      <c r="X78" s="239" t="s">
        <v>1384</v>
      </c>
      <c r="Y78" s="429" t="s">
        <v>632</v>
      </c>
      <c r="Z78" s="232" t="s">
        <v>1105</v>
      </c>
      <c r="AA78" s="239" t="s">
        <v>1442</v>
      </c>
      <c r="AB78" s="239" t="s">
        <v>1367</v>
      </c>
      <c r="AC78" s="239" t="s">
        <v>1370</v>
      </c>
      <c r="AD78" s="232" t="s">
        <v>1365</v>
      </c>
      <c r="AE78" s="232" t="s">
        <v>1379</v>
      </c>
    </row>
    <row r="79" spans="1:31">
      <c r="A79" s="234" t="s">
        <v>181</v>
      </c>
      <c r="B79" s="114" t="b">
        <v>1</v>
      </c>
      <c r="C79" s="114"/>
      <c r="D79" s="114">
        <f>IF(B79=TRUE,52,0)</f>
        <v>52</v>
      </c>
      <c r="E79" s="114"/>
      <c r="F79" s="114"/>
      <c r="G79" s="114"/>
      <c r="H79" s="114"/>
      <c r="I79" s="114">
        <f>IF(B79=TRUE,52,0)</f>
        <v>52</v>
      </c>
      <c r="J79" s="114">
        <f>IF(B79=TRUE,52,0)</f>
        <v>52</v>
      </c>
      <c r="K79" s="114"/>
      <c r="L79" s="114"/>
      <c r="M79" s="114"/>
      <c r="N79" s="51"/>
      <c r="O79" s="40"/>
      <c r="P79" s="44">
        <f>IF(B79=TRUE,52,0)</f>
        <v>52</v>
      </c>
      <c r="Q79" s="44">
        <f>IF(B79=TRUE,52,0)</f>
        <v>52</v>
      </c>
      <c r="R79" s="114"/>
      <c r="AB79" s="542">
        <v>1</v>
      </c>
      <c r="AC79" s="157">
        <v>0</v>
      </c>
      <c r="AD79" s="48">
        <v>1</v>
      </c>
      <c r="AE79" s="48">
        <f>IF($B$77=FALSE,AD79,100%)</f>
        <v>1</v>
      </c>
    </row>
    <row r="80" spans="1:31">
      <c r="A80" s="234" t="s">
        <v>182</v>
      </c>
      <c r="B80" s="114" t="b">
        <v>1</v>
      </c>
      <c r="C80" s="40">
        <f>IF(B80=TRUE,5%,0%)</f>
        <v>0.05</v>
      </c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51"/>
      <c r="O80" s="40"/>
      <c r="P80" s="40"/>
      <c r="Q80" s="114"/>
      <c r="R80" s="114"/>
      <c r="AB80" s="542">
        <v>1</v>
      </c>
      <c r="AC80" s="157">
        <v>0</v>
      </c>
      <c r="AD80" s="48">
        <v>1</v>
      </c>
      <c r="AE80" s="48">
        <f>IF($B$77=FALSE,AD80,100%)</f>
        <v>1</v>
      </c>
    </row>
    <row r="81" spans="1:31">
      <c r="A81" s="234" t="s">
        <v>183</v>
      </c>
      <c r="B81" s="114" t="b">
        <v>1</v>
      </c>
      <c r="C81" s="114"/>
      <c r="D81" s="114"/>
      <c r="E81" s="114"/>
      <c r="F81" s="40">
        <f>IF(B81=TRUE,5%,0%)*AE81</f>
        <v>4.7500000000000001E-2</v>
      </c>
      <c r="G81" s="40">
        <f>IF(B81=TRUE,10%,0%)*AE81</f>
        <v>9.5000000000000001E-2</v>
      </c>
      <c r="H81" s="114"/>
      <c r="I81" s="114"/>
      <c r="J81" s="114"/>
      <c r="K81" s="114"/>
      <c r="L81" s="114"/>
      <c r="M81" s="114"/>
      <c r="N81" s="51"/>
      <c r="O81" s="40"/>
      <c r="P81" s="40"/>
      <c r="Q81" s="114"/>
      <c r="R81" s="114"/>
      <c r="AB81" s="542">
        <v>1</v>
      </c>
      <c r="AC81" s="157">
        <v>0</v>
      </c>
      <c r="AD81" s="48">
        <v>0.95</v>
      </c>
      <c r="AE81" s="48">
        <f>IF($B$77=FALSE,AD81,100%)</f>
        <v>0.95</v>
      </c>
    </row>
    <row r="82" spans="1:31">
      <c r="A82" s="234" t="s">
        <v>214</v>
      </c>
      <c r="B82" s="114" t="b">
        <v>1</v>
      </c>
      <c r="C82" s="114"/>
      <c r="D82" s="114"/>
      <c r="E82" s="40"/>
      <c r="F82" s="114"/>
      <c r="G82" s="114">
        <f>IF(B82=TRUE,8%,0%)</f>
        <v>0.08</v>
      </c>
      <c r="H82" s="40">
        <f>IF(B82=TRUE,10%,0%)</f>
        <v>0.1</v>
      </c>
      <c r="I82" s="114"/>
      <c r="J82" s="114"/>
      <c r="K82" s="114"/>
      <c r="L82" s="114"/>
      <c r="M82" s="114"/>
      <c r="N82" s="51">
        <v>3</v>
      </c>
      <c r="O82" s="40"/>
      <c r="P82" s="40"/>
      <c r="Q82" s="114"/>
      <c r="R82" s="114"/>
      <c r="AB82" s="542">
        <v>1</v>
      </c>
      <c r="AC82" s="157">
        <v>0</v>
      </c>
      <c r="AD82" s="48">
        <v>1</v>
      </c>
      <c r="AE82" s="48">
        <f>IF($B$77=FALSE,AD82,100%)</f>
        <v>1</v>
      </c>
    </row>
    <row r="83" spans="1:31">
      <c r="A83" s="234" t="s">
        <v>184</v>
      </c>
      <c r="B83" s="114" t="b">
        <v>1</v>
      </c>
      <c r="C83" s="114"/>
      <c r="D83" s="114"/>
      <c r="E83" s="114"/>
      <c r="F83" s="114">
        <f>IF(B83=TRUE,10%,0%)</f>
        <v>0.1</v>
      </c>
      <c r="G83" s="114"/>
      <c r="H83" s="114"/>
      <c r="I83" s="114"/>
      <c r="J83" s="114"/>
      <c r="K83" s="114"/>
      <c r="L83" s="114"/>
      <c r="M83" s="114"/>
      <c r="N83" s="51"/>
      <c r="O83" s="40"/>
      <c r="P83" s="40"/>
      <c r="Q83" s="114"/>
      <c r="R83" s="114"/>
      <c r="AB83" s="542">
        <v>1</v>
      </c>
      <c r="AC83" s="157">
        <v>0</v>
      </c>
      <c r="AD83" s="48">
        <v>1</v>
      </c>
      <c r="AE83" s="48">
        <f>IF($B$77=FALSE,AD83,100%)</f>
        <v>1</v>
      </c>
    </row>
    <row r="84" spans="1:31">
      <c r="A84" s="234" t="s">
        <v>624</v>
      </c>
      <c r="B84" s="114">
        <f>B65</f>
        <v>1</v>
      </c>
      <c r="C84" s="114"/>
      <c r="D84" s="114"/>
      <c r="E84" s="114"/>
      <c r="F84" s="114"/>
      <c r="G84" s="114"/>
      <c r="H84" s="53"/>
      <c r="I84" s="114"/>
      <c r="J84" s="114"/>
      <c r="K84" s="114"/>
      <c r="L84" s="114"/>
      <c r="M84" s="114"/>
      <c r="N84" s="51"/>
      <c r="O84" s="114" t="b">
        <v>1</v>
      </c>
      <c r="P84" s="40"/>
      <c r="Q84" s="114"/>
      <c r="R84" s="53">
        <f>B84*IF(O84=TRUE,15%,0%)</f>
        <v>0.15</v>
      </c>
      <c r="S84" s="115"/>
      <c r="AD84" s="48"/>
    </row>
    <row r="85" spans="1:31">
      <c r="A85" s="234" t="s">
        <v>1106</v>
      </c>
      <c r="B85" s="114">
        <f>IF(配裝模擬!P28=TRUE,1,0)</f>
        <v>1</v>
      </c>
      <c r="C85" s="40">
        <f ca="1">IF(AND(B85=1,O85=TRUE),10%,0%)*AE85</f>
        <v>0.1</v>
      </c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51">
        <v>6</v>
      </c>
      <c r="O85" s="40" t="b">
        <v>1</v>
      </c>
      <c r="P85" s="40"/>
      <c r="Q85" s="114"/>
      <c r="AB85" s="542">
        <v>0.1</v>
      </c>
      <c r="AC85" s="432">
        <v>0</v>
      </c>
      <c r="AD85" s="48">
        <f ca="1">IF(N85/(AC85+((1/AB85)/'DPS計算(Test)'!$P$37))&gt;1,1,N85/(AC85+((1/AB85)/'DPS計算(Test)'!$P$37)))</f>
        <v>1</v>
      </c>
      <c r="AE85" s="48">
        <f ca="1">IF($B$77=FALSE,AD85,100%)</f>
        <v>1</v>
      </c>
    </row>
    <row r="86" spans="1:31">
      <c r="A86" s="234" t="s">
        <v>625</v>
      </c>
      <c r="B86" s="114">
        <f>B69</f>
        <v>1</v>
      </c>
      <c r="C86" s="40"/>
      <c r="D86" s="114"/>
      <c r="E86" s="114"/>
      <c r="F86" s="114"/>
      <c r="G86" s="114"/>
      <c r="H86" s="114"/>
      <c r="I86" s="114"/>
      <c r="J86" s="114"/>
      <c r="K86" s="53"/>
      <c r="L86" s="114"/>
      <c r="M86" s="114"/>
      <c r="N86" s="51">
        <v>5</v>
      </c>
      <c r="O86" s="40" t="b">
        <v>1</v>
      </c>
      <c r="P86" s="40"/>
      <c r="Q86" s="114"/>
      <c r="R86" s="53"/>
      <c r="S86" s="48">
        <f>B86*IF(O86=TRUE,5%*傷害計算!P4,0%)</f>
        <v>0.15000000000000002</v>
      </c>
      <c r="AD86" s="48"/>
    </row>
    <row r="87" spans="1:31">
      <c r="A87" s="234" t="s">
        <v>627</v>
      </c>
      <c r="B87" s="114">
        <f>B72</f>
        <v>1</v>
      </c>
      <c r="C87" s="40">
        <f>IF(AND(B87=1,O87=TRUE),10%,0%)</f>
        <v>0.1</v>
      </c>
      <c r="D87" s="114"/>
      <c r="E87" s="114"/>
      <c r="F87" s="114"/>
      <c r="G87" s="114"/>
      <c r="H87" s="114"/>
      <c r="I87" s="114"/>
      <c r="J87" s="114"/>
      <c r="K87" s="53"/>
      <c r="L87" s="114"/>
      <c r="M87" s="114"/>
      <c r="N87" s="51">
        <v>10</v>
      </c>
      <c r="O87" s="40" t="b">
        <v>1</v>
      </c>
      <c r="P87" s="40"/>
      <c r="Q87" s="114"/>
      <c r="R87" s="114"/>
      <c r="AD87" s="48"/>
    </row>
    <row r="88" spans="1:31">
      <c r="A88" s="234" t="s">
        <v>628</v>
      </c>
      <c r="B88" s="114">
        <f>B73</f>
        <v>1</v>
      </c>
      <c r="C88" s="40"/>
      <c r="D88" s="114"/>
      <c r="E88" s="114"/>
      <c r="F88" s="114"/>
      <c r="G88" s="114"/>
      <c r="H88" s="114"/>
      <c r="I88" s="114"/>
      <c r="J88" s="114"/>
      <c r="K88" s="53"/>
      <c r="L88" s="114"/>
      <c r="M88" s="53">
        <f>IF(AND(B88=1,O88=TRUE),20%,0%)</f>
        <v>0.2</v>
      </c>
      <c r="N88" s="51">
        <v>8</v>
      </c>
      <c r="O88" s="40" t="b">
        <v>1</v>
      </c>
      <c r="P88" s="40"/>
      <c r="Q88" s="114"/>
      <c r="R88" s="114"/>
      <c r="AD88" s="48"/>
    </row>
    <row r="89" spans="1:31">
      <c r="A89" s="234" t="s">
        <v>1362</v>
      </c>
      <c r="B89" s="114">
        <f>IF(COUNTIF(配裝模擬!B10:B21,"*水特")&gt;=1,1,0)</f>
        <v>0</v>
      </c>
      <c r="C89" s="40"/>
      <c r="D89" s="114"/>
      <c r="E89" s="114"/>
      <c r="F89" s="114"/>
      <c r="G89" s="114"/>
      <c r="H89" s="114"/>
      <c r="I89" s="114"/>
      <c r="J89" s="114"/>
      <c r="K89" s="53"/>
      <c r="L89" s="114"/>
      <c r="M89" s="114"/>
      <c r="N89" s="51">
        <v>6</v>
      </c>
      <c r="O89" s="40" t="b">
        <v>1</v>
      </c>
      <c r="P89" s="40"/>
      <c r="Q89" s="114"/>
      <c r="R89" s="114"/>
      <c r="Z89" s="13">
        <f>IF(AND(B89=1,O89=TRUE),20*配裝模擬!R33,0)</f>
        <v>0</v>
      </c>
      <c r="AB89" s="542">
        <v>1</v>
      </c>
      <c r="AC89" s="157">
        <v>0</v>
      </c>
      <c r="AD89" s="48">
        <f ca="1">IF(N89/(AC89+((1/AB89)/'DPS計算(Test)'!$P$37))&gt;1,1,N89/(AC89+((1/AB89)/'DPS計算(Test)'!$P$37)))</f>
        <v>1</v>
      </c>
      <c r="AE89" s="48">
        <f ca="1">IF($B$77=FALSE,AD89,100%)</f>
        <v>1</v>
      </c>
    </row>
    <row r="90" spans="1:31" s="157" customFormat="1">
      <c r="A90" s="234" t="s">
        <v>1363</v>
      </c>
      <c r="B90" s="114">
        <f>IF(COUNTIF(配裝模擬!B10:B21,"*風特")&gt;=1,1,0)</f>
        <v>0</v>
      </c>
      <c r="C90" s="40"/>
      <c r="D90" s="114"/>
      <c r="E90" s="114"/>
      <c r="F90" s="114"/>
      <c r="G90" s="114"/>
      <c r="H90" s="114"/>
      <c r="I90" s="114"/>
      <c r="J90" s="157">
        <f>IF(AND(B90,O90=TRUE),1831,0)</f>
        <v>0</v>
      </c>
      <c r="K90" s="53"/>
      <c r="L90" s="114"/>
      <c r="M90" s="114"/>
      <c r="N90" s="51">
        <v>15</v>
      </c>
      <c r="O90" s="40" t="b">
        <v>1</v>
      </c>
      <c r="P90" s="40"/>
      <c r="Q90" s="114"/>
      <c r="R90" s="114"/>
      <c r="AB90" s="542">
        <v>1</v>
      </c>
      <c r="AC90" s="157">
        <v>180</v>
      </c>
      <c r="AD90" s="48">
        <f ca="1">IF(N90/(AC90+((1/AB90)/'DPS計算(Test)'!$P$37))&gt;1,1,N90/(AC90+((1/AB90)/'DPS計算(Test)'!$P$37)))</f>
        <v>8.3160299003322252E-2</v>
      </c>
      <c r="AE90" s="48">
        <f ca="1">IF($B$77=FALSE,AD90,100%)</f>
        <v>8.3160299003322252E-2</v>
      </c>
    </row>
    <row r="91" spans="1:31" s="157" customFormat="1">
      <c r="A91" s="234" t="s">
        <v>1364</v>
      </c>
      <c r="B91" s="114">
        <f>IF(COUNTIF(配裝模擬!B10:B21,"*雷特")&gt;=1,1,0)</f>
        <v>0</v>
      </c>
      <c r="C91" s="40"/>
      <c r="D91" s="114"/>
      <c r="E91" s="114"/>
      <c r="F91" s="114"/>
      <c r="G91" s="114"/>
      <c r="H91" s="114"/>
      <c r="I91" s="114"/>
      <c r="J91" s="114"/>
      <c r="K91" s="53"/>
      <c r="L91" s="114"/>
      <c r="M91" s="114"/>
      <c r="N91" s="51">
        <v>15</v>
      </c>
      <c r="O91" s="40" t="b">
        <v>0</v>
      </c>
      <c r="P91" s="40"/>
      <c r="Q91" s="114">
        <f>IF(AND(B91,O91=TRUE),378,0)</f>
        <v>0</v>
      </c>
      <c r="R91" s="114"/>
      <c r="Z91" s="157">
        <f>IF(AND(B91,O91=TRUE),395,0)</f>
        <v>0</v>
      </c>
      <c r="AB91" s="542">
        <v>0.05</v>
      </c>
      <c r="AC91" s="432">
        <v>60</v>
      </c>
      <c r="AD91" s="48">
        <f ca="1">IF(N91/(AC91+((1/AB91)/'DPS計算(Test)'!$P$37))&gt;1,1,N91/(AC91+((1/AB91)/'DPS計算(Test)'!$P$37)))</f>
        <v>0.22225305216426192</v>
      </c>
      <c r="AE91" s="48">
        <f ca="1">IF($B$77=FALSE,AD91,100%)</f>
        <v>0.22225305216426192</v>
      </c>
    </row>
    <row r="92" spans="1:31">
      <c r="A92" s="234" t="s">
        <v>1107</v>
      </c>
      <c r="B92" s="114">
        <f>IF(配裝模擬!P27=TRUE,1,0)</f>
        <v>1</v>
      </c>
      <c r="C92" s="40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51"/>
      <c r="O92" s="40"/>
      <c r="P92" s="40"/>
      <c r="Q92" s="114"/>
      <c r="R92" s="114"/>
      <c r="U92" s="48">
        <f>IF(B92=1,10%,0)</f>
        <v>0.1</v>
      </c>
      <c r="V92" s="48"/>
      <c r="AB92" s="542"/>
      <c r="AD92" s="48"/>
    </row>
    <row r="93" spans="1:31">
      <c r="A93" s="234" t="s">
        <v>218</v>
      </c>
      <c r="B93" s="114" t="b">
        <v>0</v>
      </c>
      <c r="C93" s="40">
        <f ca="1">IF(B93=TRUE,30%,0%)*AE93</f>
        <v>0</v>
      </c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51">
        <v>12</v>
      </c>
      <c r="O93" s="40"/>
      <c r="P93" s="40"/>
      <c r="Q93" s="114"/>
      <c r="R93" s="114"/>
      <c r="AB93" s="542">
        <v>1</v>
      </c>
      <c r="AC93" s="157">
        <v>50</v>
      </c>
      <c r="AD93" s="48">
        <f ca="1">IF(N93/(AC93+((1/AB93)/'DPS計算(Test)'!$P$37))&gt;1,1,N93/(AC93+((1/AB93)/'DPS計算(Test)'!$P$37)))</f>
        <v>0.23821561338289962</v>
      </c>
      <c r="AE93" s="48">
        <f ca="1">IF($B$77=FALSE,AD93,100%)</f>
        <v>0.23821561338289962</v>
      </c>
    </row>
    <row r="94" spans="1:31">
      <c r="A94" s="234" t="s">
        <v>478</v>
      </c>
      <c r="B94" s="114" t="b">
        <v>0</v>
      </c>
      <c r="C94" s="40">
        <f>IF(B94=TRUE,5%,0%)</f>
        <v>0</v>
      </c>
      <c r="D94" s="114"/>
      <c r="E94" s="114"/>
      <c r="F94" s="114"/>
      <c r="G94" s="114"/>
      <c r="H94" s="53">
        <f>IF(B94=TRUE,10%+IF(O94=TRUE,10%,0%),0%)</f>
        <v>0</v>
      </c>
      <c r="I94" s="114"/>
      <c r="J94" s="114"/>
      <c r="K94" s="114"/>
      <c r="L94" s="114"/>
      <c r="M94" s="114"/>
      <c r="N94" s="51">
        <v>100</v>
      </c>
      <c r="O94" s="114" t="b">
        <v>0</v>
      </c>
      <c r="P94" s="114"/>
      <c r="Q94" s="114"/>
      <c r="R94" s="114"/>
      <c r="AB94" s="542">
        <v>1</v>
      </c>
      <c r="AC94" s="157">
        <v>0</v>
      </c>
      <c r="AD94" s="48">
        <f ca="1">IF(N94/(AC94+((1/AB94)/'DPS計算(Test)'!$P$37))&gt;1,1,N94/(AC94+((1/AB94)/'DPS計算(Test)'!$P$37)))</f>
        <v>1</v>
      </c>
      <c r="AE94" s="48">
        <f ca="1">IF($B$77=FALSE,AD94,100%)</f>
        <v>1</v>
      </c>
    </row>
    <row r="95" spans="1:31">
      <c r="A95" s="234" t="s">
        <v>479</v>
      </c>
      <c r="B95" s="114" t="b">
        <v>0</v>
      </c>
      <c r="C95" s="114"/>
      <c r="D95" s="114"/>
      <c r="E95" s="114"/>
      <c r="F95" s="114"/>
      <c r="G95" s="114"/>
      <c r="H95" s="114"/>
      <c r="I95" s="114"/>
      <c r="J95" s="114">
        <f>IF(B94=TRUE,IF(B95=TRUE,200*O95,0),0)</f>
        <v>0</v>
      </c>
      <c r="K95" s="114"/>
      <c r="L95" s="114"/>
      <c r="M95" s="114"/>
      <c r="N95" s="114">
        <v>20</v>
      </c>
      <c r="O95" s="51">
        <f>傷害計算!S9</f>
        <v>5</v>
      </c>
      <c r="P95" s="40"/>
      <c r="Q95" s="114"/>
      <c r="R95" s="114"/>
      <c r="AB95" s="542">
        <v>0.8</v>
      </c>
      <c r="AC95" s="157">
        <v>0</v>
      </c>
      <c r="AD95" s="48">
        <f ca="1">IF(N95/(AC95+((1/AB95)/'DPS計算(Test)'!$P$37))&gt;1,1,N95/(AC95+((1/AB95)/'DPS計算(Test)'!$P$37)))</f>
        <v>1</v>
      </c>
      <c r="AE95" s="48">
        <f ca="1">IF($B$77=FALSE,AD95,100%)</f>
        <v>1</v>
      </c>
    </row>
    <row r="96" spans="1:31">
      <c r="A96" s="234" t="s">
        <v>1341</v>
      </c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51"/>
      <c r="O96" s="53"/>
      <c r="P96" s="40"/>
      <c r="Q96" s="114"/>
      <c r="R96" s="114"/>
      <c r="AD96" s="48"/>
    </row>
    <row r="97" spans="1:31">
      <c r="A97" s="234" t="s">
        <v>474</v>
      </c>
      <c r="B97" s="114" t="b">
        <v>0</v>
      </c>
      <c r="C97" s="53">
        <f ca="1">IF(B97=TRUE,20%,0%)*AE97</f>
        <v>0</v>
      </c>
      <c r="D97" s="114"/>
      <c r="E97" s="114"/>
      <c r="F97" s="114"/>
      <c r="G97" s="114"/>
      <c r="H97" s="40">
        <f ca="1">IF(B97=TRUE,20%,0%)*IF($C$77=TRUE,AD97,1)*AE97</f>
        <v>0</v>
      </c>
      <c r="I97" s="114"/>
      <c r="J97" s="114"/>
      <c r="K97" s="114"/>
      <c r="L97" s="114"/>
      <c r="M97" s="114"/>
      <c r="N97" s="51">
        <v>6</v>
      </c>
      <c r="O97" s="114"/>
      <c r="P97" s="114"/>
      <c r="Q97" s="114"/>
      <c r="R97" s="114"/>
      <c r="AB97" s="542">
        <v>1</v>
      </c>
      <c r="AC97" s="157">
        <v>30</v>
      </c>
      <c r="AD97" s="48">
        <f ca="1">IF(N97/(AC97+((1/AB97)/'DPS計算(Test)'!$P$37))&gt;1,1,N97/(AC97+((1/AB97)/'DPS計算(Test)'!$P$37)))</f>
        <v>0.19753390875462393</v>
      </c>
      <c r="AE97" s="48">
        <f t="shared" ref="AE97:AE105" ca="1" si="12">IF($B$77=FALSE,AD97,100%)</f>
        <v>0.19753390875462393</v>
      </c>
    </row>
    <row r="98" spans="1:31">
      <c r="A98" s="234" t="s">
        <v>475</v>
      </c>
      <c r="B98" s="114" t="b">
        <v>0</v>
      </c>
      <c r="C98" s="53">
        <f ca="1">IF(B98=TRUE,40%,0%)*AE98</f>
        <v>0</v>
      </c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51">
        <v>30</v>
      </c>
      <c r="O98" s="114"/>
      <c r="P98" s="114"/>
      <c r="Q98" s="114"/>
      <c r="R98" s="114"/>
      <c r="AB98" s="542">
        <v>0.5</v>
      </c>
      <c r="AC98" s="157">
        <v>180</v>
      </c>
      <c r="AD98" s="48">
        <f ca="1">IF(N98/(AC98+((1/AB98)/'DPS計算(Test)'!$P$37))&gt;1,1,N98/(AC98+((1/AB98)/'DPS計算(Test)'!$P$37)))</f>
        <v>0.1659759635308744</v>
      </c>
      <c r="AE98" s="48">
        <f t="shared" ca="1" si="12"/>
        <v>0.1659759635308744</v>
      </c>
    </row>
    <row r="99" spans="1:31">
      <c r="A99" s="234" t="s">
        <v>476</v>
      </c>
      <c r="B99" s="114" t="b">
        <v>0</v>
      </c>
      <c r="C99" s="53">
        <f ca="1">IF(B99=TRUE,20%,0%)*AE99</f>
        <v>0</v>
      </c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51">
        <v>30</v>
      </c>
      <c r="O99" s="114"/>
      <c r="P99" s="114"/>
      <c r="Q99" s="114"/>
      <c r="R99" s="114"/>
      <c r="AB99" s="542">
        <v>0.5</v>
      </c>
      <c r="AC99" s="157">
        <v>180</v>
      </c>
      <c r="AD99" s="48">
        <f ca="1">IF(N99/(AC99+((1/AB99)/'DPS計算(Test)'!$P$37))&gt;1,1,N99/(AC99+((1/AB99)/'DPS計算(Test)'!$P$37)))</f>
        <v>0.1659759635308744</v>
      </c>
      <c r="AE99" s="48">
        <f t="shared" ca="1" si="12"/>
        <v>0.1659759635308744</v>
      </c>
    </row>
    <row r="100" spans="1:31">
      <c r="A100" s="234" t="s">
        <v>477</v>
      </c>
      <c r="B100" s="114" t="b">
        <v>0</v>
      </c>
      <c r="C100" s="53">
        <f ca="1">IF(B100=TRUE,20%,0%)*AE100</f>
        <v>0</v>
      </c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51">
        <v>15</v>
      </c>
      <c r="O100" s="114"/>
      <c r="P100" s="114"/>
      <c r="Q100" s="114"/>
      <c r="R100" s="114"/>
      <c r="AB100" s="542">
        <v>1</v>
      </c>
      <c r="AC100" s="157">
        <v>30</v>
      </c>
      <c r="AD100" s="48">
        <f ca="1">IF(N100/(AC100+((1/AB100)/'DPS計算(Test)'!$P$37))&gt;1,1,N100/(AC100+((1/AB100)/'DPS計算(Test)'!$P$37)))</f>
        <v>0.49383477188655978</v>
      </c>
      <c r="AE100" s="48">
        <f t="shared" ca="1" si="12"/>
        <v>0.49383477188655978</v>
      </c>
    </row>
    <row r="101" spans="1:31">
      <c r="A101" s="234" t="s">
        <v>480</v>
      </c>
      <c r="B101" s="114" t="b">
        <v>1</v>
      </c>
      <c r="C101" s="53"/>
      <c r="D101" s="114"/>
      <c r="E101" s="40">
        <f>IF(B101=TRUE,3%,0%)</f>
        <v>0.03</v>
      </c>
      <c r="F101" s="40">
        <f>IF(B101=TRUE,3%,0%)</f>
        <v>0.03</v>
      </c>
      <c r="G101" s="53">
        <f>IF(B101=TRUE,15%,0%)</f>
        <v>0.15</v>
      </c>
      <c r="H101" s="114"/>
      <c r="I101" s="114"/>
      <c r="J101" s="114"/>
      <c r="K101" s="114"/>
      <c r="L101" s="114"/>
      <c r="M101" s="114"/>
      <c r="N101" s="51">
        <v>100</v>
      </c>
      <c r="O101" s="114"/>
      <c r="P101" s="114"/>
      <c r="Q101" s="114"/>
      <c r="R101" s="114"/>
      <c r="AB101" s="542">
        <v>1</v>
      </c>
      <c r="AC101" s="157">
        <v>0</v>
      </c>
      <c r="AD101" s="48">
        <f ca="1">IF(N101/(AC101+((1/AB101)/'DPS計算(Test)'!$P$37))&gt;1,1,N101/(AC101+((1/AB101)/'DPS計算(Test)'!$P$37)))</f>
        <v>1</v>
      </c>
      <c r="AE101" s="48">
        <f t="shared" ca="1" si="12"/>
        <v>1</v>
      </c>
    </row>
    <row r="102" spans="1:31">
      <c r="A102" s="234" t="s">
        <v>481</v>
      </c>
      <c r="B102" s="114" t="b">
        <v>0</v>
      </c>
      <c r="C102" s="40">
        <f>IF(B102=TRUE,5%,0%)</f>
        <v>0</v>
      </c>
      <c r="D102" s="114"/>
      <c r="E102" s="114"/>
      <c r="F102" s="114"/>
      <c r="G102" s="114"/>
      <c r="H102" s="53">
        <f>IF(B102=TRUE,20%,0%)</f>
        <v>0</v>
      </c>
      <c r="I102" s="114"/>
      <c r="J102" s="114"/>
      <c r="K102" s="114"/>
      <c r="L102" s="114"/>
      <c r="M102" s="114"/>
      <c r="N102" s="51">
        <v>100</v>
      </c>
      <c r="O102" s="114"/>
      <c r="P102" s="114"/>
      <c r="Q102" s="114"/>
      <c r="R102" s="114"/>
      <c r="AB102" s="542">
        <v>1</v>
      </c>
      <c r="AC102" s="157">
        <v>0</v>
      </c>
      <c r="AD102" s="48">
        <f ca="1">IF(N102/(AC102+((1/AB102)/'DPS計算(Test)'!$P$37))&gt;1,1,N102/(AC102+((1/AB102)/'DPS計算(Test)'!$P$37)))</f>
        <v>1</v>
      </c>
      <c r="AE102" s="48">
        <f t="shared" ca="1" si="12"/>
        <v>1</v>
      </c>
    </row>
    <row r="103" spans="1:31">
      <c r="A103" s="234" t="s">
        <v>482</v>
      </c>
      <c r="B103" s="114" t="b">
        <v>0</v>
      </c>
      <c r="C103" s="40">
        <f>IF(B103=TRUE,5%,0%)</f>
        <v>0</v>
      </c>
      <c r="D103" s="114">
        <f>IF(B103=TRUE,3%*傷害計算!B2,0%)</f>
        <v>0</v>
      </c>
      <c r="E103" s="114"/>
      <c r="F103" s="114"/>
      <c r="G103" s="40">
        <f>IF(B103=TRUE,20%,0%)</f>
        <v>0</v>
      </c>
      <c r="H103" s="114"/>
      <c r="I103" s="114"/>
      <c r="J103" s="114"/>
      <c r="K103" s="114"/>
      <c r="L103" s="114"/>
      <c r="M103" s="114"/>
      <c r="N103" s="51">
        <v>100</v>
      </c>
      <c r="O103" s="114"/>
      <c r="P103" s="114"/>
      <c r="Q103" s="114"/>
      <c r="R103" s="114"/>
      <c r="AB103" s="542">
        <v>1</v>
      </c>
      <c r="AC103" s="157">
        <v>0</v>
      </c>
      <c r="AD103" s="48">
        <f ca="1">IF(N103/(AC103+((1/AB103)/'DPS計算(Test)'!$P$37))&gt;1,1,N103/(AC103+((1/AB103)/'DPS計算(Test)'!$P$37)))</f>
        <v>1</v>
      </c>
      <c r="AE103" s="48">
        <f t="shared" ca="1" si="12"/>
        <v>1</v>
      </c>
    </row>
    <row r="104" spans="1:31">
      <c r="A104" s="234" t="s">
        <v>1371</v>
      </c>
      <c r="B104" s="114" t="b">
        <v>0</v>
      </c>
      <c r="C104" s="53">
        <f ca="1">IF(B102=TRUE,IF(B104=TRUE,5%,0%),0%)*AE104</f>
        <v>0</v>
      </c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51">
        <v>6</v>
      </c>
      <c r="O104" s="114"/>
      <c r="P104" s="114"/>
      <c r="Q104" s="114"/>
      <c r="R104" s="114"/>
      <c r="AB104" s="542">
        <v>1</v>
      </c>
      <c r="AC104" s="157">
        <v>30</v>
      </c>
      <c r="AD104" s="48">
        <f ca="1">IF(N104/(AC104+((1/AB104)/'DPS計算(Test)'!$P$37))&gt;1,1,N104/(AC104+((1/AB104)/'DPS計算(Test)'!$P$37)))</f>
        <v>0.19753390875462393</v>
      </c>
      <c r="AE104" s="48">
        <f t="shared" ca="1" si="12"/>
        <v>0.19753390875462393</v>
      </c>
    </row>
    <row r="105" spans="1:31">
      <c r="A105" s="234" t="s">
        <v>484</v>
      </c>
      <c r="B105" s="114" t="b">
        <v>1</v>
      </c>
      <c r="C105" s="114"/>
      <c r="D105" s="114"/>
      <c r="E105" s="114"/>
      <c r="F105" s="53">
        <f ca="1">IF(B101=TRUE,IF(B105=TRUE,1%*O105,0),0)*AE105</f>
        <v>0.05</v>
      </c>
      <c r="G105" s="114"/>
      <c r="H105" s="114"/>
      <c r="I105" s="114"/>
      <c r="J105" s="114"/>
      <c r="K105" s="114"/>
      <c r="L105" s="114"/>
      <c r="M105" s="114"/>
      <c r="N105" s="51">
        <v>20</v>
      </c>
      <c r="O105" s="114">
        <f>傷害計算!Y9</f>
        <v>5</v>
      </c>
      <c r="P105" s="114"/>
      <c r="Q105" s="114"/>
      <c r="R105" s="114"/>
      <c r="AB105" s="542">
        <v>0.8</v>
      </c>
      <c r="AC105" s="157">
        <v>0</v>
      </c>
      <c r="AD105" s="48">
        <f ca="1">IF(N105/(AC105+((1/AB105)/'DPS計算(Test)'!$P$37))&gt;1,1,N105/(AC105+((1/AB105)/'DPS計算(Test)'!$P$37)))</f>
        <v>1</v>
      </c>
      <c r="AE105" s="48">
        <f t="shared" ca="1" si="12"/>
        <v>1</v>
      </c>
    </row>
    <row r="106" spans="1:31">
      <c r="A106" s="234" t="s">
        <v>489</v>
      </c>
      <c r="B106" s="114" t="b">
        <v>0</v>
      </c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40">
        <f>IF(B106=TRUE,100%,0%)</f>
        <v>0</v>
      </c>
      <c r="N106" s="51"/>
      <c r="O106" s="114"/>
      <c r="P106" s="114"/>
      <c r="Q106" s="114"/>
      <c r="R106" s="114"/>
      <c r="AD106" s="48"/>
    </row>
    <row r="107" spans="1:31">
      <c r="A107" s="234" t="s">
        <v>490</v>
      </c>
      <c r="B107" s="114" t="b">
        <v>0</v>
      </c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40">
        <f>IF(B107=TRUE,30%,0%)*IF($C$77=TRUE,AD107,1)</f>
        <v>0</v>
      </c>
      <c r="N107" s="51">
        <v>12.8</v>
      </c>
      <c r="O107" s="114"/>
      <c r="P107" s="114"/>
      <c r="Q107" s="114"/>
      <c r="R107" s="114"/>
      <c r="AB107" s="542">
        <v>0.75</v>
      </c>
      <c r="AC107" s="157">
        <f>25/2</f>
        <v>12.5</v>
      </c>
      <c r="AD107" s="48">
        <f ca="1">IF(N107/(AC107+((1/AB107)/'DPS計算(Test)'!$P$37))&gt;1,1,N107/(AC107+((1/AB107)/'DPS計算(Test)'!$P$37)))</f>
        <v>0.98466266506602651</v>
      </c>
      <c r="AE107" s="48">
        <f t="shared" ref="AE107:AE112" ca="1" si="13">IF($B$77=FALSE,AD107,100%)</f>
        <v>0.98466266506602651</v>
      </c>
    </row>
    <row r="108" spans="1:31">
      <c r="A108" s="234" t="s">
        <v>1329</v>
      </c>
      <c r="B108" s="114" t="b">
        <v>0</v>
      </c>
      <c r="C108" s="114"/>
      <c r="D108" s="114"/>
      <c r="E108" s="114"/>
      <c r="F108" s="114"/>
      <c r="G108" s="40">
        <f>IF(B108=TRUE,15%,0%)</f>
        <v>0</v>
      </c>
      <c r="H108" s="114"/>
      <c r="I108" s="114"/>
      <c r="J108" s="114"/>
      <c r="K108" s="114"/>
      <c r="L108" s="114"/>
      <c r="M108" s="40">
        <f>IF(B108=TRUE,5%,0%)</f>
        <v>0</v>
      </c>
      <c r="N108" s="51">
        <v>100</v>
      </c>
      <c r="O108" s="114"/>
      <c r="P108" s="114"/>
      <c r="Q108" s="114"/>
      <c r="R108" s="114"/>
      <c r="AB108" s="542">
        <v>1</v>
      </c>
      <c r="AC108" s="157">
        <v>0</v>
      </c>
      <c r="AD108" s="48">
        <f ca="1">IF(N108/(AC108+((1/AB108)/'DPS計算(Test)'!$P$37))&gt;1,1,N108/(AC108+((1/AB108)/'DPS計算(Test)'!$P$37)))</f>
        <v>1</v>
      </c>
      <c r="AE108" s="48">
        <f t="shared" ca="1" si="13"/>
        <v>1</v>
      </c>
    </row>
    <row r="109" spans="1:31">
      <c r="A109" s="234" t="s">
        <v>1330</v>
      </c>
      <c r="B109" s="114" t="b">
        <v>0</v>
      </c>
      <c r="C109" s="114"/>
      <c r="D109" s="114"/>
      <c r="E109" s="114"/>
      <c r="F109" s="40">
        <f ca="1">IF(B108=TRUE,IF(B109=TRUE,5%,0),0)*AE109</f>
        <v>0</v>
      </c>
      <c r="G109" s="114"/>
      <c r="H109" s="114"/>
      <c r="I109" s="114"/>
      <c r="J109" s="114"/>
      <c r="K109" s="114"/>
      <c r="L109" s="114"/>
      <c r="M109" s="114"/>
      <c r="N109" s="51">
        <v>4</v>
      </c>
      <c r="O109" s="114"/>
      <c r="P109" s="114"/>
      <c r="Q109" s="114"/>
      <c r="R109" s="114"/>
      <c r="AB109" s="542">
        <v>1</v>
      </c>
      <c r="AC109" s="157">
        <v>0</v>
      </c>
      <c r="AD109" s="48">
        <f ca="1">IF(N109/(AC109+((1/AB109)/'DPS計算(Test)'!$P$37))&gt;1,1,N109/(AC109+((1/AB109)/'DPS計算(Test)'!$P$37)))</f>
        <v>1</v>
      </c>
      <c r="AE109" s="48">
        <f t="shared" ca="1" si="13"/>
        <v>1</v>
      </c>
    </row>
    <row r="110" spans="1:31" s="157" customFormat="1">
      <c r="A110" s="234" t="s">
        <v>1342</v>
      </c>
      <c r="B110" s="114" t="b">
        <v>0</v>
      </c>
      <c r="C110" s="53">
        <f ca="1">IF(B110=TRUE,30%,0%)*AE110</f>
        <v>0</v>
      </c>
      <c r="D110" s="114"/>
      <c r="E110" s="114"/>
      <c r="F110" s="40"/>
      <c r="G110" s="114"/>
      <c r="H110" s="114"/>
      <c r="I110" s="114"/>
      <c r="J110" s="114"/>
      <c r="K110" s="114"/>
      <c r="L110" s="114"/>
      <c r="M110" s="114"/>
      <c r="N110" s="51">
        <v>20</v>
      </c>
      <c r="O110" s="114"/>
      <c r="P110" s="114"/>
      <c r="Q110" s="114"/>
      <c r="R110" s="114"/>
      <c r="AB110" s="542">
        <v>0.8</v>
      </c>
      <c r="AC110" s="157">
        <v>40</v>
      </c>
      <c r="AD110" s="48">
        <f ca="1">IF(N110/(AC110+((1/AB110)/'DPS計算(Test)'!$P$37))&gt;1,1,N110/(AC110+((1/AB110)/'DPS計算(Test)'!$P$37)))</f>
        <v>0.4942156409069875</v>
      </c>
      <c r="AE110" s="48">
        <f t="shared" ca="1" si="13"/>
        <v>0.4942156409069875</v>
      </c>
    </row>
    <row r="111" spans="1:31" s="157" customFormat="1">
      <c r="A111" s="234" t="s">
        <v>1343</v>
      </c>
      <c r="B111" s="114" t="b">
        <v>0</v>
      </c>
      <c r="C111" s="53">
        <f ca="1">IF(B111=TRUE,20%,0%)*AE111</f>
        <v>0</v>
      </c>
      <c r="D111" s="114"/>
      <c r="E111" s="114"/>
      <c r="F111" s="40"/>
      <c r="G111" s="114"/>
      <c r="H111" s="114"/>
      <c r="I111" s="114"/>
      <c r="J111" s="114"/>
      <c r="K111" s="114"/>
      <c r="L111" s="114"/>
      <c r="M111" s="114"/>
      <c r="N111" s="51">
        <v>8</v>
      </c>
      <c r="O111" s="114"/>
      <c r="P111" s="114"/>
      <c r="Q111" s="114"/>
      <c r="R111" s="114"/>
      <c r="AB111" s="542">
        <v>0.8</v>
      </c>
      <c r="AC111" s="157">
        <v>300</v>
      </c>
      <c r="AD111" s="48">
        <f ca="1">IF(N111/(AC111+((1/AB111)/'DPS計算(Test)'!$P$37))&gt;1,1,N111/(AC111+((1/AB111)/'DPS計算(Test)'!$P$37)))</f>
        <v>2.6625116858834529E-2</v>
      </c>
      <c r="AE111" s="48">
        <f t="shared" ca="1" si="13"/>
        <v>2.6625116858834529E-2</v>
      </c>
    </row>
    <row r="112" spans="1:31" s="157" customFormat="1">
      <c r="A112" s="234" t="s">
        <v>1366</v>
      </c>
      <c r="B112" s="114" t="b">
        <f>IF(配裝模擬!$B$21="大橙武",TRUE,FALSE)</f>
        <v>0</v>
      </c>
      <c r="C112" s="53"/>
      <c r="D112" s="114"/>
      <c r="E112" s="114"/>
      <c r="F112" s="40"/>
      <c r="G112" s="114"/>
      <c r="H112" s="114"/>
      <c r="I112" s="114"/>
      <c r="J112" s="114"/>
      <c r="K112" s="114"/>
      <c r="L112" s="114"/>
      <c r="M112" s="114"/>
      <c r="N112" s="51">
        <v>6</v>
      </c>
      <c r="O112" s="114"/>
      <c r="P112" s="114"/>
      <c r="Q112" s="114"/>
      <c r="R112" s="114"/>
      <c r="AB112" s="116">
        <v>2.75E-2</v>
      </c>
      <c r="AC112" s="432">
        <v>30</v>
      </c>
      <c r="AD112" s="48">
        <f ca="1">IF(N112/(AC112+((1/AB112)/'DPS計算(Test)'!$P$37))&gt;1,1,N112/(AC112+((1/AB112)/'DPS計算(Test)'!$P$37)))</f>
        <v>0.1375536648192959</v>
      </c>
      <c r="AE112" s="48">
        <f t="shared" ca="1" si="13"/>
        <v>0.1375536648192959</v>
      </c>
    </row>
    <row r="113" spans="1:30" s="157" customFormat="1">
      <c r="A113" s="234" t="s">
        <v>1344</v>
      </c>
      <c r="B113" s="114" t="b">
        <f>IF(配裝模擬!$B$21="大橙武",TRUE,FALSE)</f>
        <v>0</v>
      </c>
      <c r="C113" s="53"/>
      <c r="D113" s="114"/>
      <c r="E113" s="114"/>
      <c r="F113" s="40"/>
      <c r="G113" s="114"/>
      <c r="H113" s="114"/>
      <c r="I113" s="114"/>
      <c r="J113" s="114"/>
      <c r="K113" s="114"/>
      <c r="L113" s="114"/>
      <c r="M113" s="114"/>
      <c r="N113" s="51"/>
      <c r="O113" s="114"/>
      <c r="P113" s="114"/>
      <c r="Q113" s="114"/>
      <c r="R113" s="114"/>
      <c r="T113" s="48">
        <f>IF(B113=TRUE,5%,0)</f>
        <v>0</v>
      </c>
      <c r="U113" s="48">
        <f>IF(B113=TRUE,5%,0)</f>
        <v>0</v>
      </c>
      <c r="V113" s="48"/>
      <c r="AB113" s="116"/>
      <c r="AC113" s="432"/>
      <c r="AD113" s="48"/>
    </row>
    <row r="114" spans="1:30" s="157" customFormat="1">
      <c r="A114" s="234" t="s">
        <v>1377</v>
      </c>
      <c r="B114" s="114" t="b">
        <f>IF(配裝模擬!$B$21="小橙武2",TRUE,FALSE)</f>
        <v>1</v>
      </c>
      <c r="C114" s="53"/>
      <c r="D114" s="114"/>
      <c r="E114" s="114"/>
      <c r="F114" s="40"/>
      <c r="G114" s="114"/>
      <c r="H114" s="114"/>
      <c r="I114" s="114"/>
      <c r="J114" s="114"/>
      <c r="K114" s="114"/>
      <c r="L114" s="114"/>
      <c r="M114" s="114"/>
      <c r="N114" s="51"/>
      <c r="O114" s="114"/>
      <c r="P114" s="114"/>
      <c r="Q114" s="114"/>
      <c r="R114" s="114"/>
      <c r="V114" s="48">
        <f>IF(B114=TRUE,5%,0)</f>
        <v>0.05</v>
      </c>
      <c r="AB114" s="116"/>
      <c r="AC114" s="432"/>
      <c r="AD114" s="48"/>
    </row>
    <row r="115" spans="1:30" s="157" customFormat="1">
      <c r="A115" s="565" t="s">
        <v>1435</v>
      </c>
      <c r="B115" s="114" t="b">
        <f>IF(B58=1,TRUE)</f>
        <v>0</v>
      </c>
      <c r="C115" s="53"/>
      <c r="D115" s="114"/>
      <c r="E115" s="114"/>
      <c r="F115" s="40"/>
      <c r="G115" s="114"/>
      <c r="H115" s="114"/>
      <c r="I115" s="114"/>
      <c r="J115" s="114"/>
      <c r="K115" s="114"/>
      <c r="L115" s="114"/>
      <c r="M115" s="114"/>
      <c r="N115" s="51"/>
      <c r="O115" s="114"/>
      <c r="P115" s="114"/>
      <c r="Q115" s="114"/>
      <c r="R115" s="114"/>
      <c r="V115" s="48"/>
      <c r="X115" s="542">
        <f>IF(B115=TRUE,30%,0%)</f>
        <v>0</v>
      </c>
      <c r="AB115" s="116"/>
      <c r="AC115" s="432"/>
      <c r="AD115" s="48"/>
    </row>
    <row r="116" spans="1:30" s="157" customFormat="1">
      <c r="A116" s="565" t="s">
        <v>1437</v>
      </c>
      <c r="B116" s="114" t="b">
        <v>1</v>
      </c>
      <c r="C116" s="53"/>
      <c r="D116" s="114"/>
      <c r="E116" s="114"/>
      <c r="F116" s="40"/>
      <c r="G116" s="114"/>
      <c r="H116" s="114"/>
      <c r="I116" s="114"/>
      <c r="J116" s="114"/>
      <c r="K116" s="114"/>
      <c r="L116" s="114"/>
      <c r="M116" s="114"/>
      <c r="N116" s="51"/>
      <c r="O116" s="114"/>
      <c r="P116" s="114"/>
      <c r="Q116" s="114"/>
      <c r="R116" s="114"/>
      <c r="V116" s="48"/>
      <c r="X116" s="542"/>
      <c r="AA116" s="48">
        <f>IF(B116=TRUE,20%,0%)</f>
        <v>0.2</v>
      </c>
      <c r="AB116" s="116"/>
      <c r="AC116" s="432"/>
      <c r="AD116" s="48"/>
    </row>
    <row r="117" spans="1:30" s="199" customFormat="1">
      <c r="N117" s="203"/>
    </row>
    <row r="118" spans="1:30">
      <c r="A118" s="428"/>
    </row>
  </sheetData>
  <protectedRanges>
    <protectedRange sqref="A55:M55 B56:M56 B78:M78 C26:M26" name="区域2"/>
  </protectedRanges>
  <mergeCells count="2">
    <mergeCell ref="A26:A27"/>
    <mergeCell ref="A13:F13"/>
  </mergeCells>
  <phoneticPr fontId="3" type="noConversion"/>
  <pageMargins left="0.7" right="0.7" top="0.75" bottom="0.75" header="0.3" footer="0.3"/>
  <ignoredErrors>
    <ignoredError sqref="C98" formula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67C7-6056-45E5-91CF-736297E48BDE}">
  <sheetPr codeName="工作表11">
    <tabColor theme="1" tint="0.249977111117893"/>
  </sheetPr>
  <dimension ref="A1:Q78"/>
  <sheetViews>
    <sheetView topLeftCell="E22" workbookViewId="0">
      <selection activeCell="P36" sqref="P36"/>
    </sheetView>
  </sheetViews>
  <sheetFormatPr defaultRowHeight="18.75"/>
  <cols>
    <col min="1" max="1" width="9" style="475"/>
    <col min="2" max="2" width="10.875" style="475" customWidth="1"/>
    <col min="3" max="3" width="10.625" style="475" customWidth="1"/>
    <col min="4" max="4" width="13.625" style="475" customWidth="1"/>
    <col min="5" max="5" width="12.125" style="475" customWidth="1"/>
    <col min="6" max="6" width="13.375" style="475" customWidth="1"/>
    <col min="7" max="7" width="13.25" style="475" bestFit="1" customWidth="1"/>
    <col min="8" max="8" width="12.75" style="475" customWidth="1"/>
    <col min="9" max="9" width="16.75" style="475" bestFit="1" customWidth="1"/>
    <col min="10" max="10" width="12.125" style="475" customWidth="1"/>
    <col min="11" max="11" width="12.5" style="475" customWidth="1"/>
    <col min="12" max="12" width="16.75" style="475" bestFit="1" customWidth="1"/>
    <col min="13" max="13" width="10.375" style="475" customWidth="1"/>
    <col min="14" max="14" width="14.625" style="475" bestFit="1" customWidth="1"/>
    <col min="15" max="15" width="14.75" style="475" customWidth="1"/>
    <col min="16" max="16" width="18.125" style="475" bestFit="1" customWidth="1"/>
    <col min="17" max="17" width="13.25" style="475" bestFit="1" customWidth="1"/>
    <col min="18" max="16384" width="9" style="475"/>
  </cols>
  <sheetData>
    <row r="1" spans="1:17" s="498" customFormat="1">
      <c r="B1" s="498" t="s">
        <v>1315</v>
      </c>
      <c r="D1" s="498" t="s">
        <v>1316</v>
      </c>
      <c r="H1" s="498" t="s">
        <v>1307</v>
      </c>
    </row>
    <row r="2" spans="1:17">
      <c r="A2" s="180" t="s">
        <v>1231</v>
      </c>
      <c r="B2" s="18" t="s">
        <v>1165</v>
      </c>
      <c r="C2" s="475" t="s">
        <v>1166</v>
      </c>
      <c r="D2" s="475" t="s">
        <v>1167</v>
      </c>
      <c r="E2" s="475" t="s">
        <v>1168</v>
      </c>
      <c r="F2" s="475" t="s">
        <v>1169</v>
      </c>
      <c r="G2" s="475" t="s">
        <v>1213</v>
      </c>
      <c r="H2" s="475" t="s">
        <v>1214</v>
      </c>
      <c r="I2" s="475" t="s">
        <v>1170</v>
      </c>
    </row>
    <row r="3" spans="1:17" s="181" customFormat="1">
      <c r="A3" s="493" t="s">
        <v>1296</v>
      </c>
      <c r="C3" s="181">
        <f ca="1">傷害計算!$M$61</f>
        <v>18467.715814301959</v>
      </c>
      <c r="D3" s="181">
        <f ca="1">傷害計算!$M$51-傷害計算!$M$56*3-傷害計算!$M$57</f>
        <v>342170.08311379328</v>
      </c>
      <c r="F3" s="181">
        <f ca="1">傷害計算!$M$63</f>
        <v>113799.7942679383</v>
      </c>
      <c r="G3" s="181">
        <f ca="1">傷害計算!$M$64</f>
        <v>116763.33057699921</v>
      </c>
      <c r="H3" s="181">
        <f ca="1">傷害計算!$M$65</f>
        <v>119726.86688606007</v>
      </c>
      <c r="I3" s="181">
        <f ca="1">傷害計算!$M$69</f>
        <v>322487.93904844258</v>
      </c>
      <c r="N3" s="483"/>
    </row>
    <row r="4" spans="1:17">
      <c r="A4" s="491" t="s">
        <v>1236</v>
      </c>
      <c r="B4" s="495" t="s">
        <v>1165</v>
      </c>
      <c r="C4" s="475" t="s">
        <v>1171</v>
      </c>
      <c r="D4" s="475" t="s">
        <v>1172</v>
      </c>
      <c r="E4" s="475" t="s">
        <v>1166</v>
      </c>
      <c r="F4" s="475" t="s">
        <v>1169</v>
      </c>
      <c r="G4" s="475" t="s">
        <v>1168</v>
      </c>
      <c r="H4" s="475" t="s">
        <v>1213</v>
      </c>
      <c r="I4" s="475" t="s">
        <v>1165</v>
      </c>
      <c r="J4" s="475" t="s">
        <v>1171</v>
      </c>
      <c r="K4" s="475" t="s">
        <v>1166</v>
      </c>
      <c r="L4" s="475" t="s">
        <v>1214</v>
      </c>
      <c r="M4" s="475" t="s">
        <v>1170</v>
      </c>
      <c r="N4" s="475" t="s">
        <v>1230</v>
      </c>
      <c r="P4" s="284"/>
    </row>
    <row r="5" spans="1:17" s="181" customFormat="1">
      <c r="A5" s="490" t="s">
        <v>1298</v>
      </c>
      <c r="C5" s="181">
        <f ca="1">傷害計算!$M$48</f>
        <v>93570.902921488741</v>
      </c>
      <c r="D5" s="181">
        <f ca="1">傷害計算!$M$58</f>
        <v>40172.839450923959</v>
      </c>
      <c r="E5" s="181">
        <v>13391</v>
      </c>
      <c r="F5" s="181">
        <f ca="1">傷害計算!$M$63</f>
        <v>113799.7942679383</v>
      </c>
      <c r="H5" s="181">
        <f ca="1">傷害計算!$M$64</f>
        <v>116763.33057699921</v>
      </c>
      <c r="J5" s="181">
        <f ca="1">傷害計算!$M$48</f>
        <v>93570.902921488741</v>
      </c>
      <c r="K5" s="181">
        <f ca="1">傷害計算!$M$62</f>
        <v>22134.591125514311</v>
      </c>
      <c r="L5" s="181">
        <f ca="1">傷害計算!$M$65</f>
        <v>119726.86688606007</v>
      </c>
      <c r="M5" s="181">
        <f ca="1">傷害計算!$M$68</f>
        <v>331435.92002937838</v>
      </c>
      <c r="N5" s="181">
        <f ca="1">傷害計算!$M$73</f>
        <v>37442.444472009185</v>
      </c>
    </row>
    <row r="6" spans="1:17" s="181" customFormat="1">
      <c r="A6" s="492" t="s">
        <v>1235</v>
      </c>
      <c r="B6" s="495" t="s">
        <v>1165</v>
      </c>
      <c r="C6" s="475" t="s">
        <v>1171</v>
      </c>
      <c r="D6" s="475" t="s">
        <v>1166</v>
      </c>
      <c r="E6" s="475" t="s">
        <v>1167</v>
      </c>
      <c r="F6" s="475" t="s">
        <v>1169</v>
      </c>
      <c r="G6" s="475" t="s">
        <v>1168</v>
      </c>
      <c r="H6" s="475" t="s">
        <v>1213</v>
      </c>
      <c r="I6" s="475" t="s">
        <v>1214</v>
      </c>
      <c r="J6" s="475" t="s">
        <v>1170</v>
      </c>
      <c r="K6" s="475"/>
    </row>
    <row r="7" spans="1:17" s="181" customFormat="1">
      <c r="A7" s="284" t="s">
        <v>1297</v>
      </c>
      <c r="C7" s="181">
        <f ca="1">傷害計算!$M$49</f>
        <v>89261.133072281111</v>
      </c>
      <c r="D7" s="181">
        <f ca="1">傷害計算!$M$61</f>
        <v>18467.715814301959</v>
      </c>
      <c r="E7" s="181">
        <f ca="1">傷害計算!$M$51-傷害計算!$M$56*5-傷害計算!$M$57</f>
        <v>318542.63682285079</v>
      </c>
      <c r="F7" s="181">
        <f ca="1">傷害計算!$M$63</f>
        <v>113799.7942679383</v>
      </c>
      <c r="H7" s="181">
        <f ca="1">傷害計算!$M$64</f>
        <v>116763.33057699921</v>
      </c>
      <c r="I7" s="181">
        <f ca="1">傷害計算!$M$65</f>
        <v>119726.86688606007</v>
      </c>
      <c r="J7" s="181">
        <f ca="1">傷害計算!$M$69</f>
        <v>322487.93904844258</v>
      </c>
    </row>
    <row r="8" spans="1:17" s="181" customFormat="1">
      <c r="B8" s="475"/>
      <c r="C8" s="475"/>
      <c r="D8" s="475"/>
      <c r="E8" s="475"/>
      <c r="F8" s="475"/>
      <c r="G8" s="475"/>
      <c r="H8" s="475"/>
      <c r="I8" s="475"/>
      <c r="J8" s="475"/>
      <c r="K8" s="475"/>
    </row>
    <row r="9" spans="1:17" s="509" customFormat="1">
      <c r="A9" s="509" t="s">
        <v>1309</v>
      </c>
      <c r="B9" s="510" t="s">
        <v>1261</v>
      </c>
      <c r="C9" s="511" t="s">
        <v>1229</v>
      </c>
      <c r="D9" s="510">
        <f ca="1">傷害計算!$N$43+傷害計算!$M$43+(L9-4*BUFF!$N$34)/BUFF!$S$35*傷害計算!$O$43</f>
        <v>4803599.199532792</v>
      </c>
      <c r="E9" s="511" t="s">
        <v>1256</v>
      </c>
      <c r="F9" s="510">
        <f ca="1">1+(COUNTIF(B4:M8,"星垂平野*")+COUNTIF(B4:M8,"金戈回瀾")+COUNTIF(B4:M8,"青山共我"))*11</f>
        <v>56</v>
      </c>
      <c r="G9" s="511" t="s">
        <v>1258</v>
      </c>
      <c r="H9" s="510">
        <f ca="1">F9*傷害計算!$M$42</f>
        <v>364738.02302453638</v>
      </c>
      <c r="I9" s="511" t="s">
        <v>1173</v>
      </c>
      <c r="J9" s="512">
        <f ca="1">SUM(B3:M3)+(SUM(B5:N5)+SUM(B7:M7))*11+D9+H9</f>
        <v>29093391.052812289</v>
      </c>
      <c r="K9" s="513" t="s">
        <v>1259</v>
      </c>
      <c r="L9" s="509">
        <f ca="1">((((COUNTIF(B4:M8,"寂洪荒*")+COUNTIF(B4:M8,"星垂平野*"))+COUNTIF(B4:M8,"金戈回瀾")+COUNTIF(B4:M8,"青山共我"))*BUFF!$N$34+COUNTIF(B4:M8,"亂天狼")*BUFF!$Q$31+(COUNTIF(B4:M8,"幽冥窺月")+COUNTIF(B4:M8,"血覆黃泉"))*0.25)*11+(BUFF!$N$34*4+0.5+BUFF!$Q$31+0.25*2))</f>
        <v>253.25</v>
      </c>
      <c r="M9" s="514" t="s">
        <v>1176</v>
      </c>
      <c r="N9" s="515">
        <f ca="1">J9/L9</f>
        <v>114880.12261722524</v>
      </c>
      <c r="Q9" s="513"/>
    </row>
    <row r="10" spans="1:17" s="516" customFormat="1">
      <c r="B10" s="517" t="s">
        <v>1260</v>
      </c>
      <c r="C10" s="518" t="s">
        <v>1229</v>
      </c>
      <c r="D10" s="517">
        <f ca="1">傷害計算!$N$43+傷害計算!$M$43+(L10-4*BUFF!$N$34)/BUFF!$S$35*傷害計算!$O$43</f>
        <v>5781724.5264587095</v>
      </c>
      <c r="E10" s="518" t="s">
        <v>1262</v>
      </c>
      <c r="F10" s="518">
        <f ca="1">1+(COUNTIF(B4:M8,"星垂平野*")+COUNTIF(B4:M8,"金戈回瀾")+COUNTIF(B4:M8,"青山共我"))*13</f>
        <v>66</v>
      </c>
      <c r="G10" s="518" t="s">
        <v>1263</v>
      </c>
      <c r="H10" s="517">
        <f ca="1">F10*傷害計算!$M$42</f>
        <v>429869.81285034644</v>
      </c>
      <c r="I10" s="518" t="s">
        <v>1173</v>
      </c>
      <c r="J10" s="519">
        <f ca="1">SUM(B3:M3)+(SUM(B5:N5)+SUM(B7:M7))*13+D10+H10</f>
        <v>34298764.187845364</v>
      </c>
      <c r="K10" s="520" t="s">
        <v>1264</v>
      </c>
      <c r="L10" s="516">
        <f ca="1">((((COUNTIF(B4:M8,"寂洪荒*")+COUNTIF(B4:M8,"星垂平野*"))+COUNTIF(B4:M8,"金戈回瀾")+COUNTIF(B4:M8,"青山共我"))*BUFF!$N$34+COUNTIF(B4:M8,"亂天狼")*BUFF!$Q$31+(COUNTIF(B4:M8,"幽冥窺月")+COUNTIF(B4:M8,"血覆黃泉")+COUNTIF(B4:M8,"日月吳鉤"))*0.25)*13+(BUFF!$N$34*4+0.5+BUFF!$Q$31+0.25*2))</f>
        <v>304.125</v>
      </c>
      <c r="M10" s="521" t="s">
        <v>1176</v>
      </c>
      <c r="N10" s="522">
        <f ca="1">J10/L10</f>
        <v>112778.50945448538</v>
      </c>
    </row>
    <row r="11" spans="1:17" s="523" customFormat="1">
      <c r="A11" s="497" t="s">
        <v>1295</v>
      </c>
      <c r="B11" s="527">
        <f ca="1">C11*10</f>
        <v>230</v>
      </c>
      <c r="C11" s="497">
        <f ca="1">((COUNTIF(B4:M8,"亂天狼")*11)+1)</f>
        <v>23</v>
      </c>
      <c r="D11" s="497">
        <f ca="1">I3*C11</f>
        <v>7417222.5981141794</v>
      </c>
      <c r="E11" s="497" t="s">
        <v>1299</v>
      </c>
      <c r="F11" s="497">
        <f>G11*20</f>
        <v>160</v>
      </c>
      <c r="G11" s="497">
        <f>INT(300/35)</f>
        <v>8</v>
      </c>
      <c r="H11" s="497">
        <f ca="1">E7*(G11-1)+D3</f>
        <v>2571968.5408737487</v>
      </c>
      <c r="I11" s="497" t="s">
        <v>1301</v>
      </c>
      <c r="J11" s="497">
        <f ca="1">K11</f>
        <v>31</v>
      </c>
      <c r="K11" s="497">
        <f ca="1">((COUNTIF(B4:M8,"幽冥窺月")*10+1))</f>
        <v>31</v>
      </c>
      <c r="L11" s="497">
        <f ca="1">K5*K11</f>
        <v>686172.32489094359</v>
      </c>
      <c r="M11" s="524" t="s">
        <v>1303</v>
      </c>
      <c r="N11" s="525">
        <f ca="1">D11+D12+D13+H11+H12+L13+L11+L12+H13</f>
        <v>27525408.353131376</v>
      </c>
      <c r="O11" s="523" t="s">
        <v>1369</v>
      </c>
      <c r="P11" s="543">
        <f ca="1">SUM(B11:B13)+SUM(J11:J12)+SUM(F11:F13)</f>
        <v>746</v>
      </c>
    </row>
    <row r="12" spans="1:17" s="523" customFormat="1">
      <c r="A12" s="497" t="s">
        <v>1169</v>
      </c>
      <c r="B12" s="527">
        <f ca="1">C12*2</f>
        <v>138</v>
      </c>
      <c r="C12" s="497">
        <f ca="1">((COUNTIF(B4:M8,"寂*")*11)+3)</f>
        <v>69</v>
      </c>
      <c r="D12" s="497">
        <f ca="1">(F3+G3+H3)*C12/3</f>
        <v>8056669.8098129444</v>
      </c>
      <c r="E12" s="497" t="s">
        <v>1300</v>
      </c>
      <c r="F12" s="497">
        <f ca="1">G12*2</f>
        <v>30</v>
      </c>
      <c r="G12" s="497">
        <f ca="1">(COUNTIF(B4:M8,"星垂*")*11+(11-G11)+1)</f>
        <v>15</v>
      </c>
      <c r="H12" s="497">
        <f ca="1">D5*G12</f>
        <v>602592.59176385938</v>
      </c>
      <c r="I12" s="497" t="s">
        <v>1302</v>
      </c>
      <c r="J12" s="497">
        <f ca="1">K12*2</f>
        <v>24</v>
      </c>
      <c r="K12" s="497">
        <f ca="1">((COUNTIF(B4:N8,"隱風雷")*10+2))</f>
        <v>12</v>
      </c>
      <c r="L12" s="497">
        <f ca="1">N5*K12</f>
        <v>449309.33366411022</v>
      </c>
      <c r="M12" s="526" t="s">
        <v>1306</v>
      </c>
      <c r="N12" s="524">
        <f>300</f>
        <v>300</v>
      </c>
      <c r="O12" s="523" t="s">
        <v>1372</v>
      </c>
      <c r="P12" s="544">
        <f ca="1">P11/300</f>
        <v>2.4866666666666668</v>
      </c>
    </row>
    <row r="13" spans="1:17" s="523" customFormat="1">
      <c r="A13" s="497" t="s">
        <v>1171</v>
      </c>
      <c r="B13" s="497">
        <f ca="1">C13</f>
        <v>31</v>
      </c>
      <c r="C13" s="497">
        <f ca="1">(COUNTIF(B4:M8,"金戈*")*11-2)</f>
        <v>31</v>
      </c>
      <c r="D13" s="497">
        <f ca="1">C5*C13</f>
        <v>2900697.9905661512</v>
      </c>
      <c r="E13" s="528" t="s">
        <v>1308</v>
      </c>
      <c r="F13" s="497">
        <f>G13+2</f>
        <v>102</v>
      </c>
      <c r="G13" s="529">
        <f>INT((N12-4*BUFF!$N$34-0.25*2)/BUFF!$Q$35)</f>
        <v>100</v>
      </c>
      <c r="H13" s="497">
        <f ca="1">傷害計算!$N$43+傷害計算!$M$43*2+(傷害計算!$O$43*(G13-3))</f>
        <v>4489063.4983860673</v>
      </c>
      <c r="I13" s="497" t="s">
        <v>1304</v>
      </c>
      <c r="J13" s="497">
        <f ca="1">K13</f>
        <v>54</v>
      </c>
      <c r="K13" s="497">
        <f ca="1">(G12+B13+G11)</f>
        <v>54</v>
      </c>
      <c r="L13" s="497">
        <f ca="1">傷害計算!$M$42*K13</f>
        <v>351711.66505937435</v>
      </c>
      <c r="M13" s="526" t="s">
        <v>1305</v>
      </c>
      <c r="N13" s="524">
        <f ca="1">N11/N12</f>
        <v>91751.361177104583</v>
      </c>
      <c r="O13" s="523" t="s">
        <v>1373</v>
      </c>
      <c r="P13" s="544">
        <f ca="1">(SUM(B11:B13)+SUM(J11:J13)+SUM(F11:F13))/300</f>
        <v>2.6666666666666665</v>
      </c>
    </row>
    <row r="14" spans="1:17" s="498" customFormat="1">
      <c r="B14" s="498" t="s">
        <v>1174</v>
      </c>
      <c r="D14" s="498" t="s">
        <v>1217</v>
      </c>
      <c r="H14" s="498" t="s">
        <v>1244</v>
      </c>
    </row>
    <row r="15" spans="1:17">
      <c r="A15" s="180" t="s">
        <v>1231</v>
      </c>
      <c r="B15" s="18" t="s">
        <v>1165</v>
      </c>
      <c r="C15" s="475" t="s">
        <v>1166</v>
      </c>
      <c r="D15" s="475" t="s">
        <v>1167</v>
      </c>
      <c r="E15" s="475" t="s">
        <v>1169</v>
      </c>
      <c r="F15" s="475" t="s">
        <v>1168</v>
      </c>
      <c r="G15" s="475" t="s">
        <v>1213</v>
      </c>
      <c r="H15" s="475" t="s">
        <v>1214</v>
      </c>
      <c r="I15" s="475" t="s">
        <v>1170</v>
      </c>
    </row>
    <row r="16" spans="1:17" s="484" customFormat="1">
      <c r="A16" s="493" t="s">
        <v>1233</v>
      </c>
      <c r="C16" s="181">
        <f ca="1">傷害計算!$M$61</f>
        <v>18467.715814301959</v>
      </c>
      <c r="D16" s="181">
        <f ca="1">傷害計算!$M$51-傷害計算!$M$56*5-傷害計算!$M$57</f>
        <v>318542.63682285079</v>
      </c>
      <c r="E16" s="181">
        <f ca="1">傷害計算!$M$63</f>
        <v>113799.7942679383</v>
      </c>
      <c r="G16" s="181">
        <f ca="1">傷害計算!$M$64</f>
        <v>116763.33057699921</v>
      </c>
      <c r="H16" s="181">
        <f ca="1">傷害計算!$M$65</f>
        <v>119726.86688606007</v>
      </c>
      <c r="I16" s="181">
        <f ca="1">傷害計算!$M$68</f>
        <v>331435.92002937838</v>
      </c>
    </row>
    <row r="17" spans="1:16">
      <c r="A17" s="491" t="s">
        <v>1236</v>
      </c>
      <c r="B17" s="495" t="s">
        <v>1165</v>
      </c>
      <c r="C17" s="475" t="s">
        <v>1171</v>
      </c>
      <c r="D17" s="475" t="s">
        <v>1172</v>
      </c>
      <c r="E17" s="475" t="s">
        <v>1211</v>
      </c>
      <c r="F17" s="475" t="s">
        <v>1210</v>
      </c>
      <c r="G17" s="475" t="s">
        <v>1166</v>
      </c>
      <c r="H17" s="475" t="s">
        <v>1169</v>
      </c>
      <c r="I17" s="475" t="s">
        <v>1168</v>
      </c>
      <c r="J17" s="475" t="s">
        <v>1213</v>
      </c>
      <c r="K17" s="475" t="s">
        <v>1214</v>
      </c>
      <c r="L17" s="475" t="s">
        <v>1170</v>
      </c>
      <c r="M17" s="475" t="s">
        <v>555</v>
      </c>
    </row>
    <row r="18" spans="1:16" s="484" customFormat="1">
      <c r="A18" s="494" t="s">
        <v>1237</v>
      </c>
      <c r="C18" s="181">
        <f ca="1">傷害計算!$M$46</f>
        <v>93595.363729069315</v>
      </c>
      <c r="D18" s="181">
        <f ca="1">傷害計算!$M$58</f>
        <v>40172.839450923959</v>
      </c>
      <c r="E18" s="484">
        <f ca="1">傷害計算!$M$59</f>
        <v>44416.449252077909</v>
      </c>
      <c r="F18" s="484">
        <f ca="1">傷害計算!$M$60</f>
        <v>48660.059053231846</v>
      </c>
      <c r="G18" s="484">
        <v>13391</v>
      </c>
      <c r="H18" s="484">
        <v>101635</v>
      </c>
      <c r="J18" s="484">
        <v>104590</v>
      </c>
      <c r="K18" s="484">
        <v>107544</v>
      </c>
      <c r="L18" s="181">
        <f ca="1">傷害計算!$M$68</f>
        <v>331435.92002937838</v>
      </c>
      <c r="M18" s="181">
        <f ca="1">傷害計算!$M$73</f>
        <v>37442.444472009185</v>
      </c>
    </row>
    <row r="19" spans="1:16">
      <c r="A19" s="492" t="s">
        <v>1235</v>
      </c>
      <c r="B19" s="495" t="s">
        <v>1165</v>
      </c>
      <c r="C19" s="475" t="s">
        <v>1171</v>
      </c>
      <c r="D19" s="475" t="s">
        <v>1172</v>
      </c>
      <c r="E19" s="475" t="s">
        <v>1211</v>
      </c>
      <c r="F19" s="475" t="s">
        <v>1167</v>
      </c>
      <c r="G19" s="475" t="s">
        <v>1166</v>
      </c>
      <c r="H19" s="475" t="s">
        <v>1169</v>
      </c>
      <c r="I19" s="475" t="s">
        <v>1168</v>
      </c>
      <c r="J19" s="475" t="s">
        <v>1213</v>
      </c>
      <c r="K19" s="475" t="s">
        <v>1214</v>
      </c>
      <c r="L19" s="475" t="s">
        <v>1170</v>
      </c>
    </row>
    <row r="20" spans="1:16" s="484" customFormat="1">
      <c r="A20" s="494" t="s">
        <v>1237</v>
      </c>
      <c r="C20" s="181">
        <f ca="1">傷害計算!$M$45</f>
        <v>98114.402001847295</v>
      </c>
      <c r="D20" s="484">
        <v>29158</v>
      </c>
      <c r="E20" s="484">
        <v>32743</v>
      </c>
      <c r="F20" s="181">
        <f ca="1">傷害計算!$M$51-傷害計算!$M$56*5-傷害計算!$M$57-傷害計算!$M$54*2-傷害計算!$M$55</f>
        <v>269186.56794417615</v>
      </c>
      <c r="G20" s="181">
        <f ca="1">傷害計算!$M$61</f>
        <v>18467.715814301959</v>
      </c>
      <c r="H20" s="181">
        <f ca="1">傷害計算!$M$63</f>
        <v>113799.7942679383</v>
      </c>
      <c r="J20" s="181">
        <f ca="1">傷害計算!$M$64</f>
        <v>116763.33057699921</v>
      </c>
      <c r="K20" s="181">
        <f ca="1">傷害計算!$M$65</f>
        <v>119726.86688606007</v>
      </c>
      <c r="L20" s="181">
        <f ca="1">傷害計算!$M$68</f>
        <v>331435.92002937838</v>
      </c>
    </row>
    <row r="22" spans="1:16" s="530" customFormat="1">
      <c r="B22" s="530" t="s">
        <v>1261</v>
      </c>
      <c r="C22" s="531" t="s">
        <v>1229</v>
      </c>
      <c r="D22" s="532">
        <f ca="1">傷害計算!$N$43+(L22-4*BUFF!$N$34)/BUFF!$S$35*傷害計算!$O$43</f>
        <v>5364468.6746596294</v>
      </c>
      <c r="E22" s="531" t="s">
        <v>1256</v>
      </c>
      <c r="F22" s="532">
        <f ca="1">1+(COUNTIF(B17:M21,"星垂平野*")+COUNTIF(B17:M21,"金戈回瀾")+COUNTIF(B17:M21,"青山共我"))*11</f>
        <v>89</v>
      </c>
      <c r="G22" s="531" t="s">
        <v>1258</v>
      </c>
      <c r="H22" s="532">
        <f ca="1">F22*傷害計算!$M$42</f>
        <v>579672.9294497096</v>
      </c>
      <c r="I22" s="531" t="s">
        <v>1173</v>
      </c>
      <c r="J22" s="533">
        <f ca="1">SUM(B16:M16)+(SUM(B18:M18)+SUM(B20:M20))*11+D22+H22</f>
        <v>29537943.27708818</v>
      </c>
      <c r="K22" s="534" t="s">
        <v>1259</v>
      </c>
      <c r="L22" s="530">
        <f ca="1">((((COUNTIF(B15:M21,"寂洪荒*")+COUNTIF(B15:M21,"星垂平野*"))+COUNTIF(B15:M21,"金戈回瀾")+COUNTIF(B15:M21,"青山共我"))*BUFF!$N$34+COUNTIF(B15:M21,"亂天狼")*BUFF!$Q$31)-4*BUFF!$N$34-BUFF!$Q$31)*11+4*BUFF!$N$34+BUFF!$Q$31</f>
        <v>283.1875</v>
      </c>
      <c r="M22" s="535" t="s">
        <v>1176</v>
      </c>
      <c r="N22" s="536">
        <f ca="1">J22/L22</f>
        <v>104305.25103363737</v>
      </c>
    </row>
    <row r="23" spans="1:16" s="496" customFormat="1">
      <c r="A23" s="497" t="s">
        <v>1295</v>
      </c>
      <c r="B23" s="527">
        <f ca="1">C23*10</f>
        <v>220</v>
      </c>
      <c r="C23" s="497">
        <f ca="1">((COUNTIF(B17:M20,"亂天狼")*10.5)+1)</f>
        <v>22</v>
      </c>
      <c r="D23" s="497">
        <f ca="1">I16*C23</f>
        <v>7291590.2406463241</v>
      </c>
      <c r="E23" s="497" t="s">
        <v>1299</v>
      </c>
      <c r="F23" s="497">
        <f>G23*20</f>
        <v>160</v>
      </c>
      <c r="G23" s="497">
        <f>INT(N24/35)</f>
        <v>8</v>
      </c>
      <c r="H23" s="497">
        <f ca="1">F20*(G23-1)+D16</f>
        <v>2202848.612432084</v>
      </c>
      <c r="I23" s="497" t="s">
        <v>1301</v>
      </c>
      <c r="J23" s="497">
        <f ca="1">K23</f>
        <v>22</v>
      </c>
      <c r="K23" s="497">
        <f ca="1">((COUNTIF(B17:M20,"幽冥窺月")*10.5+1))</f>
        <v>22</v>
      </c>
      <c r="L23" s="497">
        <f ca="1">G18*(K23-1)+C16</f>
        <v>299678.71581430198</v>
      </c>
      <c r="M23" s="504" t="s">
        <v>1303</v>
      </c>
      <c r="N23" s="505">
        <f ca="1">D23+D24+D25+H23+H24+L25+L23+L24+H25</f>
        <v>27164327.029829569</v>
      </c>
      <c r="O23" s="523" t="s">
        <v>1369</v>
      </c>
      <c r="P23" s="543">
        <f ca="1">SUM(B23:B25)+SUM(J23:J24)+SUM(F23:F25)</f>
        <v>790</v>
      </c>
    </row>
    <row r="24" spans="1:16" s="496" customFormat="1">
      <c r="A24" s="497" t="s">
        <v>1169</v>
      </c>
      <c r="B24" s="527">
        <f ca="1">C24*2</f>
        <v>132</v>
      </c>
      <c r="C24" s="497">
        <f ca="1">((COUNTIF(B17:M20,"寂*")*10.5)+3)</f>
        <v>66</v>
      </c>
      <c r="D24" s="497">
        <f ca="1">(E16+G16+H16)*C24/3</f>
        <v>7706379.8180819461</v>
      </c>
      <c r="E24" s="497" t="s">
        <v>1300</v>
      </c>
      <c r="F24" s="497">
        <f ca="1">G24*2</f>
        <v>110</v>
      </c>
      <c r="G24" s="497">
        <f ca="1">(COUNTIF(B17:M20,"星垂*")*11)</f>
        <v>55</v>
      </c>
      <c r="H24" s="497">
        <f ca="1">(((D18+E18+F18)+(D20+E20))*11)</f>
        <v>2146653.8253185707</v>
      </c>
      <c r="I24" s="497" t="s">
        <v>1302</v>
      </c>
      <c r="J24" s="497">
        <f ca="1">K24*2</f>
        <v>23</v>
      </c>
      <c r="K24" s="497">
        <f ca="1">((COUNTIF(B17:N20,"隱風雷")*10.5+1))</f>
        <v>11.5</v>
      </c>
      <c r="L24" s="497">
        <f ca="1">M18*K24</f>
        <v>430588.11142810562</v>
      </c>
      <c r="M24" s="506" t="s">
        <v>1306</v>
      </c>
      <c r="N24" s="504">
        <f>300</f>
        <v>300</v>
      </c>
      <c r="O24" s="523" t="s">
        <v>1372</v>
      </c>
      <c r="P24" s="544">
        <f ca="1">P23/300</f>
        <v>2.6333333333333333</v>
      </c>
    </row>
    <row r="25" spans="1:16">
      <c r="A25" s="497" t="s">
        <v>1171</v>
      </c>
      <c r="B25" s="497">
        <f ca="1">C25</f>
        <v>21</v>
      </c>
      <c r="C25" s="497">
        <f ca="1">(COUNTIF(B17:M20,"金戈*")*10.5)</f>
        <v>21</v>
      </c>
      <c r="D25" s="497">
        <f ca="1">(C18+C20)*C25/2</f>
        <v>2012952.5401746244</v>
      </c>
      <c r="E25" s="528" t="s">
        <v>1308</v>
      </c>
      <c r="F25" s="497">
        <f>G25+2</f>
        <v>102</v>
      </c>
      <c r="G25" s="529">
        <f>INT((N24-4*BUFF!$N$34-0.25*2)/BUFF!$Q$35)</f>
        <v>100</v>
      </c>
      <c r="H25" s="497">
        <f ca="1">傷害計算!$N$43+傷害計算!$M$43+(傷害計算!$O$43*(G25-2))</f>
        <v>4520014.9524142211</v>
      </c>
      <c r="I25" s="497" t="s">
        <v>1304</v>
      </c>
      <c r="J25" s="497">
        <f ca="1">K25</f>
        <v>85</v>
      </c>
      <c r="K25" s="497">
        <f ca="1">(G24+B25+G23)+1</f>
        <v>85</v>
      </c>
      <c r="L25" s="497">
        <f ca="1">傷害計算!$M$42*K25</f>
        <v>553620.21351938555</v>
      </c>
      <c r="M25" s="506" t="s">
        <v>1305</v>
      </c>
      <c r="N25" s="504">
        <f ca="1">N23/N24</f>
        <v>90547.756766098566</v>
      </c>
      <c r="O25" s="523" t="s">
        <v>1373</v>
      </c>
      <c r="P25" s="544">
        <f ca="1">(SUM(B23:B25)+SUM(J23:J25)+SUM(F23:F25))/300</f>
        <v>2.9166666666666665</v>
      </c>
    </row>
    <row r="26" spans="1:16" s="498" customFormat="1">
      <c r="B26" s="498" t="s">
        <v>1175</v>
      </c>
      <c r="D26" s="498" t="s">
        <v>1218</v>
      </c>
      <c r="H26" s="498" t="s">
        <v>1313</v>
      </c>
    </row>
    <row r="27" spans="1:16">
      <c r="A27" s="180" t="s">
        <v>1231</v>
      </c>
      <c r="B27" s="18" t="s">
        <v>1165</v>
      </c>
      <c r="C27" s="475" t="s">
        <v>1166</v>
      </c>
      <c r="D27" s="475" t="s">
        <v>1167</v>
      </c>
      <c r="E27" s="475" t="s">
        <v>1169</v>
      </c>
      <c r="F27" s="475" t="s">
        <v>1168</v>
      </c>
      <c r="G27" s="475" t="s">
        <v>1213</v>
      </c>
      <c r="H27" s="475" t="s">
        <v>1214</v>
      </c>
      <c r="I27" s="475" t="s">
        <v>1170</v>
      </c>
    </row>
    <row r="28" spans="1:16">
      <c r="A28" s="493" t="s">
        <v>1233</v>
      </c>
      <c r="B28" s="484"/>
      <c r="C28" s="181">
        <f ca="1">傷害計算!$M$61</f>
        <v>18467.715814301959</v>
      </c>
      <c r="D28" s="181">
        <f ca="1">傷害計算!$M$51-傷害計算!$M$56*5-傷害計算!$M$57</f>
        <v>318542.63682285079</v>
      </c>
      <c r="E28" s="181">
        <f ca="1">傷害計算!$M$63</f>
        <v>113799.7942679383</v>
      </c>
      <c r="F28" s="484"/>
      <c r="G28" s="181">
        <f ca="1">傷害計算!$M$64</f>
        <v>116763.33057699921</v>
      </c>
      <c r="H28" s="181">
        <f ca="1">傷害計算!$M$65</f>
        <v>119726.86688606007</v>
      </c>
      <c r="I28" s="181">
        <f ca="1">傷害計算!$M$69</f>
        <v>322487.93904844258</v>
      </c>
    </row>
    <row r="29" spans="1:16">
      <c r="A29" s="491" t="s">
        <v>1236</v>
      </c>
      <c r="B29" s="495" t="s">
        <v>1165</v>
      </c>
      <c r="C29" s="475" t="s">
        <v>1171</v>
      </c>
      <c r="D29" s="475" t="s">
        <v>1172</v>
      </c>
      <c r="E29" s="475" t="s">
        <v>1211</v>
      </c>
      <c r="F29" s="475" t="s">
        <v>1166</v>
      </c>
      <c r="G29" s="475" t="s">
        <v>1169</v>
      </c>
      <c r="H29" s="475" t="s">
        <v>1168</v>
      </c>
      <c r="I29" s="475" t="s">
        <v>1213</v>
      </c>
      <c r="J29" s="475" t="s">
        <v>1214</v>
      </c>
      <c r="K29" s="475" t="s">
        <v>1170</v>
      </c>
      <c r="L29" s="475" t="s">
        <v>555</v>
      </c>
      <c r="P29" s="284"/>
    </row>
    <row r="30" spans="1:16">
      <c r="A30" s="494" t="s">
        <v>1234</v>
      </c>
      <c r="C30" s="181">
        <f ca="1">傷害計算!$M$45</f>
        <v>98114.402001847295</v>
      </c>
      <c r="D30" s="181">
        <f ca="1">傷害計算!$M$58</f>
        <v>40172.839450923959</v>
      </c>
      <c r="E30" s="484">
        <f ca="1">傷害計算!$M$59</f>
        <v>44416.449252077909</v>
      </c>
      <c r="F30" s="181">
        <f ca="1">傷害計算!$M$61</f>
        <v>18467.715814301959</v>
      </c>
      <c r="G30" s="181">
        <f ca="1">傷害計算!$M$63</f>
        <v>113799.7942679383</v>
      </c>
      <c r="H30" s="484"/>
      <c r="I30" s="181">
        <f ca="1">傷害計算!$M$64</f>
        <v>116763.33057699921</v>
      </c>
      <c r="J30" s="181">
        <f ca="1">傷害計算!$M$65</f>
        <v>119726.86688606007</v>
      </c>
      <c r="K30" s="181">
        <f ca="1">傷害計算!$M$68</f>
        <v>331435.92002937838</v>
      </c>
      <c r="L30" s="181">
        <f ca="1">傷害計算!$M$73</f>
        <v>37442.444472009185</v>
      </c>
    </row>
    <row r="31" spans="1:16">
      <c r="A31" s="492" t="s">
        <v>1235</v>
      </c>
      <c r="B31" s="495" t="s">
        <v>1165</v>
      </c>
      <c r="C31" s="475" t="s">
        <v>1171</v>
      </c>
      <c r="D31" s="475" t="s">
        <v>1172</v>
      </c>
      <c r="E31" s="475" t="s">
        <v>1167</v>
      </c>
      <c r="F31" s="475" t="s">
        <v>1166</v>
      </c>
      <c r="G31" s="475" t="s">
        <v>1169</v>
      </c>
      <c r="H31" s="475" t="s">
        <v>1168</v>
      </c>
      <c r="I31" s="475" t="s">
        <v>1213</v>
      </c>
      <c r="J31" s="475" t="s">
        <v>1214</v>
      </c>
      <c r="K31" s="475" t="s">
        <v>1170</v>
      </c>
    </row>
    <row r="32" spans="1:16">
      <c r="A32" s="494" t="s">
        <v>1234</v>
      </c>
      <c r="C32" s="181">
        <f ca="1">傷害計算!$M$45</f>
        <v>98114.402001847295</v>
      </c>
      <c r="D32" s="181">
        <f ca="1">傷害計算!$M$58</f>
        <v>40172.839450923959</v>
      </c>
      <c r="E32" s="181">
        <f ca="1">傷害計算!$M$51-傷害計算!$M$56*5-傷害計算!$M$57-傷害計算!$M$54*2-傷害計算!$M$55</f>
        <v>269186.56794417615</v>
      </c>
      <c r="F32" s="181">
        <f ca="1">傷害計算!$M$61</f>
        <v>18467.715814301959</v>
      </c>
      <c r="G32" s="181">
        <f ca="1">傷害計算!$M$63</f>
        <v>113799.7942679383</v>
      </c>
      <c r="H32" s="484"/>
      <c r="I32" s="181">
        <f ca="1">傷害計算!$M$64</f>
        <v>116763.33057699921</v>
      </c>
      <c r="J32" s="181">
        <f ca="1">傷害計算!$M$65</f>
        <v>119726.86688606007</v>
      </c>
      <c r="K32" s="181">
        <f ca="1">傷害計算!$M$69</f>
        <v>322487.93904844258</v>
      </c>
    </row>
    <row r="34" spans="1:16" s="530" customFormat="1">
      <c r="B34" s="530" t="s">
        <v>1261</v>
      </c>
      <c r="C34" s="531" t="s">
        <v>1229</v>
      </c>
      <c r="D34" s="532">
        <f ca="1">傷害計算!$N$43+(L34-4*BUFF!$N$34)/BUFF!$S$35*傷害計算!$O$43</f>
        <v>4756444.8227867624</v>
      </c>
      <c r="E34" s="531" t="s">
        <v>1256</v>
      </c>
      <c r="F34" s="532">
        <f ca="1">1+(COUNTIF(B29:M33,"星垂平野*")+COUNTIF(B29:M33,"金戈回瀾")+COUNTIF(B29:M33,"青山共我"))*11</f>
        <v>67</v>
      </c>
      <c r="G34" s="531" t="s">
        <v>1258</v>
      </c>
      <c r="H34" s="532">
        <f ca="1">F34*傷害計算!$M$42</f>
        <v>436382.99183292745</v>
      </c>
      <c r="I34" s="531" t="s">
        <v>1173</v>
      </c>
      <c r="J34" s="533">
        <f ca="1">SUM(B28:M28)+(SUM(B30:M30)+SUM(B32:M32))*11+D34+H34</f>
        <v>28412267.504200764</v>
      </c>
      <c r="K34" s="534" t="s">
        <v>1259</v>
      </c>
      <c r="L34" s="530">
        <f ca="1">((((COUNTIF(B27:M33,"寂洪荒*")+COUNTIF(B27:M33,"星垂平野*"))+COUNTIF(B27:M33,"金戈回瀾")+COUNTIF(B27:M33,"青山共我"))*BUFF!$N$34+COUNTIF(B27:M33,"亂天狼")*BUFF!$Q$31)-4*BUFF!$N$34-BUFF!$Q$31)*11+4*BUFF!$N$34+BUFF!$Q$31</f>
        <v>251.5625</v>
      </c>
      <c r="M34" s="535" t="s">
        <v>1176</v>
      </c>
      <c r="N34" s="536">
        <f ca="1">J34/L34</f>
        <v>112943.17517197819</v>
      </c>
    </row>
    <row r="35" spans="1:16" s="516" customFormat="1">
      <c r="B35" s="517" t="s">
        <v>1260</v>
      </c>
      <c r="C35" s="518" t="s">
        <v>1229</v>
      </c>
      <c r="D35" s="517">
        <f ca="1">傷害計算!$N$43+(L35-4*BUFF!$N$34)/BUFF!$S$35*傷害計算!$O$43</f>
        <v>5607197.5641424749</v>
      </c>
      <c r="E35" s="518" t="s">
        <v>1256</v>
      </c>
      <c r="F35" s="518">
        <f ca="1">1+(COUNTIF(B29:M33,"星垂平野*")+COUNTIF(B29:M33,"金戈回瀾")+COUNTIF(B29:M33,"青山共我"))*13</f>
        <v>79</v>
      </c>
      <c r="G35" s="518" t="s">
        <v>1258</v>
      </c>
      <c r="H35" s="517">
        <f ca="1">F35*傷害計算!$M$42</f>
        <v>514541.13962389954</v>
      </c>
      <c r="I35" s="518" t="s">
        <v>1173</v>
      </c>
      <c r="J35" s="519">
        <f ca="1">SUM(B28:M28)+(SUM(B30:M30)+SUM(B32:M32))*13+D35+H35</f>
        <v>33379296.830831904</v>
      </c>
      <c r="K35" s="520" t="s">
        <v>1259</v>
      </c>
      <c r="L35" s="516">
        <f ca="1">((((COUNTIF(B27:M34,"寂洪荒*")+COUNTIF(B27:M34,"星垂平野*"))+COUNTIF(B27:M34,"金戈回瀾")+COUNTIF(B27:M34,"青山共我"))*BUFF!$N$34+COUNTIF(B27:M34,"亂天狼")*BUFF!$Q$31)-4*BUFF!$N$34-BUFF!$Q$31)*13+4*BUFF!$N$34+BUFF!$Q$31</f>
        <v>295.8125</v>
      </c>
      <c r="M35" s="521"/>
      <c r="N35" s="522">
        <f ca="1">J35/L35</f>
        <v>112839.37234170937</v>
      </c>
    </row>
    <row r="36" spans="1:16" s="496" customFormat="1">
      <c r="A36" s="497" t="s">
        <v>1170</v>
      </c>
      <c r="B36" s="527">
        <f ca="1">C36*10</f>
        <v>240</v>
      </c>
      <c r="C36" s="497">
        <f ca="1">(COUNTIF(B29:M33,"亂天狼")*12)</f>
        <v>24</v>
      </c>
      <c r="D36" s="497">
        <f ca="1">I28*C36</f>
        <v>7739710.5371626224</v>
      </c>
      <c r="E36" s="497" t="s">
        <v>1167</v>
      </c>
      <c r="F36" s="497">
        <f>G36*20</f>
        <v>160</v>
      </c>
      <c r="G36" s="497">
        <f>INT(N37/35)</f>
        <v>8</v>
      </c>
      <c r="H36" s="497">
        <f ca="1">E32*(G36-1)+D28</f>
        <v>2202848.612432084</v>
      </c>
      <c r="I36" s="497" t="s">
        <v>1166</v>
      </c>
      <c r="J36" s="497">
        <f ca="1">K36</f>
        <v>24</v>
      </c>
      <c r="K36" s="497">
        <f ca="1">(COUNTIF(B29:M33,"幽冥窺月")*12)</f>
        <v>24</v>
      </c>
      <c r="L36" s="497">
        <f ca="1">F30*K36</f>
        <v>443225.17954324698</v>
      </c>
      <c r="M36" s="504" t="s">
        <v>1173</v>
      </c>
      <c r="N36" s="505">
        <f ca="1">D36+D37+D38+H36+H37+L38+L36+L37+H38</f>
        <v>28197295.593007568</v>
      </c>
      <c r="O36" s="523" t="s">
        <v>1369</v>
      </c>
      <c r="P36" s="543">
        <f ca="1">SUM(B36:B38)+SUM(J36:J37)+SUM(F36:F38)</f>
        <v>801</v>
      </c>
    </row>
    <row r="37" spans="1:16" s="496" customFormat="1">
      <c r="A37" s="497" t="s">
        <v>1169</v>
      </c>
      <c r="B37" s="527">
        <f ca="1">C37*2</f>
        <v>150</v>
      </c>
      <c r="C37" s="497">
        <f ca="1">((COUNTIF(B29:M33,"寂*")*12)+3)</f>
        <v>75</v>
      </c>
      <c r="D37" s="497">
        <f ca="1">(G30+I30+J30)*C37/3</f>
        <v>8757249.7932749391</v>
      </c>
      <c r="E37" s="497" t="s">
        <v>1172</v>
      </c>
      <c r="F37" s="497">
        <f ca="1">G37*2</f>
        <v>78</v>
      </c>
      <c r="G37" s="497">
        <f ca="1">(COUNTIF(B29:M33,"星垂*")*13)</f>
        <v>39</v>
      </c>
      <c r="H37" s="497">
        <f ca="1">(((D30+E30)+D32)*11)</f>
        <v>1372383.4096931841</v>
      </c>
      <c r="I37" s="497" t="s">
        <v>1230</v>
      </c>
      <c r="J37" s="497">
        <f ca="1">K37*2</f>
        <v>24</v>
      </c>
      <c r="K37" s="497">
        <f ca="1">((COUNTIF(B29:N33,"隱風雷")*10+2))</f>
        <v>12</v>
      </c>
      <c r="L37" s="497">
        <f ca="1">L30*K37</f>
        <v>449309.33366411022</v>
      </c>
      <c r="M37" s="504" t="s">
        <v>1306</v>
      </c>
      <c r="N37" s="505">
        <f>300</f>
        <v>300</v>
      </c>
      <c r="O37" s="523" t="s">
        <v>1372</v>
      </c>
      <c r="P37" s="544">
        <f ca="1">P36/300</f>
        <v>2.67</v>
      </c>
    </row>
    <row r="38" spans="1:16" s="496" customFormat="1">
      <c r="A38" s="497" t="s">
        <v>1171</v>
      </c>
      <c r="B38" s="527">
        <f ca="1">C38</f>
        <v>23</v>
      </c>
      <c r="C38" s="497">
        <f ca="1">(COUNTIF(B29:M33,"金戈*")*12)-1</f>
        <v>23</v>
      </c>
      <c r="D38" s="497">
        <f ca="1">(C30+C32)*C38/2</f>
        <v>2256631.2460424877</v>
      </c>
      <c r="E38" s="497" t="s">
        <v>1294</v>
      </c>
      <c r="F38" s="497">
        <f>G38+2</f>
        <v>102</v>
      </c>
      <c r="G38" s="497">
        <f>INT((N37-4*BUFF!$N$34-0.25*2)/BUFF!$Q$35)</f>
        <v>100</v>
      </c>
      <c r="H38" s="497">
        <f ca="1">傷害計算!$N$43+傷害計算!$M$43+(傷害計算!$O$43*(G38-2))</f>
        <v>4520014.9524142211</v>
      </c>
      <c r="I38" s="497" t="s">
        <v>1256</v>
      </c>
      <c r="J38" s="497">
        <f ca="1">K38</f>
        <v>70</v>
      </c>
      <c r="K38" s="497">
        <f ca="1">(G37+B38+G36)</f>
        <v>70</v>
      </c>
      <c r="L38" s="497">
        <f ca="1">傷害計算!$M$42*K38</f>
        <v>455922.52878067043</v>
      </c>
      <c r="M38" s="504" t="s">
        <v>1176</v>
      </c>
      <c r="N38" s="505">
        <f ca="1">N36/N37</f>
        <v>93990.985310025222</v>
      </c>
      <c r="O38" s="523" t="s">
        <v>1373</v>
      </c>
      <c r="P38" s="544">
        <f ca="1">(SUM(B36:B38)+SUM(J36:J38)+SUM(F36:F38))/300</f>
        <v>2.9033333333333333</v>
      </c>
    </row>
    <row r="39" spans="1:16" s="498" customFormat="1">
      <c r="B39" s="498" t="s">
        <v>1246</v>
      </c>
      <c r="D39" s="498" t="s">
        <v>1318</v>
      </c>
      <c r="H39" s="498" t="s">
        <v>1245</v>
      </c>
    </row>
    <row r="40" spans="1:16">
      <c r="A40" s="180" t="s">
        <v>1231</v>
      </c>
      <c r="B40" s="18" t="s">
        <v>1165</v>
      </c>
      <c r="C40" s="475" t="s">
        <v>1166</v>
      </c>
      <c r="D40" s="475" t="s">
        <v>1167</v>
      </c>
      <c r="E40" s="475" t="s">
        <v>1168</v>
      </c>
      <c r="F40" s="475" t="s">
        <v>1169</v>
      </c>
      <c r="G40" s="475" t="s">
        <v>1213</v>
      </c>
      <c r="H40" s="475" t="s">
        <v>1214</v>
      </c>
      <c r="I40" s="475" t="s">
        <v>1170</v>
      </c>
      <c r="J40" s="475" t="s">
        <v>1212</v>
      </c>
    </row>
    <row r="41" spans="1:16">
      <c r="A41" s="493" t="s">
        <v>1232</v>
      </c>
      <c r="B41" s="484"/>
      <c r="C41" s="484">
        <f ca="1">傷害計算!$M$61</f>
        <v>18467.715814301959</v>
      </c>
      <c r="D41" s="181">
        <f ca="1">傷害計算!$M$51-傷害計算!$M$56*3-傷害計算!$M$57</f>
        <v>342170.08311379328</v>
      </c>
      <c r="E41" s="181"/>
      <c r="F41" s="181">
        <f ca="1">傷害計算!$Q$63</f>
        <v>119726.86688606007</v>
      </c>
      <c r="G41" s="181">
        <f ca="1">傷害計算!$Q$64</f>
        <v>122690.40319512099</v>
      </c>
      <c r="H41" s="484">
        <f ca="1">傷害計算!$Q$65</f>
        <v>125653.93950418186</v>
      </c>
      <c r="I41" s="181">
        <f ca="1">傷害計算!$Q$70</f>
        <v>355758.72377367801</v>
      </c>
      <c r="J41" s="181">
        <f ca="1">傷害計算!$Q$66</f>
        <v>128617.47581324277</v>
      </c>
      <c r="K41" s="181"/>
    </row>
    <row r="42" spans="1:16">
      <c r="A42" s="491" t="s">
        <v>1236</v>
      </c>
      <c r="B42" s="495" t="s">
        <v>1165</v>
      </c>
      <c r="C42" s="475" t="s">
        <v>1171</v>
      </c>
      <c r="D42" s="475" t="s">
        <v>1172</v>
      </c>
      <c r="E42" s="475" t="s">
        <v>1211</v>
      </c>
      <c r="F42" s="475" t="s">
        <v>1210</v>
      </c>
      <c r="G42" s="475" t="s">
        <v>1171</v>
      </c>
      <c r="H42" s="475" t="s">
        <v>1166</v>
      </c>
      <c r="I42" s="475" t="s">
        <v>1215</v>
      </c>
      <c r="J42" s="475" t="s">
        <v>1168</v>
      </c>
      <c r="K42" s="475" t="s">
        <v>555</v>
      </c>
    </row>
    <row r="43" spans="1:16">
      <c r="A43" s="494" t="s">
        <v>1238</v>
      </c>
      <c r="B43" s="484"/>
      <c r="C43" s="484">
        <f ca="1">傷害計算!$M$50</f>
        <v>67168.299771584134</v>
      </c>
      <c r="D43" s="181">
        <f ca="1">傷害計算!$M$58</f>
        <v>40172.839450923959</v>
      </c>
      <c r="E43" s="181">
        <f ca="1">傷害計算!$M$59</f>
        <v>44416.449252077909</v>
      </c>
      <c r="F43" s="181">
        <f ca="1">傷害計算!$M$60</f>
        <v>48660.059053231846</v>
      </c>
      <c r="G43" s="484">
        <f ca="1">傷害計算!$M$50</f>
        <v>67168.299771584134</v>
      </c>
      <c r="H43" s="484">
        <f ca="1">傷害計算!$M$61</f>
        <v>18467.715814301959</v>
      </c>
      <c r="I43" s="181">
        <f ca="1">傷害計算!$Q$63</f>
        <v>119726.86688606007</v>
      </c>
      <c r="J43" s="181"/>
      <c r="K43" s="181">
        <f ca="1">傷害計算!$Q$73</f>
        <v>39557.836815060553</v>
      </c>
      <c r="P43" s="284"/>
    </row>
    <row r="44" spans="1:16">
      <c r="A44" s="492" t="s">
        <v>1235</v>
      </c>
      <c r="B44" s="475" t="s">
        <v>1213</v>
      </c>
      <c r="C44" s="475" t="s">
        <v>1214</v>
      </c>
      <c r="D44" s="475" t="s">
        <v>1170</v>
      </c>
      <c r="E44" s="475" t="s">
        <v>1212</v>
      </c>
      <c r="F44" s="475" t="s">
        <v>1206</v>
      </c>
      <c r="G44" s="495" t="s">
        <v>1165</v>
      </c>
      <c r="H44" s="475" t="s">
        <v>1171</v>
      </c>
      <c r="I44" s="475" t="s">
        <v>1172</v>
      </c>
      <c r="J44" s="475" t="s">
        <v>1166</v>
      </c>
    </row>
    <row r="45" spans="1:16">
      <c r="A45" s="494" t="s">
        <v>1237</v>
      </c>
      <c r="B45" s="484">
        <f ca="1">傷害計算!$Q$64</f>
        <v>122690.40319512099</v>
      </c>
      <c r="C45" s="484">
        <f ca="1">傷害計算!$Q$65</f>
        <v>125653.93950418186</v>
      </c>
      <c r="D45" s="181">
        <f ca="1">傷害計算!$Q$70</f>
        <v>355758.72377367801</v>
      </c>
      <c r="E45" s="181">
        <f ca="1">傷害計算!$Q$66</f>
        <v>128617.47581324277</v>
      </c>
      <c r="F45" s="181">
        <f ca="1">傷害計算!$Q$72</f>
        <v>322264.91351856815</v>
      </c>
      <c r="G45" s="181"/>
      <c r="H45" s="484">
        <f ca="1">傷害計算!$M$50</f>
        <v>67168.299771584134</v>
      </c>
      <c r="I45" s="181">
        <f ca="1">傷害計算!$M$58</f>
        <v>40172.839450923959</v>
      </c>
      <c r="J45" s="181">
        <f ca="1">傷害計算!$M$61</f>
        <v>18467.715814301959</v>
      </c>
    </row>
    <row r="46" spans="1:16">
      <c r="B46" s="475" t="s">
        <v>1167</v>
      </c>
      <c r="C46" s="475" t="s">
        <v>1169</v>
      </c>
      <c r="D46" s="475" t="s">
        <v>1168</v>
      </c>
      <c r="E46" s="475" t="s">
        <v>1213</v>
      </c>
      <c r="F46" s="475" t="s">
        <v>1214</v>
      </c>
      <c r="G46" s="475" t="s">
        <v>1170</v>
      </c>
      <c r="H46" s="475" t="s">
        <v>1212</v>
      </c>
    </row>
    <row r="47" spans="1:16">
      <c r="B47" s="484">
        <f ca="1">傷害計算!$M$51-傷害計算!$M$56*5-傷害計算!$M$57</f>
        <v>318542.63682285079</v>
      </c>
      <c r="C47" s="484">
        <f ca="1">傷害計算!$Q$63</f>
        <v>119726.86688606007</v>
      </c>
      <c r="D47" s="181"/>
      <c r="E47" s="181">
        <f ca="1">傷害計算!$Q$64</f>
        <v>122690.40319512099</v>
      </c>
      <c r="F47" s="181">
        <f ca="1">傷害計算!$Q$65</f>
        <v>125653.93950418186</v>
      </c>
      <c r="G47" s="181">
        <f ca="1">傷害計算!$Q$70</f>
        <v>355758.72377367801</v>
      </c>
      <c r="H47" s="484">
        <f ca="1">傷害計算!$Q$66</f>
        <v>128617.47581324277</v>
      </c>
      <c r="I47" s="181"/>
      <c r="J47" s="181"/>
    </row>
    <row r="48" spans="1:16" s="530" customFormat="1">
      <c r="B48" s="530" t="s">
        <v>1261</v>
      </c>
      <c r="C48" s="531" t="s">
        <v>1229</v>
      </c>
      <c r="D48" s="532">
        <f ca="1">傷害計算!$N$43+(L48-4*BUFF!$N$34)/BUFF!$S$35*傷害計算!$O$43</f>
        <v>6000129.9743449008</v>
      </c>
      <c r="E48" s="531" t="s">
        <v>1256</v>
      </c>
      <c r="F48" s="532">
        <f ca="1">1+(COUNTIF(B42:M47,"星垂平野*")+COUNTIF(B42:M47,"金戈回瀾")+COUNTIF(B42:M47,"青山共我"))*11</f>
        <v>89</v>
      </c>
      <c r="G48" s="531" t="s">
        <v>1258</v>
      </c>
      <c r="H48" s="532">
        <f ca="1">F48*傷害計算!$M$42</f>
        <v>579672.9294497096</v>
      </c>
      <c r="I48" s="531" t="s">
        <v>1173</v>
      </c>
      <c r="J48" s="533">
        <f ca="1">SUM(B41:M41)+(SUM(B43:M43)+SUM(B45:M45)+SUM(B47:L47))*11+D48</f>
        <v>37981565.14261245</v>
      </c>
      <c r="K48" s="534" t="s">
        <v>1216</v>
      </c>
      <c r="L48" s="530">
        <f ca="1">((((COUNTIF(B40:M47,"寂洪荒*")+COUNTIF(B40:M47,"星垂平野*"))+COUNTIF(B40:M47,"金戈回瀾")+COUNTIF(B40:M47,"青山共我"))*BUFF!$N$34+COUNTIF(B40:M47,"亂天狼")*BUFF!$Q$31)-5*BUFF!$N$34-BUFF!$Q$31)*11+5*BUFF!$N$34+BUFF!$Q$31</f>
        <v>316.25</v>
      </c>
      <c r="M48" s="535" t="s">
        <v>1176</v>
      </c>
      <c r="N48" s="536">
        <f ca="1">J48/L48</f>
        <v>120099.8107276283</v>
      </c>
    </row>
    <row r="49" spans="1:16" s="516" customFormat="1">
      <c r="B49" s="517" t="s">
        <v>1260</v>
      </c>
      <c r="C49" s="518" t="s">
        <v>1229</v>
      </c>
      <c r="D49" s="517">
        <f ca="1">傷害計算!$N$43+(L49-4*BUFF!$N$34)/BUFF!$S$35*傷害計算!$O$43</f>
        <v>5464203.8124174327</v>
      </c>
      <c r="E49" s="518" t="s">
        <v>1256</v>
      </c>
      <c r="F49" s="518">
        <f ca="1">1+(COUNTIF(B42:M47,"星垂平野*")+COUNTIF(B42:M47,"金戈回瀾")+COUNTIF(B42:M47,"青山共我"))*10</f>
        <v>81</v>
      </c>
      <c r="G49" s="518" t="s">
        <v>1258</v>
      </c>
      <c r="H49" s="517">
        <f ca="1">F49*傷害計算!$M$42</f>
        <v>527567.4975890615</v>
      </c>
      <c r="I49" s="518" t="s">
        <v>1173</v>
      </c>
      <c r="J49" s="519">
        <f ca="1">SUM(B41:M41)+(SUM(B43:M43)+SUM(B45:M45)+SUM(B47:L47))*10+D49+H49</f>
        <v>35176083.754622482</v>
      </c>
      <c r="K49" s="520" t="s">
        <v>1216</v>
      </c>
      <c r="L49" s="516">
        <f ca="1">((((COUNTIF(B39:M47,"寂洪荒*")+COUNTIF(B39:M47,"星垂平野*"))+COUNTIF(B39:M47,"金戈回瀾")+COUNTIF(B39:M47,"青山共我"))*BUFF!$N$34+COUNTIF(B39:M47,"亂天狼")*BUFF!$Q$31)-5*BUFF!$N$34-BUFF!$Q$31)*10+5*BUFF!$N$34+BUFF!$Q$31</f>
        <v>288.375</v>
      </c>
      <c r="M49" s="521" t="s">
        <v>1176</v>
      </c>
      <c r="N49" s="522">
        <f ca="1">J49/L49</f>
        <v>121980.35112136102</v>
      </c>
    </row>
    <row r="50" spans="1:16" s="496" customFormat="1">
      <c r="A50" s="497" t="s">
        <v>1170</v>
      </c>
      <c r="B50" s="527">
        <f ca="1">C50*10</f>
        <v>170</v>
      </c>
      <c r="C50" s="497">
        <f ca="1">((COUNTIF(B42:M47,"亂天狼")*8)+1)</f>
        <v>17</v>
      </c>
      <c r="D50" s="497">
        <f ca="1">I41*C50</f>
        <v>6047898.304152526</v>
      </c>
      <c r="E50" s="497" t="s">
        <v>1167</v>
      </c>
      <c r="F50" s="497">
        <f>G50*20</f>
        <v>160</v>
      </c>
      <c r="G50" s="497">
        <f>INT(N51/35)</f>
        <v>8</v>
      </c>
      <c r="H50" s="497">
        <f ca="1">B47*(G50-1)+D41</f>
        <v>2571968.5408737487</v>
      </c>
      <c r="I50" s="497" t="s">
        <v>1166</v>
      </c>
      <c r="J50" s="497">
        <f ca="1">K50</f>
        <v>17</v>
      </c>
      <c r="K50" s="497">
        <f ca="1">((COUNTIF(B42:M47,"幽冥窺月")*8+1))</f>
        <v>17</v>
      </c>
      <c r="L50" s="497">
        <f ca="1">H43*K50</f>
        <v>313951.16884313332</v>
      </c>
      <c r="M50" s="504" t="s">
        <v>1173</v>
      </c>
      <c r="N50" s="505">
        <f ca="1">D50+D51+D52+H50+H51+L52+L50+L51+H52</f>
        <v>25735431.849201322</v>
      </c>
      <c r="O50" s="523" t="s">
        <v>1369</v>
      </c>
      <c r="P50" s="543">
        <f ca="1">SUM(B50:B52)+SUM(J50:J51)+SUM(F50:F52)</f>
        <v>701</v>
      </c>
    </row>
    <row r="51" spans="1:16" s="496" customFormat="1">
      <c r="A51" s="497" t="s">
        <v>1169</v>
      </c>
      <c r="B51" s="527">
        <f ca="1">C51*2</f>
        <v>136</v>
      </c>
      <c r="C51" s="497">
        <f ca="1">((COUNTIF(B42:M47,"寂*")*8)+4)</f>
        <v>68</v>
      </c>
      <c r="D51" s="497">
        <f ca="1">(I43+B45+C45+E45)*C51/4</f>
        <v>8443707.651776297</v>
      </c>
      <c r="E51" s="497" t="s">
        <v>1172</v>
      </c>
      <c r="F51" s="497">
        <f ca="1">G51*2</f>
        <v>72</v>
      </c>
      <c r="G51" s="497">
        <f ca="1">(COUNTIF(B42:M47,"星垂*")*9)</f>
        <v>36</v>
      </c>
      <c r="H51" s="497">
        <f ca="1">(((D43+E43+F43)+I45)*8)</f>
        <v>1387377.4976572613</v>
      </c>
      <c r="I51" s="497" t="s">
        <v>1230</v>
      </c>
      <c r="J51" s="497">
        <f ca="1">K51*2</f>
        <v>20</v>
      </c>
      <c r="K51" s="497">
        <f ca="1">((COUNTIF(B42:N47,"隱風雷")*8+2))</f>
        <v>10</v>
      </c>
      <c r="L51" s="497">
        <f ca="1">K43*K51</f>
        <v>395578.36815060553</v>
      </c>
      <c r="M51" s="504" t="s">
        <v>1306</v>
      </c>
      <c r="N51" s="505">
        <f>300</f>
        <v>300</v>
      </c>
      <c r="O51" s="523" t="s">
        <v>1372</v>
      </c>
      <c r="P51" s="544">
        <f ca="1">P50/300</f>
        <v>2.3366666666666664</v>
      </c>
    </row>
    <row r="52" spans="1:16" s="496" customFormat="1">
      <c r="A52" s="497" t="s">
        <v>1171</v>
      </c>
      <c r="B52" s="527">
        <f ca="1">C52</f>
        <v>24</v>
      </c>
      <c r="C52" s="497">
        <f ca="1">(COUNTIF(B42:M47,"金戈*")*8)</f>
        <v>24</v>
      </c>
      <c r="D52" s="497">
        <f ca="1">H45*C52</f>
        <v>1612039.1945180192</v>
      </c>
      <c r="E52" s="497" t="s">
        <v>1294</v>
      </c>
      <c r="F52" s="497">
        <f>G52+2</f>
        <v>102</v>
      </c>
      <c r="G52" s="497">
        <f>INT((N51-4*BUFF!$N$34-0.25*2)/BUFF!$Q$35)</f>
        <v>100</v>
      </c>
      <c r="H52" s="497">
        <f ca="1">傷害計算!$N$43+傷害計算!$M$43+(傷害計算!$O$43*(G52-2))</f>
        <v>4520014.9524142211</v>
      </c>
      <c r="I52" s="497" t="s">
        <v>1256</v>
      </c>
      <c r="J52" s="497">
        <f ca="1">K52</f>
        <v>68</v>
      </c>
      <c r="K52" s="497">
        <f ca="1">(G51+B52+G50)</f>
        <v>68</v>
      </c>
      <c r="L52" s="497">
        <f ca="1">傷害計算!$M$42*K52</f>
        <v>442896.17081550846</v>
      </c>
      <c r="M52" s="504" t="s">
        <v>1176</v>
      </c>
      <c r="N52" s="505">
        <f ca="1">N50/N51</f>
        <v>85784.772830671078</v>
      </c>
      <c r="O52" s="523" t="s">
        <v>1373</v>
      </c>
      <c r="P52" s="544">
        <f ca="1">(SUM(B50:B52)+SUM(J50:J52)+SUM(F50:F52))/300</f>
        <v>2.5633333333333335</v>
      </c>
    </row>
    <row r="53" spans="1:16" s="498" customFormat="1">
      <c r="B53" s="498" t="s">
        <v>1247</v>
      </c>
      <c r="D53" s="498" t="s">
        <v>1275</v>
      </c>
      <c r="H53" s="498" t="s">
        <v>1244</v>
      </c>
    </row>
    <row r="54" spans="1:16">
      <c r="A54" s="180" t="s">
        <v>1231</v>
      </c>
      <c r="B54" s="18" t="s">
        <v>1165</v>
      </c>
      <c r="C54" s="475" t="s">
        <v>1166</v>
      </c>
      <c r="D54" s="475" t="s">
        <v>1167</v>
      </c>
      <c r="E54" s="475" t="s">
        <v>1168</v>
      </c>
      <c r="F54" s="475" t="s">
        <v>1169</v>
      </c>
      <c r="G54" s="475" t="s">
        <v>1213</v>
      </c>
      <c r="H54" s="475" t="s">
        <v>1170</v>
      </c>
      <c r="I54" s="475" t="s">
        <v>1214</v>
      </c>
      <c r="J54" s="475" t="s">
        <v>1230</v>
      </c>
    </row>
    <row r="55" spans="1:16">
      <c r="A55" s="493" t="s">
        <v>1232</v>
      </c>
      <c r="B55" s="484"/>
      <c r="C55" s="484">
        <f ca="1">傷害計算!$M$61</f>
        <v>18467.715814301959</v>
      </c>
      <c r="D55" s="181">
        <f ca="1">傷害計算!$M$51-傷害計算!$M$56*3-傷害計算!$M$57</f>
        <v>342170.08311379328</v>
      </c>
      <c r="E55" s="181"/>
      <c r="F55" s="181">
        <f ca="1">傷害計算!$Q$63</f>
        <v>119726.86688606007</v>
      </c>
      <c r="G55" s="181">
        <f ca="1">傷害計算!$Q$64</f>
        <v>122690.40319512099</v>
      </c>
      <c r="H55" s="181">
        <f ca="1">傷害計算!$Q$68</f>
        <v>348698.2075309084</v>
      </c>
      <c r="I55" s="181">
        <f ca="1">傷害計算!$Q$66</f>
        <v>128617.47581324277</v>
      </c>
      <c r="J55" s="181">
        <f ca="1">傷害計算!$Q$73</f>
        <v>39557.836815060553</v>
      </c>
    </row>
    <row r="56" spans="1:16">
      <c r="A56" s="491" t="s">
        <v>1236</v>
      </c>
      <c r="B56" s="495" t="s">
        <v>1165</v>
      </c>
      <c r="C56" s="475" t="s">
        <v>1171</v>
      </c>
      <c r="D56" s="475" t="s">
        <v>1172</v>
      </c>
      <c r="E56" s="475" t="s">
        <v>1211</v>
      </c>
      <c r="F56" s="475" t="s">
        <v>1210</v>
      </c>
      <c r="G56" s="475" t="s">
        <v>1166</v>
      </c>
      <c r="H56" s="475" t="s">
        <v>1215</v>
      </c>
      <c r="I56" s="475" t="s">
        <v>1168</v>
      </c>
      <c r="J56" s="475" t="s">
        <v>1213</v>
      </c>
      <c r="K56" s="475" t="s">
        <v>1170</v>
      </c>
      <c r="L56" s="475" t="s">
        <v>1214</v>
      </c>
      <c r="M56" s="475" t="s">
        <v>1206</v>
      </c>
    </row>
    <row r="57" spans="1:16">
      <c r="A57" s="494" t="s">
        <v>1238</v>
      </c>
      <c r="B57" s="484"/>
      <c r="C57" s="484">
        <f ca="1">傷害計算!$M$48</f>
        <v>93570.902921488741</v>
      </c>
      <c r="D57" s="181">
        <f ca="1">傷害計算!$M$58</f>
        <v>40172.839450923959</v>
      </c>
      <c r="E57" s="181">
        <f ca="1">傷害計算!$M$59</f>
        <v>44416.449252077909</v>
      </c>
      <c r="F57" s="181">
        <f ca="1">傷害計算!$M$60</f>
        <v>48660.059053231846</v>
      </c>
      <c r="G57" s="484">
        <f ca="1">傷害計算!$M$61</f>
        <v>18467.715814301959</v>
      </c>
      <c r="H57" s="181">
        <f ca="1">傷害計算!$Q$63</f>
        <v>119726.86688606007</v>
      </c>
      <c r="I57" s="181"/>
      <c r="J57" s="484">
        <f ca="1">傷害計算!$Q$64</f>
        <v>122690.40319512099</v>
      </c>
      <c r="K57" s="181">
        <f ca="1">傷害計算!$Q$67</f>
        <v>340067.06378014345</v>
      </c>
      <c r="L57" s="484">
        <f ca="1">傷害計算!$Q$65</f>
        <v>125653.93950418186</v>
      </c>
      <c r="M57" s="181">
        <f ca="1">傷害計算!$Q$72</f>
        <v>322264.91351856815</v>
      </c>
      <c r="P57" s="284"/>
    </row>
    <row r="58" spans="1:16">
      <c r="A58" s="491" t="s">
        <v>1235</v>
      </c>
      <c r="B58" s="495" t="s">
        <v>1165</v>
      </c>
      <c r="C58" s="475" t="s">
        <v>1171</v>
      </c>
      <c r="D58" s="475" t="s">
        <v>1172</v>
      </c>
      <c r="E58" s="475" t="s">
        <v>1166</v>
      </c>
      <c r="F58" s="475" t="s">
        <v>1167</v>
      </c>
      <c r="G58" s="475" t="s">
        <v>1169</v>
      </c>
      <c r="H58" s="475" t="s">
        <v>1168</v>
      </c>
      <c r="I58" s="475" t="s">
        <v>1213</v>
      </c>
      <c r="J58" s="475" t="s">
        <v>1170</v>
      </c>
      <c r="K58" s="475" t="s">
        <v>1214</v>
      </c>
      <c r="L58" s="481" t="s">
        <v>1230</v>
      </c>
    </row>
    <row r="59" spans="1:16">
      <c r="A59" s="475" t="s">
        <v>1234</v>
      </c>
      <c r="B59" s="181"/>
      <c r="C59" s="484">
        <f ca="1">傷害計算!$M$47</f>
        <v>81349.119051024943</v>
      </c>
      <c r="D59" s="181">
        <f ca="1">傷害計算!$M$58</f>
        <v>40172.839450923959</v>
      </c>
      <c r="E59" s="181">
        <f ca="1">傷害計算!$M$61</f>
        <v>18467.715814301959</v>
      </c>
      <c r="F59" s="484">
        <f ca="1">傷害計算!$M$51-傷害計算!$M$56*5-傷害計算!$M$57</f>
        <v>318542.63682285079</v>
      </c>
      <c r="G59" s="484">
        <f ca="1">傷害計算!$Q$63</f>
        <v>119726.86688606007</v>
      </c>
      <c r="I59" s="181">
        <f ca="1">傷害計算!$Q$64</f>
        <v>122690.40319512099</v>
      </c>
      <c r="J59" s="181">
        <f ca="1">傷害計算!$Q$67</f>
        <v>340067.06378014345</v>
      </c>
      <c r="K59" s="181">
        <f ca="1">傷害計算!$Q$65</f>
        <v>125653.93950418186</v>
      </c>
      <c r="L59" s="181">
        <f ca="1">傷害計算!$Q$73</f>
        <v>39557.836815060553</v>
      </c>
    </row>
    <row r="61" spans="1:16" s="530" customFormat="1">
      <c r="B61" s="530" t="s">
        <v>1261</v>
      </c>
      <c r="C61" s="531" t="s">
        <v>1229</v>
      </c>
      <c r="D61" s="532">
        <f ca="1">傷害計算!$N$43+(L61-4*BUFF!$N$34)/BUFF!$S$35*傷害計算!$O$43</f>
        <v>4784082.270599165</v>
      </c>
      <c r="E61" s="531" t="s">
        <v>1256</v>
      </c>
      <c r="F61" s="532">
        <f ca="1">1+(COUNTIF(B54:M60,"星垂平野*")+COUNTIF(B54:M60,"金戈回瀾")+COUNTIF(B54:M60,"青山共我"))*11</f>
        <v>89</v>
      </c>
      <c r="G61" s="531" t="s">
        <v>1258</v>
      </c>
      <c r="H61" s="532">
        <f ca="1">F61*傷害計算!$M$42</f>
        <v>579672.9294497096</v>
      </c>
      <c r="I61" s="531" t="s">
        <v>1173</v>
      </c>
      <c r="J61" s="533">
        <f ca="1">SUM(B55:M55)+(SUM(B57:M57)+SUM(B59:M59))*11+D61+H61</f>
        <v>33784799.110870808</v>
      </c>
      <c r="K61" s="534" t="s">
        <v>1216</v>
      </c>
      <c r="L61" s="530">
        <f ca="1">((((COUNTIF(B54:M60,"寂洪荒*")+COUNTIF(B54:M60,"星垂平野*"))+COUNTIF(B54:M60,"金戈回瀾")+COUNTIF(B54:M60,"青山共我"))*BUFF!$N$34+COUNTIF(B54:M60,"亂天狼")*BUFF!$Q$31)-5*BUFF!$N$34-BUFF!$Q$31)*11+5*BUFF!$N$34+BUFF!$Q$31</f>
        <v>253</v>
      </c>
      <c r="M61" s="535" t="s">
        <v>1176</v>
      </c>
      <c r="N61" s="536">
        <f ca="1">J61/L61</f>
        <v>133536.75537893601</v>
      </c>
    </row>
    <row r="62" spans="1:16" s="516" customFormat="1">
      <c r="B62" s="517" t="s">
        <v>1260</v>
      </c>
      <c r="C62" s="518" t="s">
        <v>1229</v>
      </c>
      <c r="D62" s="517">
        <f ca="1">傷害計算!$N$43+(L62-4*BUFF!$N$34)/BUFF!$S$35*傷害計算!$O$43</f>
        <v>5209458.6412770208</v>
      </c>
      <c r="E62" s="518" t="s">
        <v>1256</v>
      </c>
      <c r="F62" s="518">
        <f ca="1">1+(COUNTIF(B54:M60,"星垂平野*")+COUNTIF(B54:M60,"金戈回瀾")+COUNTIF(B54:M60,"青山共我"))*12</f>
        <v>97</v>
      </c>
      <c r="G62" s="518" t="s">
        <v>1258</v>
      </c>
      <c r="H62" s="517">
        <f ca="1">F62*傷害計算!$M$42</f>
        <v>631778.36131035758</v>
      </c>
      <c r="I62" s="518" t="s">
        <v>1173</v>
      </c>
      <c r="J62" s="519">
        <f ca="1">SUM(B55:M55)+(SUM(B57:M57)+SUM(B59:M59))*12+D62+H62</f>
        <v>36744200.488105081</v>
      </c>
      <c r="K62" s="520" t="s">
        <v>1216</v>
      </c>
      <c r="L62" s="516">
        <f ca="1">((((COUNTIF(B53:M60,"寂洪荒*")+COUNTIF(B53:M60,"星垂平野*"))+COUNTIF(B53:M60,"金戈回瀾")+COUNTIF(B53:M60,"青山共我"))*BUFF!$N$34+COUNTIF(B53:M60,"亂天狼")*BUFF!$Q$31)-5*BUFF!$N$34-BUFF!$Q$31)*12+5*BUFF!$N$34+BUFF!$Q$31</f>
        <v>275.125</v>
      </c>
      <c r="M62" s="521" t="s">
        <v>1176</v>
      </c>
      <c r="N62" s="522">
        <f ca="1">J62/L62</f>
        <v>133554.56788043646</v>
      </c>
    </row>
    <row r="63" spans="1:16" s="496" customFormat="1">
      <c r="A63" s="497" t="s">
        <v>1170</v>
      </c>
      <c r="B63" s="527">
        <f ca="1">C63*10</f>
        <v>180</v>
      </c>
      <c r="C63" s="497">
        <f ca="1">(COUNTIF(B56:M60,"亂天狼")*9)</f>
        <v>18</v>
      </c>
      <c r="D63" s="497">
        <f ca="1">H55*C63</f>
        <v>6276567.735556351</v>
      </c>
      <c r="E63" s="497" t="s">
        <v>1167</v>
      </c>
      <c r="F63" s="497">
        <f>G63*20</f>
        <v>160</v>
      </c>
      <c r="G63" s="497">
        <f>INT(N64/35)</f>
        <v>8</v>
      </c>
      <c r="H63" s="497">
        <f ca="1">F59*(G63-1)+D55</f>
        <v>2571968.5408737487</v>
      </c>
      <c r="I63" s="497" t="s">
        <v>1166</v>
      </c>
      <c r="J63" s="497">
        <f ca="1">K63</f>
        <v>19</v>
      </c>
      <c r="K63" s="497">
        <f ca="1">((COUNTIF(B56:M60,"幽冥窺月")*9+1))</f>
        <v>19</v>
      </c>
      <c r="L63" s="497">
        <f ca="1">G57*K63</f>
        <v>350886.60047173721</v>
      </c>
      <c r="M63" s="504" t="s">
        <v>1173</v>
      </c>
      <c r="N63" s="505">
        <f ca="1">D63+D64+D65+H63+H64+L65+L63+L64+H65</f>
        <v>24372096.439918421</v>
      </c>
      <c r="O63" s="523" t="s">
        <v>1369</v>
      </c>
      <c r="P63" s="543">
        <f ca="1">SUM(B63:B65)+SUM(J63:J64)+SUM(F63:F65)</f>
        <v>681</v>
      </c>
    </row>
    <row r="64" spans="1:16" s="496" customFormat="1">
      <c r="A64" s="497" t="s">
        <v>1169</v>
      </c>
      <c r="B64" s="527">
        <f ca="1">C64*2</f>
        <v>108</v>
      </c>
      <c r="C64" s="497">
        <f ca="1">(COUNTIF(B56:M60,"寂*")*9)</f>
        <v>54</v>
      </c>
      <c r="D64" s="497">
        <f ca="1">(F55+G55+I55)*C64/3</f>
        <v>6678625.4260996291</v>
      </c>
      <c r="E64" s="497" t="s">
        <v>1172</v>
      </c>
      <c r="F64" s="497">
        <f ca="1">G64*2</f>
        <v>72</v>
      </c>
      <c r="G64" s="497">
        <f ca="1">(COUNTIF(B56:M60,"星垂*")*9)</f>
        <v>36</v>
      </c>
      <c r="H64" s="497">
        <f ca="1">(((D57+E57+F57)+D59)*9)</f>
        <v>1560799.684864419</v>
      </c>
      <c r="I64" s="497" t="s">
        <v>1230</v>
      </c>
      <c r="J64" s="497">
        <f ca="1">K64*2</f>
        <v>22</v>
      </c>
      <c r="K64" s="497">
        <f ca="1">((COUNTIF(B56:N60,"隱風雷")*9+2))</f>
        <v>11</v>
      </c>
      <c r="L64" s="497">
        <f ca="1">J55*K64</f>
        <v>435136.20496566605</v>
      </c>
      <c r="M64" s="504" t="s">
        <v>1306</v>
      </c>
      <c r="N64" s="505">
        <f>300</f>
        <v>300</v>
      </c>
      <c r="O64" s="523" t="s">
        <v>1372</v>
      </c>
      <c r="P64" s="544">
        <f ca="1">P63/300</f>
        <v>2.27</v>
      </c>
    </row>
    <row r="65" spans="1:16" s="496" customFormat="1">
      <c r="A65" s="497" t="s">
        <v>1171</v>
      </c>
      <c r="B65" s="527">
        <f ca="1">C65</f>
        <v>18</v>
      </c>
      <c r="C65" s="497">
        <f ca="1">(COUNTIF(B56:M60,"金戈*")*9)</f>
        <v>18</v>
      </c>
      <c r="D65" s="497">
        <f ca="1">(C57+C59)*C65/2</f>
        <v>1574280.1977526234</v>
      </c>
      <c r="E65" s="497" t="s">
        <v>1294</v>
      </c>
      <c r="F65" s="497">
        <f>G65+2</f>
        <v>102</v>
      </c>
      <c r="G65" s="497">
        <f>INT((N64-4*BUFF!$N$34-0.25*2)/BUFF!$Q$35)</f>
        <v>100</v>
      </c>
      <c r="H65" s="497">
        <f ca="1">傷害計算!$N$43+傷害計算!$M$43+(傷害計算!$O$43*(G65-2))</f>
        <v>4520014.9524142211</v>
      </c>
      <c r="I65" s="497" t="s">
        <v>1256</v>
      </c>
      <c r="J65" s="497">
        <f ca="1">K65</f>
        <v>62</v>
      </c>
      <c r="K65" s="497">
        <f ca="1">(G64+B65+G63)</f>
        <v>62</v>
      </c>
      <c r="L65" s="497">
        <f ca="1">傷害計算!$M$42*K65</f>
        <v>403817.09692002239</v>
      </c>
      <c r="M65" s="504" t="s">
        <v>1176</v>
      </c>
      <c r="N65" s="505">
        <f ca="1">N63/N64</f>
        <v>81240.321466394744</v>
      </c>
      <c r="O65" s="523" t="s">
        <v>1373</v>
      </c>
      <c r="P65" s="544">
        <f ca="1">(SUM(B63:B65)+SUM(J63:J65)+SUM(F63:F65))/300</f>
        <v>2.4766666666666666</v>
      </c>
    </row>
    <row r="68" spans="1:16">
      <c r="D68" s="444"/>
      <c r="G68" s="444"/>
      <c r="I68" s="444"/>
    </row>
    <row r="69" spans="1:16">
      <c r="D69" s="444"/>
      <c r="G69" s="444"/>
      <c r="I69" s="444"/>
    </row>
    <row r="70" spans="1:16">
      <c r="D70" s="444"/>
      <c r="G70" s="444"/>
      <c r="I70" s="25"/>
    </row>
    <row r="71" spans="1:16">
      <c r="D71" s="444"/>
      <c r="G71" s="444"/>
      <c r="I71" s="444"/>
    </row>
    <row r="72" spans="1:16">
      <c r="D72" s="444"/>
      <c r="G72" s="444"/>
      <c r="I72" s="444"/>
    </row>
    <row r="73" spans="1:16">
      <c r="D73" s="444"/>
      <c r="G73" s="444"/>
      <c r="I73" s="444"/>
    </row>
    <row r="74" spans="1:16">
      <c r="D74" s="444"/>
      <c r="G74" s="444"/>
      <c r="I74" s="444"/>
    </row>
    <row r="75" spans="1:16">
      <c r="D75" s="444"/>
      <c r="G75" s="444"/>
      <c r="I75" s="444"/>
    </row>
    <row r="76" spans="1:16">
      <c r="D76" s="444"/>
      <c r="G76" s="444"/>
      <c r="I76" s="444"/>
    </row>
    <row r="77" spans="1:16">
      <c r="D77" s="444"/>
      <c r="G77" s="444"/>
      <c r="I77" s="444"/>
    </row>
    <row r="78" spans="1:16">
      <c r="D78" s="444"/>
      <c r="G78" s="444"/>
      <c r="I78" s="444"/>
    </row>
  </sheetData>
  <sheetProtection password="E803" sheet="1" objects="1" scenarios="1"/>
  <phoneticPr fontId="4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6"/>
  <dimension ref="A1:Q488"/>
  <sheetViews>
    <sheetView zoomScale="85" zoomScaleNormal="85" workbookViewId="0">
      <pane ySplit="1" topLeftCell="A269" activePane="bottomLeft" state="frozen"/>
      <selection pane="bottomLeft" activeCell="E57" sqref="E57"/>
    </sheetView>
  </sheetViews>
  <sheetFormatPr defaultRowHeight="18.75" customHeight="1"/>
  <cols>
    <col min="1" max="1" width="8" style="52" customWidth="1"/>
    <col min="2" max="2" width="23.5" style="33" customWidth="1"/>
    <col min="3" max="3" width="10.125" style="127" customWidth="1"/>
    <col min="4" max="4" width="10" style="17" customWidth="1"/>
    <col min="5" max="6" width="10" style="458" customWidth="1"/>
    <col min="7" max="7" width="12.875" style="17" customWidth="1"/>
    <col min="8" max="8" width="9.125" style="17" customWidth="1"/>
    <col min="9" max="9" width="10.125" style="17" customWidth="1"/>
    <col min="10" max="10" width="13.25" style="17" customWidth="1"/>
    <col min="11" max="11" width="9.5" style="17" customWidth="1"/>
    <col min="12" max="12" width="8.375" style="17" customWidth="1"/>
    <col min="13" max="13" width="8.375" style="475" customWidth="1"/>
    <col min="14" max="14" width="9.875" style="17" customWidth="1"/>
    <col min="15" max="15" width="10.375" style="131" customWidth="1"/>
    <col min="16" max="16" width="35.875" style="33" customWidth="1"/>
    <col min="17" max="17" width="9" style="284"/>
    <col min="18" max="16384" width="9" style="17"/>
  </cols>
  <sheetData>
    <row r="1" spans="1:17" s="19" customFormat="1" ht="18.75" customHeight="1">
      <c r="A1" s="19" t="s">
        <v>122</v>
      </c>
      <c r="B1" s="148" t="s">
        <v>125</v>
      </c>
      <c r="C1" s="152" t="s">
        <v>133</v>
      </c>
      <c r="D1" s="149" t="s">
        <v>508</v>
      </c>
      <c r="E1" s="463" t="s">
        <v>966</v>
      </c>
      <c r="F1" s="464" t="s">
        <v>967</v>
      </c>
      <c r="G1" s="151" t="s">
        <v>126</v>
      </c>
      <c r="H1" s="146" t="s">
        <v>114</v>
      </c>
      <c r="I1" s="154" t="s">
        <v>112</v>
      </c>
      <c r="J1" s="145" t="s">
        <v>113</v>
      </c>
      <c r="K1" s="150" t="s">
        <v>111</v>
      </c>
      <c r="L1" s="147" t="s">
        <v>115</v>
      </c>
      <c r="M1" s="482" t="s">
        <v>1154</v>
      </c>
      <c r="N1" s="19" t="s">
        <v>123</v>
      </c>
      <c r="O1" s="134" t="s">
        <v>294</v>
      </c>
      <c r="P1" s="19" t="s">
        <v>124</v>
      </c>
      <c r="Q1" s="134" t="s">
        <v>152</v>
      </c>
    </row>
    <row r="2" spans="1:17" s="131" customFormat="1" ht="18.75" customHeight="1">
      <c r="A2" s="98" t="s">
        <v>64</v>
      </c>
      <c r="B2" s="155" t="s">
        <v>364</v>
      </c>
      <c r="C2" s="158" t="s">
        <v>373</v>
      </c>
      <c r="E2" s="458"/>
      <c r="F2" s="458"/>
      <c r="G2" s="131">
        <f>786+19</f>
        <v>805</v>
      </c>
      <c r="H2" s="131">
        <f>1097+26</f>
        <v>1123</v>
      </c>
      <c r="K2" s="131">
        <v>34</v>
      </c>
      <c r="M2" s="475"/>
      <c r="N2" s="131">
        <v>2200</v>
      </c>
      <c r="O2" s="131">
        <f>3564+86+64</f>
        <v>3714</v>
      </c>
      <c r="P2" s="133" t="s">
        <v>295</v>
      </c>
      <c r="Q2" s="284"/>
    </row>
    <row r="3" spans="1:17" s="131" customFormat="1" ht="18.75" customHeight="1">
      <c r="A3" s="98" t="s">
        <v>64</v>
      </c>
      <c r="B3" s="155" t="s">
        <v>365</v>
      </c>
      <c r="C3" s="158" t="s">
        <v>374</v>
      </c>
      <c r="E3" s="458"/>
      <c r="F3" s="458"/>
      <c r="G3" s="131">
        <f>704+17</f>
        <v>721</v>
      </c>
      <c r="I3" s="131">
        <f>731+18</f>
        <v>749</v>
      </c>
      <c r="J3" s="131">
        <f>548+13</f>
        <v>561</v>
      </c>
      <c r="M3" s="475"/>
      <c r="N3" s="131">
        <v>2200</v>
      </c>
      <c r="O3" s="131">
        <f>3564+86+64</f>
        <v>3714</v>
      </c>
      <c r="P3" s="133" t="s">
        <v>295</v>
      </c>
      <c r="Q3" s="284"/>
    </row>
    <row r="4" spans="1:17" s="131" customFormat="1" ht="18.75" customHeight="1">
      <c r="A4" s="98" t="s">
        <v>64</v>
      </c>
      <c r="B4" s="155" t="s">
        <v>326</v>
      </c>
      <c r="C4" s="158" t="s">
        <v>375</v>
      </c>
      <c r="E4" s="458"/>
      <c r="F4" s="458"/>
      <c r="G4" s="131">
        <f>737+18</f>
        <v>755</v>
      </c>
      <c r="H4" s="131">
        <v>34</v>
      </c>
      <c r="I4" s="131">
        <f>475+11</f>
        <v>486</v>
      </c>
      <c r="K4" s="131">
        <f>366+9</f>
        <v>375</v>
      </c>
      <c r="L4" s="131">
        <f>366+9</f>
        <v>375</v>
      </c>
      <c r="M4" s="475"/>
      <c r="N4" s="137">
        <v>2200</v>
      </c>
      <c r="O4" s="131">
        <f>3564+86+64</f>
        <v>3714</v>
      </c>
      <c r="P4" s="133" t="s">
        <v>295</v>
      </c>
      <c r="Q4" s="284"/>
    </row>
    <row r="5" spans="1:17" s="458" customFormat="1" ht="18.75" customHeight="1">
      <c r="A5" s="180" t="s">
        <v>64</v>
      </c>
      <c r="B5" s="93" t="s">
        <v>669</v>
      </c>
      <c r="C5" s="284" t="s">
        <v>670</v>
      </c>
      <c r="D5" s="458">
        <f>184+14</f>
        <v>198</v>
      </c>
      <c r="G5" s="458">
        <f>333+25</f>
        <v>358</v>
      </c>
      <c r="H5" s="458">
        <f>782+59</f>
        <v>841</v>
      </c>
      <c r="K5" s="458">
        <f>372+28</f>
        <v>400</v>
      </c>
      <c r="M5" s="475"/>
      <c r="N5" s="458">
        <v>2240</v>
      </c>
      <c r="O5" s="458">
        <f>3628+272+64</f>
        <v>3964</v>
      </c>
      <c r="P5" s="315" t="s">
        <v>671</v>
      </c>
      <c r="Q5" s="284"/>
    </row>
    <row r="6" spans="1:17" s="131" customFormat="1" ht="18.75" customHeight="1">
      <c r="A6" s="98" t="s">
        <v>64</v>
      </c>
      <c r="B6" s="155" t="s">
        <v>366</v>
      </c>
      <c r="C6" s="158" t="s">
        <v>376</v>
      </c>
      <c r="E6" s="458"/>
      <c r="F6" s="458"/>
      <c r="G6" s="131">
        <f>814+20</f>
        <v>834</v>
      </c>
      <c r="I6" s="131">
        <v>34</v>
      </c>
      <c r="K6" s="131">
        <f>1137+27</f>
        <v>1164</v>
      </c>
      <c r="M6" s="475"/>
      <c r="N6" s="131">
        <v>2280</v>
      </c>
      <c r="O6" s="131">
        <f>3693+89+64</f>
        <v>3846</v>
      </c>
      <c r="P6" s="133" t="s">
        <v>295</v>
      </c>
      <c r="Q6" s="284"/>
    </row>
    <row r="7" spans="1:17" s="131" customFormat="1" ht="18.75" customHeight="1">
      <c r="A7" s="98" t="s">
        <v>64</v>
      </c>
      <c r="B7" s="155" t="s">
        <v>327</v>
      </c>
      <c r="C7" s="158" t="s">
        <v>377</v>
      </c>
      <c r="E7" s="458"/>
      <c r="F7" s="458"/>
      <c r="G7" s="131">
        <f>729+17</f>
        <v>746</v>
      </c>
      <c r="I7" s="131">
        <f>758+18</f>
        <v>776</v>
      </c>
      <c r="J7" s="131">
        <v>34</v>
      </c>
      <c r="L7" s="131">
        <f>568+14</f>
        <v>582</v>
      </c>
      <c r="M7" s="475"/>
      <c r="N7" s="131">
        <v>2280</v>
      </c>
      <c r="O7" s="131">
        <f>3693+89+64</f>
        <v>3846</v>
      </c>
      <c r="P7" s="133" t="s">
        <v>295</v>
      </c>
      <c r="Q7" s="284"/>
    </row>
    <row r="8" spans="1:17" s="131" customFormat="1" ht="18.75" customHeight="1">
      <c r="A8" s="98" t="s">
        <v>64</v>
      </c>
      <c r="B8" s="155" t="s">
        <v>328</v>
      </c>
      <c r="C8" s="158" t="s">
        <v>378</v>
      </c>
      <c r="E8" s="458"/>
      <c r="F8" s="458"/>
      <c r="G8" s="131">
        <f>763+18</f>
        <v>781</v>
      </c>
      <c r="H8" s="131">
        <f>436+10</f>
        <v>446</v>
      </c>
      <c r="I8" s="131">
        <f>436+10</f>
        <v>446</v>
      </c>
      <c r="J8" s="131">
        <v>34</v>
      </c>
      <c r="K8" s="131">
        <f>379+9</f>
        <v>388</v>
      </c>
      <c r="M8" s="475"/>
      <c r="N8" s="131">
        <v>2280</v>
      </c>
      <c r="O8" s="131">
        <f>3693+89+64</f>
        <v>3846</v>
      </c>
      <c r="P8" s="133" t="s">
        <v>295</v>
      </c>
      <c r="Q8" s="284"/>
    </row>
    <row r="9" spans="1:17" s="458" customFormat="1" ht="18.75" customHeight="1">
      <c r="A9" s="180" t="s">
        <v>64</v>
      </c>
      <c r="B9" s="93" t="s">
        <v>672</v>
      </c>
      <c r="C9" s="284" t="s">
        <v>673</v>
      </c>
      <c r="D9" s="458">
        <f>189+14</f>
        <v>203</v>
      </c>
      <c r="G9" s="458">
        <f t="shared" ref="G9:G15" si="0">342+26</f>
        <v>368</v>
      </c>
      <c r="I9" s="458">
        <f>803+60</f>
        <v>863</v>
      </c>
      <c r="L9" s="458">
        <f>382+29+34</f>
        <v>445</v>
      </c>
      <c r="M9" s="475"/>
      <c r="N9" s="458">
        <v>2300</v>
      </c>
      <c r="O9" s="458">
        <f t="shared" ref="O9:O15" si="1">3726+279+64</f>
        <v>4069</v>
      </c>
      <c r="P9" s="93" t="s">
        <v>499</v>
      </c>
      <c r="Q9" s="284"/>
    </row>
    <row r="10" spans="1:17" s="458" customFormat="1" ht="18.75" customHeight="1">
      <c r="A10" s="180" t="s">
        <v>64</v>
      </c>
      <c r="B10" s="93" t="s">
        <v>676</v>
      </c>
      <c r="C10" s="284" t="s">
        <v>677</v>
      </c>
      <c r="D10" s="458">
        <f>189+14</f>
        <v>203</v>
      </c>
      <c r="G10" s="458">
        <f t="shared" si="0"/>
        <v>368</v>
      </c>
      <c r="H10" s="458">
        <v>34</v>
      </c>
      <c r="I10" s="458">
        <f>803+60</f>
        <v>863</v>
      </c>
      <c r="K10" s="458">
        <f>382+29</f>
        <v>411</v>
      </c>
      <c r="M10" s="475"/>
      <c r="N10" s="458">
        <v>2300</v>
      </c>
      <c r="O10" s="458">
        <f t="shared" si="1"/>
        <v>4069</v>
      </c>
      <c r="P10" s="93" t="s">
        <v>499</v>
      </c>
      <c r="Q10" s="284"/>
    </row>
    <row r="11" spans="1:17" s="314" customFormat="1" ht="18.75" customHeight="1">
      <c r="A11" s="180" t="s">
        <v>64</v>
      </c>
      <c r="B11" s="93" t="s">
        <v>678</v>
      </c>
      <c r="C11" s="284" t="s">
        <v>502</v>
      </c>
      <c r="D11" s="314">
        <f>189+14+10</f>
        <v>213</v>
      </c>
      <c r="E11" s="458"/>
      <c r="F11" s="458"/>
      <c r="G11" s="314">
        <f t="shared" si="0"/>
        <v>368</v>
      </c>
      <c r="H11" s="314">
        <f>803+60</f>
        <v>863</v>
      </c>
      <c r="L11" s="314">
        <f>382+29</f>
        <v>411</v>
      </c>
      <c r="M11" s="475"/>
      <c r="N11" s="314">
        <v>2300</v>
      </c>
      <c r="O11" s="314">
        <f t="shared" si="1"/>
        <v>4069</v>
      </c>
      <c r="P11" s="93" t="s">
        <v>499</v>
      </c>
      <c r="Q11" s="284"/>
    </row>
    <row r="12" spans="1:17" s="131" customFormat="1" ht="18.75" customHeight="1">
      <c r="A12" s="98" t="s">
        <v>64</v>
      </c>
      <c r="B12" s="93" t="s">
        <v>674</v>
      </c>
      <c r="C12" s="135" t="s">
        <v>134</v>
      </c>
      <c r="D12" s="131">
        <f>189+14+10</f>
        <v>213</v>
      </c>
      <c r="E12" s="458"/>
      <c r="F12" s="458"/>
      <c r="G12" s="131">
        <f t="shared" si="0"/>
        <v>368</v>
      </c>
      <c r="H12" s="131">
        <f>803+60</f>
        <v>863</v>
      </c>
      <c r="K12" s="131">
        <f>382+29</f>
        <v>411</v>
      </c>
      <c r="M12" s="475"/>
      <c r="N12" s="131">
        <v>2300</v>
      </c>
      <c r="O12" s="131">
        <f t="shared" si="1"/>
        <v>4069</v>
      </c>
      <c r="P12" s="133" t="s">
        <v>459</v>
      </c>
      <c r="Q12" s="284"/>
    </row>
    <row r="13" spans="1:17" s="131" customFormat="1" ht="18.75" customHeight="1">
      <c r="A13" s="98" t="s">
        <v>64</v>
      </c>
      <c r="B13" s="93" t="s">
        <v>675</v>
      </c>
      <c r="C13" s="135" t="s">
        <v>136</v>
      </c>
      <c r="D13" s="131">
        <f>189+14</f>
        <v>203</v>
      </c>
      <c r="E13" s="458"/>
      <c r="F13" s="458"/>
      <c r="G13" s="131">
        <f t="shared" si="0"/>
        <v>368</v>
      </c>
      <c r="I13" s="131">
        <f>803+60</f>
        <v>863</v>
      </c>
      <c r="L13" s="131">
        <f>382+29+34</f>
        <v>445</v>
      </c>
      <c r="M13" s="475"/>
      <c r="N13" s="137">
        <v>2300</v>
      </c>
      <c r="O13" s="131">
        <f t="shared" si="1"/>
        <v>4069</v>
      </c>
      <c r="P13" s="165" t="s">
        <v>458</v>
      </c>
      <c r="Q13" s="284"/>
    </row>
    <row r="14" spans="1:17" ht="18.75" customHeight="1">
      <c r="A14" s="52" t="s">
        <v>64</v>
      </c>
      <c r="B14" s="144" t="s">
        <v>679</v>
      </c>
      <c r="C14" s="158" t="s">
        <v>372</v>
      </c>
      <c r="D14" s="17">
        <f>189+14+10</f>
        <v>213</v>
      </c>
      <c r="G14" s="17">
        <f t="shared" si="0"/>
        <v>368</v>
      </c>
      <c r="H14" s="17">
        <f>803+60</f>
        <v>863</v>
      </c>
      <c r="K14" s="17">
        <f>382+29</f>
        <v>411</v>
      </c>
      <c r="N14" s="137">
        <v>2300</v>
      </c>
      <c r="O14" s="131">
        <f t="shared" si="1"/>
        <v>4069</v>
      </c>
      <c r="P14" s="93" t="s">
        <v>1129</v>
      </c>
    </row>
    <row r="15" spans="1:17" s="131" customFormat="1" ht="18.75" customHeight="1">
      <c r="A15" s="98" t="s">
        <v>64</v>
      </c>
      <c r="B15" s="93" t="s">
        <v>680</v>
      </c>
      <c r="C15" s="135" t="s">
        <v>136</v>
      </c>
      <c r="D15" s="131">
        <f>189+14</f>
        <v>203</v>
      </c>
      <c r="E15" s="458"/>
      <c r="F15" s="458"/>
      <c r="G15" s="131">
        <f t="shared" si="0"/>
        <v>368</v>
      </c>
      <c r="I15" s="131">
        <f>803+60</f>
        <v>863</v>
      </c>
      <c r="L15" s="131">
        <f>382+29+34</f>
        <v>445</v>
      </c>
      <c r="M15" s="475"/>
      <c r="N15" s="137">
        <v>2300</v>
      </c>
      <c r="O15" s="131">
        <f t="shared" si="1"/>
        <v>4069</v>
      </c>
      <c r="P15" s="93" t="s">
        <v>1130</v>
      </c>
      <c r="Q15" s="284"/>
    </row>
    <row r="16" spans="1:17" ht="18.75" customHeight="1">
      <c r="A16" s="52" t="s">
        <v>64</v>
      </c>
      <c r="B16" s="93" t="s">
        <v>681</v>
      </c>
      <c r="C16" s="127" t="s">
        <v>135</v>
      </c>
      <c r="D16" s="17">
        <f>191+14</f>
        <v>205</v>
      </c>
      <c r="G16" s="17">
        <f>347+26</f>
        <v>373</v>
      </c>
      <c r="H16" s="17">
        <v>34</v>
      </c>
      <c r="I16" s="17">
        <f>813+61</f>
        <v>874</v>
      </c>
      <c r="K16" s="17">
        <f>387+29</f>
        <v>416</v>
      </c>
      <c r="N16" s="17">
        <v>2330</v>
      </c>
      <c r="O16" s="131">
        <f>3774+283+64</f>
        <v>4121</v>
      </c>
      <c r="P16" s="133" t="s">
        <v>455</v>
      </c>
    </row>
    <row r="17" spans="1:17" ht="18.75" customHeight="1">
      <c r="A17" s="52" t="s">
        <v>64</v>
      </c>
      <c r="B17" s="93" t="s">
        <v>683</v>
      </c>
      <c r="C17" s="127" t="s">
        <v>136</v>
      </c>
      <c r="D17" s="17">
        <f>191+14</f>
        <v>205</v>
      </c>
      <c r="G17" s="17">
        <f>347+26</f>
        <v>373</v>
      </c>
      <c r="I17" s="17">
        <f>813+61</f>
        <v>874</v>
      </c>
      <c r="L17" s="17">
        <f>387+29+34</f>
        <v>450</v>
      </c>
      <c r="N17" s="17">
        <v>2330</v>
      </c>
      <c r="O17" s="131">
        <f>3774+283+64</f>
        <v>4121</v>
      </c>
      <c r="P17" s="136" t="s">
        <v>417</v>
      </c>
    </row>
    <row r="18" spans="1:17" s="131" customFormat="1" ht="18.75" customHeight="1">
      <c r="A18" s="98" t="s">
        <v>64</v>
      </c>
      <c r="B18" s="93" t="s">
        <v>682</v>
      </c>
      <c r="C18" s="135" t="s">
        <v>293</v>
      </c>
      <c r="D18" s="131">
        <f>191+14+10</f>
        <v>215</v>
      </c>
      <c r="E18" s="458"/>
      <c r="F18" s="458"/>
      <c r="G18" s="131">
        <f>347+26</f>
        <v>373</v>
      </c>
      <c r="H18" s="131">
        <f>813+61</f>
        <v>874</v>
      </c>
      <c r="L18" s="131">
        <f>387+29</f>
        <v>416</v>
      </c>
      <c r="M18" s="475"/>
      <c r="N18" s="131">
        <v>2330</v>
      </c>
      <c r="O18" s="131">
        <f>3774+283+64</f>
        <v>4121</v>
      </c>
      <c r="P18" s="136" t="s">
        <v>418</v>
      </c>
      <c r="Q18" s="284"/>
    </row>
    <row r="19" spans="1:17" ht="18.75" customHeight="1">
      <c r="A19" s="52" t="s">
        <v>64</v>
      </c>
      <c r="B19" s="93" t="s">
        <v>684</v>
      </c>
      <c r="C19" s="127" t="s">
        <v>396</v>
      </c>
      <c r="D19" s="17">
        <f>193+26</f>
        <v>219</v>
      </c>
      <c r="G19" s="17">
        <f>351+26</f>
        <v>377</v>
      </c>
      <c r="H19" s="17">
        <v>34</v>
      </c>
      <c r="I19" s="17">
        <f>824+62</f>
        <v>886</v>
      </c>
      <c r="K19" s="17">
        <f>392+29</f>
        <v>421</v>
      </c>
      <c r="N19" s="17">
        <v>2360</v>
      </c>
      <c r="O19" s="131">
        <f>3823+287+64</f>
        <v>4174</v>
      </c>
      <c r="P19" s="139" t="s">
        <v>300</v>
      </c>
    </row>
    <row r="20" spans="1:17" s="131" customFormat="1" ht="18.75" customHeight="1">
      <c r="A20" s="98" t="s">
        <v>64</v>
      </c>
      <c r="B20" s="155" t="s">
        <v>983</v>
      </c>
      <c r="C20" s="158" t="s">
        <v>369</v>
      </c>
      <c r="E20" s="458"/>
      <c r="F20" s="458"/>
      <c r="G20" s="131">
        <f>857+21</f>
        <v>878</v>
      </c>
      <c r="I20" s="131">
        <f>1197+29</f>
        <v>1226</v>
      </c>
      <c r="J20" s="131">
        <v>34</v>
      </c>
      <c r="M20" s="475"/>
      <c r="N20" s="131">
        <v>2400</v>
      </c>
      <c r="O20" s="131">
        <f>3888+93+64</f>
        <v>4045</v>
      </c>
      <c r="P20" s="133" t="s">
        <v>295</v>
      </c>
      <c r="Q20" s="284"/>
    </row>
    <row r="21" spans="1:17" s="131" customFormat="1" ht="18.75" customHeight="1">
      <c r="A21" s="98" t="s">
        <v>64</v>
      </c>
      <c r="B21" s="155" t="s">
        <v>329</v>
      </c>
      <c r="C21" s="158" t="s">
        <v>370</v>
      </c>
      <c r="E21" s="458"/>
      <c r="F21" s="458"/>
      <c r="G21" s="131">
        <f>768+18</f>
        <v>786</v>
      </c>
      <c r="I21" s="131">
        <f>479+11</f>
        <v>490</v>
      </c>
      <c r="J21" s="131">
        <v>34</v>
      </c>
      <c r="K21" s="131">
        <f>917+22</f>
        <v>939</v>
      </c>
      <c r="M21" s="475"/>
      <c r="N21" s="131">
        <v>2400</v>
      </c>
      <c r="O21" s="131">
        <f>3888+93+64</f>
        <v>4045</v>
      </c>
      <c r="P21" s="133" t="s">
        <v>295</v>
      </c>
      <c r="Q21" s="284"/>
    </row>
    <row r="22" spans="1:17" s="131" customFormat="1" ht="18.75" customHeight="1">
      <c r="A22" s="98" t="s">
        <v>64</v>
      </c>
      <c r="B22" s="155" t="s">
        <v>330</v>
      </c>
      <c r="C22" s="158" t="s">
        <v>371</v>
      </c>
      <c r="E22" s="458"/>
      <c r="F22" s="458"/>
      <c r="G22" s="131">
        <f>804+19</f>
        <v>823</v>
      </c>
      <c r="H22" s="131">
        <f>459+11</f>
        <v>470</v>
      </c>
      <c r="I22" s="131">
        <f>459+11</f>
        <v>470</v>
      </c>
      <c r="J22" s="131">
        <v>34</v>
      </c>
      <c r="L22" s="131">
        <f>399+10</f>
        <v>409</v>
      </c>
      <c r="M22" s="475"/>
      <c r="N22" s="131">
        <v>2400</v>
      </c>
      <c r="O22" s="131">
        <f>3888+93+64</f>
        <v>4045</v>
      </c>
      <c r="P22" s="133" t="s">
        <v>295</v>
      </c>
      <c r="Q22" s="284"/>
    </row>
    <row r="23" spans="1:17" s="325" customFormat="1" ht="18.75" customHeight="1">
      <c r="A23" s="180" t="s">
        <v>64</v>
      </c>
      <c r="B23" s="93" t="s">
        <v>685</v>
      </c>
      <c r="C23" s="93" t="s">
        <v>670</v>
      </c>
      <c r="D23" s="325">
        <f>199+15+10</f>
        <v>224</v>
      </c>
      <c r="G23" s="325">
        <f>362+27</f>
        <v>389</v>
      </c>
      <c r="H23" s="325">
        <f>848+64</f>
        <v>912</v>
      </c>
      <c r="K23" s="325">
        <f>404+30</f>
        <v>434</v>
      </c>
      <c r="N23" s="325">
        <v>2430</v>
      </c>
      <c r="O23" s="325">
        <f>3936+295+64</f>
        <v>4295</v>
      </c>
      <c r="P23" s="315" t="s">
        <v>686</v>
      </c>
      <c r="Q23" s="93"/>
    </row>
    <row r="24" spans="1:17" s="131" customFormat="1" ht="18.75" customHeight="1">
      <c r="A24" s="98" t="s">
        <v>64</v>
      </c>
      <c r="B24" s="155" t="s">
        <v>982</v>
      </c>
      <c r="C24" s="158" t="s">
        <v>373</v>
      </c>
      <c r="E24" s="458"/>
      <c r="F24" s="458"/>
      <c r="G24" s="131">
        <f>900+22</f>
        <v>922</v>
      </c>
      <c r="H24" s="131">
        <f>1256+30</f>
        <v>1286</v>
      </c>
      <c r="K24" s="131">
        <v>34</v>
      </c>
      <c r="M24" s="475"/>
      <c r="N24" s="131">
        <v>2520</v>
      </c>
      <c r="O24" s="131">
        <f>4082+98+64</f>
        <v>4244</v>
      </c>
      <c r="P24" s="133" t="s">
        <v>295</v>
      </c>
      <c r="Q24" s="284"/>
    </row>
    <row r="25" spans="1:17" s="131" customFormat="1" ht="18.75" customHeight="1">
      <c r="A25" s="98" t="s">
        <v>64</v>
      </c>
      <c r="B25" s="155" t="s">
        <v>367</v>
      </c>
      <c r="C25" s="158" t="s">
        <v>374</v>
      </c>
      <c r="E25" s="458"/>
      <c r="F25" s="458"/>
      <c r="G25" s="131">
        <f>806+19</f>
        <v>825</v>
      </c>
      <c r="H25" s="131">
        <v>34</v>
      </c>
      <c r="I25" s="131">
        <f>838+20</f>
        <v>858</v>
      </c>
      <c r="J25" s="131">
        <f>628+15</f>
        <v>643</v>
      </c>
      <c r="M25" s="475"/>
      <c r="N25" s="131">
        <v>2520</v>
      </c>
      <c r="O25" s="131">
        <f>4082+98+64</f>
        <v>4244</v>
      </c>
      <c r="P25" s="133" t="s">
        <v>295</v>
      </c>
      <c r="Q25" s="284"/>
    </row>
    <row r="26" spans="1:17" s="131" customFormat="1" ht="18.75" customHeight="1">
      <c r="A26" s="98" t="s">
        <v>64</v>
      </c>
      <c r="B26" s="155" t="s">
        <v>331</v>
      </c>
      <c r="C26" s="158" t="s">
        <v>375</v>
      </c>
      <c r="E26" s="458"/>
      <c r="F26" s="458"/>
      <c r="G26" s="131">
        <f>844+20</f>
        <v>864</v>
      </c>
      <c r="H26" s="131">
        <v>34</v>
      </c>
      <c r="I26" s="131">
        <f>544+13</f>
        <v>557</v>
      </c>
      <c r="K26" s="131">
        <f>419+10</f>
        <v>429</v>
      </c>
      <c r="L26" s="131">
        <f>419+10</f>
        <v>429</v>
      </c>
      <c r="M26" s="475"/>
      <c r="N26" s="131">
        <v>2520</v>
      </c>
      <c r="O26" s="131">
        <f>4082+98+64</f>
        <v>4244</v>
      </c>
      <c r="P26" s="133" t="s">
        <v>295</v>
      </c>
      <c r="Q26" s="284"/>
    </row>
    <row r="27" spans="1:17" s="131" customFormat="1" ht="18.75" customHeight="1">
      <c r="A27" s="98" t="s">
        <v>64</v>
      </c>
      <c r="B27" s="159" t="s">
        <v>687</v>
      </c>
      <c r="C27" s="158" t="s">
        <v>372</v>
      </c>
      <c r="D27" s="131">
        <f>210+16+10</f>
        <v>236</v>
      </c>
      <c r="E27" s="458"/>
      <c r="F27" s="458"/>
      <c r="G27" s="131">
        <f>381+29</f>
        <v>410</v>
      </c>
      <c r="H27" s="131">
        <f>893+67</f>
        <v>960</v>
      </c>
      <c r="K27" s="131">
        <f>425+32</f>
        <v>457</v>
      </c>
      <c r="M27" s="475"/>
      <c r="N27" s="131">
        <v>2560</v>
      </c>
      <c r="O27" s="131">
        <f>4147+311+64</f>
        <v>4522</v>
      </c>
      <c r="P27" s="158" t="s">
        <v>1128</v>
      </c>
      <c r="Q27" s="284"/>
    </row>
    <row r="28" spans="1:17" s="314" customFormat="1" ht="18.75" customHeight="1">
      <c r="A28" s="180" t="s">
        <v>64</v>
      </c>
      <c r="B28" s="93" t="s">
        <v>688</v>
      </c>
      <c r="C28" s="284" t="s">
        <v>500</v>
      </c>
      <c r="D28" s="314">
        <f>210+16</f>
        <v>226</v>
      </c>
      <c r="E28" s="458"/>
      <c r="F28" s="458"/>
      <c r="G28" s="314">
        <f>381+29</f>
        <v>410</v>
      </c>
      <c r="I28" s="314">
        <f>893+67</f>
        <v>960</v>
      </c>
      <c r="L28" s="314">
        <f>425+32+34</f>
        <v>491</v>
      </c>
      <c r="M28" s="475"/>
      <c r="N28" s="314">
        <v>2560</v>
      </c>
      <c r="O28" s="314">
        <f>4147+311+64</f>
        <v>4522</v>
      </c>
      <c r="P28" s="284" t="s">
        <v>1038</v>
      </c>
      <c r="Q28" s="284"/>
    </row>
    <row r="29" spans="1:17" s="314" customFormat="1" ht="18.75" customHeight="1">
      <c r="A29" s="180" t="s">
        <v>64</v>
      </c>
      <c r="B29" s="93" t="s">
        <v>689</v>
      </c>
      <c r="C29" s="284" t="s">
        <v>503</v>
      </c>
      <c r="D29" s="314">
        <f>210+16+10</f>
        <v>236</v>
      </c>
      <c r="E29" s="458"/>
      <c r="F29" s="458"/>
      <c r="G29" s="314">
        <f>381+29</f>
        <v>410</v>
      </c>
      <c r="H29" s="314">
        <f>893+67</f>
        <v>960</v>
      </c>
      <c r="K29" s="314">
        <f>425+32</f>
        <v>457</v>
      </c>
      <c r="M29" s="475"/>
      <c r="N29" s="314">
        <v>2560</v>
      </c>
      <c r="O29" s="314">
        <f>4147+311+64</f>
        <v>4522</v>
      </c>
      <c r="P29" s="284" t="s">
        <v>1036</v>
      </c>
      <c r="Q29" s="284"/>
    </row>
    <row r="30" spans="1:17" s="314" customFormat="1" ht="18.75" customHeight="1">
      <c r="A30" s="180" t="s">
        <v>64</v>
      </c>
      <c r="B30" s="93" t="s">
        <v>690</v>
      </c>
      <c r="C30" s="284" t="s">
        <v>500</v>
      </c>
      <c r="D30" s="314">
        <f>210+16</f>
        <v>226</v>
      </c>
      <c r="E30" s="458"/>
      <c r="F30" s="458"/>
      <c r="G30" s="314">
        <f>381+29</f>
        <v>410</v>
      </c>
      <c r="I30" s="314">
        <f>893+67</f>
        <v>960</v>
      </c>
      <c r="L30" s="314">
        <f>425+32+34</f>
        <v>491</v>
      </c>
      <c r="M30" s="475"/>
      <c r="N30" s="314">
        <v>2560</v>
      </c>
      <c r="O30" s="314">
        <f>4147+311+64</f>
        <v>4522</v>
      </c>
      <c r="P30" s="165" t="s">
        <v>458</v>
      </c>
      <c r="Q30" s="284"/>
    </row>
    <row r="31" spans="1:17" s="131" customFormat="1" ht="18.75" customHeight="1">
      <c r="A31" s="98" t="s">
        <v>64</v>
      </c>
      <c r="B31" s="93" t="s">
        <v>691</v>
      </c>
      <c r="C31" s="135" t="s">
        <v>136</v>
      </c>
      <c r="D31" s="131">
        <f>213+16</f>
        <v>229</v>
      </c>
      <c r="E31" s="458"/>
      <c r="F31" s="458"/>
      <c r="G31" s="131">
        <f>387+29</f>
        <v>416</v>
      </c>
      <c r="I31" s="131">
        <f>907+68</f>
        <v>975</v>
      </c>
      <c r="L31" s="131">
        <f>432+32</f>
        <v>464</v>
      </c>
      <c r="M31" s="475"/>
      <c r="N31" s="131">
        <v>2600</v>
      </c>
      <c r="O31" s="131">
        <f>4212+316+64</f>
        <v>4592</v>
      </c>
      <c r="P31" s="135" t="s">
        <v>419</v>
      </c>
      <c r="Q31" s="284"/>
    </row>
    <row r="32" spans="1:17" s="131" customFormat="1" ht="18.75" customHeight="1">
      <c r="A32" s="98" t="s">
        <v>64</v>
      </c>
      <c r="B32" s="93" t="s">
        <v>692</v>
      </c>
      <c r="C32" s="135" t="s">
        <v>293</v>
      </c>
      <c r="D32" s="131">
        <f>213+16+10</f>
        <v>239</v>
      </c>
      <c r="E32" s="458"/>
      <c r="F32" s="458"/>
      <c r="G32" s="131">
        <f>387+29</f>
        <v>416</v>
      </c>
      <c r="H32" s="131">
        <f>907+68</f>
        <v>975</v>
      </c>
      <c r="L32" s="131">
        <f>432+32</f>
        <v>464</v>
      </c>
      <c r="M32" s="475"/>
      <c r="N32" s="131">
        <v>2600</v>
      </c>
      <c r="O32" s="131">
        <f>4212+316+64</f>
        <v>4592</v>
      </c>
      <c r="P32" s="158" t="s">
        <v>420</v>
      </c>
      <c r="Q32" s="284"/>
    </row>
    <row r="33" spans="1:17" s="131" customFormat="1" ht="18.75" customHeight="1">
      <c r="A33" s="98" t="s">
        <v>64</v>
      </c>
      <c r="B33" s="93" t="s">
        <v>693</v>
      </c>
      <c r="C33" s="135" t="s">
        <v>135</v>
      </c>
      <c r="D33" s="131">
        <f>213+16+10</f>
        <v>239</v>
      </c>
      <c r="E33" s="458"/>
      <c r="F33" s="458"/>
      <c r="G33" s="131">
        <f>387+29</f>
        <v>416</v>
      </c>
      <c r="H33" s="131">
        <v>34</v>
      </c>
      <c r="I33" s="131">
        <f>907+68</f>
        <v>975</v>
      </c>
      <c r="K33" s="131">
        <f>432+32</f>
        <v>464</v>
      </c>
      <c r="M33" s="475"/>
      <c r="N33" s="131">
        <v>2600</v>
      </c>
      <c r="O33" s="131">
        <f>4212+316+64</f>
        <v>4592</v>
      </c>
      <c r="P33" s="133" t="s">
        <v>455</v>
      </c>
      <c r="Q33" s="284"/>
    </row>
    <row r="34" spans="1:17" s="131" customFormat="1" ht="18.75" customHeight="1">
      <c r="A34" s="98" t="s">
        <v>64</v>
      </c>
      <c r="B34" s="163" t="s">
        <v>694</v>
      </c>
      <c r="C34" s="158" t="s">
        <v>396</v>
      </c>
      <c r="D34" s="131">
        <f>216+16</f>
        <v>232</v>
      </c>
      <c r="E34" s="458"/>
      <c r="F34" s="458"/>
      <c r="G34" s="131">
        <f>393+29</f>
        <v>422</v>
      </c>
      <c r="I34" s="131">
        <f>921+69</f>
        <v>990</v>
      </c>
      <c r="K34" s="131">
        <f>439+33</f>
        <v>472</v>
      </c>
      <c r="M34" s="475"/>
      <c r="N34" s="131">
        <v>2640</v>
      </c>
      <c r="O34" s="131">
        <f>4276+321+64</f>
        <v>4661</v>
      </c>
      <c r="P34" s="139" t="s">
        <v>300</v>
      </c>
      <c r="Q34" s="284"/>
    </row>
    <row r="35" spans="1:17" s="458" customFormat="1" ht="18.75" customHeight="1">
      <c r="A35" s="180" t="s">
        <v>64</v>
      </c>
      <c r="B35" s="193" t="s">
        <v>695</v>
      </c>
      <c r="C35" s="284" t="s">
        <v>1007</v>
      </c>
      <c r="G35" s="458">
        <f>954+23</f>
        <v>977</v>
      </c>
      <c r="I35" s="458">
        <v>34</v>
      </c>
      <c r="K35" s="458">
        <f>1331+32</f>
        <v>1363</v>
      </c>
      <c r="M35" s="475"/>
      <c r="N35" s="458">
        <v>2670</v>
      </c>
      <c r="O35" s="458">
        <f>4325+104+64</f>
        <v>4493</v>
      </c>
      <c r="P35" s="133" t="s">
        <v>295</v>
      </c>
      <c r="Q35" s="284"/>
    </row>
    <row r="36" spans="1:17" s="458" customFormat="1" ht="18.75" customHeight="1">
      <c r="A36" s="180" t="s">
        <v>64</v>
      </c>
      <c r="B36" s="193" t="s">
        <v>696</v>
      </c>
      <c r="C36" s="284" t="s">
        <v>1014</v>
      </c>
      <c r="G36" s="458">
        <f>854+20</f>
        <v>874</v>
      </c>
      <c r="I36" s="458">
        <f>887+21</f>
        <v>908</v>
      </c>
      <c r="J36" s="458">
        <v>34</v>
      </c>
      <c r="L36" s="458">
        <f>666+16</f>
        <v>682</v>
      </c>
      <c r="M36" s="475"/>
      <c r="N36" s="458">
        <v>2670</v>
      </c>
      <c r="O36" s="458">
        <f>4325+104+64</f>
        <v>4493</v>
      </c>
      <c r="P36" s="133" t="s">
        <v>295</v>
      </c>
      <c r="Q36" s="284"/>
    </row>
    <row r="37" spans="1:17" s="458" customFormat="1" ht="18.75" customHeight="1">
      <c r="A37" s="180" t="s">
        <v>64</v>
      </c>
      <c r="B37" s="193" t="s">
        <v>697</v>
      </c>
      <c r="C37" s="284" t="s">
        <v>1019</v>
      </c>
      <c r="G37" s="458">
        <f>894+21</f>
        <v>915</v>
      </c>
      <c r="H37" s="458">
        <f>510+12</f>
        <v>522</v>
      </c>
      <c r="I37" s="458">
        <f>510+12</f>
        <v>522</v>
      </c>
      <c r="J37" s="458">
        <v>34</v>
      </c>
      <c r="K37" s="458">
        <f>444+11</f>
        <v>455</v>
      </c>
      <c r="M37" s="475"/>
      <c r="N37" s="458">
        <v>2670</v>
      </c>
      <c r="O37" s="458">
        <f>4325+104+64</f>
        <v>4493</v>
      </c>
      <c r="P37" s="133" t="s">
        <v>295</v>
      </c>
      <c r="Q37" s="284"/>
    </row>
    <row r="38" spans="1:17" s="458" customFormat="1" ht="18.75" customHeight="1">
      <c r="A38" s="180" t="s">
        <v>64</v>
      </c>
      <c r="B38" s="193" t="s">
        <v>705</v>
      </c>
      <c r="C38" s="284" t="s">
        <v>1020</v>
      </c>
      <c r="G38" s="458">
        <f>1007+24</f>
        <v>1031</v>
      </c>
      <c r="I38" s="458">
        <f>1406+34</f>
        <v>1440</v>
      </c>
      <c r="J38" s="458">
        <v>34</v>
      </c>
      <c r="M38" s="475"/>
      <c r="N38" s="458">
        <v>2820</v>
      </c>
      <c r="O38" s="458">
        <f>4568+110+64</f>
        <v>4742</v>
      </c>
      <c r="P38" s="133" t="s">
        <v>295</v>
      </c>
      <c r="Q38" s="284"/>
    </row>
    <row r="39" spans="1:17" s="458" customFormat="1" ht="18.75" customHeight="1">
      <c r="A39" s="180" t="s">
        <v>64</v>
      </c>
      <c r="B39" s="193" t="s">
        <v>704</v>
      </c>
      <c r="C39" s="284" t="s">
        <v>1000</v>
      </c>
      <c r="G39" s="458">
        <f>944+23</f>
        <v>967</v>
      </c>
      <c r="I39" s="458">
        <f>984+24</f>
        <v>1008</v>
      </c>
      <c r="J39" s="458">
        <v>34</v>
      </c>
      <c r="K39" s="458">
        <f>562+13</f>
        <v>575</v>
      </c>
      <c r="M39" s="475"/>
      <c r="N39" s="458">
        <v>2820</v>
      </c>
      <c r="O39" s="458">
        <f>4568+110+64</f>
        <v>4742</v>
      </c>
      <c r="P39" s="133" t="s">
        <v>295</v>
      </c>
      <c r="Q39" s="284"/>
    </row>
    <row r="40" spans="1:17" s="458" customFormat="1" ht="18.75" customHeight="1">
      <c r="A40" s="180" t="s">
        <v>64</v>
      </c>
      <c r="B40" s="193" t="s">
        <v>698</v>
      </c>
      <c r="C40" s="284" t="s">
        <v>1013</v>
      </c>
      <c r="G40" s="458">
        <f>944+23</f>
        <v>967</v>
      </c>
      <c r="H40" s="458">
        <f>539+13</f>
        <v>552</v>
      </c>
      <c r="I40" s="458">
        <f>539+13</f>
        <v>552</v>
      </c>
      <c r="J40" s="458">
        <v>34</v>
      </c>
      <c r="L40" s="458">
        <f>469+11</f>
        <v>480</v>
      </c>
      <c r="M40" s="475"/>
      <c r="N40" s="458">
        <v>2820</v>
      </c>
      <c r="O40" s="458">
        <f>4568+110+64</f>
        <v>4742</v>
      </c>
      <c r="P40" s="133" t="s">
        <v>295</v>
      </c>
      <c r="Q40" s="284"/>
    </row>
    <row r="41" spans="1:17" s="458" customFormat="1" ht="18.75" customHeight="1">
      <c r="A41" s="180" t="s">
        <v>64</v>
      </c>
      <c r="B41" s="111" t="s">
        <v>699</v>
      </c>
      <c r="C41" s="284" t="s">
        <v>703</v>
      </c>
      <c r="D41" s="458">
        <f>234+18+10</f>
        <v>262</v>
      </c>
      <c r="G41" s="458">
        <f>426+32</f>
        <v>458</v>
      </c>
      <c r="H41" s="458">
        <f>998+75</f>
        <v>1073</v>
      </c>
      <c r="K41" s="458">
        <f>475+36</f>
        <v>511</v>
      </c>
      <c r="M41" s="475"/>
      <c r="N41" s="458">
        <v>2860</v>
      </c>
      <c r="O41" s="458">
        <f>4633+347+64</f>
        <v>5044</v>
      </c>
      <c r="P41" s="284" t="s">
        <v>1040</v>
      </c>
      <c r="Q41" s="284"/>
    </row>
    <row r="42" spans="1:17" s="458" customFormat="1" ht="18.75" customHeight="1">
      <c r="A42" s="180" t="s">
        <v>64</v>
      </c>
      <c r="B42" s="93" t="s">
        <v>700</v>
      </c>
      <c r="C42" s="284" t="s">
        <v>677</v>
      </c>
      <c r="D42" s="458">
        <f>238+18</f>
        <v>256</v>
      </c>
      <c r="G42" s="458">
        <f>432+32</f>
        <v>464</v>
      </c>
      <c r="H42" s="458">
        <v>34</v>
      </c>
      <c r="I42" s="458">
        <f>1012+76</f>
        <v>1088</v>
      </c>
      <c r="K42" s="458">
        <f>482+36</f>
        <v>518</v>
      </c>
      <c r="M42" s="475"/>
      <c r="N42" s="458">
        <f>2900</f>
        <v>2900</v>
      </c>
      <c r="O42" s="458">
        <f>4698+352+64</f>
        <v>5114</v>
      </c>
      <c r="P42" s="133" t="s">
        <v>455</v>
      </c>
      <c r="Q42" s="284"/>
    </row>
    <row r="43" spans="1:17" s="458" customFormat="1" ht="18.75" customHeight="1">
      <c r="A43" s="180" t="s">
        <v>64</v>
      </c>
      <c r="B43" s="93" t="s">
        <v>701</v>
      </c>
      <c r="C43" s="284" t="s">
        <v>673</v>
      </c>
      <c r="D43" s="458">
        <f>238+18</f>
        <v>256</v>
      </c>
      <c r="G43" s="458">
        <f>432+32</f>
        <v>464</v>
      </c>
      <c r="I43" s="458">
        <f>1012+76</f>
        <v>1088</v>
      </c>
      <c r="L43" s="458">
        <f>482+36+34</f>
        <v>552</v>
      </c>
      <c r="M43" s="475"/>
      <c r="N43" s="458">
        <f>2900</f>
        <v>2900</v>
      </c>
      <c r="O43" s="458">
        <f>4698+352+64</f>
        <v>5114</v>
      </c>
      <c r="P43" s="93" t="s">
        <v>706</v>
      </c>
      <c r="Q43" s="284"/>
    </row>
    <row r="44" spans="1:17" s="564" customFormat="1" ht="18.75" customHeight="1">
      <c r="A44" s="180" t="s">
        <v>64</v>
      </c>
      <c r="B44" s="93" t="s">
        <v>1443</v>
      </c>
      <c r="C44" s="284" t="s">
        <v>1444</v>
      </c>
      <c r="D44" s="564">
        <f>238+18</f>
        <v>256</v>
      </c>
      <c r="G44" s="564">
        <f>432+32</f>
        <v>464</v>
      </c>
      <c r="H44" s="564">
        <v>34</v>
      </c>
      <c r="I44" s="564">
        <f>1012+76</f>
        <v>1088</v>
      </c>
      <c r="K44" s="564">
        <f>482+36</f>
        <v>518</v>
      </c>
      <c r="N44" s="564">
        <f>2900</f>
        <v>2900</v>
      </c>
      <c r="O44" s="564">
        <f>4698+352+64</f>
        <v>5114</v>
      </c>
      <c r="P44" s="93" t="s">
        <v>1445</v>
      </c>
      <c r="Q44" s="284"/>
    </row>
    <row r="45" spans="1:17" s="458" customFormat="1" ht="18.75" customHeight="1">
      <c r="A45" s="180" t="s">
        <v>64</v>
      </c>
      <c r="B45" s="163" t="s">
        <v>702</v>
      </c>
      <c r="C45" s="284" t="s">
        <v>396</v>
      </c>
      <c r="D45" s="458">
        <f>241+18</f>
        <v>259</v>
      </c>
      <c r="G45" s="458">
        <f>437+33</f>
        <v>470</v>
      </c>
      <c r="H45" s="458">
        <v>34</v>
      </c>
      <c r="I45" s="458">
        <f>1026+77</f>
        <v>1103</v>
      </c>
      <c r="K45" s="458">
        <f>489+37</f>
        <v>526</v>
      </c>
      <c r="M45" s="475"/>
      <c r="N45" s="458">
        <v>2940</v>
      </c>
      <c r="O45" s="458">
        <f>4762+357+64</f>
        <v>5183</v>
      </c>
      <c r="P45" s="139" t="s">
        <v>300</v>
      </c>
      <c r="Q45" s="284"/>
    </row>
    <row r="46" spans="1:17" s="458" customFormat="1" ht="18.75" customHeight="1">
      <c r="A46" s="180" t="s">
        <v>66</v>
      </c>
      <c r="B46" s="93" t="s">
        <v>707</v>
      </c>
      <c r="C46" s="284" t="s">
        <v>708</v>
      </c>
      <c r="D46" s="458">
        <f>210+16+10</f>
        <v>236</v>
      </c>
      <c r="G46" s="458">
        <f t="shared" ref="G46:G51" si="2">380+29</f>
        <v>409</v>
      </c>
      <c r="H46" s="458">
        <f>892+67</f>
        <v>959</v>
      </c>
      <c r="L46" s="458">
        <f>425+32</f>
        <v>457</v>
      </c>
      <c r="M46" s="475"/>
      <c r="N46" s="458">
        <v>2300</v>
      </c>
      <c r="O46" s="458">
        <f>4140+311+64</f>
        <v>4515</v>
      </c>
      <c r="P46" s="93" t="s">
        <v>499</v>
      </c>
      <c r="Q46" s="284"/>
    </row>
    <row r="47" spans="1:17" s="314" customFormat="1" ht="18.75" customHeight="1">
      <c r="A47" s="180" t="s">
        <v>66</v>
      </c>
      <c r="B47" s="93" t="s">
        <v>710</v>
      </c>
      <c r="C47" s="284" t="s">
        <v>501</v>
      </c>
      <c r="D47" s="314">
        <f>210+16</f>
        <v>226</v>
      </c>
      <c r="E47" s="458"/>
      <c r="F47" s="458"/>
      <c r="G47" s="314">
        <f t="shared" si="2"/>
        <v>409</v>
      </c>
      <c r="I47" s="314">
        <f>892+67+34</f>
        <v>993</v>
      </c>
      <c r="K47" s="314">
        <f>425+32</f>
        <v>457</v>
      </c>
      <c r="M47" s="475"/>
      <c r="N47" s="314">
        <v>2300</v>
      </c>
      <c r="O47" s="314">
        <f t="shared" ref="O47:O54" si="3">4140+311+65</f>
        <v>4516</v>
      </c>
      <c r="P47" s="93" t="s">
        <v>499</v>
      </c>
      <c r="Q47" s="284"/>
    </row>
    <row r="48" spans="1:17" s="314" customFormat="1" ht="18.75" customHeight="1">
      <c r="A48" s="180" t="s">
        <v>66</v>
      </c>
      <c r="B48" s="93" t="s">
        <v>709</v>
      </c>
      <c r="C48" s="284" t="s">
        <v>503</v>
      </c>
      <c r="D48" s="314">
        <f>210+16+10</f>
        <v>236</v>
      </c>
      <c r="E48" s="458"/>
      <c r="F48" s="458"/>
      <c r="G48" s="314">
        <f t="shared" si="2"/>
        <v>409</v>
      </c>
      <c r="H48" s="314">
        <f>892+67</f>
        <v>959</v>
      </c>
      <c r="K48" s="314">
        <f>425+32</f>
        <v>457</v>
      </c>
      <c r="M48" s="475"/>
      <c r="N48" s="314">
        <v>2300</v>
      </c>
      <c r="O48" s="314">
        <f t="shared" si="3"/>
        <v>4516</v>
      </c>
      <c r="P48" s="93" t="s">
        <v>499</v>
      </c>
      <c r="Q48" s="284"/>
    </row>
    <row r="49" spans="1:17" s="314" customFormat="1" ht="18.75" customHeight="1">
      <c r="A49" s="180" t="s">
        <v>66</v>
      </c>
      <c r="B49" s="93" t="s">
        <v>711</v>
      </c>
      <c r="C49" s="284" t="s">
        <v>500</v>
      </c>
      <c r="D49" s="314">
        <f>210+16</f>
        <v>226</v>
      </c>
      <c r="E49" s="458"/>
      <c r="F49" s="458"/>
      <c r="G49" s="314">
        <f t="shared" si="2"/>
        <v>409</v>
      </c>
      <c r="I49" s="314">
        <f>892+67</f>
        <v>959</v>
      </c>
      <c r="J49" s="314">
        <v>34</v>
      </c>
      <c r="L49" s="314">
        <f>425+32</f>
        <v>457</v>
      </c>
      <c r="M49" s="475"/>
      <c r="N49" s="314">
        <v>2300</v>
      </c>
      <c r="O49" s="314">
        <f t="shared" si="3"/>
        <v>4516</v>
      </c>
      <c r="P49" s="93" t="s">
        <v>499</v>
      </c>
      <c r="Q49" s="284"/>
    </row>
    <row r="50" spans="1:17" ht="18.75" customHeight="1">
      <c r="A50" s="98" t="s">
        <v>66</v>
      </c>
      <c r="B50" s="144" t="s">
        <v>712</v>
      </c>
      <c r="C50" s="158" t="s">
        <v>379</v>
      </c>
      <c r="D50" s="17">
        <f>210+16</f>
        <v>226</v>
      </c>
      <c r="G50" s="17">
        <f t="shared" si="2"/>
        <v>409</v>
      </c>
      <c r="I50" s="17">
        <f>892+67</f>
        <v>959</v>
      </c>
      <c r="J50" s="17">
        <v>34</v>
      </c>
      <c r="L50" s="17">
        <f>425+32</f>
        <v>457</v>
      </c>
      <c r="N50" s="17">
        <v>2300</v>
      </c>
      <c r="O50" s="137">
        <f t="shared" si="3"/>
        <v>4516</v>
      </c>
      <c r="P50" s="93" t="s">
        <v>1126</v>
      </c>
    </row>
    <row r="51" spans="1:17" s="132" customFormat="1" ht="18.75" customHeight="1">
      <c r="A51" s="98" t="s">
        <v>66</v>
      </c>
      <c r="B51" s="93" t="s">
        <v>713</v>
      </c>
      <c r="C51" s="141" t="s">
        <v>134</v>
      </c>
      <c r="D51" s="137">
        <f>210+16+10</f>
        <v>236</v>
      </c>
      <c r="E51" s="458"/>
      <c r="F51" s="458"/>
      <c r="G51" s="137">
        <f t="shared" si="2"/>
        <v>409</v>
      </c>
      <c r="H51" s="137">
        <f>892+67</f>
        <v>959</v>
      </c>
      <c r="K51" s="137">
        <f>425+32</f>
        <v>457</v>
      </c>
      <c r="M51" s="475"/>
      <c r="N51" s="137">
        <v>2300</v>
      </c>
      <c r="O51" s="132">
        <f t="shared" si="3"/>
        <v>4516</v>
      </c>
      <c r="P51" s="93" t="s">
        <v>1124</v>
      </c>
      <c r="Q51" s="284"/>
    </row>
    <row r="52" spans="1:17" ht="18.75" customHeight="1">
      <c r="A52" s="52" t="s">
        <v>66</v>
      </c>
      <c r="B52" s="93" t="s">
        <v>714</v>
      </c>
      <c r="C52" s="127" t="s">
        <v>136</v>
      </c>
      <c r="D52" s="17">
        <f>212+16</f>
        <v>228</v>
      </c>
      <c r="G52" s="17">
        <f>385+29</f>
        <v>414</v>
      </c>
      <c r="I52" s="17">
        <f>904+68</f>
        <v>972</v>
      </c>
      <c r="J52" s="17">
        <v>34</v>
      </c>
      <c r="L52" s="17">
        <f>430+32</f>
        <v>462</v>
      </c>
      <c r="N52" s="17">
        <v>2330</v>
      </c>
      <c r="O52" s="137">
        <f t="shared" si="3"/>
        <v>4516</v>
      </c>
      <c r="P52" s="141" t="s">
        <v>455</v>
      </c>
    </row>
    <row r="53" spans="1:17" ht="18.75" customHeight="1">
      <c r="A53" s="52" t="s">
        <v>66</v>
      </c>
      <c r="B53" s="93" t="s">
        <v>715</v>
      </c>
      <c r="C53" s="127" t="s">
        <v>134</v>
      </c>
      <c r="D53" s="17">
        <f>212+16+10</f>
        <v>238</v>
      </c>
      <c r="G53" s="17">
        <f>385+29</f>
        <v>414</v>
      </c>
      <c r="H53" s="17">
        <f>904+68</f>
        <v>972</v>
      </c>
      <c r="K53" s="17">
        <f>430+32</f>
        <v>462</v>
      </c>
      <c r="N53" s="17">
        <v>2330</v>
      </c>
      <c r="O53" s="137">
        <f t="shared" si="3"/>
        <v>4516</v>
      </c>
      <c r="P53" s="140" t="s">
        <v>421</v>
      </c>
    </row>
    <row r="54" spans="1:17" ht="18.75" customHeight="1">
      <c r="A54" s="52" t="s">
        <v>66</v>
      </c>
      <c r="B54" s="93" t="s">
        <v>716</v>
      </c>
      <c r="C54" s="141" t="s">
        <v>135</v>
      </c>
      <c r="D54" s="17">
        <f>212+16</f>
        <v>228</v>
      </c>
      <c r="G54" s="17">
        <f>385+29</f>
        <v>414</v>
      </c>
      <c r="I54" s="17">
        <f>904+68+34</f>
        <v>1006</v>
      </c>
      <c r="K54" s="17">
        <f>430+32</f>
        <v>462</v>
      </c>
      <c r="N54" s="17">
        <v>2330</v>
      </c>
      <c r="O54" s="137">
        <f t="shared" si="3"/>
        <v>4516</v>
      </c>
      <c r="P54" s="179" t="s">
        <v>422</v>
      </c>
    </row>
    <row r="55" spans="1:17" ht="18.75" customHeight="1">
      <c r="A55" s="52" t="s">
        <v>66</v>
      </c>
      <c r="B55" s="93" t="s">
        <v>717</v>
      </c>
      <c r="C55" s="141" t="s">
        <v>399</v>
      </c>
      <c r="D55" s="17">
        <f>215+16+10</f>
        <v>241</v>
      </c>
      <c r="G55" s="17">
        <f>390+29</f>
        <v>419</v>
      </c>
      <c r="H55" s="17">
        <f>915+69</f>
        <v>984</v>
      </c>
      <c r="L55" s="17">
        <f>436+33</f>
        <v>469</v>
      </c>
      <c r="N55" s="17">
        <v>2360</v>
      </c>
      <c r="O55" s="131">
        <f>4248+319+64</f>
        <v>4631</v>
      </c>
      <c r="P55" s="33" t="s">
        <v>454</v>
      </c>
    </row>
    <row r="56" spans="1:17" s="501" customFormat="1" ht="18.75" customHeight="1">
      <c r="A56" s="180" t="s">
        <v>66</v>
      </c>
      <c r="B56" s="93" t="s">
        <v>1285</v>
      </c>
      <c r="C56" s="284" t="s">
        <v>1283</v>
      </c>
      <c r="D56" s="501">
        <f>221+17+10</f>
        <v>248</v>
      </c>
      <c r="G56" s="501">
        <f>402+30</f>
        <v>432</v>
      </c>
      <c r="H56" s="501">
        <f>942+71</f>
        <v>1013</v>
      </c>
      <c r="M56" s="501">
        <f>449+34</f>
        <v>483</v>
      </c>
      <c r="N56" s="501">
        <v>2430</v>
      </c>
      <c r="O56" s="501">
        <f>4374+328+64</f>
        <v>4766</v>
      </c>
      <c r="P56" s="284" t="s">
        <v>1286</v>
      </c>
      <c r="Q56" s="284"/>
    </row>
    <row r="57" spans="1:17" s="458" customFormat="1" ht="18.75" customHeight="1">
      <c r="A57" s="180" t="s">
        <v>66</v>
      </c>
      <c r="B57" s="93" t="s">
        <v>767</v>
      </c>
      <c r="C57" s="284" t="s">
        <v>768</v>
      </c>
      <c r="D57" s="458">
        <f>221+17</f>
        <v>238</v>
      </c>
      <c r="G57" s="458">
        <f>623+47</f>
        <v>670</v>
      </c>
      <c r="K57" s="458">
        <f>449+34+34</f>
        <v>517</v>
      </c>
      <c r="L57" s="458">
        <f>449+34</f>
        <v>483</v>
      </c>
      <c r="M57" s="475"/>
      <c r="N57" s="458">
        <v>2430</v>
      </c>
      <c r="O57" s="458">
        <f>4374+328+64</f>
        <v>4766</v>
      </c>
      <c r="P57" s="315" t="s">
        <v>686</v>
      </c>
      <c r="Q57" s="284"/>
    </row>
    <row r="58" spans="1:17" s="132" customFormat="1" ht="18.75" customHeight="1">
      <c r="A58" s="98" t="s">
        <v>66</v>
      </c>
      <c r="B58" s="144" t="s">
        <v>769</v>
      </c>
      <c r="C58" s="158" t="s">
        <v>379</v>
      </c>
      <c r="D58" s="132">
        <f>233+17</f>
        <v>250</v>
      </c>
      <c r="E58" s="458"/>
      <c r="F58" s="458"/>
      <c r="G58" s="132">
        <f>423+32</f>
        <v>455</v>
      </c>
      <c r="I58" s="132">
        <f>993+74</f>
        <v>1067</v>
      </c>
      <c r="L58" s="132">
        <f>473+35</f>
        <v>508</v>
      </c>
      <c r="M58" s="475"/>
      <c r="N58" s="132">
        <v>2560</v>
      </c>
      <c r="O58" s="132">
        <f>4608+346+64</f>
        <v>5018</v>
      </c>
      <c r="P58" s="93" t="s">
        <v>1127</v>
      </c>
      <c r="Q58" s="284"/>
    </row>
    <row r="59" spans="1:17" s="314" customFormat="1" ht="18.75" customHeight="1">
      <c r="A59" s="180" t="s">
        <v>66</v>
      </c>
      <c r="B59" s="93" t="s">
        <v>770</v>
      </c>
      <c r="C59" s="284" t="s">
        <v>503</v>
      </c>
      <c r="D59" s="314">
        <f>233+17+10</f>
        <v>260</v>
      </c>
      <c r="E59" s="458"/>
      <c r="F59" s="458"/>
      <c r="G59" s="314">
        <f>423+32</f>
        <v>455</v>
      </c>
      <c r="H59" s="314">
        <f>993+74</f>
        <v>1067</v>
      </c>
      <c r="K59" s="314">
        <f>473+35</f>
        <v>508</v>
      </c>
      <c r="M59" s="475"/>
      <c r="N59" s="461">
        <v>2560</v>
      </c>
      <c r="O59" s="314">
        <f>4608+346+64</f>
        <v>5018</v>
      </c>
      <c r="P59" s="93" t="s">
        <v>1037</v>
      </c>
      <c r="Q59" s="284"/>
    </row>
    <row r="60" spans="1:17" s="137" customFormat="1" ht="18.75" customHeight="1">
      <c r="A60" s="98" t="s">
        <v>66</v>
      </c>
      <c r="B60" s="139" t="s">
        <v>731</v>
      </c>
      <c r="C60" s="141" t="s">
        <v>134</v>
      </c>
      <c r="D60" s="137">
        <f>237+18+10</f>
        <v>265</v>
      </c>
      <c r="E60" s="458"/>
      <c r="F60" s="458"/>
      <c r="G60" s="137">
        <f>430+32</f>
        <v>462</v>
      </c>
      <c r="H60" s="137">
        <f>1008+76</f>
        <v>1084</v>
      </c>
      <c r="K60" s="137">
        <f>480+36</f>
        <v>516</v>
      </c>
      <c r="M60" s="475"/>
      <c r="N60" s="137">
        <v>2600</v>
      </c>
      <c r="O60" s="137">
        <f>4680+351+64</f>
        <v>5095</v>
      </c>
      <c r="P60" s="139" t="s">
        <v>419</v>
      </c>
      <c r="Q60" s="284"/>
    </row>
    <row r="61" spans="1:17" s="137" customFormat="1" ht="18.75" customHeight="1">
      <c r="A61" s="98" t="s">
        <v>66</v>
      </c>
      <c r="B61" s="139" t="s">
        <v>745</v>
      </c>
      <c r="C61" s="141" t="s">
        <v>135</v>
      </c>
      <c r="D61" s="137">
        <f>237+18</f>
        <v>255</v>
      </c>
      <c r="E61" s="458"/>
      <c r="F61" s="458"/>
      <c r="G61" s="137">
        <f>430+32</f>
        <v>462</v>
      </c>
      <c r="H61" s="137">
        <f>1008+76</f>
        <v>1084</v>
      </c>
      <c r="I61" s="137">
        <v>34</v>
      </c>
      <c r="K61" s="137">
        <f>480+36</f>
        <v>516</v>
      </c>
      <c r="M61" s="475"/>
      <c r="N61" s="137">
        <v>2600</v>
      </c>
      <c r="O61" s="137">
        <f>4680+351+64</f>
        <v>5095</v>
      </c>
      <c r="P61" s="139" t="s">
        <v>423</v>
      </c>
      <c r="Q61" s="284"/>
    </row>
    <row r="62" spans="1:17" s="137" customFormat="1" ht="18.75" customHeight="1">
      <c r="A62" s="98" t="s">
        <v>66</v>
      </c>
      <c r="B62" s="139" t="s">
        <v>758</v>
      </c>
      <c r="C62" s="141" t="s">
        <v>136</v>
      </c>
      <c r="D62" s="137">
        <f>237+18</f>
        <v>255</v>
      </c>
      <c r="E62" s="458"/>
      <c r="F62" s="458"/>
      <c r="G62" s="137">
        <f>430+32</f>
        <v>462</v>
      </c>
      <c r="I62" s="137">
        <f>1008+76</f>
        <v>1084</v>
      </c>
      <c r="J62" s="137">
        <v>34</v>
      </c>
      <c r="L62" s="137">
        <f>480+36</f>
        <v>516</v>
      </c>
      <c r="M62" s="475"/>
      <c r="N62" s="137">
        <v>2600</v>
      </c>
      <c r="O62" s="137">
        <f>4680+351+64</f>
        <v>5095</v>
      </c>
      <c r="P62" s="139" t="s">
        <v>455</v>
      </c>
      <c r="Q62" s="284"/>
    </row>
    <row r="63" spans="1:17" s="137" customFormat="1" ht="18.75" customHeight="1">
      <c r="A63" s="98" t="s">
        <v>66</v>
      </c>
      <c r="B63" s="163" t="s">
        <v>771</v>
      </c>
      <c r="C63" s="158" t="s">
        <v>399</v>
      </c>
      <c r="D63" s="137">
        <f>240+18+10</f>
        <v>268</v>
      </c>
      <c r="E63" s="458"/>
      <c r="F63" s="458"/>
      <c r="G63" s="137">
        <f>436+33</f>
        <v>469</v>
      </c>
      <c r="H63" s="137">
        <f>1024+77</f>
        <v>1101</v>
      </c>
      <c r="L63" s="137">
        <f>488+37</f>
        <v>525</v>
      </c>
      <c r="M63" s="475"/>
      <c r="N63" s="137">
        <v>2640</v>
      </c>
      <c r="O63" s="137">
        <f>4752+356+64</f>
        <v>5172</v>
      </c>
      <c r="P63" s="139" t="s">
        <v>300</v>
      </c>
      <c r="Q63" s="284"/>
    </row>
    <row r="64" spans="1:17" s="458" customFormat="1" ht="18.75" customHeight="1">
      <c r="A64" s="180" t="s">
        <v>66</v>
      </c>
      <c r="B64" s="462" t="s">
        <v>774</v>
      </c>
      <c r="C64" s="284" t="s">
        <v>379</v>
      </c>
      <c r="D64" s="458">
        <f>261+20</f>
        <v>281</v>
      </c>
      <c r="G64" s="458">
        <f>473+35</f>
        <v>508</v>
      </c>
      <c r="I64" s="458">
        <f>1109+83</f>
        <v>1192</v>
      </c>
      <c r="J64" s="458">
        <v>34</v>
      </c>
      <c r="L64" s="458">
        <f>528+40</f>
        <v>568</v>
      </c>
      <c r="M64" s="475"/>
      <c r="N64" s="458">
        <v>2860</v>
      </c>
      <c r="O64" s="458">
        <f>5148+386+64</f>
        <v>5598</v>
      </c>
      <c r="P64" s="93" t="s">
        <v>1039</v>
      </c>
      <c r="Q64" s="284"/>
    </row>
    <row r="65" spans="1:17" s="458" customFormat="1" ht="18.75" customHeight="1">
      <c r="A65" s="180" t="s">
        <v>66</v>
      </c>
      <c r="B65" s="93" t="s">
        <v>775</v>
      </c>
      <c r="C65" s="284" t="s">
        <v>673</v>
      </c>
      <c r="D65" s="458">
        <f>264+20</f>
        <v>284</v>
      </c>
      <c r="G65" s="458">
        <f>479+36</f>
        <v>515</v>
      </c>
      <c r="I65" s="458">
        <f>1125+84</f>
        <v>1209</v>
      </c>
      <c r="J65" s="458">
        <v>34</v>
      </c>
      <c r="L65" s="458">
        <f>536+40</f>
        <v>576</v>
      </c>
      <c r="M65" s="475"/>
      <c r="N65" s="458">
        <v>2900</v>
      </c>
      <c r="O65" s="458">
        <f>5220+392+64</f>
        <v>5676</v>
      </c>
      <c r="P65" s="284" t="s">
        <v>455</v>
      </c>
      <c r="Q65" s="284"/>
    </row>
    <row r="66" spans="1:17" s="458" customFormat="1" ht="18.75" customHeight="1">
      <c r="A66" s="180" t="s">
        <v>66</v>
      </c>
      <c r="B66" s="93" t="s">
        <v>776</v>
      </c>
      <c r="C66" s="284" t="s">
        <v>670</v>
      </c>
      <c r="D66" s="458">
        <f>264+20+10</f>
        <v>294</v>
      </c>
      <c r="G66" s="458">
        <f>479+36</f>
        <v>515</v>
      </c>
      <c r="H66" s="458">
        <f>1125+84</f>
        <v>1209</v>
      </c>
      <c r="K66" s="458">
        <f>536+40</f>
        <v>576</v>
      </c>
      <c r="M66" s="475"/>
      <c r="N66" s="458">
        <v>2900</v>
      </c>
      <c r="O66" s="458">
        <f>5220+392+64</f>
        <v>5676</v>
      </c>
      <c r="P66" s="93" t="s">
        <v>778</v>
      </c>
      <c r="Q66" s="284"/>
    </row>
    <row r="67" spans="1:17" s="458" customFormat="1" ht="18.75" customHeight="1">
      <c r="A67" s="180" t="s">
        <v>66</v>
      </c>
      <c r="B67" s="93" t="s">
        <v>777</v>
      </c>
      <c r="C67" s="284" t="s">
        <v>677</v>
      </c>
      <c r="D67" s="458">
        <f>264+20</f>
        <v>284</v>
      </c>
      <c r="G67" s="458">
        <f>479+36</f>
        <v>515</v>
      </c>
      <c r="I67" s="458">
        <f>1125+84+34</f>
        <v>1243</v>
      </c>
      <c r="K67" s="458">
        <f>536+40</f>
        <v>576</v>
      </c>
      <c r="M67" s="475"/>
      <c r="N67" s="458">
        <v>2900</v>
      </c>
      <c r="O67" s="458">
        <f>5220+392+64</f>
        <v>5676</v>
      </c>
      <c r="P67" s="93" t="s">
        <v>779</v>
      </c>
      <c r="Q67" s="284"/>
    </row>
    <row r="68" spans="1:17" s="458" customFormat="1" ht="18.75" customHeight="1">
      <c r="A68" s="180" t="s">
        <v>66</v>
      </c>
      <c r="B68" s="163" t="s">
        <v>1025</v>
      </c>
      <c r="C68" s="284" t="s">
        <v>399</v>
      </c>
      <c r="D68" s="458">
        <f>268+20+10</f>
        <v>298</v>
      </c>
      <c r="G68" s="458">
        <f>486+36</f>
        <v>522</v>
      </c>
      <c r="H68" s="458">
        <f>1140+86</f>
        <v>1226</v>
      </c>
      <c r="L68" s="458">
        <f>543+41</f>
        <v>584</v>
      </c>
      <c r="M68" s="475"/>
      <c r="N68" s="458">
        <v>2940</v>
      </c>
      <c r="O68" s="458">
        <f>5292+397+64</f>
        <v>5753</v>
      </c>
      <c r="P68" s="139" t="s">
        <v>300</v>
      </c>
      <c r="Q68" s="284"/>
    </row>
    <row r="69" spans="1:17" s="137" customFormat="1" ht="18.75" customHeight="1">
      <c r="A69" s="98" t="s">
        <v>68</v>
      </c>
      <c r="B69" s="139" t="s">
        <v>782</v>
      </c>
      <c r="C69" s="141" t="s">
        <v>136</v>
      </c>
      <c r="D69" s="137">
        <f>147+11</f>
        <v>158</v>
      </c>
      <c r="E69" s="458"/>
      <c r="F69" s="458"/>
      <c r="G69" s="137">
        <f t="shared" ref="G69:G74" si="4">266+20</f>
        <v>286</v>
      </c>
      <c r="I69" s="137">
        <f>624+47+34</f>
        <v>705</v>
      </c>
      <c r="L69" s="137">
        <f>297+22</f>
        <v>319</v>
      </c>
      <c r="M69" s="475"/>
      <c r="N69" s="137">
        <v>2300</v>
      </c>
      <c r="O69" s="137">
        <f t="shared" ref="O69:O74" si="5">2898+217+64</f>
        <v>3179</v>
      </c>
      <c r="P69" s="139" t="s">
        <v>459</v>
      </c>
      <c r="Q69" s="284"/>
    </row>
    <row r="70" spans="1:17" ht="18.75" customHeight="1">
      <c r="A70" s="52" t="s">
        <v>68</v>
      </c>
      <c r="B70" s="144" t="s">
        <v>786</v>
      </c>
      <c r="C70" s="158" t="s">
        <v>379</v>
      </c>
      <c r="D70" s="17">
        <f>147+11</f>
        <v>158</v>
      </c>
      <c r="G70" s="17">
        <f t="shared" si="4"/>
        <v>286</v>
      </c>
      <c r="I70" s="17">
        <f>624+47+34</f>
        <v>705</v>
      </c>
      <c r="L70" s="17">
        <f>297+22</f>
        <v>319</v>
      </c>
      <c r="N70" s="17">
        <v>2300</v>
      </c>
      <c r="O70" s="137">
        <f t="shared" si="5"/>
        <v>3179</v>
      </c>
      <c r="P70" s="158" t="s">
        <v>1131</v>
      </c>
    </row>
    <row r="71" spans="1:17" s="137" customFormat="1" ht="18.75" customHeight="1">
      <c r="A71" s="98" t="s">
        <v>68</v>
      </c>
      <c r="B71" s="93" t="s">
        <v>781</v>
      </c>
      <c r="C71" s="141" t="s">
        <v>134</v>
      </c>
      <c r="D71" s="137">
        <f>147+11+10</f>
        <v>168</v>
      </c>
      <c r="E71" s="458"/>
      <c r="F71" s="458"/>
      <c r="G71" s="137">
        <f t="shared" si="4"/>
        <v>286</v>
      </c>
      <c r="H71" s="137">
        <f>624+47</f>
        <v>671</v>
      </c>
      <c r="K71" s="137">
        <f>297+22</f>
        <v>319</v>
      </c>
      <c r="M71" s="475"/>
      <c r="N71" s="137">
        <v>2300</v>
      </c>
      <c r="O71" s="137">
        <f t="shared" si="5"/>
        <v>3179</v>
      </c>
      <c r="P71" s="135" t="s">
        <v>506</v>
      </c>
      <c r="Q71" s="284"/>
    </row>
    <row r="72" spans="1:17" s="314" customFormat="1" ht="18.75" customHeight="1">
      <c r="A72" s="180" t="s">
        <v>68</v>
      </c>
      <c r="B72" s="93" t="s">
        <v>780</v>
      </c>
      <c r="C72" s="284" t="s">
        <v>500</v>
      </c>
      <c r="D72" s="314">
        <f>147+11</f>
        <v>158</v>
      </c>
      <c r="E72" s="458"/>
      <c r="F72" s="458"/>
      <c r="G72" s="314">
        <f t="shared" si="4"/>
        <v>286</v>
      </c>
      <c r="I72" s="314">
        <f>624+47</f>
        <v>671</v>
      </c>
      <c r="L72" s="314">
        <f>297+22</f>
        <v>319</v>
      </c>
      <c r="M72" s="475"/>
      <c r="N72" s="314">
        <v>2300</v>
      </c>
      <c r="O72" s="314">
        <f t="shared" si="5"/>
        <v>3179</v>
      </c>
      <c r="P72" s="93" t="s">
        <v>499</v>
      </c>
      <c r="Q72" s="284"/>
    </row>
    <row r="73" spans="1:17" s="314" customFormat="1" ht="18.75" customHeight="1">
      <c r="A73" s="180" t="s">
        <v>68</v>
      </c>
      <c r="B73" s="93" t="s">
        <v>787</v>
      </c>
      <c r="C73" s="284" t="s">
        <v>503</v>
      </c>
      <c r="D73" s="458">
        <f>147+11+10</f>
        <v>168</v>
      </c>
      <c r="E73" s="458"/>
      <c r="F73" s="458"/>
      <c r="G73" s="458">
        <f t="shared" si="4"/>
        <v>286</v>
      </c>
      <c r="H73" s="458">
        <f>624+47</f>
        <v>671</v>
      </c>
      <c r="K73" s="458">
        <f>297+22</f>
        <v>319</v>
      </c>
      <c r="M73" s="475"/>
      <c r="N73" s="458">
        <v>2300</v>
      </c>
      <c r="O73" s="458">
        <f t="shared" si="5"/>
        <v>3179</v>
      </c>
      <c r="P73" s="93" t="s">
        <v>499</v>
      </c>
      <c r="Q73" s="284"/>
    </row>
    <row r="74" spans="1:17" s="314" customFormat="1" ht="18.75" customHeight="1">
      <c r="A74" s="180" t="s">
        <v>68</v>
      </c>
      <c r="B74" s="93" t="s">
        <v>788</v>
      </c>
      <c r="C74" s="284" t="s">
        <v>502</v>
      </c>
      <c r="D74" s="458">
        <f>147+11</f>
        <v>158</v>
      </c>
      <c r="E74" s="458"/>
      <c r="F74" s="458"/>
      <c r="G74" s="458">
        <f t="shared" si="4"/>
        <v>286</v>
      </c>
      <c r="H74" s="458">
        <f>624+47</f>
        <v>671</v>
      </c>
      <c r="L74" s="458">
        <f>297+22+34</f>
        <v>353</v>
      </c>
      <c r="M74" s="475"/>
      <c r="N74" s="458">
        <v>2300</v>
      </c>
      <c r="O74" s="458">
        <f t="shared" si="5"/>
        <v>3179</v>
      </c>
      <c r="P74" s="93" t="s">
        <v>499</v>
      </c>
      <c r="Q74" s="284"/>
    </row>
    <row r="75" spans="1:17" s="137" customFormat="1" ht="18.75" customHeight="1">
      <c r="A75" s="98" t="s">
        <v>68</v>
      </c>
      <c r="B75" s="93" t="s">
        <v>789</v>
      </c>
      <c r="C75" s="141" t="s">
        <v>134</v>
      </c>
      <c r="D75" s="137">
        <f>149+11</f>
        <v>160</v>
      </c>
      <c r="E75" s="458"/>
      <c r="F75" s="458"/>
      <c r="G75" s="137">
        <f>270+20</f>
        <v>290</v>
      </c>
      <c r="H75" s="137">
        <f>632+47</f>
        <v>679</v>
      </c>
      <c r="K75" s="137">
        <f>301+23</f>
        <v>324</v>
      </c>
      <c r="M75" s="475"/>
      <c r="N75" s="137">
        <v>2330</v>
      </c>
      <c r="O75" s="137">
        <f t="shared" ref="O75:O81" si="6">2935+220+64</f>
        <v>3219</v>
      </c>
      <c r="P75" s="141" t="s">
        <v>424</v>
      </c>
      <c r="Q75" s="284"/>
    </row>
    <row r="76" spans="1:17" ht="18.75" customHeight="1">
      <c r="A76" s="52" t="s">
        <v>68</v>
      </c>
      <c r="B76" s="93" t="s">
        <v>737</v>
      </c>
      <c r="C76" s="141" t="s">
        <v>293</v>
      </c>
      <c r="D76" s="17">
        <f>149+11</f>
        <v>160</v>
      </c>
      <c r="G76" s="17">
        <f>270+20</f>
        <v>290</v>
      </c>
      <c r="H76" s="17">
        <f>632+47</f>
        <v>679</v>
      </c>
      <c r="L76" s="17">
        <f>301+23+34</f>
        <v>358</v>
      </c>
      <c r="N76" s="17">
        <v>2330</v>
      </c>
      <c r="O76" s="137">
        <f t="shared" si="6"/>
        <v>3219</v>
      </c>
      <c r="P76" s="140" t="s">
        <v>425</v>
      </c>
    </row>
    <row r="77" spans="1:17" ht="18.75" customHeight="1">
      <c r="A77" s="52" t="s">
        <v>68</v>
      </c>
      <c r="B77" s="161" t="s">
        <v>138</v>
      </c>
      <c r="C77" s="158" t="s">
        <v>380</v>
      </c>
      <c r="G77" s="17">
        <f>984+37</f>
        <v>1021</v>
      </c>
      <c r="H77" s="17">
        <v>34</v>
      </c>
      <c r="N77" s="17">
        <v>2330</v>
      </c>
      <c r="O77" s="137">
        <f t="shared" si="6"/>
        <v>3219</v>
      </c>
      <c r="P77" s="158" t="s">
        <v>460</v>
      </c>
    </row>
    <row r="78" spans="1:17" ht="18.75" customHeight="1">
      <c r="A78" s="52" t="s">
        <v>68</v>
      </c>
      <c r="B78" s="161" t="s">
        <v>139</v>
      </c>
      <c r="C78" s="158" t="s">
        <v>381</v>
      </c>
      <c r="G78" s="17">
        <f>620+24</f>
        <v>644</v>
      </c>
      <c r="H78" s="17">
        <f>512+19</f>
        <v>531</v>
      </c>
      <c r="K78" s="17">
        <f>301+11</f>
        <v>312</v>
      </c>
      <c r="N78" s="17">
        <v>2330</v>
      </c>
      <c r="O78" s="137">
        <f t="shared" si="6"/>
        <v>3219</v>
      </c>
      <c r="P78" s="158" t="s">
        <v>460</v>
      </c>
    </row>
    <row r="79" spans="1:17" ht="18.75" customHeight="1">
      <c r="A79" s="52" t="s">
        <v>68</v>
      </c>
      <c r="B79" s="161" t="s">
        <v>140</v>
      </c>
      <c r="C79" s="158" t="s">
        <v>382</v>
      </c>
      <c r="G79" s="17">
        <f>620+24</f>
        <v>644</v>
      </c>
      <c r="I79" s="17">
        <f>512+19</f>
        <v>531</v>
      </c>
      <c r="K79" s="17">
        <v>34</v>
      </c>
      <c r="L79" s="17">
        <f>301+11</f>
        <v>312</v>
      </c>
      <c r="N79" s="17">
        <v>2330</v>
      </c>
      <c r="O79" s="137">
        <f t="shared" si="6"/>
        <v>3219</v>
      </c>
      <c r="P79" s="158" t="s">
        <v>460</v>
      </c>
    </row>
    <row r="80" spans="1:17" ht="18.75" customHeight="1">
      <c r="A80" s="52" t="s">
        <v>68</v>
      </c>
      <c r="B80" s="93" t="s">
        <v>718</v>
      </c>
      <c r="C80" s="141" t="s">
        <v>135</v>
      </c>
      <c r="D80" s="17">
        <f>149+11</f>
        <v>160</v>
      </c>
      <c r="G80" s="17">
        <f>270+20</f>
        <v>290</v>
      </c>
      <c r="I80" s="17">
        <f>632+47</f>
        <v>679</v>
      </c>
      <c r="K80" s="17">
        <f>301+23</f>
        <v>324</v>
      </c>
      <c r="N80" s="17">
        <v>2330</v>
      </c>
      <c r="O80" s="137">
        <f t="shared" si="6"/>
        <v>3219</v>
      </c>
      <c r="P80" s="141" t="s">
        <v>455</v>
      </c>
    </row>
    <row r="81" spans="1:17" ht="18.75" customHeight="1">
      <c r="A81" s="52" t="s">
        <v>68</v>
      </c>
      <c r="B81" s="163" t="s">
        <v>742</v>
      </c>
      <c r="C81" s="141" t="s">
        <v>396</v>
      </c>
      <c r="D81" s="17">
        <f>150+11</f>
        <v>161</v>
      </c>
      <c r="G81" s="17">
        <f>273+20</f>
        <v>293</v>
      </c>
      <c r="I81" s="17">
        <f>641+48</f>
        <v>689</v>
      </c>
      <c r="J81" s="17">
        <v>34</v>
      </c>
      <c r="K81" s="17">
        <f>305+23</f>
        <v>328</v>
      </c>
      <c r="N81" s="17">
        <v>2360</v>
      </c>
      <c r="O81" s="137">
        <f t="shared" si="6"/>
        <v>3219</v>
      </c>
      <c r="P81" s="141" t="s">
        <v>300</v>
      </c>
    </row>
    <row r="82" spans="1:17" s="501" customFormat="1" ht="18.75" customHeight="1">
      <c r="A82" s="180" t="s">
        <v>68</v>
      </c>
      <c r="B82" s="93" t="s">
        <v>1287</v>
      </c>
      <c r="C82" s="284" t="s">
        <v>1288</v>
      </c>
      <c r="D82" s="501">
        <f>155+12</f>
        <v>167</v>
      </c>
      <c r="G82" s="501">
        <f>281+21</f>
        <v>302</v>
      </c>
      <c r="I82" s="501">
        <f>660+50</f>
        <v>710</v>
      </c>
      <c r="K82" s="132">
        <f>314+24</f>
        <v>338</v>
      </c>
      <c r="N82" s="501">
        <v>2430</v>
      </c>
      <c r="O82" s="501">
        <f>3061+230+64</f>
        <v>3355</v>
      </c>
      <c r="P82" s="284"/>
      <c r="Q82" s="284"/>
    </row>
    <row r="83" spans="1:17" s="132" customFormat="1" ht="18.75" customHeight="1">
      <c r="A83" s="98" t="s">
        <v>68</v>
      </c>
      <c r="B83" s="144" t="s">
        <v>790</v>
      </c>
      <c r="C83" s="158" t="s">
        <v>379</v>
      </c>
      <c r="D83" s="132">
        <f>163+12</f>
        <v>175</v>
      </c>
      <c r="E83" s="458"/>
      <c r="F83" s="458"/>
      <c r="G83" s="132">
        <f>296+22</f>
        <v>318</v>
      </c>
      <c r="I83" s="132">
        <f>695+52+34</f>
        <v>781</v>
      </c>
      <c r="J83" s="132">
        <v>34</v>
      </c>
      <c r="L83" s="132">
        <f>331+25</f>
        <v>356</v>
      </c>
      <c r="M83" s="475"/>
      <c r="N83" s="132">
        <v>2560</v>
      </c>
      <c r="O83" s="132">
        <f>3225+242+64</f>
        <v>3531</v>
      </c>
      <c r="P83" s="93" t="s">
        <v>1132</v>
      </c>
      <c r="Q83" s="284"/>
    </row>
    <row r="84" spans="1:17" s="314" customFormat="1" ht="18.75" customHeight="1">
      <c r="A84" s="180" t="s">
        <v>68</v>
      </c>
      <c r="B84" s="93" t="s">
        <v>791</v>
      </c>
      <c r="C84" s="284" t="s">
        <v>503</v>
      </c>
      <c r="D84" s="314">
        <f>163+12+10</f>
        <v>185</v>
      </c>
      <c r="E84" s="458"/>
      <c r="F84" s="458"/>
      <c r="G84" s="314">
        <f>296+22</f>
        <v>318</v>
      </c>
      <c r="H84" s="314">
        <f>695+52</f>
        <v>747</v>
      </c>
      <c r="K84" s="314">
        <f>331+25</f>
        <v>356</v>
      </c>
      <c r="M84" s="475"/>
      <c r="N84" s="458">
        <v>2560</v>
      </c>
      <c r="O84" s="458">
        <f>3225+242+64</f>
        <v>3531</v>
      </c>
      <c r="P84" s="284" t="s">
        <v>504</v>
      </c>
      <c r="Q84" s="284"/>
    </row>
    <row r="85" spans="1:17" s="314" customFormat="1" ht="18.75" customHeight="1">
      <c r="A85" s="180" t="s">
        <v>68</v>
      </c>
      <c r="B85" s="93" t="s">
        <v>792</v>
      </c>
      <c r="C85" s="284" t="s">
        <v>500</v>
      </c>
      <c r="D85" s="314">
        <f>163+12</f>
        <v>175</v>
      </c>
      <c r="E85" s="458"/>
      <c r="F85" s="458"/>
      <c r="G85" s="314">
        <f>296+22</f>
        <v>318</v>
      </c>
      <c r="I85" s="314">
        <f>695+52+34</f>
        <v>781</v>
      </c>
      <c r="L85" s="314">
        <f>331+25</f>
        <v>356</v>
      </c>
      <c r="M85" s="475"/>
      <c r="N85" s="458">
        <v>2560</v>
      </c>
      <c r="O85" s="458">
        <f>3225+242+64</f>
        <v>3531</v>
      </c>
      <c r="P85" s="93" t="s">
        <v>1036</v>
      </c>
      <c r="Q85" s="284"/>
    </row>
    <row r="86" spans="1:17" s="137" customFormat="1" ht="18.75" customHeight="1">
      <c r="A86" s="98" t="s">
        <v>68</v>
      </c>
      <c r="B86" s="139" t="s">
        <v>732</v>
      </c>
      <c r="C86" s="141" t="s">
        <v>293</v>
      </c>
      <c r="D86" s="137">
        <f>166+12</f>
        <v>178</v>
      </c>
      <c r="E86" s="458"/>
      <c r="F86" s="458"/>
      <c r="G86" s="137">
        <f>301+23</f>
        <v>324</v>
      </c>
      <c r="H86" s="137">
        <f>706+53</f>
        <v>759</v>
      </c>
      <c r="L86" s="137">
        <f>336+34</f>
        <v>370</v>
      </c>
      <c r="M86" s="475"/>
      <c r="N86" s="137">
        <v>2600</v>
      </c>
      <c r="O86" s="137">
        <f>3276+246+64</f>
        <v>3586</v>
      </c>
      <c r="P86" s="93" t="s">
        <v>1052</v>
      </c>
      <c r="Q86" s="284"/>
    </row>
    <row r="87" spans="1:17" s="137" customFormat="1" ht="18.75" customHeight="1">
      <c r="A87" s="98" t="s">
        <v>68</v>
      </c>
      <c r="B87" s="189" t="s">
        <v>301</v>
      </c>
      <c r="C87" s="141" t="s">
        <v>380</v>
      </c>
      <c r="E87" s="458"/>
      <c r="F87" s="458"/>
      <c r="G87" s="137">
        <f>1098+42</f>
        <v>1140</v>
      </c>
      <c r="H87" s="137">
        <v>34</v>
      </c>
      <c r="M87" s="475"/>
      <c r="N87" s="137">
        <v>2600</v>
      </c>
      <c r="O87" s="137">
        <f>3276+124+64</f>
        <v>3464</v>
      </c>
      <c r="P87" s="142" t="s">
        <v>426</v>
      </c>
      <c r="Q87" s="284"/>
    </row>
    <row r="88" spans="1:17" s="137" customFormat="1" ht="18.75" customHeight="1">
      <c r="A88" s="98" t="s">
        <v>68</v>
      </c>
      <c r="B88" s="189" t="s">
        <v>302</v>
      </c>
      <c r="C88" s="141" t="s">
        <v>381</v>
      </c>
      <c r="E88" s="458"/>
      <c r="F88" s="458"/>
      <c r="G88" s="137">
        <f>692+26</f>
        <v>718</v>
      </c>
      <c r="H88" s="137">
        <f>571+22</f>
        <v>593</v>
      </c>
      <c r="I88" s="137">
        <v>34</v>
      </c>
      <c r="K88" s="137">
        <f>336+13</f>
        <v>349</v>
      </c>
      <c r="M88" s="475"/>
      <c r="N88" s="137">
        <v>2600</v>
      </c>
      <c r="O88" s="137">
        <f>3276+124+64</f>
        <v>3464</v>
      </c>
      <c r="P88" s="142" t="s">
        <v>426</v>
      </c>
      <c r="Q88" s="284"/>
    </row>
    <row r="89" spans="1:17" s="137" customFormat="1" ht="18.75" customHeight="1">
      <c r="A89" s="98" t="s">
        <v>68</v>
      </c>
      <c r="B89" s="189" t="s">
        <v>303</v>
      </c>
      <c r="C89" s="141" t="s">
        <v>382</v>
      </c>
      <c r="E89" s="458"/>
      <c r="F89" s="458"/>
      <c r="G89" s="137">
        <f>692+26</f>
        <v>718</v>
      </c>
      <c r="I89" s="137">
        <f>571+22</f>
        <v>593</v>
      </c>
      <c r="K89" s="137">
        <v>34</v>
      </c>
      <c r="L89" s="137">
        <f>336+13</f>
        <v>349</v>
      </c>
      <c r="M89" s="475"/>
      <c r="N89" s="137">
        <v>2600</v>
      </c>
      <c r="O89" s="137">
        <f>3276+124+64</f>
        <v>3464</v>
      </c>
      <c r="P89" s="142" t="s">
        <v>426</v>
      </c>
      <c r="Q89" s="284"/>
    </row>
    <row r="90" spans="1:17" s="137" customFormat="1" ht="18.75" customHeight="1">
      <c r="A90" s="98" t="s">
        <v>68</v>
      </c>
      <c r="B90" s="139" t="s">
        <v>753</v>
      </c>
      <c r="C90" s="141" t="s">
        <v>134</v>
      </c>
      <c r="D90" s="137">
        <f>166+12+10</f>
        <v>188</v>
      </c>
      <c r="E90" s="458"/>
      <c r="F90" s="458"/>
      <c r="G90" s="137">
        <f>301+23</f>
        <v>324</v>
      </c>
      <c r="H90" s="143">
        <f>706+53</f>
        <v>759</v>
      </c>
      <c r="K90" s="137">
        <f>336</f>
        <v>336</v>
      </c>
      <c r="M90" s="475"/>
      <c r="N90" s="137">
        <v>2600</v>
      </c>
      <c r="O90" s="137">
        <f>3276+124+64</f>
        <v>3464</v>
      </c>
      <c r="P90" s="142" t="s">
        <v>420</v>
      </c>
      <c r="Q90" s="284"/>
    </row>
    <row r="91" spans="1:17" s="137" customFormat="1" ht="18.75" customHeight="1">
      <c r="A91" s="98" t="s">
        <v>68</v>
      </c>
      <c r="B91" s="139" t="s">
        <v>759</v>
      </c>
      <c r="C91" s="141" t="s">
        <v>135</v>
      </c>
      <c r="D91" s="137">
        <f>166+12</f>
        <v>178</v>
      </c>
      <c r="E91" s="458"/>
      <c r="F91" s="458"/>
      <c r="G91" s="137">
        <f>301+23</f>
        <v>324</v>
      </c>
      <c r="H91" s="143"/>
      <c r="I91" s="137">
        <f>706+53</f>
        <v>759</v>
      </c>
      <c r="J91" s="137">
        <v>34</v>
      </c>
      <c r="K91" s="137">
        <f>336+25</f>
        <v>361</v>
      </c>
      <c r="M91" s="475"/>
      <c r="N91" s="137">
        <v>2600</v>
      </c>
      <c r="O91" s="137">
        <f>3276+124+64</f>
        <v>3464</v>
      </c>
      <c r="P91" s="142" t="s">
        <v>455</v>
      </c>
      <c r="Q91" s="284"/>
    </row>
    <row r="92" spans="1:17" s="137" customFormat="1" ht="18.75" customHeight="1">
      <c r="A92" s="98" t="s">
        <v>68</v>
      </c>
      <c r="B92" s="163" t="s">
        <v>1027</v>
      </c>
      <c r="C92" s="158" t="s">
        <v>396</v>
      </c>
      <c r="D92" s="137">
        <f>168+13</f>
        <v>181</v>
      </c>
      <c r="E92" s="458"/>
      <c r="F92" s="458"/>
      <c r="G92" s="137">
        <f>306+23</f>
        <v>329</v>
      </c>
      <c r="H92" s="143"/>
      <c r="I92" s="137">
        <f>717+54</f>
        <v>771</v>
      </c>
      <c r="J92" s="137">
        <v>34</v>
      </c>
      <c r="K92" s="137">
        <f>341+26</f>
        <v>367</v>
      </c>
      <c r="M92" s="475"/>
      <c r="N92" s="137">
        <f>2640</f>
        <v>2640</v>
      </c>
      <c r="O92" s="137">
        <f>3326+249+64</f>
        <v>3639</v>
      </c>
      <c r="P92" s="142" t="s">
        <v>300</v>
      </c>
      <c r="Q92" s="284"/>
    </row>
    <row r="93" spans="1:17" s="458" customFormat="1" ht="18.75" customHeight="1">
      <c r="A93" s="180" t="s">
        <v>68</v>
      </c>
      <c r="B93" s="462" t="s">
        <v>794</v>
      </c>
      <c r="C93" s="284" t="s">
        <v>379</v>
      </c>
      <c r="D93" s="458">
        <f>182+14</f>
        <v>196</v>
      </c>
      <c r="G93" s="458">
        <f>331+25</f>
        <v>356</v>
      </c>
      <c r="I93" s="458">
        <f>776+58</f>
        <v>834</v>
      </c>
      <c r="L93" s="458">
        <f>370+28</f>
        <v>398</v>
      </c>
      <c r="M93" s="475"/>
      <c r="N93" s="458">
        <v>2860</v>
      </c>
      <c r="O93" s="458">
        <f>3603+270+64</f>
        <v>3937</v>
      </c>
      <c r="P93" s="93" t="s">
        <v>1041</v>
      </c>
      <c r="Q93" s="284"/>
    </row>
    <row r="94" spans="1:17" s="458" customFormat="1" ht="18.75" customHeight="1">
      <c r="A94" s="180" t="s">
        <v>68</v>
      </c>
      <c r="B94" s="93" t="s">
        <v>795</v>
      </c>
      <c r="C94" s="284" t="s">
        <v>708</v>
      </c>
      <c r="D94" s="458">
        <f>185+14</f>
        <v>199</v>
      </c>
      <c r="G94" s="458">
        <f>336+25</f>
        <v>361</v>
      </c>
      <c r="H94" s="458">
        <f>787+59</f>
        <v>846</v>
      </c>
      <c r="L94" s="458">
        <f>375+28+34</f>
        <v>437</v>
      </c>
      <c r="M94" s="475"/>
      <c r="N94" s="458">
        <v>2900</v>
      </c>
      <c r="O94" s="458">
        <f t="shared" ref="O94:O99" si="7">3653+274+64</f>
        <v>3991</v>
      </c>
      <c r="P94" s="93" t="s">
        <v>803</v>
      </c>
      <c r="Q94" s="284"/>
    </row>
    <row r="95" spans="1:17" s="458" customFormat="1" ht="18.75" customHeight="1">
      <c r="A95" s="180" t="s">
        <v>68</v>
      </c>
      <c r="B95" s="93" t="s">
        <v>796</v>
      </c>
      <c r="C95" s="284" t="s">
        <v>801</v>
      </c>
      <c r="D95" s="458">
        <f>185+14</f>
        <v>199</v>
      </c>
      <c r="G95" s="458">
        <f>436+33</f>
        <v>469</v>
      </c>
      <c r="I95" s="458">
        <f>937+70</f>
        <v>1007</v>
      </c>
      <c r="K95" s="458">
        <v>34</v>
      </c>
      <c r="M95" s="475"/>
      <c r="N95" s="458">
        <v>2900</v>
      </c>
      <c r="O95" s="458">
        <f t="shared" si="7"/>
        <v>3991</v>
      </c>
      <c r="P95" s="93" t="s">
        <v>803</v>
      </c>
      <c r="Q95" s="284"/>
    </row>
    <row r="96" spans="1:17" s="458" customFormat="1" ht="18.75" customHeight="1">
      <c r="A96" s="180" t="s">
        <v>68</v>
      </c>
      <c r="B96" s="193" t="s">
        <v>797</v>
      </c>
      <c r="C96" s="284" t="s">
        <v>802</v>
      </c>
      <c r="G96" s="458">
        <f>806+19</f>
        <v>825</v>
      </c>
      <c r="I96" s="458">
        <f>1125+27</f>
        <v>1152</v>
      </c>
      <c r="J96" s="458">
        <v>34</v>
      </c>
      <c r="M96" s="475"/>
      <c r="N96" s="458">
        <v>2900</v>
      </c>
      <c r="O96" s="458">
        <f t="shared" si="7"/>
        <v>3991</v>
      </c>
      <c r="P96" s="93" t="s">
        <v>803</v>
      </c>
      <c r="Q96" s="284"/>
    </row>
    <row r="97" spans="1:17" s="458" customFormat="1" ht="18.75" customHeight="1">
      <c r="A97" s="180" t="s">
        <v>68</v>
      </c>
      <c r="B97" s="193" t="s">
        <v>798</v>
      </c>
      <c r="C97" s="284" t="s">
        <v>804</v>
      </c>
      <c r="G97" s="458">
        <f>755+18</f>
        <v>773</v>
      </c>
      <c r="H97" s="458">
        <f>787+19</f>
        <v>806</v>
      </c>
      <c r="I97" s="458">
        <v>34</v>
      </c>
      <c r="K97" s="458">
        <f>450+11</f>
        <v>461</v>
      </c>
      <c r="M97" s="475"/>
      <c r="N97" s="458">
        <v>2900</v>
      </c>
      <c r="O97" s="458">
        <f t="shared" si="7"/>
        <v>3991</v>
      </c>
      <c r="P97" s="93" t="s">
        <v>803</v>
      </c>
      <c r="Q97" s="284"/>
    </row>
    <row r="98" spans="1:17" s="458" customFormat="1" ht="18.75" customHeight="1">
      <c r="A98" s="180" t="s">
        <v>68</v>
      </c>
      <c r="B98" s="193" t="s">
        <v>799</v>
      </c>
      <c r="C98" s="284" t="s">
        <v>375</v>
      </c>
      <c r="G98" s="458">
        <f>755+18</f>
        <v>773</v>
      </c>
      <c r="H98" s="458">
        <v>34</v>
      </c>
      <c r="I98" s="458">
        <f>487+12</f>
        <v>499</v>
      </c>
      <c r="K98" s="458">
        <f>375+9</f>
        <v>384</v>
      </c>
      <c r="L98" s="458">
        <f>375+9</f>
        <v>384</v>
      </c>
      <c r="M98" s="475"/>
      <c r="N98" s="458">
        <v>2900</v>
      </c>
      <c r="O98" s="458">
        <f t="shared" si="7"/>
        <v>3991</v>
      </c>
      <c r="P98" s="93" t="s">
        <v>803</v>
      </c>
      <c r="Q98" s="284"/>
    </row>
    <row r="99" spans="1:17" s="458" customFormat="1" ht="18.75" customHeight="1">
      <c r="A99" s="180" t="s">
        <v>68</v>
      </c>
      <c r="B99" s="93" t="s">
        <v>805</v>
      </c>
      <c r="C99" s="284" t="s">
        <v>677</v>
      </c>
      <c r="D99" s="458">
        <f>185+14</f>
        <v>199</v>
      </c>
      <c r="G99" s="458">
        <f>336+25</f>
        <v>361</v>
      </c>
      <c r="I99" s="458">
        <f>787+59</f>
        <v>846</v>
      </c>
      <c r="J99" s="458">
        <v>34</v>
      </c>
      <c r="K99" s="458">
        <f>375+28</f>
        <v>403</v>
      </c>
      <c r="M99" s="475"/>
      <c r="N99" s="458">
        <v>2900</v>
      </c>
      <c r="O99" s="458">
        <f t="shared" si="7"/>
        <v>3991</v>
      </c>
      <c r="P99" s="142" t="s">
        <v>455</v>
      </c>
      <c r="Q99" s="284"/>
    </row>
    <row r="100" spans="1:17" s="458" customFormat="1" ht="18.75" customHeight="1">
      <c r="A100" s="180" t="s">
        <v>68</v>
      </c>
      <c r="B100" s="163" t="s">
        <v>800</v>
      </c>
      <c r="C100" s="284" t="s">
        <v>396</v>
      </c>
      <c r="D100" s="458">
        <f>187+14</f>
        <v>201</v>
      </c>
      <c r="G100" s="458">
        <f>340+26</f>
        <v>366</v>
      </c>
      <c r="I100" s="458">
        <f>798+60</f>
        <v>858</v>
      </c>
      <c r="J100" s="458">
        <v>34</v>
      </c>
      <c r="K100" s="458">
        <f>380+29</f>
        <v>409</v>
      </c>
      <c r="M100" s="475"/>
      <c r="N100" s="458">
        <v>2940</v>
      </c>
      <c r="O100" s="458">
        <f>3704+278+64</f>
        <v>4046</v>
      </c>
      <c r="P100" s="142" t="s">
        <v>300</v>
      </c>
      <c r="Q100" s="284"/>
    </row>
    <row r="101" spans="1:17" s="99" customFormat="1" ht="18.75" customHeight="1">
      <c r="A101" s="98" t="s">
        <v>70</v>
      </c>
      <c r="B101" s="93" t="s">
        <v>1053</v>
      </c>
      <c r="C101" s="141" t="s">
        <v>134</v>
      </c>
      <c r="D101" s="99">
        <f>134+10</f>
        <v>144</v>
      </c>
      <c r="E101" s="458"/>
      <c r="F101" s="458"/>
      <c r="G101" s="99">
        <f>243+18</f>
        <v>261</v>
      </c>
      <c r="H101" s="99" t="s">
        <v>806</v>
      </c>
      <c r="K101" s="99">
        <f>271+20</f>
        <v>291</v>
      </c>
      <c r="M101" s="475"/>
      <c r="N101" s="137">
        <v>2100</v>
      </c>
      <c r="O101" s="131">
        <f>2646+198+64</f>
        <v>2908</v>
      </c>
      <c r="P101" s="165" t="s">
        <v>458</v>
      </c>
      <c r="Q101" s="284"/>
    </row>
    <row r="102" spans="1:17" s="99" customFormat="1" ht="18.75" customHeight="1">
      <c r="A102" s="98" t="s">
        <v>70</v>
      </c>
      <c r="B102" s="93" t="s">
        <v>1054</v>
      </c>
      <c r="C102" s="141" t="s">
        <v>136</v>
      </c>
      <c r="D102" s="99">
        <f>136+10</f>
        <v>146</v>
      </c>
      <c r="E102" s="458"/>
      <c r="F102" s="458"/>
      <c r="G102" s="99">
        <f>247+19</f>
        <v>266</v>
      </c>
      <c r="I102" s="99">
        <f>578+43+34</f>
        <v>655</v>
      </c>
      <c r="L102" s="99">
        <f>275+21</f>
        <v>296</v>
      </c>
      <c r="M102" s="475"/>
      <c r="N102" s="99">
        <v>2130</v>
      </c>
      <c r="O102" s="131">
        <f>2683+201+64</f>
        <v>2948</v>
      </c>
      <c r="P102" s="315" t="s">
        <v>1055</v>
      </c>
      <c r="Q102" s="284"/>
    </row>
    <row r="103" spans="1:17" s="130" customFormat="1" ht="18.75" customHeight="1">
      <c r="A103" s="98" t="s">
        <v>70</v>
      </c>
      <c r="B103" s="155" t="s">
        <v>332</v>
      </c>
      <c r="C103" s="158" t="s">
        <v>383</v>
      </c>
      <c r="E103" s="458"/>
      <c r="F103" s="458"/>
      <c r="G103" s="130">
        <v>611</v>
      </c>
      <c r="L103" s="130">
        <v>853</v>
      </c>
      <c r="M103" s="475"/>
      <c r="N103" s="130">
        <v>2200</v>
      </c>
      <c r="O103" s="137">
        <f>2772+67+64</f>
        <v>2903</v>
      </c>
      <c r="P103" s="133" t="s">
        <v>295</v>
      </c>
      <c r="Q103" s="284"/>
    </row>
    <row r="104" spans="1:17" s="137" customFormat="1" ht="18.75" customHeight="1">
      <c r="A104" s="98" t="s">
        <v>70</v>
      </c>
      <c r="B104" s="155" t="s">
        <v>333</v>
      </c>
      <c r="C104" s="158" t="s">
        <v>384</v>
      </c>
      <c r="E104" s="458"/>
      <c r="F104" s="458"/>
      <c r="G104" s="137">
        <f>573+14</f>
        <v>587</v>
      </c>
      <c r="H104" s="137">
        <f>597+14</f>
        <v>611</v>
      </c>
      <c r="I104" s="137">
        <v>34</v>
      </c>
      <c r="K104" s="137">
        <f>341+8</f>
        <v>349</v>
      </c>
      <c r="M104" s="475"/>
      <c r="N104" s="137">
        <v>2200</v>
      </c>
      <c r="O104" s="137">
        <f>2772+67+64</f>
        <v>2903</v>
      </c>
      <c r="P104" s="133" t="s">
        <v>295</v>
      </c>
      <c r="Q104" s="284"/>
    </row>
    <row r="105" spans="1:17" s="137" customFormat="1" ht="18.75" customHeight="1">
      <c r="A105" s="98" t="s">
        <v>70</v>
      </c>
      <c r="B105" s="155" t="s">
        <v>334</v>
      </c>
      <c r="C105" s="158" t="s">
        <v>385</v>
      </c>
      <c r="E105" s="458"/>
      <c r="F105" s="458"/>
      <c r="G105" s="137">
        <f>547+13</f>
        <v>560</v>
      </c>
      <c r="H105" s="137">
        <v>34</v>
      </c>
      <c r="I105" s="137">
        <f>427+10</f>
        <v>437</v>
      </c>
      <c r="J105" s="137">
        <f>284+7</f>
        <v>291</v>
      </c>
      <c r="L105" s="137">
        <f>284+7</f>
        <v>291</v>
      </c>
      <c r="M105" s="475"/>
      <c r="N105" s="137">
        <v>2200</v>
      </c>
      <c r="O105" s="137">
        <f>2772+67+64</f>
        <v>2903</v>
      </c>
      <c r="P105" s="133" t="s">
        <v>295</v>
      </c>
      <c r="Q105" s="284"/>
    </row>
    <row r="106" spans="1:17" s="137" customFormat="1" ht="18.75" customHeight="1">
      <c r="A106" s="98" t="s">
        <v>70</v>
      </c>
      <c r="B106" s="155" t="s">
        <v>1049</v>
      </c>
      <c r="C106" s="158" t="s">
        <v>369</v>
      </c>
      <c r="E106" s="458"/>
      <c r="F106" s="458"/>
      <c r="G106" s="137">
        <f>633+15</f>
        <v>648</v>
      </c>
      <c r="I106" s="137">
        <f>884+21</f>
        <v>905</v>
      </c>
      <c r="J106" s="137">
        <v>34</v>
      </c>
      <c r="M106" s="475"/>
      <c r="N106" s="137">
        <v>2280</v>
      </c>
      <c r="O106" s="137">
        <f>2872+69+64</f>
        <v>3005</v>
      </c>
      <c r="P106" s="133" t="s">
        <v>295</v>
      </c>
      <c r="Q106" s="284"/>
    </row>
    <row r="107" spans="1:17" s="137" customFormat="1" ht="18.75" customHeight="1">
      <c r="A107" s="98" t="s">
        <v>70</v>
      </c>
      <c r="B107" s="155" t="s">
        <v>1050</v>
      </c>
      <c r="C107" s="158" t="s">
        <v>386</v>
      </c>
      <c r="E107" s="458"/>
      <c r="F107" s="458"/>
      <c r="G107" s="137">
        <f>567+14</f>
        <v>581</v>
      </c>
      <c r="H107" s="137">
        <f>516+12</f>
        <v>528</v>
      </c>
      <c r="I107" s="137">
        <f>516+12</f>
        <v>528</v>
      </c>
      <c r="K107" s="137">
        <v>34</v>
      </c>
      <c r="M107" s="475"/>
      <c r="N107" s="137">
        <v>2280</v>
      </c>
      <c r="O107" s="461">
        <f>2872+69+64</f>
        <v>3005</v>
      </c>
      <c r="P107" s="133" t="s">
        <v>295</v>
      </c>
      <c r="Q107" s="284"/>
    </row>
    <row r="108" spans="1:17" s="137" customFormat="1" ht="18.75" customHeight="1">
      <c r="A108" s="98" t="s">
        <v>70</v>
      </c>
      <c r="B108" s="155" t="s">
        <v>1051</v>
      </c>
      <c r="C108" s="158" t="s">
        <v>387</v>
      </c>
      <c r="E108" s="458"/>
      <c r="F108" s="458"/>
      <c r="G108" s="137">
        <f>594+14</f>
        <v>608</v>
      </c>
      <c r="H108" s="137">
        <f>339+8</f>
        <v>347</v>
      </c>
      <c r="I108" s="137">
        <f>339+8</f>
        <v>347</v>
      </c>
      <c r="J108" s="137">
        <f>295+7</f>
        <v>302</v>
      </c>
      <c r="K108" s="137">
        <v>34</v>
      </c>
      <c r="M108" s="475"/>
      <c r="N108" s="137">
        <v>2280</v>
      </c>
      <c r="O108" s="461">
        <f>2872+69+64</f>
        <v>3005</v>
      </c>
      <c r="P108" s="133" t="s">
        <v>295</v>
      </c>
      <c r="Q108" s="284"/>
    </row>
    <row r="109" spans="1:17" s="137" customFormat="1" ht="18.75" customHeight="1">
      <c r="A109" s="98" t="s">
        <v>70</v>
      </c>
      <c r="B109" s="139" t="s">
        <v>783</v>
      </c>
      <c r="C109" s="141" t="s">
        <v>293</v>
      </c>
      <c r="D109" s="137">
        <f>147+11+10</f>
        <v>168</v>
      </c>
      <c r="E109" s="458"/>
      <c r="F109" s="458"/>
      <c r="G109" s="137">
        <f t="shared" ref="G109:G115" si="8">266+20</f>
        <v>286</v>
      </c>
      <c r="H109" s="137">
        <f>624+47</f>
        <v>671</v>
      </c>
      <c r="L109" s="137">
        <f>297+22+34</f>
        <v>353</v>
      </c>
      <c r="M109" s="475"/>
      <c r="N109" s="137">
        <v>2300</v>
      </c>
      <c r="O109" s="137">
        <f t="shared" ref="O109:O115" si="9">2898+217+64</f>
        <v>3179</v>
      </c>
      <c r="P109" s="93" t="s">
        <v>499</v>
      </c>
      <c r="Q109" s="284"/>
    </row>
    <row r="110" spans="1:17" s="137" customFormat="1" ht="18.75" customHeight="1">
      <c r="A110" s="98" t="s">
        <v>70</v>
      </c>
      <c r="B110" s="93" t="s">
        <v>807</v>
      </c>
      <c r="C110" s="141" t="s">
        <v>134</v>
      </c>
      <c r="D110" s="137">
        <f>147+11</f>
        <v>158</v>
      </c>
      <c r="E110" s="458"/>
      <c r="F110" s="458"/>
      <c r="G110" s="137">
        <f t="shared" si="8"/>
        <v>286</v>
      </c>
      <c r="H110" s="137">
        <f>624+47+34</f>
        <v>705</v>
      </c>
      <c r="K110" s="137">
        <f>297+22</f>
        <v>319</v>
      </c>
      <c r="M110" s="475"/>
      <c r="N110" s="137">
        <v>2300</v>
      </c>
      <c r="O110" s="137">
        <f t="shared" si="9"/>
        <v>3179</v>
      </c>
      <c r="P110" s="93" t="s">
        <v>499</v>
      </c>
      <c r="Q110" s="284"/>
    </row>
    <row r="111" spans="1:17" ht="18.75" customHeight="1">
      <c r="A111" s="52" t="s">
        <v>70</v>
      </c>
      <c r="B111" s="144" t="s">
        <v>1082</v>
      </c>
      <c r="C111" s="158" t="s">
        <v>388</v>
      </c>
      <c r="D111" s="17">
        <f>147+11+10</f>
        <v>168</v>
      </c>
      <c r="G111" s="17">
        <f t="shared" si="8"/>
        <v>286</v>
      </c>
      <c r="I111" s="17">
        <f>624+47</f>
        <v>671</v>
      </c>
      <c r="K111" s="17">
        <f>297+22</f>
        <v>319</v>
      </c>
      <c r="N111" s="17">
        <v>2300</v>
      </c>
      <c r="O111" s="137">
        <f t="shared" si="9"/>
        <v>3179</v>
      </c>
      <c r="P111" s="93" t="s">
        <v>1133</v>
      </c>
    </row>
    <row r="112" spans="1:17" s="137" customFormat="1" ht="18.75" customHeight="1">
      <c r="A112" s="98" t="s">
        <v>70</v>
      </c>
      <c r="B112" s="139" t="s">
        <v>439</v>
      </c>
      <c r="C112" s="141" t="s">
        <v>135</v>
      </c>
      <c r="D112" s="137">
        <f>147+11+10</f>
        <v>168</v>
      </c>
      <c r="E112" s="458"/>
      <c r="F112" s="458"/>
      <c r="G112" s="137">
        <f t="shared" si="8"/>
        <v>286</v>
      </c>
      <c r="I112" s="137">
        <f>624+47</f>
        <v>671</v>
      </c>
      <c r="K112" s="137">
        <f>297+22</f>
        <v>319</v>
      </c>
      <c r="M112" s="475"/>
      <c r="N112" s="137">
        <v>2300</v>
      </c>
      <c r="O112" s="137">
        <f t="shared" si="9"/>
        <v>3179</v>
      </c>
      <c r="P112" s="135" t="s">
        <v>1123</v>
      </c>
      <c r="Q112" s="284"/>
    </row>
    <row r="113" spans="1:17" s="314" customFormat="1" ht="18.75" customHeight="1">
      <c r="A113" s="180" t="s">
        <v>70</v>
      </c>
      <c r="B113" s="93" t="s">
        <v>808</v>
      </c>
      <c r="C113" s="284" t="s">
        <v>503</v>
      </c>
      <c r="D113" s="314">
        <f>147+11</f>
        <v>158</v>
      </c>
      <c r="E113" s="458"/>
      <c r="F113" s="458"/>
      <c r="G113" s="314">
        <f t="shared" si="8"/>
        <v>286</v>
      </c>
      <c r="H113" s="314">
        <f>624+47+34</f>
        <v>705</v>
      </c>
      <c r="K113" s="314">
        <f>297+22</f>
        <v>319</v>
      </c>
      <c r="M113" s="475"/>
      <c r="N113" s="458">
        <v>2300</v>
      </c>
      <c r="O113" s="458">
        <f t="shared" si="9"/>
        <v>3179</v>
      </c>
      <c r="P113" s="93" t="s">
        <v>499</v>
      </c>
      <c r="Q113" s="284"/>
    </row>
    <row r="114" spans="1:17" s="314" customFormat="1" ht="18.75" customHeight="1">
      <c r="A114" s="180" t="s">
        <v>70</v>
      </c>
      <c r="B114" s="93" t="s">
        <v>809</v>
      </c>
      <c r="C114" s="284" t="s">
        <v>500</v>
      </c>
      <c r="D114" s="314">
        <f>147+11</f>
        <v>158</v>
      </c>
      <c r="E114" s="458"/>
      <c r="F114" s="458"/>
      <c r="G114" s="314">
        <f t="shared" si="8"/>
        <v>286</v>
      </c>
      <c r="I114" s="314">
        <f>624+47+34</f>
        <v>705</v>
      </c>
      <c r="L114" s="314">
        <f>297+22</f>
        <v>319</v>
      </c>
      <c r="M114" s="475"/>
      <c r="N114" s="458">
        <v>2300</v>
      </c>
      <c r="O114" s="458">
        <f t="shared" si="9"/>
        <v>3179</v>
      </c>
      <c r="P114" s="93" t="s">
        <v>499</v>
      </c>
      <c r="Q114" s="284"/>
    </row>
    <row r="115" spans="1:17" s="314" customFormat="1" ht="18.75" customHeight="1">
      <c r="A115" s="180" t="s">
        <v>70</v>
      </c>
      <c r="B115" s="93" t="s">
        <v>810</v>
      </c>
      <c r="C115" s="284" t="s">
        <v>502</v>
      </c>
      <c r="D115" s="314">
        <f>147+11+10</f>
        <v>168</v>
      </c>
      <c r="E115" s="458"/>
      <c r="F115" s="458"/>
      <c r="G115" s="314">
        <f t="shared" si="8"/>
        <v>286</v>
      </c>
      <c r="H115" s="314">
        <f>624+47</f>
        <v>671</v>
      </c>
      <c r="L115" s="314">
        <f>297+34</f>
        <v>331</v>
      </c>
      <c r="M115" s="475"/>
      <c r="N115" s="458">
        <v>2300</v>
      </c>
      <c r="O115" s="458">
        <f t="shared" si="9"/>
        <v>3179</v>
      </c>
      <c r="P115" s="93" t="s">
        <v>499</v>
      </c>
      <c r="Q115" s="284"/>
    </row>
    <row r="116" spans="1:17" ht="18.75" customHeight="1">
      <c r="A116" s="52" t="s">
        <v>70</v>
      </c>
      <c r="B116" s="93" t="s">
        <v>738</v>
      </c>
      <c r="C116" s="141" t="s">
        <v>136</v>
      </c>
      <c r="D116" s="17">
        <f>149+11</f>
        <v>160</v>
      </c>
      <c r="G116" s="17">
        <f>270+20</f>
        <v>290</v>
      </c>
      <c r="I116" s="17">
        <f>632+47+34</f>
        <v>713</v>
      </c>
      <c r="L116" s="17">
        <f>301+23</f>
        <v>324</v>
      </c>
      <c r="N116" s="17">
        <v>2330</v>
      </c>
      <c r="O116" s="137">
        <f t="shared" ref="O116:O121" si="10">2935+220+64</f>
        <v>3219</v>
      </c>
      <c r="P116" s="315" t="s">
        <v>1056</v>
      </c>
    </row>
    <row r="117" spans="1:17" ht="18.75" customHeight="1">
      <c r="A117" s="52" t="s">
        <v>70</v>
      </c>
      <c r="B117" s="160" t="s">
        <v>725</v>
      </c>
      <c r="C117" s="158" t="s">
        <v>293</v>
      </c>
      <c r="D117" s="17">
        <f>149+11+10</f>
        <v>170</v>
      </c>
      <c r="G117" s="17">
        <f>270+20</f>
        <v>290</v>
      </c>
      <c r="H117" s="17">
        <f>632+47</f>
        <v>679</v>
      </c>
      <c r="L117" s="17">
        <f>301+23+34</f>
        <v>358</v>
      </c>
      <c r="N117" s="17">
        <v>2330</v>
      </c>
      <c r="O117" s="137">
        <f t="shared" si="10"/>
        <v>3219</v>
      </c>
      <c r="P117" s="33" t="s">
        <v>1057</v>
      </c>
    </row>
    <row r="118" spans="1:17" ht="18.75" customHeight="1">
      <c r="A118" s="52" t="s">
        <v>70</v>
      </c>
      <c r="B118" s="189" t="s">
        <v>141</v>
      </c>
      <c r="C118" s="141" t="s">
        <v>111</v>
      </c>
      <c r="G118" s="17">
        <f>701+27</f>
        <v>728</v>
      </c>
      <c r="K118" s="17">
        <f>632+24</f>
        <v>656</v>
      </c>
      <c r="N118" s="17">
        <v>2330</v>
      </c>
      <c r="O118" s="137">
        <f t="shared" si="10"/>
        <v>3219</v>
      </c>
      <c r="P118" s="33" t="s">
        <v>1058</v>
      </c>
    </row>
    <row r="119" spans="1:17" ht="18.75" customHeight="1">
      <c r="A119" s="52" t="s">
        <v>70</v>
      </c>
      <c r="B119" s="189" t="s">
        <v>142</v>
      </c>
      <c r="C119" s="141" t="s">
        <v>134</v>
      </c>
      <c r="G119" s="17">
        <f>620+24</f>
        <v>644</v>
      </c>
      <c r="H119" s="17">
        <f>512+19</f>
        <v>531</v>
      </c>
      <c r="I119" s="17">
        <v>34</v>
      </c>
      <c r="K119" s="17">
        <f>301+11</f>
        <v>312</v>
      </c>
      <c r="N119" s="17">
        <v>2330</v>
      </c>
      <c r="O119" s="137">
        <f t="shared" si="10"/>
        <v>3219</v>
      </c>
      <c r="P119" s="284" t="s">
        <v>1058</v>
      </c>
    </row>
    <row r="120" spans="1:17" ht="18.75" customHeight="1">
      <c r="A120" s="52" t="s">
        <v>70</v>
      </c>
      <c r="B120" s="189" t="s">
        <v>143</v>
      </c>
      <c r="C120" s="141" t="s">
        <v>136</v>
      </c>
      <c r="G120" s="17">
        <f>620+24</f>
        <v>644</v>
      </c>
      <c r="I120" s="17">
        <f>512+19</f>
        <v>531</v>
      </c>
      <c r="K120" s="17">
        <v>34</v>
      </c>
      <c r="L120" s="17">
        <f>301+11</f>
        <v>312</v>
      </c>
      <c r="N120" s="17">
        <v>2330</v>
      </c>
      <c r="O120" s="137">
        <f t="shared" si="10"/>
        <v>3219</v>
      </c>
      <c r="P120" s="284" t="s">
        <v>1058</v>
      </c>
    </row>
    <row r="121" spans="1:17" ht="18.75" customHeight="1">
      <c r="A121" s="52" t="s">
        <v>70</v>
      </c>
      <c r="B121" s="93" t="s">
        <v>719</v>
      </c>
      <c r="C121" s="141" t="s">
        <v>135</v>
      </c>
      <c r="D121" s="17">
        <f>149+11+10</f>
        <v>170</v>
      </c>
      <c r="G121" s="17">
        <f>270+20</f>
        <v>290</v>
      </c>
      <c r="I121" s="17">
        <f>632+47</f>
        <v>679</v>
      </c>
      <c r="K121" s="17">
        <f>301+23</f>
        <v>324</v>
      </c>
      <c r="N121" s="17">
        <v>2330</v>
      </c>
      <c r="O121" s="137">
        <f t="shared" si="10"/>
        <v>3219</v>
      </c>
      <c r="P121" s="33" t="s">
        <v>455</v>
      </c>
    </row>
    <row r="122" spans="1:17" ht="18.75" customHeight="1">
      <c r="A122" s="52" t="s">
        <v>70</v>
      </c>
      <c r="B122" s="163" t="s">
        <v>743</v>
      </c>
      <c r="C122" s="141" t="s">
        <v>397</v>
      </c>
      <c r="D122" s="17">
        <f>150+11</f>
        <v>161</v>
      </c>
      <c r="G122" s="17">
        <f>273+20</f>
        <v>293</v>
      </c>
      <c r="H122" s="17">
        <f>641+48+34</f>
        <v>723</v>
      </c>
      <c r="K122" s="17">
        <f>305+23</f>
        <v>328</v>
      </c>
      <c r="N122" s="17">
        <v>2360</v>
      </c>
      <c r="O122" s="137">
        <f>3326+249+64</f>
        <v>3639</v>
      </c>
      <c r="P122" s="33" t="s">
        <v>454</v>
      </c>
    </row>
    <row r="123" spans="1:17" s="137" customFormat="1" ht="18.75" customHeight="1">
      <c r="A123" s="98" t="s">
        <v>70</v>
      </c>
      <c r="B123" s="155" t="s">
        <v>335</v>
      </c>
      <c r="C123" s="158" t="s">
        <v>376</v>
      </c>
      <c r="E123" s="458"/>
      <c r="F123" s="458"/>
      <c r="G123" s="137">
        <f>667+16</f>
        <v>683</v>
      </c>
      <c r="I123" s="137">
        <v>34</v>
      </c>
      <c r="K123" s="137">
        <f>931+22</f>
        <v>953</v>
      </c>
      <c r="M123" s="475"/>
      <c r="N123" s="137">
        <v>2400</v>
      </c>
      <c r="O123" s="137">
        <f>3024+73+64</f>
        <v>3161</v>
      </c>
      <c r="P123" s="133" t="s">
        <v>295</v>
      </c>
      <c r="Q123" s="284"/>
    </row>
    <row r="124" spans="1:17" s="137" customFormat="1" ht="18.75" customHeight="1">
      <c r="A124" s="98" t="s">
        <v>70</v>
      </c>
      <c r="B124" s="155" t="s">
        <v>336</v>
      </c>
      <c r="C124" s="158" t="s">
        <v>374</v>
      </c>
      <c r="E124" s="458"/>
      <c r="F124" s="458"/>
      <c r="G124" s="137">
        <f>597+14</f>
        <v>611</v>
      </c>
      <c r="H124" s="137">
        <v>34</v>
      </c>
      <c r="I124" s="137">
        <f>620+15</f>
        <v>635</v>
      </c>
      <c r="J124" s="137">
        <f>465+11</f>
        <v>476</v>
      </c>
      <c r="M124" s="475"/>
      <c r="N124" s="137">
        <v>2400</v>
      </c>
      <c r="O124" s="143">
        <f>3024+73+64</f>
        <v>3161</v>
      </c>
      <c r="P124" s="133" t="s">
        <v>295</v>
      </c>
      <c r="Q124" s="284"/>
    </row>
    <row r="125" spans="1:17" s="137" customFormat="1" ht="18.75" customHeight="1">
      <c r="A125" s="98" t="s">
        <v>70</v>
      </c>
      <c r="B125" s="155" t="s">
        <v>337</v>
      </c>
      <c r="C125" s="158" t="s">
        <v>390</v>
      </c>
      <c r="E125" s="458"/>
      <c r="F125" s="458"/>
      <c r="G125" s="137">
        <f>597+14</f>
        <v>611</v>
      </c>
      <c r="H125" s="137">
        <v>34</v>
      </c>
      <c r="I125" s="137">
        <f>465+11</f>
        <v>476</v>
      </c>
      <c r="J125" s="137">
        <f>310+7</f>
        <v>317</v>
      </c>
      <c r="K125" s="137">
        <f>310+7</f>
        <v>317</v>
      </c>
      <c r="M125" s="475"/>
      <c r="N125" s="137">
        <v>2400</v>
      </c>
      <c r="O125" s="143">
        <f>3024+73+64</f>
        <v>3161</v>
      </c>
      <c r="P125" s="133" t="s">
        <v>295</v>
      </c>
      <c r="Q125" s="284"/>
    </row>
    <row r="126" spans="1:17" s="137" customFormat="1" ht="18.75" customHeight="1">
      <c r="A126" s="98" t="s">
        <v>70</v>
      </c>
      <c r="B126" s="155" t="s">
        <v>338</v>
      </c>
      <c r="C126" s="158" t="s">
        <v>383</v>
      </c>
      <c r="E126" s="458"/>
      <c r="F126" s="458"/>
      <c r="G126" s="137">
        <f>700+17</f>
        <v>717</v>
      </c>
      <c r="H126" s="137">
        <v>34</v>
      </c>
      <c r="L126" s="137">
        <f>977+23</f>
        <v>1000</v>
      </c>
      <c r="M126" s="475"/>
      <c r="N126" s="137">
        <v>2520</v>
      </c>
      <c r="O126" s="137">
        <f>3175+76+64</f>
        <v>3315</v>
      </c>
      <c r="P126" s="133" t="s">
        <v>295</v>
      </c>
      <c r="Q126" s="284"/>
    </row>
    <row r="127" spans="1:17" s="137" customFormat="1" ht="18.75" customHeight="1">
      <c r="A127" s="98" t="s">
        <v>70</v>
      </c>
      <c r="B127" s="155" t="s">
        <v>339</v>
      </c>
      <c r="C127" s="158" t="s">
        <v>384</v>
      </c>
      <c r="E127" s="458"/>
      <c r="F127" s="458"/>
      <c r="G127" s="137">
        <f>656+16</f>
        <v>672</v>
      </c>
      <c r="H127" s="137">
        <f>684+16</f>
        <v>700</v>
      </c>
      <c r="I127" s="137">
        <v>34</v>
      </c>
      <c r="K127" s="137">
        <f>391+9</f>
        <v>400</v>
      </c>
      <c r="M127" s="475"/>
      <c r="N127" s="137">
        <v>2520</v>
      </c>
      <c r="O127" s="137">
        <f>3175+76+64</f>
        <v>3315</v>
      </c>
      <c r="P127" s="133" t="s">
        <v>295</v>
      </c>
      <c r="Q127" s="284"/>
    </row>
    <row r="128" spans="1:17" s="137" customFormat="1" ht="18.75" customHeight="1">
      <c r="A128" s="98" t="s">
        <v>70</v>
      </c>
      <c r="B128" s="155" t="s">
        <v>340</v>
      </c>
      <c r="C128" s="158" t="s">
        <v>385</v>
      </c>
      <c r="E128" s="458"/>
      <c r="F128" s="458"/>
      <c r="G128" s="137">
        <f>627+15</f>
        <v>642</v>
      </c>
      <c r="H128" s="137">
        <v>34</v>
      </c>
      <c r="I128" s="137">
        <f>489+2</f>
        <v>491</v>
      </c>
      <c r="J128" s="137">
        <f>326+8</f>
        <v>334</v>
      </c>
      <c r="L128" s="137">
        <f>326+8</f>
        <v>334</v>
      </c>
      <c r="M128" s="475"/>
      <c r="N128" s="137">
        <v>2520</v>
      </c>
      <c r="O128" s="137">
        <f>3175+76+64</f>
        <v>3315</v>
      </c>
      <c r="P128" s="133" t="s">
        <v>295</v>
      </c>
      <c r="Q128" s="284"/>
    </row>
    <row r="129" spans="1:17" s="137" customFormat="1" ht="18.75" customHeight="1">
      <c r="A129" s="98" t="s">
        <v>70</v>
      </c>
      <c r="B129" s="159" t="s">
        <v>811</v>
      </c>
      <c r="C129" s="158" t="s">
        <v>388</v>
      </c>
      <c r="D129" s="137">
        <f>163+12+10</f>
        <v>185</v>
      </c>
      <c r="E129" s="458"/>
      <c r="F129" s="458"/>
      <c r="G129" s="137">
        <f>296+22</f>
        <v>318</v>
      </c>
      <c r="I129" s="137">
        <f>695+52</f>
        <v>747</v>
      </c>
      <c r="K129" s="137">
        <f>331+25</f>
        <v>356</v>
      </c>
      <c r="M129" s="475"/>
      <c r="N129" s="137">
        <v>2560</v>
      </c>
      <c r="O129" s="137">
        <f>3225+242+64</f>
        <v>3531</v>
      </c>
      <c r="P129" s="158" t="s">
        <v>1125</v>
      </c>
      <c r="Q129" s="284"/>
    </row>
    <row r="130" spans="1:17" s="314" customFormat="1" ht="18.75" customHeight="1">
      <c r="A130" s="180" t="s">
        <v>70</v>
      </c>
      <c r="B130" s="93" t="s">
        <v>812</v>
      </c>
      <c r="C130" s="284" t="s">
        <v>501</v>
      </c>
      <c r="D130" s="314">
        <f>163+12+10</f>
        <v>185</v>
      </c>
      <c r="E130" s="458"/>
      <c r="F130" s="458"/>
      <c r="G130" s="314">
        <f>296+22</f>
        <v>318</v>
      </c>
      <c r="I130" s="314">
        <f>695+52</f>
        <v>747</v>
      </c>
      <c r="K130" s="314">
        <f>331+25</f>
        <v>356</v>
      </c>
      <c r="M130" s="475"/>
      <c r="N130" s="314">
        <v>2560</v>
      </c>
      <c r="O130" s="314">
        <f>3225+242+64</f>
        <v>3531</v>
      </c>
      <c r="P130" s="284" t="s">
        <v>1122</v>
      </c>
      <c r="Q130" s="284"/>
    </row>
    <row r="131" spans="1:17" s="314" customFormat="1" ht="18.75" customHeight="1">
      <c r="A131" s="180" t="s">
        <v>70</v>
      </c>
      <c r="B131" s="93" t="s">
        <v>793</v>
      </c>
      <c r="C131" s="284" t="s">
        <v>502</v>
      </c>
      <c r="D131" s="314">
        <f>163+12+10</f>
        <v>185</v>
      </c>
      <c r="E131" s="458"/>
      <c r="F131" s="458"/>
      <c r="G131" s="314">
        <f>296+22</f>
        <v>318</v>
      </c>
      <c r="H131" s="314">
        <f>695+52</f>
        <v>747</v>
      </c>
      <c r="L131" s="314">
        <f>331+25+34</f>
        <v>390</v>
      </c>
      <c r="M131" s="475"/>
      <c r="N131" s="461">
        <v>2560</v>
      </c>
      <c r="O131" s="461">
        <f>3225+242+64</f>
        <v>3531</v>
      </c>
      <c r="P131" s="284" t="s">
        <v>1036</v>
      </c>
      <c r="Q131" s="284"/>
    </row>
    <row r="132" spans="1:17" s="314" customFormat="1" ht="18.75" customHeight="1">
      <c r="A132" s="180" t="s">
        <v>70</v>
      </c>
      <c r="B132" s="93" t="s">
        <v>813</v>
      </c>
      <c r="C132" s="284" t="s">
        <v>503</v>
      </c>
      <c r="D132" s="314">
        <f>163+12</f>
        <v>175</v>
      </c>
      <c r="E132" s="458"/>
      <c r="F132" s="458"/>
      <c r="G132" s="314">
        <f>296+22</f>
        <v>318</v>
      </c>
      <c r="H132" s="314">
        <f>695+52+34</f>
        <v>781</v>
      </c>
      <c r="K132" s="314">
        <f>331+25</f>
        <v>356</v>
      </c>
      <c r="M132" s="475"/>
      <c r="N132" s="461">
        <v>2560</v>
      </c>
      <c r="O132" s="461">
        <f>3225+242+64</f>
        <v>3531</v>
      </c>
      <c r="P132" s="165" t="s">
        <v>458</v>
      </c>
      <c r="Q132" s="284"/>
    </row>
    <row r="133" spans="1:17" s="137" customFormat="1" ht="18.75" customHeight="1">
      <c r="A133" s="98" t="s">
        <v>70</v>
      </c>
      <c r="B133" s="139" t="s">
        <v>746</v>
      </c>
      <c r="C133" s="141" t="s">
        <v>293</v>
      </c>
      <c r="D133" s="137">
        <f>166+12+10</f>
        <v>188</v>
      </c>
      <c r="E133" s="458"/>
      <c r="F133" s="458"/>
      <c r="G133" s="137">
        <f>301+23</f>
        <v>324</v>
      </c>
      <c r="H133" s="137">
        <f>706+53</f>
        <v>759</v>
      </c>
      <c r="L133" s="137">
        <f>336+25+34</f>
        <v>395</v>
      </c>
      <c r="M133" s="475"/>
      <c r="N133" s="137">
        <v>2600</v>
      </c>
      <c r="O133" s="137">
        <f t="shared" ref="O133:O138" si="11">3276+246+64</f>
        <v>3586</v>
      </c>
      <c r="P133" s="184" t="s">
        <v>1059</v>
      </c>
      <c r="Q133" s="284"/>
    </row>
    <row r="134" spans="1:17" s="137" customFormat="1" ht="18.75" customHeight="1">
      <c r="A134" s="98" t="s">
        <v>70</v>
      </c>
      <c r="B134" s="161" t="s">
        <v>304</v>
      </c>
      <c r="C134" s="158" t="s">
        <v>391</v>
      </c>
      <c r="E134" s="458"/>
      <c r="F134" s="458"/>
      <c r="G134" s="137">
        <f>782+30</f>
        <v>812</v>
      </c>
      <c r="I134" s="137">
        <v>34</v>
      </c>
      <c r="K134" s="137">
        <f>706+27</f>
        <v>733</v>
      </c>
      <c r="M134" s="475"/>
      <c r="N134" s="137">
        <v>2600</v>
      </c>
      <c r="O134" s="137">
        <f t="shared" si="11"/>
        <v>3586</v>
      </c>
      <c r="P134" s="140" t="s">
        <v>427</v>
      </c>
      <c r="Q134" s="284"/>
    </row>
    <row r="135" spans="1:17" s="137" customFormat="1" ht="18.75" customHeight="1">
      <c r="A135" s="98" t="s">
        <v>70</v>
      </c>
      <c r="B135" s="161" t="s">
        <v>305</v>
      </c>
      <c r="C135" s="158" t="s">
        <v>381</v>
      </c>
      <c r="E135" s="458"/>
      <c r="F135" s="458"/>
      <c r="G135" s="137">
        <f>692+26</f>
        <v>718</v>
      </c>
      <c r="H135" s="137">
        <f>571+22</f>
        <v>593</v>
      </c>
      <c r="I135" s="137">
        <v>34</v>
      </c>
      <c r="K135" s="137">
        <f>336+13</f>
        <v>349</v>
      </c>
      <c r="M135" s="475"/>
      <c r="N135" s="137">
        <v>2600</v>
      </c>
      <c r="O135" s="137">
        <f t="shared" si="11"/>
        <v>3586</v>
      </c>
      <c r="P135" s="140" t="s">
        <v>427</v>
      </c>
      <c r="Q135" s="284"/>
    </row>
    <row r="136" spans="1:17" s="137" customFormat="1" ht="18.75" customHeight="1">
      <c r="A136" s="98" t="s">
        <v>70</v>
      </c>
      <c r="B136" s="161" t="s">
        <v>306</v>
      </c>
      <c r="C136" s="158" t="s">
        <v>382</v>
      </c>
      <c r="E136" s="458"/>
      <c r="F136" s="458"/>
      <c r="G136" s="137">
        <f>692+26</f>
        <v>718</v>
      </c>
      <c r="I136" s="137">
        <f>571+22</f>
        <v>593</v>
      </c>
      <c r="K136" s="137">
        <v>34</v>
      </c>
      <c r="L136" s="137">
        <f>336+13</f>
        <v>349</v>
      </c>
      <c r="M136" s="475"/>
      <c r="N136" s="137">
        <v>2600</v>
      </c>
      <c r="O136" s="137">
        <f t="shared" si="11"/>
        <v>3586</v>
      </c>
      <c r="P136" s="140" t="s">
        <v>427</v>
      </c>
      <c r="Q136" s="284"/>
    </row>
    <row r="137" spans="1:17" s="137" customFormat="1" ht="18.75" customHeight="1">
      <c r="A137" s="98" t="s">
        <v>70</v>
      </c>
      <c r="B137" s="139" t="s">
        <v>760</v>
      </c>
      <c r="C137" s="141" t="s">
        <v>135</v>
      </c>
      <c r="D137" s="137">
        <f>166+12+10</f>
        <v>188</v>
      </c>
      <c r="E137" s="458"/>
      <c r="F137" s="458"/>
      <c r="G137" s="137">
        <f>301+23</f>
        <v>324</v>
      </c>
      <c r="I137" s="137">
        <f>706+53</f>
        <v>759</v>
      </c>
      <c r="K137" s="137">
        <f>336+25</f>
        <v>361</v>
      </c>
      <c r="M137" s="475"/>
      <c r="N137" s="137">
        <v>2600</v>
      </c>
      <c r="O137" s="137">
        <f t="shared" si="11"/>
        <v>3586</v>
      </c>
      <c r="P137" s="141" t="s">
        <v>455</v>
      </c>
      <c r="Q137" s="284"/>
    </row>
    <row r="138" spans="1:17" s="137" customFormat="1" ht="18.75" customHeight="1">
      <c r="A138" s="98" t="s">
        <v>70</v>
      </c>
      <c r="B138" s="139" t="s">
        <v>733</v>
      </c>
      <c r="C138" s="141" t="s">
        <v>136</v>
      </c>
      <c r="D138" s="137">
        <f>166+12</f>
        <v>178</v>
      </c>
      <c r="E138" s="458"/>
      <c r="F138" s="458"/>
      <c r="G138" s="137">
        <f>301+23</f>
        <v>324</v>
      </c>
      <c r="I138" s="137">
        <f>706+53+34</f>
        <v>793</v>
      </c>
      <c r="L138" s="137">
        <f>336+25</f>
        <v>361</v>
      </c>
      <c r="M138" s="475"/>
      <c r="N138" s="137">
        <v>2600</v>
      </c>
      <c r="O138" s="137">
        <f t="shared" si="11"/>
        <v>3586</v>
      </c>
      <c r="P138" s="141" t="s">
        <v>428</v>
      </c>
      <c r="Q138" s="284"/>
    </row>
    <row r="139" spans="1:17" s="137" customFormat="1" ht="18.75" customHeight="1">
      <c r="A139" s="98" t="s">
        <v>70</v>
      </c>
      <c r="B139" s="163" t="s">
        <v>772</v>
      </c>
      <c r="C139" s="158" t="s">
        <v>397</v>
      </c>
      <c r="D139" s="137">
        <f>168+13</f>
        <v>181</v>
      </c>
      <c r="E139" s="458"/>
      <c r="F139" s="458"/>
      <c r="G139" s="137">
        <f>306+23</f>
        <v>329</v>
      </c>
      <c r="H139" s="137">
        <f>717+54+34</f>
        <v>805</v>
      </c>
      <c r="K139" s="137">
        <f>341+26</f>
        <v>367</v>
      </c>
      <c r="M139" s="475"/>
      <c r="N139" s="137">
        <f>2640</f>
        <v>2640</v>
      </c>
      <c r="O139" s="137">
        <f>3326+249+64</f>
        <v>3639</v>
      </c>
      <c r="P139" s="141" t="s">
        <v>300</v>
      </c>
      <c r="Q139" s="284"/>
    </row>
    <row r="140" spans="1:17" s="458" customFormat="1" ht="18.75" customHeight="1">
      <c r="A140" s="180" t="s">
        <v>70</v>
      </c>
      <c r="B140" s="193" t="s">
        <v>814</v>
      </c>
      <c r="C140" s="284" t="s">
        <v>1020</v>
      </c>
      <c r="G140" s="458">
        <f>742+18</f>
        <v>760</v>
      </c>
      <c r="I140" s="458">
        <f>1035+25</f>
        <v>1060</v>
      </c>
      <c r="J140" s="458">
        <v>34</v>
      </c>
      <c r="M140" s="475"/>
      <c r="N140" s="458">
        <v>2670</v>
      </c>
      <c r="O140" s="458">
        <f>3364+81+64</f>
        <v>3509</v>
      </c>
      <c r="P140" s="133" t="s">
        <v>295</v>
      </c>
      <c r="Q140" s="284"/>
    </row>
    <row r="141" spans="1:17" s="458" customFormat="1" ht="18.75" customHeight="1">
      <c r="A141" s="180" t="s">
        <v>70</v>
      </c>
      <c r="B141" s="193" t="s">
        <v>815</v>
      </c>
      <c r="C141" s="284" t="s">
        <v>1029</v>
      </c>
      <c r="G141" s="458">
        <f>664+16</f>
        <v>680</v>
      </c>
      <c r="H141" s="458">
        <f>604+14</f>
        <v>618</v>
      </c>
      <c r="I141" s="458">
        <f>604+14</f>
        <v>618</v>
      </c>
      <c r="K141" s="458">
        <v>34</v>
      </c>
      <c r="M141" s="475"/>
      <c r="N141" s="458">
        <v>2670</v>
      </c>
      <c r="O141" s="458">
        <f>3364+81+64</f>
        <v>3509</v>
      </c>
      <c r="P141" s="133" t="s">
        <v>295</v>
      </c>
      <c r="Q141" s="284"/>
    </row>
    <row r="142" spans="1:17" s="458" customFormat="1" ht="18.75" customHeight="1">
      <c r="A142" s="180" t="s">
        <v>70</v>
      </c>
      <c r="B142" s="193" t="s">
        <v>816</v>
      </c>
      <c r="C142" s="284" t="s">
        <v>1009</v>
      </c>
      <c r="G142" s="458">
        <f>695+17</f>
        <v>712</v>
      </c>
      <c r="H142" s="458">
        <f>397+10</f>
        <v>407</v>
      </c>
      <c r="I142" s="458">
        <f>397+10</f>
        <v>407</v>
      </c>
      <c r="J142" s="458">
        <f>345+8</f>
        <v>353</v>
      </c>
      <c r="K142" s="458">
        <v>34</v>
      </c>
      <c r="M142" s="475"/>
      <c r="N142" s="461">
        <v>2670</v>
      </c>
      <c r="O142" s="461">
        <f>3364+81+64</f>
        <v>3509</v>
      </c>
      <c r="P142" s="133" t="s">
        <v>295</v>
      </c>
      <c r="Q142" s="284"/>
    </row>
    <row r="143" spans="1:17" s="458" customFormat="1" ht="18.75" customHeight="1">
      <c r="A143" s="180" t="s">
        <v>70</v>
      </c>
      <c r="B143" s="193" t="s">
        <v>817</v>
      </c>
      <c r="C143" s="284" t="s">
        <v>1007</v>
      </c>
      <c r="G143" s="458">
        <f>783+19</f>
        <v>802</v>
      </c>
      <c r="I143" s="458">
        <v>34</v>
      </c>
      <c r="K143" s="458">
        <f>1094+26</f>
        <v>1120</v>
      </c>
      <c r="M143" s="475"/>
      <c r="N143" s="458">
        <v>2820</v>
      </c>
      <c r="O143" s="458">
        <f>3553+85+64</f>
        <v>3702</v>
      </c>
      <c r="P143" s="133" t="s">
        <v>295</v>
      </c>
      <c r="Q143" s="284"/>
    </row>
    <row r="144" spans="1:17" s="458" customFormat="1" ht="18.75" customHeight="1">
      <c r="A144" s="180" t="s">
        <v>70</v>
      </c>
      <c r="B144" s="193" t="s">
        <v>818</v>
      </c>
      <c r="C144" s="284" t="s">
        <v>1030</v>
      </c>
      <c r="G144" s="458">
        <f>702+17</f>
        <v>719</v>
      </c>
      <c r="H144" s="458">
        <v>34</v>
      </c>
      <c r="I144" s="458">
        <f>729+17</f>
        <v>746</v>
      </c>
      <c r="J144" s="458">
        <f>547+13</f>
        <v>560</v>
      </c>
      <c r="M144" s="475"/>
      <c r="N144" s="458">
        <f>2820</f>
        <v>2820</v>
      </c>
      <c r="O144" s="458">
        <f>3553+85+64</f>
        <v>3702</v>
      </c>
      <c r="P144" s="133" t="s">
        <v>295</v>
      </c>
      <c r="Q144" s="284"/>
    </row>
    <row r="145" spans="1:17" s="458" customFormat="1" ht="18.75" customHeight="1">
      <c r="A145" s="180" t="s">
        <v>70</v>
      </c>
      <c r="B145" s="193" t="s">
        <v>819</v>
      </c>
      <c r="C145" s="284" t="s">
        <v>1031</v>
      </c>
      <c r="G145" s="458">
        <f>702+17</f>
        <v>719</v>
      </c>
      <c r="I145" s="458">
        <f>547+13</f>
        <v>560</v>
      </c>
      <c r="J145" s="458">
        <f>365+9</f>
        <v>374</v>
      </c>
      <c r="K145" s="458">
        <f>365+9</f>
        <v>374</v>
      </c>
      <c r="M145" s="475"/>
      <c r="N145" s="461">
        <f>2820</f>
        <v>2820</v>
      </c>
      <c r="O145" s="461">
        <f>3553+85+64</f>
        <v>3702</v>
      </c>
      <c r="P145" s="133" t="s">
        <v>295</v>
      </c>
      <c r="Q145" s="284"/>
    </row>
    <row r="146" spans="1:17" s="458" customFormat="1" ht="18.75" customHeight="1">
      <c r="A146" s="180" t="s">
        <v>70</v>
      </c>
      <c r="B146" s="462" t="s">
        <v>1081</v>
      </c>
      <c r="C146" s="284" t="s">
        <v>388</v>
      </c>
      <c r="D146" s="458">
        <f>182+14+10</f>
        <v>206</v>
      </c>
      <c r="G146" s="458">
        <f>331+25</f>
        <v>356</v>
      </c>
      <c r="I146" s="458">
        <f>776+58</f>
        <v>834</v>
      </c>
      <c r="K146" s="458">
        <f>370+28</f>
        <v>398</v>
      </c>
      <c r="M146" s="475"/>
      <c r="N146" s="458">
        <v>2860</v>
      </c>
      <c r="O146" s="458">
        <f>3603+270+64</f>
        <v>3937</v>
      </c>
      <c r="P146" s="284" t="s">
        <v>1042</v>
      </c>
      <c r="Q146" s="284"/>
    </row>
    <row r="147" spans="1:17" s="458" customFormat="1" ht="18.75" customHeight="1">
      <c r="A147" s="180" t="s">
        <v>70</v>
      </c>
      <c r="B147" s="93" t="s">
        <v>820</v>
      </c>
      <c r="C147" s="284" t="s">
        <v>673</v>
      </c>
      <c r="D147" s="458">
        <f>185+14</f>
        <v>199</v>
      </c>
      <c r="G147" s="458">
        <f>336+25</f>
        <v>361</v>
      </c>
      <c r="I147" s="458">
        <f>787+59+34</f>
        <v>880</v>
      </c>
      <c r="L147" s="458">
        <f>375+28</f>
        <v>403</v>
      </c>
      <c r="M147" s="475"/>
      <c r="N147" s="458">
        <v>2900</v>
      </c>
      <c r="O147" s="458">
        <f>3653+274+64</f>
        <v>3991</v>
      </c>
      <c r="P147" s="284" t="s">
        <v>821</v>
      </c>
      <c r="Q147" s="284"/>
    </row>
    <row r="148" spans="1:17" s="458" customFormat="1" ht="18.75" customHeight="1">
      <c r="A148" s="180" t="s">
        <v>70</v>
      </c>
      <c r="B148" s="93" t="s">
        <v>822</v>
      </c>
      <c r="C148" s="284" t="s">
        <v>708</v>
      </c>
      <c r="D148" s="458">
        <f>185+14+10</f>
        <v>209</v>
      </c>
      <c r="G148" s="458">
        <f>336+25</f>
        <v>361</v>
      </c>
      <c r="H148" s="458">
        <f>787+59</f>
        <v>846</v>
      </c>
      <c r="L148" s="458">
        <f>375+28+34</f>
        <v>437</v>
      </c>
      <c r="M148" s="475"/>
      <c r="N148" s="461">
        <v>2900</v>
      </c>
      <c r="O148" s="461">
        <f>3653+274+64</f>
        <v>3991</v>
      </c>
      <c r="P148" s="284" t="s">
        <v>821</v>
      </c>
      <c r="Q148" s="284"/>
    </row>
    <row r="149" spans="1:17" s="458" customFormat="1" ht="18.75" customHeight="1">
      <c r="A149" s="180" t="s">
        <v>70</v>
      </c>
      <c r="B149" s="193" t="s">
        <v>823</v>
      </c>
      <c r="C149" s="284" t="s">
        <v>496</v>
      </c>
      <c r="G149" s="458">
        <f>806+19</f>
        <v>825</v>
      </c>
      <c r="I149" s="458">
        <f>1125+27</f>
        <v>1152</v>
      </c>
      <c r="J149" s="458">
        <v>34</v>
      </c>
      <c r="M149" s="475"/>
      <c r="N149" s="458">
        <v>2900</v>
      </c>
      <c r="O149" s="458">
        <f>3653+88+64</f>
        <v>3805</v>
      </c>
      <c r="P149" s="284" t="s">
        <v>828</v>
      </c>
      <c r="Q149" s="284"/>
    </row>
    <row r="150" spans="1:17" s="458" customFormat="1" ht="18.75" customHeight="1">
      <c r="A150" s="180" t="s">
        <v>70</v>
      </c>
      <c r="B150" s="193" t="s">
        <v>824</v>
      </c>
      <c r="C150" s="284" t="s">
        <v>389</v>
      </c>
      <c r="G150" s="458">
        <f>722+17</f>
        <v>739</v>
      </c>
      <c r="H150" s="458">
        <f>562+13</f>
        <v>575</v>
      </c>
      <c r="K150" s="458">
        <v>34</v>
      </c>
      <c r="L150" s="458">
        <f>750+18</f>
        <v>768</v>
      </c>
      <c r="M150" s="475"/>
      <c r="N150" s="458">
        <v>2900</v>
      </c>
      <c r="O150" s="458">
        <f>3653+88+64</f>
        <v>3805</v>
      </c>
      <c r="P150" s="284" t="s">
        <v>828</v>
      </c>
      <c r="Q150" s="284"/>
    </row>
    <row r="151" spans="1:17" s="458" customFormat="1" ht="18.75" customHeight="1">
      <c r="A151" s="180" t="s">
        <v>70</v>
      </c>
      <c r="B151" s="193" t="s">
        <v>827</v>
      </c>
      <c r="C151" s="284" t="s">
        <v>387</v>
      </c>
      <c r="G151" s="458">
        <f>755+18</f>
        <v>773</v>
      </c>
      <c r="H151" s="458">
        <f>431+10</f>
        <v>441</v>
      </c>
      <c r="I151" s="458">
        <f>431+10</f>
        <v>441</v>
      </c>
      <c r="J151" s="458">
        <f>375+9</f>
        <v>384</v>
      </c>
      <c r="K151" s="458">
        <v>34</v>
      </c>
      <c r="M151" s="475"/>
      <c r="N151" s="461">
        <v>2900</v>
      </c>
      <c r="O151" s="461">
        <f>3653+88+64</f>
        <v>3805</v>
      </c>
      <c r="P151" s="284" t="s">
        <v>828</v>
      </c>
      <c r="Q151" s="284"/>
    </row>
    <row r="152" spans="1:17" s="458" customFormat="1" ht="18.75" customHeight="1">
      <c r="A152" s="180" t="s">
        <v>70</v>
      </c>
      <c r="B152" s="93" t="s">
        <v>825</v>
      </c>
      <c r="C152" s="284" t="s">
        <v>677</v>
      </c>
      <c r="D152" s="458">
        <f>185+10</f>
        <v>195</v>
      </c>
      <c r="G152" s="458">
        <f>336+25</f>
        <v>361</v>
      </c>
      <c r="I152" s="458">
        <f>787+59</f>
        <v>846</v>
      </c>
      <c r="K152" s="458">
        <f>375+28</f>
        <v>403</v>
      </c>
      <c r="M152" s="475"/>
      <c r="N152" s="461">
        <v>2900</v>
      </c>
      <c r="O152" s="461">
        <f>3653+88+64</f>
        <v>3805</v>
      </c>
      <c r="P152" s="284" t="s">
        <v>455</v>
      </c>
      <c r="Q152" s="284"/>
    </row>
    <row r="153" spans="1:17" s="564" customFormat="1" ht="18.75" customHeight="1">
      <c r="A153" s="180" t="s">
        <v>70</v>
      </c>
      <c r="B153" s="93" t="s">
        <v>1449</v>
      </c>
      <c r="C153" s="284" t="s">
        <v>1450</v>
      </c>
      <c r="D153" s="564">
        <f>185+10</f>
        <v>195</v>
      </c>
      <c r="G153" s="564">
        <f>336+25</f>
        <v>361</v>
      </c>
      <c r="H153" s="564">
        <f>787+59+34</f>
        <v>880</v>
      </c>
      <c r="K153" s="564">
        <f>536+40</f>
        <v>576</v>
      </c>
      <c r="N153" s="564">
        <f>2900</f>
        <v>2900</v>
      </c>
      <c r="O153" s="564">
        <f>3653+88+64</f>
        <v>3805</v>
      </c>
      <c r="P153" s="93" t="s">
        <v>1451</v>
      </c>
      <c r="Q153" s="284"/>
    </row>
    <row r="154" spans="1:17" s="458" customFormat="1" ht="18.75" customHeight="1">
      <c r="A154" s="180" t="s">
        <v>70</v>
      </c>
      <c r="B154" s="163" t="s">
        <v>826</v>
      </c>
      <c r="C154" s="284" t="s">
        <v>397</v>
      </c>
      <c r="D154" s="458">
        <f>184+14</f>
        <v>198</v>
      </c>
      <c r="G154" s="458">
        <f>340+26</f>
        <v>366</v>
      </c>
      <c r="H154" s="458">
        <f>798+60+34</f>
        <v>892</v>
      </c>
      <c r="K154" s="458">
        <f>380+29</f>
        <v>409</v>
      </c>
      <c r="M154" s="475"/>
      <c r="N154" s="458">
        <v>2940</v>
      </c>
      <c r="O154" s="458">
        <f>3704+278+64</f>
        <v>4046</v>
      </c>
      <c r="P154" s="284" t="s">
        <v>300</v>
      </c>
      <c r="Q154" s="284"/>
    </row>
    <row r="155" spans="1:17" s="314" customFormat="1" ht="18.75" customHeight="1">
      <c r="A155" s="180" t="s">
        <v>72</v>
      </c>
      <c r="B155" s="193" t="s">
        <v>1045</v>
      </c>
      <c r="C155" s="284" t="s">
        <v>496</v>
      </c>
      <c r="E155" s="458"/>
      <c r="F155" s="458"/>
      <c r="G155" s="314">
        <f>873+21</f>
        <v>894</v>
      </c>
      <c r="I155" s="314">
        <f>1219+29</f>
        <v>1248</v>
      </c>
      <c r="J155" s="314">
        <v>34</v>
      </c>
      <c r="M155" s="475"/>
      <c r="N155" s="314">
        <v>2200</v>
      </c>
      <c r="O155" s="314">
        <f>3960+95+64</f>
        <v>4119</v>
      </c>
      <c r="P155" s="133" t="s">
        <v>295</v>
      </c>
      <c r="Q155" s="284"/>
    </row>
    <row r="156" spans="1:17" s="314" customFormat="1" ht="18.75" customHeight="1">
      <c r="A156" s="180" t="s">
        <v>72</v>
      </c>
      <c r="B156" s="193" t="s">
        <v>1044</v>
      </c>
      <c r="C156" s="284" t="s">
        <v>1011</v>
      </c>
      <c r="E156" s="458"/>
      <c r="F156" s="458"/>
      <c r="M156" s="475"/>
      <c r="N156" s="461">
        <v>2200</v>
      </c>
      <c r="O156" s="461">
        <f>3960+95+64</f>
        <v>4119</v>
      </c>
      <c r="P156" s="133" t="s">
        <v>295</v>
      </c>
      <c r="Q156" s="284"/>
    </row>
    <row r="157" spans="1:17" s="137" customFormat="1" ht="18.75" customHeight="1">
      <c r="A157" s="98" t="s">
        <v>72</v>
      </c>
      <c r="B157" s="155" t="s">
        <v>1043</v>
      </c>
      <c r="C157" s="141" t="s">
        <v>378</v>
      </c>
      <c r="E157" s="458"/>
      <c r="F157" s="458"/>
      <c r="G157" s="137">
        <f>818+20</f>
        <v>838</v>
      </c>
      <c r="H157" s="137">
        <f>467+11</f>
        <v>478</v>
      </c>
      <c r="I157" s="137">
        <f>467+11</f>
        <v>478</v>
      </c>
      <c r="J157" s="137">
        <v>34</v>
      </c>
      <c r="K157" s="137">
        <f>406+10</f>
        <v>416</v>
      </c>
      <c r="M157" s="475"/>
      <c r="N157" s="137">
        <v>2200</v>
      </c>
      <c r="O157" s="137">
        <f>3960+95+64</f>
        <v>4119</v>
      </c>
      <c r="P157" s="133" t="s">
        <v>295</v>
      </c>
      <c r="Q157" s="284"/>
    </row>
    <row r="158" spans="1:17" s="314" customFormat="1" ht="18.75" customHeight="1">
      <c r="A158" s="180" t="s">
        <v>72</v>
      </c>
      <c r="B158" s="193" t="s">
        <v>1046</v>
      </c>
      <c r="C158" s="284" t="s">
        <v>997</v>
      </c>
      <c r="E158" s="458"/>
      <c r="F158" s="458"/>
      <c r="M158" s="475"/>
      <c r="N158" s="461">
        <v>2280</v>
      </c>
      <c r="O158" s="461">
        <f>4104+98+64</f>
        <v>4266</v>
      </c>
      <c r="P158" s="133" t="s">
        <v>295</v>
      </c>
      <c r="Q158" s="284"/>
    </row>
    <row r="159" spans="1:17" s="137" customFormat="1" ht="18.75" customHeight="1">
      <c r="A159" s="98" t="s">
        <v>72</v>
      </c>
      <c r="B159" s="155" t="s">
        <v>1047</v>
      </c>
      <c r="C159" s="141" t="s">
        <v>394</v>
      </c>
      <c r="E159" s="458"/>
      <c r="F159" s="458"/>
      <c r="G159" s="137">
        <f>905+22</f>
        <v>927</v>
      </c>
      <c r="I159" s="137">
        <v>34</v>
      </c>
      <c r="K159" s="137">
        <f>632+15</f>
        <v>647</v>
      </c>
      <c r="L159" s="137">
        <f>632+15</f>
        <v>647</v>
      </c>
      <c r="M159" s="475"/>
      <c r="N159" s="137">
        <v>2280</v>
      </c>
      <c r="O159" s="137">
        <f>4104+98+64</f>
        <v>4266</v>
      </c>
      <c r="P159" s="133" t="s">
        <v>295</v>
      </c>
      <c r="Q159" s="284"/>
    </row>
    <row r="160" spans="1:17" s="314" customFormat="1" ht="18.75" customHeight="1">
      <c r="A160" s="180" t="s">
        <v>72</v>
      </c>
      <c r="B160" s="193" t="s">
        <v>1048</v>
      </c>
      <c r="C160" s="284" t="s">
        <v>1013</v>
      </c>
      <c r="E160" s="458"/>
      <c r="F160" s="458"/>
      <c r="M160" s="475"/>
      <c r="N160" s="461">
        <v>2280</v>
      </c>
      <c r="O160" s="461">
        <f>4104+98+64</f>
        <v>4266</v>
      </c>
      <c r="P160" s="133" t="s">
        <v>295</v>
      </c>
      <c r="Q160" s="284"/>
    </row>
    <row r="161" spans="1:17" s="458" customFormat="1" ht="18.75" customHeight="1">
      <c r="A161" s="180" t="s">
        <v>72</v>
      </c>
      <c r="B161" s="93" t="s">
        <v>829</v>
      </c>
      <c r="C161" s="284" t="s">
        <v>1016</v>
      </c>
      <c r="D161" s="458">
        <f>210+16</f>
        <v>226</v>
      </c>
      <c r="G161" s="458">
        <f>380+29</f>
        <v>409</v>
      </c>
      <c r="H161" s="458">
        <f>892+67</f>
        <v>959</v>
      </c>
      <c r="I161" s="458">
        <v>34</v>
      </c>
      <c r="L161" s="458">
        <f>425+32</f>
        <v>457</v>
      </c>
      <c r="M161" s="475"/>
      <c r="N161" s="458">
        <v>2300</v>
      </c>
      <c r="O161" s="458">
        <f>4140+311+64</f>
        <v>4515</v>
      </c>
      <c r="P161" s="93" t="s">
        <v>499</v>
      </c>
      <c r="Q161" s="284"/>
    </row>
    <row r="162" spans="1:17" s="458" customFormat="1" ht="18.75" customHeight="1">
      <c r="A162" s="180" t="s">
        <v>72</v>
      </c>
      <c r="B162" s="93" t="s">
        <v>830</v>
      </c>
      <c r="C162" s="284" t="s">
        <v>999</v>
      </c>
      <c r="D162" s="461">
        <f>210+16</f>
        <v>226</v>
      </c>
      <c r="G162" s="461">
        <f>380+29</f>
        <v>409</v>
      </c>
      <c r="I162" s="461">
        <f>892+67</f>
        <v>959</v>
      </c>
      <c r="K162" s="461">
        <f>425+32+34</f>
        <v>491</v>
      </c>
      <c r="M162" s="475"/>
      <c r="N162" s="458">
        <v>2300</v>
      </c>
      <c r="O162" s="461">
        <f>4140+311+64</f>
        <v>4515</v>
      </c>
      <c r="P162" s="93" t="s">
        <v>499</v>
      </c>
      <c r="Q162" s="284"/>
    </row>
    <row r="163" spans="1:17" s="461" customFormat="1" ht="18.75" customHeight="1">
      <c r="A163" s="180" t="s">
        <v>72</v>
      </c>
      <c r="B163" s="93" t="s">
        <v>1017</v>
      </c>
      <c r="C163" s="284" t="s">
        <v>995</v>
      </c>
      <c r="D163" s="461">
        <f>210+16</f>
        <v>226</v>
      </c>
      <c r="G163" s="461">
        <f>380+29</f>
        <v>409</v>
      </c>
      <c r="H163" s="461">
        <f>892+67</f>
        <v>959</v>
      </c>
      <c r="K163" s="461">
        <f>425+32+34</f>
        <v>491</v>
      </c>
      <c r="M163" s="475"/>
      <c r="N163" s="461">
        <v>2300</v>
      </c>
      <c r="O163" s="461">
        <f>4140+311+64</f>
        <v>4515</v>
      </c>
      <c r="P163" s="93" t="s">
        <v>499</v>
      </c>
      <c r="Q163" s="284"/>
    </row>
    <row r="164" spans="1:17" s="137" customFormat="1" ht="18.75" customHeight="1">
      <c r="A164" s="98" t="s">
        <v>72</v>
      </c>
      <c r="B164" s="139" t="s">
        <v>784</v>
      </c>
      <c r="C164" s="141" t="s">
        <v>134</v>
      </c>
      <c r="D164" s="137">
        <f>210+16</f>
        <v>226</v>
      </c>
      <c r="E164" s="458"/>
      <c r="F164" s="458"/>
      <c r="G164" s="137">
        <f>380+29</f>
        <v>409</v>
      </c>
      <c r="I164" s="137">
        <f>892+67</f>
        <v>959</v>
      </c>
      <c r="K164" s="137">
        <f>425+32+34</f>
        <v>491</v>
      </c>
      <c r="M164" s="475"/>
      <c r="N164" s="137">
        <v>2300</v>
      </c>
      <c r="O164" s="137">
        <f>4140+311+64</f>
        <v>4515</v>
      </c>
      <c r="P164" s="141" t="s">
        <v>459</v>
      </c>
      <c r="Q164" s="284"/>
    </row>
    <row r="165" spans="1:17" s="137" customFormat="1" ht="18.75" customHeight="1">
      <c r="A165" s="98" t="s">
        <v>72</v>
      </c>
      <c r="B165" s="139" t="s">
        <v>785</v>
      </c>
      <c r="C165" s="141" t="s">
        <v>134</v>
      </c>
      <c r="D165" s="137">
        <f>210+16</f>
        <v>226</v>
      </c>
      <c r="E165" s="458"/>
      <c r="F165" s="458"/>
      <c r="G165" s="137">
        <f>380+29</f>
        <v>409</v>
      </c>
      <c r="H165" s="137">
        <f>892+67</f>
        <v>959</v>
      </c>
      <c r="K165" s="137">
        <f>425+32+34</f>
        <v>491</v>
      </c>
      <c r="M165" s="475"/>
      <c r="N165" s="137">
        <v>2300</v>
      </c>
      <c r="O165" s="137">
        <f>4140+311+64</f>
        <v>4515</v>
      </c>
      <c r="P165" s="141" t="s">
        <v>1124</v>
      </c>
      <c r="Q165" s="284"/>
    </row>
    <row r="166" spans="1:17" s="137" customFormat="1" ht="18.75" customHeight="1">
      <c r="A166" s="98" t="s">
        <v>72</v>
      </c>
      <c r="B166" s="93" t="s">
        <v>1018</v>
      </c>
      <c r="C166" s="141" t="s">
        <v>135</v>
      </c>
      <c r="D166" s="137">
        <f>212+16</f>
        <v>228</v>
      </c>
      <c r="E166" s="458"/>
      <c r="F166" s="458"/>
      <c r="G166" s="137">
        <f>385+29</f>
        <v>414</v>
      </c>
      <c r="I166" s="137">
        <f>904+68</f>
        <v>972</v>
      </c>
      <c r="K166" s="137">
        <f>430+32+34</f>
        <v>496</v>
      </c>
      <c r="M166" s="475"/>
      <c r="N166" s="137">
        <v>2330</v>
      </c>
      <c r="O166" s="137">
        <f t="shared" ref="O166:O171" si="12">4194+315+64</f>
        <v>4573</v>
      </c>
      <c r="P166" s="141" t="s">
        <v>1060</v>
      </c>
      <c r="Q166" s="284"/>
    </row>
    <row r="167" spans="1:17" ht="18.75" customHeight="1">
      <c r="A167" s="52" t="s">
        <v>72</v>
      </c>
      <c r="B167" s="93" t="s">
        <v>726</v>
      </c>
      <c r="C167" s="141" t="s">
        <v>134</v>
      </c>
      <c r="D167" s="17">
        <f>212+16</f>
        <v>228</v>
      </c>
      <c r="G167" s="17">
        <f>385+29</f>
        <v>414</v>
      </c>
      <c r="H167" s="17">
        <f>904+68</f>
        <v>972</v>
      </c>
      <c r="K167" s="17">
        <f>430+32+34</f>
        <v>496</v>
      </c>
      <c r="N167" s="17">
        <v>2330</v>
      </c>
      <c r="O167" s="131">
        <f t="shared" si="12"/>
        <v>4573</v>
      </c>
      <c r="P167" s="183" t="s">
        <v>466</v>
      </c>
    </row>
    <row r="168" spans="1:17" ht="18.75" customHeight="1">
      <c r="A168" s="52" t="s">
        <v>72</v>
      </c>
      <c r="B168" s="189" t="s">
        <v>144</v>
      </c>
      <c r="C168" s="141" t="s">
        <v>497</v>
      </c>
      <c r="G168" s="17">
        <f>1002+38</f>
        <v>1040</v>
      </c>
      <c r="I168" s="17">
        <f>904+34</f>
        <v>938</v>
      </c>
      <c r="J168" s="17">
        <v>34</v>
      </c>
      <c r="N168" s="17">
        <v>2330</v>
      </c>
      <c r="O168" s="137">
        <f t="shared" si="12"/>
        <v>4573</v>
      </c>
      <c r="P168" s="33" t="s">
        <v>1061</v>
      </c>
    </row>
    <row r="169" spans="1:17" ht="18.75" customHeight="1">
      <c r="A169" s="52" t="s">
        <v>72</v>
      </c>
      <c r="B169" s="189" t="s">
        <v>145</v>
      </c>
      <c r="C169" s="141" t="s">
        <v>498</v>
      </c>
      <c r="G169" s="17">
        <f>886+34</f>
        <v>920</v>
      </c>
      <c r="H169" s="17">
        <f>731+28</f>
        <v>759</v>
      </c>
      <c r="I169" s="17">
        <v>34</v>
      </c>
      <c r="K169" s="17">
        <f>430+16</f>
        <v>446</v>
      </c>
      <c r="N169" s="17">
        <v>2330</v>
      </c>
      <c r="O169" s="137">
        <f t="shared" si="12"/>
        <v>4573</v>
      </c>
      <c r="P169" s="33" t="s">
        <v>1061</v>
      </c>
    </row>
    <row r="170" spans="1:17" ht="18.75" customHeight="1">
      <c r="A170" s="52" t="s">
        <v>72</v>
      </c>
      <c r="B170" s="189" t="s">
        <v>146</v>
      </c>
      <c r="C170" s="141" t="s">
        <v>382</v>
      </c>
      <c r="G170" s="17">
        <f>886+34</f>
        <v>920</v>
      </c>
      <c r="I170" s="17">
        <f>731+28</f>
        <v>759</v>
      </c>
      <c r="K170" s="17">
        <v>34</v>
      </c>
      <c r="L170" s="17">
        <f>430+16</f>
        <v>446</v>
      </c>
      <c r="N170" s="17">
        <v>2330</v>
      </c>
      <c r="O170" s="137">
        <f t="shared" si="12"/>
        <v>4573</v>
      </c>
      <c r="P170" s="33" t="s">
        <v>1061</v>
      </c>
    </row>
    <row r="171" spans="1:17" ht="18.75" customHeight="1">
      <c r="A171" s="52" t="s">
        <v>72</v>
      </c>
      <c r="B171" s="93" t="s">
        <v>720</v>
      </c>
      <c r="C171" s="141" t="s">
        <v>135</v>
      </c>
      <c r="D171" s="17">
        <f>212+16</f>
        <v>228</v>
      </c>
      <c r="G171" s="17">
        <f>385+29</f>
        <v>414</v>
      </c>
      <c r="I171" s="17">
        <f>904+68</f>
        <v>972</v>
      </c>
      <c r="K171" s="17">
        <f>430+32+34</f>
        <v>496</v>
      </c>
      <c r="N171" s="17">
        <v>2330</v>
      </c>
      <c r="O171" s="137">
        <f t="shared" si="12"/>
        <v>4573</v>
      </c>
      <c r="P171" s="33" t="s">
        <v>455</v>
      </c>
    </row>
    <row r="172" spans="1:17" ht="18.75" customHeight="1">
      <c r="A172" s="52" t="s">
        <v>72</v>
      </c>
      <c r="B172" s="163" t="s">
        <v>744</v>
      </c>
      <c r="C172" s="141" t="s">
        <v>398</v>
      </c>
      <c r="D172" s="17">
        <f>215+16</f>
        <v>231</v>
      </c>
      <c r="G172" s="17">
        <f>390+29</f>
        <v>419</v>
      </c>
      <c r="I172" s="17">
        <f>915+69</f>
        <v>984</v>
      </c>
      <c r="K172" s="17">
        <v>34</v>
      </c>
      <c r="L172" s="17">
        <f>436+33</f>
        <v>469</v>
      </c>
      <c r="N172" s="17">
        <v>2360</v>
      </c>
      <c r="O172" s="131">
        <f>4248+319+64</f>
        <v>4631</v>
      </c>
      <c r="P172" s="184" t="s">
        <v>300</v>
      </c>
    </row>
    <row r="173" spans="1:17" s="137" customFormat="1" ht="18.75" customHeight="1">
      <c r="A173" s="98" t="s">
        <v>72</v>
      </c>
      <c r="B173" s="155" t="s">
        <v>341</v>
      </c>
      <c r="C173" s="158" t="s">
        <v>383</v>
      </c>
      <c r="E173" s="458"/>
      <c r="F173" s="458"/>
      <c r="G173" s="137">
        <f>952+23</f>
        <v>975</v>
      </c>
      <c r="H173" s="137">
        <v>34</v>
      </c>
      <c r="L173" s="137">
        <f>1330+32</f>
        <v>1362</v>
      </c>
      <c r="M173" s="475"/>
      <c r="N173" s="137">
        <v>2400</v>
      </c>
      <c r="O173" s="137">
        <f>4320+104+64</f>
        <v>4488</v>
      </c>
      <c r="P173" s="133" t="s">
        <v>295</v>
      </c>
      <c r="Q173" s="284"/>
    </row>
    <row r="174" spans="1:17" s="137" customFormat="1" ht="18.75" customHeight="1">
      <c r="A174" s="98" t="s">
        <v>72</v>
      </c>
      <c r="B174" s="155" t="s">
        <v>342</v>
      </c>
      <c r="C174" s="158" t="s">
        <v>377</v>
      </c>
      <c r="E174" s="458"/>
      <c r="F174" s="458"/>
      <c r="G174" s="137">
        <f>853+20</f>
        <v>873</v>
      </c>
      <c r="I174" s="137">
        <f>886+21</f>
        <v>907</v>
      </c>
      <c r="J174" s="137">
        <v>34</v>
      </c>
      <c r="L174" s="137">
        <f>665+16</f>
        <v>681</v>
      </c>
      <c r="M174" s="475"/>
      <c r="N174" s="137">
        <v>2520</v>
      </c>
      <c r="O174" s="137">
        <f>4320+104+64</f>
        <v>4488</v>
      </c>
      <c r="P174" s="133" t="s">
        <v>295</v>
      </c>
      <c r="Q174" s="284"/>
    </row>
    <row r="175" spans="1:17" s="137" customFormat="1" ht="18.75" customHeight="1">
      <c r="A175" s="98" t="s">
        <v>72</v>
      </c>
      <c r="B175" s="155" t="s">
        <v>343</v>
      </c>
      <c r="C175" s="158" t="s">
        <v>392</v>
      </c>
      <c r="E175" s="458"/>
      <c r="F175" s="458"/>
      <c r="G175" s="137">
        <f>853+20</f>
        <v>873</v>
      </c>
      <c r="H175" s="137">
        <f>665+16</f>
        <v>681</v>
      </c>
      <c r="I175" s="137">
        <v>34</v>
      </c>
      <c r="K175" s="137">
        <f>443+11</f>
        <v>454</v>
      </c>
      <c r="L175" s="137">
        <f>443+11</f>
        <v>454</v>
      </c>
      <c r="M175" s="475"/>
      <c r="N175" s="137">
        <v>2520</v>
      </c>
      <c r="O175" s="137">
        <f>4320+104+64</f>
        <v>4488</v>
      </c>
      <c r="P175" s="133" t="s">
        <v>295</v>
      </c>
      <c r="Q175" s="284"/>
    </row>
    <row r="176" spans="1:17" s="137" customFormat="1" ht="18.75" customHeight="1">
      <c r="A176" s="98" t="s">
        <v>72</v>
      </c>
      <c r="B176" s="155" t="s">
        <v>978</v>
      </c>
      <c r="C176" s="158" t="s">
        <v>369</v>
      </c>
      <c r="E176" s="458"/>
      <c r="F176" s="458"/>
      <c r="G176" s="137">
        <f>1000+24</f>
        <v>1024</v>
      </c>
      <c r="J176" s="137">
        <v>34</v>
      </c>
      <c r="M176" s="475"/>
      <c r="N176" s="137">
        <v>2520</v>
      </c>
      <c r="O176" s="137">
        <f>4536+109+64</f>
        <v>4709</v>
      </c>
      <c r="P176" s="133" t="s">
        <v>295</v>
      </c>
      <c r="Q176" s="284"/>
    </row>
    <row r="177" spans="1:17" s="137" customFormat="1" ht="18.75" customHeight="1">
      <c r="A177" s="98" t="s">
        <v>72</v>
      </c>
      <c r="B177" s="155" t="s">
        <v>344</v>
      </c>
      <c r="C177" s="158" t="s">
        <v>389</v>
      </c>
      <c r="E177" s="458"/>
      <c r="F177" s="458"/>
      <c r="G177" s="137">
        <f>896+22</f>
        <v>918</v>
      </c>
      <c r="H177" s="137">
        <f>698+17</f>
        <v>715</v>
      </c>
      <c r="K177" s="137">
        <v>34</v>
      </c>
      <c r="L177" s="137">
        <f>931+22</f>
        <v>953</v>
      </c>
      <c r="M177" s="475"/>
      <c r="N177" s="137">
        <v>2520</v>
      </c>
      <c r="O177" s="137">
        <f>4536+109+64</f>
        <v>4709</v>
      </c>
      <c r="P177" s="133" t="s">
        <v>295</v>
      </c>
      <c r="Q177" s="284"/>
    </row>
    <row r="178" spans="1:17" s="137" customFormat="1" ht="18.75" customHeight="1">
      <c r="A178" s="98" t="s">
        <v>72</v>
      </c>
      <c r="B178" s="155" t="s">
        <v>345</v>
      </c>
      <c r="C178" s="158" t="s">
        <v>378</v>
      </c>
      <c r="E178" s="458"/>
      <c r="F178" s="458"/>
      <c r="G178" s="137">
        <f>937+22</f>
        <v>959</v>
      </c>
      <c r="H178" s="137">
        <f>535+13</f>
        <v>548</v>
      </c>
      <c r="I178" s="137">
        <f>535+13</f>
        <v>548</v>
      </c>
      <c r="J178" s="137">
        <v>34</v>
      </c>
      <c r="K178" s="137">
        <f>465+11</f>
        <v>476</v>
      </c>
      <c r="M178" s="475"/>
      <c r="N178" s="137">
        <v>2520</v>
      </c>
      <c r="O178" s="137">
        <f>4536+109+64</f>
        <v>4709</v>
      </c>
      <c r="P178" s="133" t="s">
        <v>295</v>
      </c>
      <c r="Q178" s="284"/>
    </row>
    <row r="179" spans="1:17" s="137" customFormat="1" ht="18.75" customHeight="1">
      <c r="A179" s="98" t="s">
        <v>72</v>
      </c>
      <c r="B179" s="139" t="s">
        <v>747</v>
      </c>
      <c r="C179" s="141" t="s">
        <v>134</v>
      </c>
      <c r="D179" s="137">
        <f>237+18</f>
        <v>255</v>
      </c>
      <c r="E179" s="458"/>
      <c r="F179" s="458"/>
      <c r="G179" s="137">
        <f>430+32</f>
        <v>462</v>
      </c>
      <c r="H179" s="137">
        <f>1008+76</f>
        <v>1084</v>
      </c>
      <c r="K179" s="137">
        <f>480+36+34</f>
        <v>550</v>
      </c>
      <c r="M179" s="475"/>
      <c r="N179" s="137">
        <v>2600</v>
      </c>
      <c r="O179" s="137">
        <f t="shared" ref="O179:O184" si="13">4680+351+64</f>
        <v>5095</v>
      </c>
      <c r="P179" s="141" t="s">
        <v>419</v>
      </c>
      <c r="Q179" s="284"/>
    </row>
    <row r="180" spans="1:17" s="137" customFormat="1" ht="18.75" customHeight="1">
      <c r="A180" s="98" t="s">
        <v>72</v>
      </c>
      <c r="B180" s="189" t="s">
        <v>313</v>
      </c>
      <c r="C180" s="141" t="s">
        <v>112</v>
      </c>
      <c r="E180" s="458"/>
      <c r="F180" s="458"/>
      <c r="G180" s="137">
        <f>1118+42</f>
        <v>1160</v>
      </c>
      <c r="I180" s="137">
        <f>1008+38</f>
        <v>1046</v>
      </c>
      <c r="J180" s="137">
        <v>34</v>
      </c>
      <c r="M180" s="475"/>
      <c r="N180" s="137">
        <v>2600</v>
      </c>
      <c r="O180" s="137">
        <f t="shared" si="13"/>
        <v>5095</v>
      </c>
      <c r="P180" s="140" t="s">
        <v>429</v>
      </c>
      <c r="Q180" s="284"/>
    </row>
    <row r="181" spans="1:17" s="137" customFormat="1" ht="18.75" customHeight="1">
      <c r="A181" s="98" t="s">
        <v>72</v>
      </c>
      <c r="B181" s="189" t="s">
        <v>314</v>
      </c>
      <c r="C181" s="141" t="s">
        <v>134</v>
      </c>
      <c r="E181" s="458"/>
      <c r="F181" s="458"/>
      <c r="G181" s="137">
        <f>989+38</f>
        <v>1027</v>
      </c>
      <c r="H181" s="137">
        <f>816+31</f>
        <v>847</v>
      </c>
      <c r="I181" s="137">
        <v>34</v>
      </c>
      <c r="K181" s="137">
        <f>480+18</f>
        <v>498</v>
      </c>
      <c r="M181" s="475"/>
      <c r="N181" s="137">
        <v>2600</v>
      </c>
      <c r="O181" s="137">
        <f t="shared" si="13"/>
        <v>5095</v>
      </c>
      <c r="P181" s="140" t="s">
        <v>429</v>
      </c>
      <c r="Q181" s="284"/>
    </row>
    <row r="182" spans="1:17" s="137" customFormat="1" ht="18.75" customHeight="1">
      <c r="A182" s="98" t="s">
        <v>72</v>
      </c>
      <c r="B182" s="189" t="s">
        <v>315</v>
      </c>
      <c r="C182" s="141" t="s">
        <v>136</v>
      </c>
      <c r="E182" s="458"/>
      <c r="F182" s="458"/>
      <c r="G182" s="137">
        <f>989+38</f>
        <v>1027</v>
      </c>
      <c r="I182" s="137">
        <f>816+34</f>
        <v>850</v>
      </c>
      <c r="K182" s="137">
        <v>34</v>
      </c>
      <c r="L182" s="137">
        <f>480+18</f>
        <v>498</v>
      </c>
      <c r="M182" s="475"/>
      <c r="N182" s="137">
        <v>2600</v>
      </c>
      <c r="O182" s="137">
        <f t="shared" si="13"/>
        <v>5095</v>
      </c>
      <c r="P182" s="179" t="s">
        <v>429</v>
      </c>
      <c r="Q182" s="284"/>
    </row>
    <row r="183" spans="1:17" s="137" customFormat="1" ht="18.75" customHeight="1">
      <c r="A183" s="98" t="s">
        <v>72</v>
      </c>
      <c r="B183" s="139" t="s">
        <v>754</v>
      </c>
      <c r="C183" s="141" t="s">
        <v>135</v>
      </c>
      <c r="D183" s="186">
        <f>237+18</f>
        <v>255</v>
      </c>
      <c r="E183" s="458"/>
      <c r="F183" s="458"/>
      <c r="G183" s="137">
        <f>430+32</f>
        <v>462</v>
      </c>
      <c r="I183" s="137">
        <f>1008+76</f>
        <v>1084</v>
      </c>
      <c r="K183" s="137">
        <f>480+36+34</f>
        <v>550</v>
      </c>
      <c r="M183" s="475"/>
      <c r="N183" s="137">
        <v>2600</v>
      </c>
      <c r="O183" s="137">
        <f t="shared" si="13"/>
        <v>5095</v>
      </c>
      <c r="P183" s="140" t="s">
        <v>420</v>
      </c>
      <c r="Q183" s="284"/>
    </row>
    <row r="184" spans="1:17" s="137" customFormat="1" ht="18.75" customHeight="1">
      <c r="A184" s="98" t="s">
        <v>72</v>
      </c>
      <c r="B184" s="139" t="s">
        <v>761</v>
      </c>
      <c r="C184" s="141" t="s">
        <v>135</v>
      </c>
      <c r="D184" s="186">
        <f>237+18</f>
        <v>255</v>
      </c>
      <c r="E184" s="458"/>
      <c r="F184" s="458"/>
      <c r="G184" s="137">
        <f>430+32</f>
        <v>462</v>
      </c>
      <c r="I184" s="137">
        <f>1008+76</f>
        <v>1084</v>
      </c>
      <c r="K184" s="137">
        <f>480+36+34</f>
        <v>550</v>
      </c>
      <c r="M184" s="475"/>
      <c r="N184" s="137">
        <v>2600</v>
      </c>
      <c r="O184" s="137">
        <f t="shared" si="13"/>
        <v>5095</v>
      </c>
      <c r="P184" s="140" t="s">
        <v>455</v>
      </c>
      <c r="Q184" s="284"/>
    </row>
    <row r="185" spans="1:17" s="137" customFormat="1" ht="18.75" customHeight="1">
      <c r="A185" s="98" t="s">
        <v>72</v>
      </c>
      <c r="B185" s="163" t="s">
        <v>773</v>
      </c>
      <c r="C185" s="158" t="s">
        <v>398</v>
      </c>
      <c r="D185" s="186">
        <f>240+18</f>
        <v>258</v>
      </c>
      <c r="E185" s="458"/>
      <c r="F185" s="458"/>
      <c r="G185" s="137">
        <f>436+33</f>
        <v>469</v>
      </c>
      <c r="I185" s="137">
        <f>1024+77</f>
        <v>1101</v>
      </c>
      <c r="K185" s="137">
        <v>34</v>
      </c>
      <c r="L185" s="137">
        <f>488+37</f>
        <v>525</v>
      </c>
      <c r="M185" s="475"/>
      <c r="N185" s="137">
        <v>2640</v>
      </c>
      <c r="O185" s="137">
        <f>4752+356+64</f>
        <v>5172</v>
      </c>
      <c r="P185" s="140" t="s">
        <v>300</v>
      </c>
      <c r="Q185" s="284"/>
    </row>
    <row r="186" spans="1:17" s="458" customFormat="1" ht="18.75" customHeight="1">
      <c r="A186" s="180" t="s">
        <v>72</v>
      </c>
      <c r="B186" s="193" t="s">
        <v>977</v>
      </c>
      <c r="C186" s="284" t="s">
        <v>997</v>
      </c>
      <c r="G186" s="458">
        <f>1059+25</f>
        <v>1084</v>
      </c>
      <c r="H186" s="458">
        <f>1479+35</f>
        <v>1514</v>
      </c>
      <c r="K186" s="458">
        <v>34</v>
      </c>
      <c r="M186" s="475"/>
      <c r="N186" s="458">
        <v>2670</v>
      </c>
      <c r="O186" s="458">
        <f>4806+115+64</f>
        <v>4985</v>
      </c>
      <c r="P186" s="133" t="s">
        <v>295</v>
      </c>
      <c r="Q186" s="284"/>
    </row>
    <row r="187" spans="1:17" s="458" customFormat="1" ht="18.75" customHeight="1">
      <c r="A187" s="180" t="s">
        <v>72</v>
      </c>
      <c r="B187" s="193" t="s">
        <v>984</v>
      </c>
      <c r="C187" s="284" t="s">
        <v>1012</v>
      </c>
      <c r="G187" s="458">
        <f>1059+25</f>
        <v>1084</v>
      </c>
      <c r="I187" s="458">
        <v>34</v>
      </c>
      <c r="K187" s="458">
        <f>740+18</f>
        <v>758</v>
      </c>
      <c r="L187" s="458">
        <f>740+18</f>
        <v>758</v>
      </c>
      <c r="M187" s="475"/>
      <c r="N187" s="458">
        <v>2670</v>
      </c>
      <c r="O187" s="461">
        <f>4806+115+64</f>
        <v>4985</v>
      </c>
      <c r="P187" s="133" t="s">
        <v>295</v>
      </c>
      <c r="Q187" s="284"/>
    </row>
    <row r="188" spans="1:17" s="458" customFormat="1" ht="18.75" customHeight="1">
      <c r="A188" s="180" t="s">
        <v>72</v>
      </c>
      <c r="B188" s="193" t="s">
        <v>985</v>
      </c>
      <c r="C188" s="284" t="s">
        <v>1013</v>
      </c>
      <c r="G188" s="458">
        <f>993+24</f>
        <v>1017</v>
      </c>
      <c r="H188" s="458">
        <f>567+14</f>
        <v>581</v>
      </c>
      <c r="I188" s="461">
        <f>567+14</f>
        <v>581</v>
      </c>
      <c r="J188" s="458">
        <v>34</v>
      </c>
      <c r="L188" s="458">
        <f>493+12</f>
        <v>505</v>
      </c>
      <c r="M188" s="475"/>
      <c r="N188" s="461">
        <v>2670</v>
      </c>
      <c r="O188" s="461">
        <f>4806+115+64</f>
        <v>4985</v>
      </c>
      <c r="P188" s="133" t="s">
        <v>295</v>
      </c>
      <c r="Q188" s="284"/>
    </row>
    <row r="189" spans="1:17" s="458" customFormat="1" ht="18.75" customHeight="1">
      <c r="A189" s="180" t="s">
        <v>72</v>
      </c>
      <c r="B189" s="193" t="s">
        <v>1015</v>
      </c>
      <c r="C189" s="284" t="s">
        <v>1003</v>
      </c>
      <c r="G189" s="458">
        <f>1119+27</f>
        <v>1146</v>
      </c>
      <c r="H189" s="458">
        <v>34</v>
      </c>
      <c r="L189" s="458">
        <f>1562+37</f>
        <v>1599</v>
      </c>
      <c r="M189" s="475"/>
      <c r="N189" s="458">
        <v>2820</v>
      </c>
      <c r="O189" s="458">
        <f>5076+122+64</f>
        <v>5262</v>
      </c>
      <c r="P189" s="133" t="s">
        <v>295</v>
      </c>
      <c r="Q189" s="284"/>
    </row>
    <row r="190" spans="1:17" s="458" customFormat="1" ht="18.75" customHeight="1">
      <c r="A190" s="180" t="s">
        <v>72</v>
      </c>
      <c r="B190" s="193" t="s">
        <v>986</v>
      </c>
      <c r="C190" s="284" t="s">
        <v>1014</v>
      </c>
      <c r="G190" s="458">
        <f>1002+24</f>
        <v>1026</v>
      </c>
      <c r="I190" s="458">
        <f>1042+25</f>
        <v>1067</v>
      </c>
      <c r="J190" s="458">
        <v>34</v>
      </c>
      <c r="L190" s="458">
        <f>781+19</f>
        <v>800</v>
      </c>
      <c r="M190" s="475"/>
      <c r="N190" s="461">
        <v>2820</v>
      </c>
      <c r="O190" s="461">
        <f>5076+122+64</f>
        <v>5262</v>
      </c>
      <c r="P190" s="133" t="s">
        <v>295</v>
      </c>
      <c r="Q190" s="284"/>
    </row>
    <row r="191" spans="1:17" s="458" customFormat="1" ht="18.75" customHeight="1">
      <c r="A191" s="180" t="s">
        <v>72</v>
      </c>
      <c r="B191" s="193" t="s">
        <v>987</v>
      </c>
      <c r="C191" s="284" t="s">
        <v>1001</v>
      </c>
      <c r="G191" s="458">
        <f>1002+24</f>
        <v>1026</v>
      </c>
      <c r="H191" s="458">
        <f>781+19</f>
        <v>800</v>
      </c>
      <c r="I191" s="458">
        <v>34</v>
      </c>
      <c r="K191" s="458">
        <f>521+13</f>
        <v>534</v>
      </c>
      <c r="L191" s="461">
        <f>521+13</f>
        <v>534</v>
      </c>
      <c r="M191" s="475"/>
      <c r="N191" s="461">
        <v>2820</v>
      </c>
      <c r="O191" s="461">
        <f>5076+122+64</f>
        <v>5262</v>
      </c>
      <c r="P191" s="133" t="s">
        <v>295</v>
      </c>
      <c r="Q191" s="284"/>
    </row>
    <row r="192" spans="1:17" s="461" customFormat="1" ht="18.75" customHeight="1">
      <c r="A192" s="180" t="s">
        <v>72</v>
      </c>
      <c r="B192" s="93" t="s">
        <v>988</v>
      </c>
      <c r="C192" s="284" t="s">
        <v>135</v>
      </c>
      <c r="D192" s="461">
        <f>264+20</f>
        <v>284</v>
      </c>
      <c r="G192" s="461">
        <f>479+36</f>
        <v>515</v>
      </c>
      <c r="I192" s="461">
        <f>1125+84</f>
        <v>1209</v>
      </c>
      <c r="K192" s="461">
        <f>536+40+34</f>
        <v>610</v>
      </c>
      <c r="M192" s="475"/>
      <c r="N192" s="461">
        <v>2900</v>
      </c>
      <c r="O192" s="461">
        <f t="shared" ref="O192:O198" si="14">5220+392+64</f>
        <v>5676</v>
      </c>
      <c r="P192" s="284" t="s">
        <v>455</v>
      </c>
      <c r="Q192" s="284"/>
    </row>
    <row r="193" spans="1:17" s="461" customFormat="1" ht="18.75" customHeight="1">
      <c r="A193" s="180" t="s">
        <v>72</v>
      </c>
      <c r="B193" s="93" t="s">
        <v>989</v>
      </c>
      <c r="C193" s="284" t="s">
        <v>995</v>
      </c>
      <c r="D193" s="461">
        <f>264+20</f>
        <v>284</v>
      </c>
      <c r="G193" s="461">
        <f>479+36</f>
        <v>515</v>
      </c>
      <c r="H193" s="461">
        <f>1125+84</f>
        <v>1209</v>
      </c>
      <c r="K193" s="461">
        <f>536+40+34</f>
        <v>610</v>
      </c>
      <c r="M193" s="475"/>
      <c r="N193" s="461">
        <v>2900</v>
      </c>
      <c r="O193" s="461">
        <f t="shared" si="14"/>
        <v>5676</v>
      </c>
      <c r="P193" s="284" t="s">
        <v>778</v>
      </c>
      <c r="Q193" s="284"/>
    </row>
    <row r="194" spans="1:17" s="458" customFormat="1" ht="18.75" customHeight="1">
      <c r="A194" s="180" t="s">
        <v>72</v>
      </c>
      <c r="B194" s="93" t="s">
        <v>990</v>
      </c>
      <c r="C194" s="284" t="s">
        <v>996</v>
      </c>
      <c r="D194" s="458">
        <f>264+20+10</f>
        <v>294</v>
      </c>
      <c r="G194" s="458">
        <f>623+47</f>
        <v>670</v>
      </c>
      <c r="H194" s="458">
        <f>1339+100</f>
        <v>1439</v>
      </c>
      <c r="M194" s="475"/>
      <c r="N194" s="461">
        <v>2900</v>
      </c>
      <c r="O194" s="461">
        <f t="shared" si="14"/>
        <v>5676</v>
      </c>
      <c r="P194" s="284" t="s">
        <v>998</v>
      </c>
      <c r="Q194" s="284"/>
    </row>
    <row r="195" spans="1:17" s="461" customFormat="1" ht="18.75" customHeight="1">
      <c r="A195" s="180" t="s">
        <v>72</v>
      </c>
      <c r="B195" s="193" t="s">
        <v>991</v>
      </c>
      <c r="C195" s="284" t="s">
        <v>997</v>
      </c>
      <c r="G195" s="461">
        <f>1151+28</f>
        <v>1179</v>
      </c>
      <c r="H195" s="461">
        <f>1607+39</f>
        <v>1646</v>
      </c>
      <c r="K195" s="461">
        <v>34</v>
      </c>
      <c r="M195" s="475"/>
      <c r="N195" s="461">
        <v>2900</v>
      </c>
      <c r="O195" s="461">
        <f t="shared" si="14"/>
        <v>5676</v>
      </c>
      <c r="P195" s="284" t="s">
        <v>998</v>
      </c>
      <c r="Q195" s="284"/>
    </row>
    <row r="196" spans="1:17" s="461" customFormat="1" ht="18.75" customHeight="1">
      <c r="A196" s="180" t="s">
        <v>72</v>
      </c>
      <c r="B196" s="193" t="s">
        <v>992</v>
      </c>
      <c r="C196" s="284" t="s">
        <v>1000</v>
      </c>
      <c r="G196" s="461">
        <f>1079+26</f>
        <v>1105</v>
      </c>
      <c r="I196" s="461">
        <f>1125+27</f>
        <v>1152</v>
      </c>
      <c r="J196" s="461">
        <v>34</v>
      </c>
      <c r="K196" s="461">
        <f>643+15</f>
        <v>658</v>
      </c>
      <c r="M196" s="475"/>
      <c r="N196" s="461">
        <v>2900</v>
      </c>
      <c r="O196" s="461">
        <f t="shared" si="14"/>
        <v>5676</v>
      </c>
      <c r="P196" s="284" t="s">
        <v>998</v>
      </c>
      <c r="Q196" s="284"/>
    </row>
    <row r="197" spans="1:17" s="461" customFormat="1" ht="18.75" customHeight="1">
      <c r="A197" s="180" t="s">
        <v>72</v>
      </c>
      <c r="B197" s="193" t="s">
        <v>993</v>
      </c>
      <c r="C197" s="284" t="s">
        <v>1001</v>
      </c>
      <c r="G197" s="461">
        <f>1031+25</f>
        <v>1056</v>
      </c>
      <c r="H197" s="461">
        <f>803+19</f>
        <v>822</v>
      </c>
      <c r="I197" s="461">
        <v>34</v>
      </c>
      <c r="K197" s="461">
        <f>536+13</f>
        <v>549</v>
      </c>
      <c r="L197" s="461">
        <f>536+13</f>
        <v>549</v>
      </c>
      <c r="M197" s="475"/>
      <c r="N197" s="461">
        <v>2900</v>
      </c>
      <c r="O197" s="461">
        <f t="shared" si="14"/>
        <v>5676</v>
      </c>
      <c r="P197" s="284" t="s">
        <v>998</v>
      </c>
      <c r="Q197" s="284"/>
    </row>
    <row r="198" spans="1:17" s="564" customFormat="1" ht="18.75" customHeight="1">
      <c r="A198" s="180" t="s">
        <v>72</v>
      </c>
      <c r="B198" s="93" t="s">
        <v>1446</v>
      </c>
      <c r="C198" s="284" t="s">
        <v>1447</v>
      </c>
      <c r="D198" s="564">
        <f>264+20</f>
        <v>284</v>
      </c>
      <c r="G198" s="564">
        <f>479+36</f>
        <v>515</v>
      </c>
      <c r="H198" s="564">
        <f>1012+76</f>
        <v>1088</v>
      </c>
      <c r="I198" s="564">
        <v>34</v>
      </c>
      <c r="L198" s="564">
        <f>536+40</f>
        <v>576</v>
      </c>
      <c r="N198" s="564">
        <f>2900</f>
        <v>2900</v>
      </c>
      <c r="O198" s="564">
        <f t="shared" si="14"/>
        <v>5676</v>
      </c>
      <c r="P198" s="93" t="s">
        <v>1448</v>
      </c>
      <c r="Q198" s="284"/>
    </row>
    <row r="199" spans="1:17" s="461" customFormat="1" ht="18.75" customHeight="1">
      <c r="A199" s="180" t="s">
        <v>72</v>
      </c>
      <c r="B199" s="163" t="s">
        <v>994</v>
      </c>
      <c r="C199" s="284" t="s">
        <v>1002</v>
      </c>
      <c r="D199" s="461">
        <f>268+20</f>
        <v>288</v>
      </c>
      <c r="G199" s="461">
        <f>486+36</f>
        <v>522</v>
      </c>
      <c r="I199" s="461">
        <f>1140+86</f>
        <v>1226</v>
      </c>
      <c r="K199" s="461">
        <v>34</v>
      </c>
      <c r="L199" s="461">
        <f>543+41</f>
        <v>584</v>
      </c>
      <c r="M199" s="475"/>
      <c r="N199" s="461">
        <v>2940</v>
      </c>
      <c r="O199" s="461">
        <f>5292+397+64</f>
        <v>5753</v>
      </c>
      <c r="P199" s="184" t="s">
        <v>300</v>
      </c>
      <c r="Q199" s="284"/>
    </row>
    <row r="200" spans="1:17" s="458" customFormat="1" ht="18.75" customHeight="1">
      <c r="A200" s="180" t="s">
        <v>74</v>
      </c>
      <c r="B200" s="93" t="s">
        <v>831</v>
      </c>
      <c r="C200" s="284" t="s">
        <v>673</v>
      </c>
      <c r="D200" s="458">
        <f>147+11+10</f>
        <v>168</v>
      </c>
      <c r="G200" s="458">
        <f>266+20</f>
        <v>286</v>
      </c>
      <c r="I200" s="458">
        <f>624+47</f>
        <v>671</v>
      </c>
      <c r="L200" s="458">
        <f>297+22</f>
        <v>319</v>
      </c>
      <c r="M200" s="475"/>
      <c r="N200" s="458">
        <v>2300</v>
      </c>
      <c r="O200" s="458">
        <f>2898+217+64</f>
        <v>3179</v>
      </c>
      <c r="P200" s="93" t="s">
        <v>499</v>
      </c>
      <c r="Q200" s="284"/>
    </row>
    <row r="201" spans="1:17" s="458" customFormat="1" ht="18.75" customHeight="1">
      <c r="A201" s="180" t="s">
        <v>74</v>
      </c>
      <c r="B201" s="93" t="s">
        <v>833</v>
      </c>
      <c r="C201" s="284" t="s">
        <v>1016</v>
      </c>
      <c r="D201" s="458">
        <f>147+11</f>
        <v>158</v>
      </c>
      <c r="G201" s="458">
        <f>266+20</f>
        <v>286</v>
      </c>
      <c r="H201" s="458">
        <f>624+47</f>
        <v>671</v>
      </c>
      <c r="K201" s="458">
        <f>297+22+34</f>
        <v>353</v>
      </c>
      <c r="M201" s="475"/>
      <c r="N201" s="458">
        <v>2300</v>
      </c>
      <c r="O201" s="458">
        <f>2898+217+64</f>
        <v>3179</v>
      </c>
      <c r="P201" s="93" t="s">
        <v>499</v>
      </c>
      <c r="Q201" s="284"/>
    </row>
    <row r="202" spans="1:17" s="458" customFormat="1" ht="18.75" customHeight="1">
      <c r="A202" s="180" t="s">
        <v>74</v>
      </c>
      <c r="B202" s="93" t="s">
        <v>832</v>
      </c>
      <c r="C202" s="284" t="s">
        <v>673</v>
      </c>
      <c r="D202" s="458">
        <f>147+11+10</f>
        <v>168</v>
      </c>
      <c r="G202" s="458">
        <f>266+20</f>
        <v>286</v>
      </c>
      <c r="I202" s="458">
        <f>624+47</f>
        <v>671</v>
      </c>
      <c r="L202" s="458">
        <f>297+22+34</f>
        <v>353</v>
      </c>
      <c r="M202" s="475"/>
      <c r="N202" s="458">
        <v>2300</v>
      </c>
      <c r="O202" s="458">
        <f>2898+217+64</f>
        <v>3179</v>
      </c>
      <c r="P202" s="165" t="s">
        <v>458</v>
      </c>
      <c r="Q202" s="284"/>
    </row>
    <row r="203" spans="1:17" ht="18.75" customHeight="1">
      <c r="A203" s="180" t="s">
        <v>74</v>
      </c>
      <c r="B203" s="33" t="s">
        <v>834</v>
      </c>
      <c r="C203" s="127" t="s">
        <v>673</v>
      </c>
      <c r="D203" s="17">
        <f>147+11+10</f>
        <v>168</v>
      </c>
      <c r="G203" s="17">
        <f>266+20</f>
        <v>286</v>
      </c>
      <c r="I203" s="17">
        <f>624+47</f>
        <v>671</v>
      </c>
      <c r="L203" s="17">
        <f>297+22+34</f>
        <v>353</v>
      </c>
      <c r="N203" s="17">
        <v>2300</v>
      </c>
      <c r="O203" s="458">
        <f>2898+217+64</f>
        <v>3179</v>
      </c>
      <c r="P203" s="284" t="s">
        <v>1123</v>
      </c>
    </row>
    <row r="204" spans="1:17" ht="18.75" customHeight="1">
      <c r="A204" s="52" t="s">
        <v>835</v>
      </c>
      <c r="B204" s="144" t="s">
        <v>836</v>
      </c>
      <c r="C204" s="158" t="s">
        <v>393</v>
      </c>
      <c r="D204" s="17">
        <f>147+11</f>
        <v>158</v>
      </c>
      <c r="G204" s="17">
        <f>266+20</f>
        <v>286</v>
      </c>
      <c r="H204" s="17">
        <f>624+47+34</f>
        <v>705</v>
      </c>
      <c r="L204" s="17">
        <f>297+22</f>
        <v>319</v>
      </c>
      <c r="N204" s="17">
        <v>2300</v>
      </c>
      <c r="O204" s="131">
        <f>2898+217+64</f>
        <v>3179</v>
      </c>
      <c r="P204" s="158" t="s">
        <v>1134</v>
      </c>
    </row>
    <row r="205" spans="1:17" s="458" customFormat="1" ht="18.75" customHeight="1">
      <c r="A205" s="180" t="s">
        <v>835</v>
      </c>
      <c r="B205" s="93" t="s">
        <v>837</v>
      </c>
      <c r="C205" s="284" t="s">
        <v>677</v>
      </c>
      <c r="D205" s="458">
        <f>149+11</f>
        <v>160</v>
      </c>
      <c r="G205" s="458">
        <f>270+20</f>
        <v>290</v>
      </c>
      <c r="I205" s="458">
        <f>632+47</f>
        <v>679</v>
      </c>
      <c r="K205" s="458">
        <f>301+23</f>
        <v>324</v>
      </c>
      <c r="M205" s="475"/>
      <c r="N205" s="461">
        <v>2330</v>
      </c>
      <c r="O205" s="461">
        <f>2935+220+64</f>
        <v>3219</v>
      </c>
      <c r="P205" s="184" t="s">
        <v>1062</v>
      </c>
      <c r="Q205" s="284"/>
    </row>
    <row r="206" spans="1:17" ht="18.75" customHeight="1">
      <c r="A206" s="52" t="s">
        <v>74</v>
      </c>
      <c r="B206" s="182" t="s">
        <v>727</v>
      </c>
      <c r="C206" s="141" t="s">
        <v>136</v>
      </c>
      <c r="D206" s="17">
        <f>149+11+10</f>
        <v>170</v>
      </c>
      <c r="G206" s="17">
        <f>270+20</f>
        <v>290</v>
      </c>
      <c r="I206" s="17">
        <f>632+47</f>
        <v>679</v>
      </c>
      <c r="L206" s="17">
        <f>301+23+34</f>
        <v>358</v>
      </c>
      <c r="N206" s="17">
        <v>2330</v>
      </c>
      <c r="O206" s="143">
        <f>2935+220+64</f>
        <v>3219</v>
      </c>
      <c r="P206" s="33" t="s">
        <v>1057</v>
      </c>
    </row>
    <row r="207" spans="1:17" ht="18.75" customHeight="1">
      <c r="A207" s="52" t="s">
        <v>74</v>
      </c>
      <c r="B207" s="93" t="s">
        <v>721</v>
      </c>
      <c r="C207" s="141" t="s">
        <v>135</v>
      </c>
      <c r="D207" s="17">
        <f>149+11</f>
        <v>160</v>
      </c>
      <c r="G207" s="17">
        <f>270+20</f>
        <v>290</v>
      </c>
      <c r="I207" s="17">
        <f>632+47</f>
        <v>679</v>
      </c>
      <c r="K207" s="17">
        <f>301+23+34</f>
        <v>358</v>
      </c>
      <c r="N207" s="17">
        <v>2330</v>
      </c>
      <c r="O207" s="131">
        <f>2935+220+64</f>
        <v>3219</v>
      </c>
      <c r="P207" s="284" t="s">
        <v>1033</v>
      </c>
    </row>
    <row r="208" spans="1:17" ht="18.75" customHeight="1">
      <c r="A208" s="52" t="s">
        <v>74</v>
      </c>
      <c r="B208" s="163" t="s">
        <v>1028</v>
      </c>
      <c r="C208" s="141" t="s">
        <v>397</v>
      </c>
      <c r="D208" s="17">
        <f>150+11</f>
        <v>161</v>
      </c>
      <c r="G208" s="17">
        <f>273+20</f>
        <v>293</v>
      </c>
      <c r="H208" s="17">
        <f>641+48</f>
        <v>689</v>
      </c>
      <c r="K208" s="17">
        <f>305+23+34</f>
        <v>362</v>
      </c>
      <c r="N208" s="17">
        <v>2360</v>
      </c>
      <c r="O208" s="131">
        <f>2973+223+64</f>
        <v>3260</v>
      </c>
      <c r="P208" s="184" t="s">
        <v>300</v>
      </c>
    </row>
    <row r="209" spans="1:17" s="137" customFormat="1" ht="18.75" customHeight="1">
      <c r="A209" s="98" t="s">
        <v>74</v>
      </c>
      <c r="B209" s="193" t="s">
        <v>346</v>
      </c>
      <c r="C209" s="158" t="s">
        <v>373</v>
      </c>
      <c r="E209" s="458"/>
      <c r="F209" s="458"/>
      <c r="G209" s="137">
        <f>667+16</f>
        <v>683</v>
      </c>
      <c r="H209" s="137">
        <f>931+22</f>
        <v>953</v>
      </c>
      <c r="K209" s="137">
        <v>34</v>
      </c>
      <c r="M209" s="475"/>
      <c r="N209" s="137">
        <v>2400</v>
      </c>
      <c r="O209" s="137">
        <f t="shared" ref="O209:O215" si="15">3024+73+64</f>
        <v>3161</v>
      </c>
      <c r="P209" s="133" t="s">
        <v>295</v>
      </c>
      <c r="Q209" s="284"/>
    </row>
    <row r="210" spans="1:17" s="137" customFormat="1" ht="18.75" customHeight="1">
      <c r="A210" s="98" t="s">
        <v>74</v>
      </c>
      <c r="B210" s="155" t="s">
        <v>347</v>
      </c>
      <c r="C210" s="158" t="s">
        <v>394</v>
      </c>
      <c r="E210" s="458"/>
      <c r="F210" s="458"/>
      <c r="G210" s="137">
        <f>667+16</f>
        <v>683</v>
      </c>
      <c r="I210" s="137">
        <v>34</v>
      </c>
      <c r="K210" s="137">
        <f>465+11</f>
        <v>476</v>
      </c>
      <c r="L210" s="137">
        <f>465+11</f>
        <v>476</v>
      </c>
      <c r="M210" s="475"/>
      <c r="N210" s="137">
        <v>2400</v>
      </c>
      <c r="O210" s="137">
        <f t="shared" si="15"/>
        <v>3161</v>
      </c>
      <c r="P210" s="133" t="s">
        <v>295</v>
      </c>
      <c r="Q210" s="284"/>
    </row>
    <row r="211" spans="1:17" s="137" customFormat="1" ht="18.75" customHeight="1">
      <c r="A211" s="98" t="s">
        <v>74</v>
      </c>
      <c r="B211" s="155" t="s">
        <v>348</v>
      </c>
      <c r="C211" s="158" t="s">
        <v>385</v>
      </c>
      <c r="E211" s="458"/>
      <c r="F211" s="458"/>
      <c r="G211" s="137">
        <f>597+14</f>
        <v>611</v>
      </c>
      <c r="H211" s="137">
        <v>34</v>
      </c>
      <c r="I211" s="137">
        <f>465+11</f>
        <v>476</v>
      </c>
      <c r="J211" s="137">
        <f>310+7</f>
        <v>317</v>
      </c>
      <c r="L211" s="137">
        <f>310+7</f>
        <v>317</v>
      </c>
      <c r="M211" s="475"/>
      <c r="N211" s="137">
        <v>2400</v>
      </c>
      <c r="O211" s="137">
        <f t="shared" si="15"/>
        <v>3161</v>
      </c>
      <c r="P211" s="133" t="s">
        <v>295</v>
      </c>
      <c r="Q211" s="284"/>
    </row>
    <row r="212" spans="1:17" s="458" customFormat="1" ht="18.75" customHeight="1">
      <c r="A212" s="180" t="s">
        <v>74</v>
      </c>
      <c r="B212" s="93" t="s">
        <v>838</v>
      </c>
      <c r="C212" s="284" t="s">
        <v>708</v>
      </c>
      <c r="D212" s="458">
        <f>155+12</f>
        <v>167</v>
      </c>
      <c r="G212" s="458">
        <f>281+21</f>
        <v>302</v>
      </c>
      <c r="H212" s="458">
        <f>660+50+34</f>
        <v>744</v>
      </c>
      <c r="L212" s="458">
        <f>314+24</f>
        <v>338</v>
      </c>
      <c r="M212" s="475"/>
      <c r="N212" s="458">
        <v>2430</v>
      </c>
      <c r="O212" s="458">
        <f>3061+230+64</f>
        <v>3355</v>
      </c>
      <c r="P212" s="315" t="s">
        <v>686</v>
      </c>
      <c r="Q212" s="284"/>
    </row>
    <row r="213" spans="1:17" s="137" customFormat="1" ht="18.75" customHeight="1">
      <c r="A213" s="98" t="s">
        <v>74</v>
      </c>
      <c r="B213" s="155" t="s">
        <v>839</v>
      </c>
      <c r="C213" s="158" t="s">
        <v>386</v>
      </c>
      <c r="E213" s="458"/>
      <c r="F213" s="458"/>
      <c r="G213" s="137">
        <f>627+15</f>
        <v>642</v>
      </c>
      <c r="H213" s="137">
        <f>570+14</f>
        <v>584</v>
      </c>
      <c r="I213" s="137">
        <f>570+14</f>
        <v>584</v>
      </c>
      <c r="K213" s="137">
        <v>34</v>
      </c>
      <c r="M213" s="475"/>
      <c r="N213" s="137">
        <v>2400</v>
      </c>
      <c r="O213" s="137">
        <f t="shared" si="15"/>
        <v>3161</v>
      </c>
      <c r="P213" s="133" t="s">
        <v>295</v>
      </c>
      <c r="Q213" s="284"/>
    </row>
    <row r="214" spans="1:17" s="137" customFormat="1" ht="18.75" customHeight="1">
      <c r="A214" s="98" t="s">
        <v>74</v>
      </c>
      <c r="B214" s="155" t="s">
        <v>840</v>
      </c>
      <c r="C214" s="158" t="s">
        <v>392</v>
      </c>
      <c r="E214" s="458"/>
      <c r="F214" s="458"/>
      <c r="G214" s="137">
        <f>627+15</f>
        <v>642</v>
      </c>
      <c r="H214" s="137">
        <f>489+12</f>
        <v>501</v>
      </c>
      <c r="J214" s="137">
        <v>34</v>
      </c>
      <c r="K214" s="137">
        <f>326+8</f>
        <v>334</v>
      </c>
      <c r="L214" s="137">
        <f>326+8</f>
        <v>334</v>
      </c>
      <c r="M214" s="475"/>
      <c r="N214" s="137">
        <v>2400</v>
      </c>
      <c r="O214" s="137">
        <f t="shared" si="15"/>
        <v>3161</v>
      </c>
      <c r="P214" s="133" t="s">
        <v>295</v>
      </c>
      <c r="Q214" s="284"/>
    </row>
    <row r="215" spans="1:17" s="137" customFormat="1" ht="18.75" customHeight="1">
      <c r="A215" s="98" t="s">
        <v>74</v>
      </c>
      <c r="B215" s="155" t="s">
        <v>841</v>
      </c>
      <c r="C215" s="158" t="s">
        <v>376</v>
      </c>
      <c r="E215" s="458"/>
      <c r="F215" s="458"/>
      <c r="G215" s="137">
        <f>700+17</f>
        <v>717</v>
      </c>
      <c r="J215" s="137">
        <v>34</v>
      </c>
      <c r="K215" s="137">
        <f>977+23</f>
        <v>1000</v>
      </c>
      <c r="M215" s="475"/>
      <c r="N215" s="137">
        <v>2400</v>
      </c>
      <c r="O215" s="137">
        <f t="shared" si="15"/>
        <v>3161</v>
      </c>
      <c r="P215" s="133" t="s">
        <v>295</v>
      </c>
      <c r="Q215" s="284"/>
    </row>
    <row r="216" spans="1:17" s="132" customFormat="1" ht="18.75" customHeight="1">
      <c r="A216" s="98" t="s">
        <v>74</v>
      </c>
      <c r="B216" s="144" t="s">
        <v>842</v>
      </c>
      <c r="C216" s="158" t="s">
        <v>393</v>
      </c>
      <c r="D216" s="132">
        <f>163+12</f>
        <v>175</v>
      </c>
      <c r="E216" s="458"/>
      <c r="F216" s="458"/>
      <c r="G216" s="132">
        <f>296+22</f>
        <v>318</v>
      </c>
      <c r="H216" s="132">
        <f>695+52+34</f>
        <v>781</v>
      </c>
      <c r="L216" s="132">
        <f>331+25</f>
        <v>356</v>
      </c>
      <c r="M216" s="475"/>
      <c r="N216" s="132">
        <v>2560</v>
      </c>
      <c r="O216" s="132">
        <f>3225+242+64</f>
        <v>3531</v>
      </c>
      <c r="P216" s="158" t="s">
        <v>1135</v>
      </c>
      <c r="Q216" s="284"/>
    </row>
    <row r="217" spans="1:17" s="458" customFormat="1" ht="18.75" customHeight="1">
      <c r="A217" s="180" t="s">
        <v>74</v>
      </c>
      <c r="B217" s="93" t="s">
        <v>843</v>
      </c>
      <c r="C217" s="284" t="s">
        <v>673</v>
      </c>
      <c r="D217" s="458">
        <f>163+12+10</f>
        <v>185</v>
      </c>
      <c r="G217" s="458">
        <f>296+22</f>
        <v>318</v>
      </c>
      <c r="I217" s="458">
        <f>695+52</f>
        <v>747</v>
      </c>
      <c r="L217" s="458">
        <f>331+25+34</f>
        <v>390</v>
      </c>
      <c r="M217" s="475"/>
      <c r="N217" s="458">
        <v>2560</v>
      </c>
      <c r="O217" s="458">
        <f>3225+242+64</f>
        <v>3531</v>
      </c>
      <c r="P217" s="284" t="s">
        <v>1122</v>
      </c>
      <c r="Q217" s="284"/>
    </row>
    <row r="218" spans="1:17" s="458" customFormat="1" ht="18.75" customHeight="1">
      <c r="A218" s="180" t="s">
        <v>74</v>
      </c>
      <c r="B218" s="93" t="s">
        <v>844</v>
      </c>
      <c r="C218" s="284" t="s">
        <v>673</v>
      </c>
      <c r="D218" s="458">
        <f>163+12+10</f>
        <v>185</v>
      </c>
      <c r="G218" s="458">
        <f>296+22</f>
        <v>318</v>
      </c>
      <c r="I218" s="458">
        <f>695+52</f>
        <v>747</v>
      </c>
      <c r="L218" s="458">
        <f>331+25+34</f>
        <v>390</v>
      </c>
      <c r="M218" s="475"/>
      <c r="N218" s="458">
        <v>2560</v>
      </c>
      <c r="O218" s="458">
        <f>3225+242+64</f>
        <v>3531</v>
      </c>
      <c r="P218" s="165" t="s">
        <v>458</v>
      </c>
      <c r="Q218" s="284"/>
    </row>
    <row r="219" spans="1:17" s="137" customFormat="1" ht="18.75" customHeight="1">
      <c r="A219" s="98" t="s">
        <v>74</v>
      </c>
      <c r="B219" s="93" t="s">
        <v>748</v>
      </c>
      <c r="C219" s="141" t="s">
        <v>136</v>
      </c>
      <c r="D219" s="137">
        <f>166+12+10</f>
        <v>188</v>
      </c>
      <c r="E219" s="458"/>
      <c r="F219" s="458"/>
      <c r="G219" s="137">
        <f>301+23</f>
        <v>324</v>
      </c>
      <c r="I219" s="137">
        <f>706+53</f>
        <v>759</v>
      </c>
      <c r="L219" s="137">
        <f>336+25+34</f>
        <v>395</v>
      </c>
      <c r="M219" s="475"/>
      <c r="N219" s="137">
        <f>2600</f>
        <v>2600</v>
      </c>
      <c r="O219" s="143">
        <f>3276+246+64</f>
        <v>3586</v>
      </c>
      <c r="P219" s="158" t="s">
        <v>457</v>
      </c>
      <c r="Q219" s="284"/>
    </row>
    <row r="220" spans="1:17" s="137" customFormat="1" ht="18.75" customHeight="1">
      <c r="A220" s="98" t="s">
        <v>74</v>
      </c>
      <c r="B220" s="93" t="s">
        <v>755</v>
      </c>
      <c r="C220" s="141" t="s">
        <v>135</v>
      </c>
      <c r="D220" s="137">
        <f>166+12</f>
        <v>178</v>
      </c>
      <c r="E220" s="458"/>
      <c r="F220" s="458"/>
      <c r="G220" s="137">
        <f>301+23</f>
        <v>324</v>
      </c>
      <c r="I220" s="137">
        <f>706+53</f>
        <v>759</v>
      </c>
      <c r="K220" s="137">
        <f>366+25+34</f>
        <v>425</v>
      </c>
      <c r="M220" s="475"/>
      <c r="N220" s="143">
        <v>2600</v>
      </c>
      <c r="O220" s="143">
        <f>3276+246+64</f>
        <v>3586</v>
      </c>
      <c r="P220" s="158" t="s">
        <v>438</v>
      </c>
      <c r="Q220" s="284"/>
    </row>
    <row r="221" spans="1:17" s="137" customFormat="1" ht="18.75" customHeight="1">
      <c r="A221" s="98" t="s">
        <v>74</v>
      </c>
      <c r="B221" s="139" t="s">
        <v>762</v>
      </c>
      <c r="C221" s="141" t="s">
        <v>135</v>
      </c>
      <c r="D221" s="137">
        <f>166+12</f>
        <v>178</v>
      </c>
      <c r="E221" s="458"/>
      <c r="F221" s="458"/>
      <c r="G221" s="137">
        <f>301+23</f>
        <v>324</v>
      </c>
      <c r="I221" s="137">
        <f>706+53</f>
        <v>759</v>
      </c>
      <c r="K221" s="137">
        <f>336+25+34</f>
        <v>395</v>
      </c>
      <c r="M221" s="475"/>
      <c r="N221" s="137">
        <v>2600</v>
      </c>
      <c r="O221" s="137">
        <f>3276+246+64</f>
        <v>3586</v>
      </c>
      <c r="P221" s="284" t="s">
        <v>1035</v>
      </c>
      <c r="Q221" s="284"/>
    </row>
    <row r="222" spans="1:17" s="137" customFormat="1" ht="18.75" customHeight="1">
      <c r="A222" s="98" t="s">
        <v>74</v>
      </c>
      <c r="B222" s="163" t="s">
        <v>1026</v>
      </c>
      <c r="C222" s="158" t="s">
        <v>397</v>
      </c>
      <c r="D222" s="137">
        <f>168+13</f>
        <v>181</v>
      </c>
      <c r="E222" s="458"/>
      <c r="F222" s="458"/>
      <c r="G222" s="137">
        <f>306+23</f>
        <v>329</v>
      </c>
      <c r="H222" s="137">
        <f>717+54</f>
        <v>771</v>
      </c>
      <c r="K222" s="137">
        <f>341+26+34</f>
        <v>401</v>
      </c>
      <c r="M222" s="475"/>
      <c r="N222" s="137">
        <v>2640</v>
      </c>
      <c r="O222" s="137">
        <f>3326+249+64</f>
        <v>3639</v>
      </c>
      <c r="P222" s="141" t="s">
        <v>300</v>
      </c>
      <c r="Q222" s="284"/>
    </row>
    <row r="223" spans="1:17" s="458" customFormat="1" ht="18.75" customHeight="1">
      <c r="A223" s="180" t="s">
        <v>74</v>
      </c>
      <c r="B223" s="193" t="s">
        <v>845</v>
      </c>
      <c r="C223" s="284" t="s">
        <v>383</v>
      </c>
      <c r="G223" s="458">
        <f>742+18</f>
        <v>760</v>
      </c>
      <c r="H223" s="458">
        <v>34</v>
      </c>
      <c r="L223" s="458">
        <f>1035+25</f>
        <v>1060</v>
      </c>
      <c r="M223" s="475"/>
      <c r="N223" s="458">
        <v>2670</v>
      </c>
      <c r="O223" s="458">
        <f>3364+81+64</f>
        <v>3509</v>
      </c>
      <c r="P223" s="133" t="s">
        <v>295</v>
      </c>
      <c r="Q223" s="284"/>
    </row>
    <row r="224" spans="1:17" s="458" customFormat="1" ht="18.75" customHeight="1">
      <c r="A224" s="180" t="s">
        <v>74</v>
      </c>
      <c r="B224" s="193" t="s">
        <v>846</v>
      </c>
      <c r="C224" s="284" t="s">
        <v>847</v>
      </c>
      <c r="G224" s="458">
        <f>664+16</f>
        <v>680</v>
      </c>
      <c r="H224" s="458">
        <f>518+12</f>
        <v>530</v>
      </c>
      <c r="K224" s="458">
        <v>34</v>
      </c>
      <c r="L224" s="458">
        <f>690+17</f>
        <v>707</v>
      </c>
      <c r="M224" s="475"/>
      <c r="N224" s="458">
        <v>2670</v>
      </c>
      <c r="O224" s="458">
        <f>3364+81+64</f>
        <v>3509</v>
      </c>
      <c r="P224" s="133" t="s">
        <v>295</v>
      </c>
      <c r="Q224" s="284"/>
    </row>
    <row r="225" spans="1:17" s="458" customFormat="1" ht="18.75" customHeight="1">
      <c r="A225" s="180" t="s">
        <v>74</v>
      </c>
      <c r="B225" s="193" t="s">
        <v>848</v>
      </c>
      <c r="C225" s="284" t="s">
        <v>849</v>
      </c>
      <c r="G225" s="458">
        <f>695+17</f>
        <v>712</v>
      </c>
      <c r="H225" s="458">
        <v>34</v>
      </c>
      <c r="I225" s="458">
        <f>449+11</f>
        <v>460</v>
      </c>
      <c r="K225" s="458">
        <f>345+8</f>
        <v>353</v>
      </c>
      <c r="L225" s="458">
        <f>345+8</f>
        <v>353</v>
      </c>
      <c r="M225" s="475"/>
      <c r="N225" s="458">
        <v>2670</v>
      </c>
      <c r="O225" s="458">
        <f>3364+81+64</f>
        <v>3509</v>
      </c>
      <c r="P225" s="133" t="s">
        <v>295</v>
      </c>
      <c r="Q225" s="284"/>
    </row>
    <row r="226" spans="1:17" s="458" customFormat="1" ht="18.75" customHeight="1">
      <c r="A226" s="180" t="s">
        <v>74</v>
      </c>
      <c r="B226" s="193" t="s">
        <v>851</v>
      </c>
      <c r="C226" s="284" t="s">
        <v>850</v>
      </c>
      <c r="G226" s="458">
        <f>783+19</f>
        <v>802</v>
      </c>
      <c r="H226" s="458">
        <f>1094+26</f>
        <v>1120</v>
      </c>
      <c r="K226" s="458">
        <v>34</v>
      </c>
      <c r="M226" s="475"/>
      <c r="N226" s="458">
        <v>2820</v>
      </c>
      <c r="O226" s="458">
        <f>3553+85+64</f>
        <v>3702</v>
      </c>
      <c r="P226" s="133" t="s">
        <v>295</v>
      </c>
      <c r="Q226" s="284"/>
    </row>
    <row r="227" spans="1:17" s="458" customFormat="1" ht="18.75" customHeight="1">
      <c r="A227" s="180" t="s">
        <v>74</v>
      </c>
      <c r="B227" s="193" t="s">
        <v>852</v>
      </c>
      <c r="C227" s="284" t="s">
        <v>853</v>
      </c>
      <c r="G227" s="458">
        <f>783+19</f>
        <v>802</v>
      </c>
      <c r="I227" s="458">
        <v>34</v>
      </c>
      <c r="K227" s="458">
        <f>547+13</f>
        <v>560</v>
      </c>
      <c r="L227" s="458">
        <f>547+13</f>
        <v>560</v>
      </c>
      <c r="M227" s="475"/>
      <c r="N227" s="458">
        <v>2820</v>
      </c>
      <c r="O227" s="458">
        <f>3553+85+64</f>
        <v>3702</v>
      </c>
      <c r="P227" s="133" t="s">
        <v>295</v>
      </c>
      <c r="Q227" s="284"/>
    </row>
    <row r="228" spans="1:17" s="458" customFormat="1" ht="18.75" customHeight="1">
      <c r="A228" s="180" t="s">
        <v>74</v>
      </c>
      <c r="B228" s="193" t="s">
        <v>854</v>
      </c>
      <c r="C228" s="284" t="s">
        <v>855</v>
      </c>
      <c r="G228" s="458">
        <f>702+17</f>
        <v>719</v>
      </c>
      <c r="H228" s="458">
        <v>34</v>
      </c>
      <c r="I228" s="458">
        <f>547+13</f>
        <v>560</v>
      </c>
      <c r="J228" s="458">
        <f>365+9</f>
        <v>374</v>
      </c>
      <c r="L228" s="458">
        <f>365+9</f>
        <v>374</v>
      </c>
      <c r="M228" s="475"/>
      <c r="N228" s="458">
        <v>2820</v>
      </c>
      <c r="O228" s="458">
        <f>3553+85+64</f>
        <v>3702</v>
      </c>
      <c r="P228" s="133" t="s">
        <v>295</v>
      </c>
      <c r="Q228" s="284"/>
    </row>
    <row r="229" spans="1:17" s="458" customFormat="1" ht="18.75" customHeight="1">
      <c r="A229" s="180" t="s">
        <v>74</v>
      </c>
      <c r="B229" s="462" t="s">
        <v>856</v>
      </c>
      <c r="C229" s="284" t="s">
        <v>857</v>
      </c>
      <c r="D229" s="458">
        <f>182+14</f>
        <v>196</v>
      </c>
      <c r="G229" s="458">
        <f>331+25</f>
        <v>356</v>
      </c>
      <c r="H229" s="458">
        <f>776+58+34</f>
        <v>868</v>
      </c>
      <c r="L229" s="458">
        <f>370+28</f>
        <v>398</v>
      </c>
      <c r="M229" s="475"/>
      <c r="N229" s="458">
        <v>2860</v>
      </c>
      <c r="O229" s="458">
        <f>3603+270+64</f>
        <v>3937</v>
      </c>
      <c r="P229" s="284" t="s">
        <v>1041</v>
      </c>
      <c r="Q229" s="284"/>
    </row>
    <row r="230" spans="1:17" s="458" customFormat="1" ht="18.75" customHeight="1">
      <c r="A230" s="180" t="s">
        <v>74</v>
      </c>
      <c r="B230" s="93" t="s">
        <v>858</v>
      </c>
      <c r="C230" s="284" t="s">
        <v>673</v>
      </c>
      <c r="D230" s="458">
        <f>185+14+10</f>
        <v>209</v>
      </c>
      <c r="G230" s="458">
        <f>336+25</f>
        <v>361</v>
      </c>
      <c r="I230" s="458">
        <f>787+59</f>
        <v>846</v>
      </c>
      <c r="L230" s="458">
        <f>375+28+34</f>
        <v>437</v>
      </c>
      <c r="M230" s="475"/>
      <c r="N230" s="458">
        <v>2900</v>
      </c>
      <c r="O230" s="458">
        <f>3653+274+64</f>
        <v>3991</v>
      </c>
      <c r="P230" s="284" t="s">
        <v>1063</v>
      </c>
      <c r="Q230" s="284"/>
    </row>
    <row r="231" spans="1:17" s="458" customFormat="1" ht="18.75" customHeight="1">
      <c r="A231" s="180" t="s">
        <v>74</v>
      </c>
      <c r="B231" s="93" t="s">
        <v>859</v>
      </c>
      <c r="C231" s="284" t="s">
        <v>677</v>
      </c>
      <c r="D231" s="458">
        <f>185+14</f>
        <v>199</v>
      </c>
      <c r="G231" s="458">
        <f>336+25</f>
        <v>361</v>
      </c>
      <c r="I231" s="458">
        <f>787+59</f>
        <v>846</v>
      </c>
      <c r="K231" s="458">
        <f>375+28+34</f>
        <v>437</v>
      </c>
      <c r="M231" s="475"/>
      <c r="N231" s="458">
        <v>2900</v>
      </c>
      <c r="O231" s="458">
        <f>3653+274+64</f>
        <v>3991</v>
      </c>
      <c r="P231" s="284" t="s">
        <v>455</v>
      </c>
      <c r="Q231" s="284"/>
    </row>
    <row r="232" spans="1:17" s="458" customFormat="1" ht="18.75" customHeight="1">
      <c r="A232" s="180" t="s">
        <v>74</v>
      </c>
      <c r="B232" s="93" t="s">
        <v>860</v>
      </c>
      <c r="C232" s="284" t="s">
        <v>861</v>
      </c>
      <c r="D232" s="458">
        <f>187+14</f>
        <v>201</v>
      </c>
      <c r="G232" s="458">
        <f>340+26</f>
        <v>366</v>
      </c>
      <c r="H232" s="458">
        <f>798+60</f>
        <v>858</v>
      </c>
      <c r="K232" s="458">
        <f>380+29+34</f>
        <v>443</v>
      </c>
      <c r="M232" s="475"/>
      <c r="N232" s="458">
        <v>2940</v>
      </c>
      <c r="O232" s="458">
        <f>3704+278+64</f>
        <v>4046</v>
      </c>
      <c r="P232" s="184" t="s">
        <v>300</v>
      </c>
      <c r="Q232" s="284"/>
    </row>
    <row r="233" spans="1:17" s="458" customFormat="1" ht="18.75" customHeight="1">
      <c r="A233" s="180" t="s">
        <v>76</v>
      </c>
      <c r="B233" s="93" t="s">
        <v>862</v>
      </c>
      <c r="C233" s="284" t="s">
        <v>677</v>
      </c>
      <c r="D233" s="458">
        <f>105+8</f>
        <v>113</v>
      </c>
      <c r="G233" s="458">
        <f>190+14</f>
        <v>204</v>
      </c>
      <c r="I233" s="458">
        <f>446+33</f>
        <v>479</v>
      </c>
      <c r="K233" s="458">
        <f>212+16</f>
        <v>228</v>
      </c>
      <c r="M233" s="475"/>
      <c r="N233" s="458">
        <v>2300</v>
      </c>
      <c r="O233" s="458">
        <f>2070+155+32</f>
        <v>2257</v>
      </c>
      <c r="P233" s="93" t="s">
        <v>499</v>
      </c>
      <c r="Q233" s="284"/>
    </row>
    <row r="234" spans="1:17" s="458" customFormat="1" ht="18.75" customHeight="1">
      <c r="A234" s="180" t="s">
        <v>76</v>
      </c>
      <c r="B234" s="93" t="s">
        <v>863</v>
      </c>
      <c r="C234" s="284" t="s">
        <v>670</v>
      </c>
      <c r="D234" s="458">
        <f>105+8</f>
        <v>113</v>
      </c>
      <c r="G234" s="458">
        <f>190+14</f>
        <v>204</v>
      </c>
      <c r="H234" s="458">
        <f>446+33</f>
        <v>479</v>
      </c>
      <c r="K234" s="458">
        <f>212+16</f>
        <v>228</v>
      </c>
      <c r="M234" s="475"/>
      <c r="N234" s="458">
        <v>2300</v>
      </c>
      <c r="O234" s="458">
        <f>2070+155+32</f>
        <v>2257</v>
      </c>
      <c r="P234" s="93" t="s">
        <v>499</v>
      </c>
      <c r="Q234" s="284"/>
    </row>
    <row r="235" spans="1:17" s="458" customFormat="1" ht="18.75" customHeight="1">
      <c r="A235" s="180" t="s">
        <v>76</v>
      </c>
      <c r="B235" s="93" t="s">
        <v>864</v>
      </c>
      <c r="C235" s="284" t="s">
        <v>673</v>
      </c>
      <c r="D235" s="458">
        <f>105+8</f>
        <v>113</v>
      </c>
      <c r="G235" s="458">
        <f>190+14</f>
        <v>204</v>
      </c>
      <c r="I235" s="458">
        <f>446+33</f>
        <v>479</v>
      </c>
      <c r="L235" s="458">
        <f>212+16</f>
        <v>228</v>
      </c>
      <c r="M235" s="475"/>
      <c r="N235" s="458">
        <v>2300</v>
      </c>
      <c r="O235" s="458">
        <f>2070+155+32</f>
        <v>2257</v>
      </c>
      <c r="P235" s="93" t="s">
        <v>499</v>
      </c>
      <c r="Q235" s="284"/>
    </row>
    <row r="236" spans="1:17" ht="18.75" customHeight="1">
      <c r="A236" s="52" t="s">
        <v>76</v>
      </c>
      <c r="B236" s="93" t="s">
        <v>722</v>
      </c>
      <c r="C236" s="141" t="s">
        <v>135</v>
      </c>
      <c r="D236" s="17">
        <f>106+8</f>
        <v>114</v>
      </c>
      <c r="G236" s="17">
        <f>193+14</f>
        <v>207</v>
      </c>
      <c r="I236" s="17">
        <f>452+34</f>
        <v>486</v>
      </c>
      <c r="K236" s="17">
        <f>215+16</f>
        <v>231</v>
      </c>
      <c r="N236" s="17">
        <v>2330</v>
      </c>
      <c r="O236" s="131">
        <f>2097+157+32</f>
        <v>2286</v>
      </c>
      <c r="P236" s="33" t="s">
        <v>1033</v>
      </c>
    </row>
    <row r="237" spans="1:17" ht="18.75" customHeight="1">
      <c r="A237" s="52" t="s">
        <v>76</v>
      </c>
      <c r="B237" s="93" t="s">
        <v>739</v>
      </c>
      <c r="C237" s="141" t="s">
        <v>293</v>
      </c>
      <c r="D237" s="17">
        <f>106+8</f>
        <v>114</v>
      </c>
      <c r="G237" s="17">
        <f>193+14</f>
        <v>207</v>
      </c>
      <c r="H237" s="17">
        <f>452+34</f>
        <v>486</v>
      </c>
      <c r="L237" s="17">
        <f>215+16+34</f>
        <v>265</v>
      </c>
      <c r="N237" s="17">
        <v>2330</v>
      </c>
      <c r="O237" s="143">
        <f>2097+157+32</f>
        <v>2286</v>
      </c>
      <c r="P237" s="33" t="s">
        <v>1066</v>
      </c>
    </row>
    <row r="238" spans="1:17" ht="18.75" customHeight="1">
      <c r="A238" s="52" t="s">
        <v>76</v>
      </c>
      <c r="B238" s="93" t="s">
        <v>728</v>
      </c>
      <c r="C238" s="141" t="s">
        <v>136</v>
      </c>
      <c r="D238" s="17">
        <f>106+8</f>
        <v>114</v>
      </c>
      <c r="G238" s="17">
        <f>193+14</f>
        <v>207</v>
      </c>
      <c r="I238" s="17">
        <f>452+34</f>
        <v>486</v>
      </c>
      <c r="L238" s="17">
        <f>215+16</f>
        <v>231</v>
      </c>
      <c r="N238" s="17">
        <v>2330</v>
      </c>
      <c r="O238" s="143">
        <f>2097+157+32</f>
        <v>2286</v>
      </c>
      <c r="P238" s="184" t="s">
        <v>1067</v>
      </c>
    </row>
    <row r="239" spans="1:17" ht="18.75" customHeight="1">
      <c r="A239" s="52" t="s">
        <v>76</v>
      </c>
      <c r="B239" s="93" t="s">
        <v>1064</v>
      </c>
      <c r="C239" s="141" t="s">
        <v>293</v>
      </c>
      <c r="D239" s="17">
        <f>107+8</f>
        <v>115</v>
      </c>
      <c r="G239" s="17">
        <f>195+15</f>
        <v>210</v>
      </c>
      <c r="H239" s="17">
        <f>458+34</f>
        <v>492</v>
      </c>
      <c r="L239" s="17">
        <f>218+34</f>
        <v>252</v>
      </c>
      <c r="N239" s="17">
        <v>2360</v>
      </c>
      <c r="O239" s="131">
        <f>2124+159+32</f>
        <v>2315</v>
      </c>
      <c r="P239" s="33" t="s">
        <v>1065</v>
      </c>
    </row>
    <row r="240" spans="1:17" s="137" customFormat="1" ht="18.75" customHeight="1">
      <c r="A240" s="98" t="s">
        <v>76</v>
      </c>
      <c r="B240" s="155" t="s">
        <v>349</v>
      </c>
      <c r="C240" s="158" t="s">
        <v>383</v>
      </c>
      <c r="E240" s="458"/>
      <c r="F240" s="458"/>
      <c r="G240" s="137">
        <f>476+11</f>
        <v>487</v>
      </c>
      <c r="H240" s="137">
        <v>34</v>
      </c>
      <c r="L240" s="137">
        <f>665+16</f>
        <v>681</v>
      </c>
      <c r="M240" s="475"/>
      <c r="N240" s="137">
        <v>2400</v>
      </c>
      <c r="O240" s="137">
        <f>2160+52+32</f>
        <v>2244</v>
      </c>
      <c r="P240" s="133" t="s">
        <v>295</v>
      </c>
      <c r="Q240" s="284"/>
    </row>
    <row r="241" spans="1:17" s="137" customFormat="1" ht="18.75" customHeight="1">
      <c r="A241" s="98" t="s">
        <v>76</v>
      </c>
      <c r="B241" s="155" t="s">
        <v>350</v>
      </c>
      <c r="C241" s="158" t="s">
        <v>389</v>
      </c>
      <c r="E241" s="458"/>
      <c r="F241" s="458"/>
      <c r="G241" s="137">
        <f>427+10</f>
        <v>437</v>
      </c>
      <c r="H241" s="137">
        <f>332+8</f>
        <v>340</v>
      </c>
      <c r="K241" s="137">
        <v>34</v>
      </c>
      <c r="L241" s="137">
        <f>443+11</f>
        <v>454</v>
      </c>
      <c r="M241" s="475"/>
      <c r="N241" s="137">
        <v>2400</v>
      </c>
      <c r="O241" s="137">
        <f>2160+52+32</f>
        <v>2244</v>
      </c>
      <c r="P241" s="133" t="s">
        <v>295</v>
      </c>
      <c r="Q241" s="284"/>
    </row>
    <row r="242" spans="1:17" s="137" customFormat="1" ht="18.75" customHeight="1">
      <c r="A242" s="98" t="s">
        <v>76</v>
      </c>
      <c r="B242" s="155" t="s">
        <v>351</v>
      </c>
      <c r="C242" s="158" t="s">
        <v>375</v>
      </c>
      <c r="E242" s="458"/>
      <c r="F242" s="458"/>
      <c r="G242" s="137">
        <f>446+11</f>
        <v>457</v>
      </c>
      <c r="H242" s="137">
        <v>34</v>
      </c>
      <c r="I242" s="137">
        <f>288+7</f>
        <v>295</v>
      </c>
      <c r="K242" s="137">
        <f>222+5</f>
        <v>227</v>
      </c>
      <c r="L242" s="137">
        <f>222+5</f>
        <v>227</v>
      </c>
      <c r="M242" s="475"/>
      <c r="N242" s="137">
        <v>2400</v>
      </c>
      <c r="O242" s="137">
        <f>2160+52+32</f>
        <v>2244</v>
      </c>
      <c r="P242" s="133" t="s">
        <v>295</v>
      </c>
      <c r="Q242" s="284"/>
    </row>
    <row r="243" spans="1:17" s="137" customFormat="1" ht="18.75" customHeight="1">
      <c r="A243" s="98" t="s">
        <v>76</v>
      </c>
      <c r="B243" s="139" t="s">
        <v>873</v>
      </c>
      <c r="C243" s="141" t="s">
        <v>293</v>
      </c>
      <c r="D243" s="137">
        <f>113+8</f>
        <v>121</v>
      </c>
      <c r="E243" s="458"/>
      <c r="F243" s="458"/>
      <c r="G243" s="137">
        <f>205+15</f>
        <v>220</v>
      </c>
      <c r="H243" s="137">
        <f>481+36</f>
        <v>517</v>
      </c>
      <c r="L243" s="137">
        <f>229+17+34</f>
        <v>280</v>
      </c>
      <c r="M243" s="475"/>
      <c r="N243" s="137">
        <v>2400</v>
      </c>
      <c r="O243" s="137">
        <f>2160+52+32</f>
        <v>2244</v>
      </c>
      <c r="P243" s="141" t="s">
        <v>312</v>
      </c>
      <c r="Q243" s="284"/>
    </row>
    <row r="244" spans="1:17" s="458" customFormat="1" ht="18.75" customHeight="1">
      <c r="A244" s="180" t="s">
        <v>76</v>
      </c>
      <c r="B244" s="139" t="s">
        <v>865</v>
      </c>
      <c r="C244" s="284" t="s">
        <v>708</v>
      </c>
      <c r="D244" s="458">
        <f>111+8</f>
        <v>119</v>
      </c>
      <c r="G244" s="458">
        <f>201+15</f>
        <v>216</v>
      </c>
      <c r="H244" s="458">
        <f>471+35</f>
        <v>506</v>
      </c>
      <c r="L244" s="458">
        <f>224+17+34</f>
        <v>275</v>
      </c>
      <c r="M244" s="475"/>
      <c r="N244" s="458">
        <v>2430</v>
      </c>
      <c r="O244" s="458">
        <f>2187+164+32</f>
        <v>2383</v>
      </c>
      <c r="P244" s="315" t="s">
        <v>686</v>
      </c>
      <c r="Q244" s="284"/>
    </row>
    <row r="245" spans="1:17" s="458" customFormat="1" ht="18.75" customHeight="1">
      <c r="A245" s="180" t="s">
        <v>76</v>
      </c>
      <c r="B245" s="93" t="s">
        <v>866</v>
      </c>
      <c r="C245" s="284" t="s">
        <v>708</v>
      </c>
      <c r="D245" s="458">
        <f>113+8</f>
        <v>121</v>
      </c>
      <c r="G245" s="458">
        <f>205+15</f>
        <v>220</v>
      </c>
      <c r="H245" s="458">
        <f>481+36</f>
        <v>517</v>
      </c>
      <c r="L245" s="458">
        <f>229+17+34</f>
        <v>280</v>
      </c>
      <c r="M245" s="475"/>
      <c r="N245" s="458">
        <v>2480</v>
      </c>
      <c r="O245" s="458">
        <f>2232+167+32</f>
        <v>2431</v>
      </c>
      <c r="P245" s="284" t="s">
        <v>867</v>
      </c>
      <c r="Q245" s="284"/>
    </row>
    <row r="246" spans="1:17" s="137" customFormat="1" ht="18.75" customHeight="1">
      <c r="A246" s="98" t="s">
        <v>76</v>
      </c>
      <c r="B246" s="155" t="s">
        <v>979</v>
      </c>
      <c r="C246" s="158" t="s">
        <v>369</v>
      </c>
      <c r="E246" s="458"/>
      <c r="F246" s="458"/>
      <c r="G246" s="137">
        <f>500+12</f>
        <v>512</v>
      </c>
      <c r="I246" s="137">
        <f>698+17</f>
        <v>715</v>
      </c>
      <c r="J246" s="137">
        <v>34</v>
      </c>
      <c r="M246" s="475"/>
      <c r="N246" s="137">
        <v>2520</v>
      </c>
      <c r="O246" s="137">
        <f>2268+54+32</f>
        <v>2354</v>
      </c>
      <c r="P246" s="133" t="s">
        <v>295</v>
      </c>
      <c r="Q246" s="284"/>
    </row>
    <row r="247" spans="1:17" s="137" customFormat="1" ht="18.75" customHeight="1">
      <c r="A247" s="98" t="s">
        <v>76</v>
      </c>
      <c r="B247" s="155" t="s">
        <v>352</v>
      </c>
      <c r="C247" s="158" t="s">
        <v>394</v>
      </c>
      <c r="E247" s="458"/>
      <c r="F247" s="458"/>
      <c r="G247" s="143">
        <f>500+12</f>
        <v>512</v>
      </c>
      <c r="I247" s="137">
        <v>34</v>
      </c>
      <c r="K247" s="143">
        <f>349+8</f>
        <v>357</v>
      </c>
      <c r="L247" s="143">
        <f>349+8</f>
        <v>357</v>
      </c>
      <c r="M247" s="475"/>
      <c r="N247" s="137">
        <v>2520</v>
      </c>
      <c r="O247" s="137">
        <f>2268+54+32</f>
        <v>2354</v>
      </c>
      <c r="P247" s="133" t="s">
        <v>295</v>
      </c>
      <c r="Q247" s="284"/>
    </row>
    <row r="248" spans="1:17" s="137" customFormat="1" ht="18.75" customHeight="1">
      <c r="A248" s="98" t="s">
        <v>76</v>
      </c>
      <c r="B248" s="155" t="s">
        <v>353</v>
      </c>
      <c r="C248" s="158" t="s">
        <v>390</v>
      </c>
      <c r="E248" s="458"/>
      <c r="F248" s="458"/>
      <c r="G248" s="137">
        <f>448+11</f>
        <v>459</v>
      </c>
      <c r="H248" s="137">
        <v>34</v>
      </c>
      <c r="I248" s="137">
        <f>349+8</f>
        <v>357</v>
      </c>
      <c r="J248" s="137">
        <f>233+6</f>
        <v>239</v>
      </c>
      <c r="K248" s="137">
        <f>233+6</f>
        <v>239</v>
      </c>
      <c r="M248" s="475"/>
      <c r="N248" s="137">
        <v>2520</v>
      </c>
      <c r="O248" s="137">
        <f>2268+54+32</f>
        <v>2354</v>
      </c>
      <c r="P248" s="133" t="s">
        <v>295</v>
      </c>
      <c r="Q248" s="284"/>
    </row>
    <row r="249" spans="1:17" s="458" customFormat="1" ht="18.75" customHeight="1">
      <c r="A249" s="180" t="s">
        <v>76</v>
      </c>
      <c r="B249" s="93" t="s">
        <v>868</v>
      </c>
      <c r="C249" s="284" t="s">
        <v>670</v>
      </c>
      <c r="D249" s="458">
        <f>117+9</f>
        <v>126</v>
      </c>
      <c r="G249" s="458">
        <f>212+16</f>
        <v>228</v>
      </c>
      <c r="H249" s="458">
        <f>496+37</f>
        <v>533</v>
      </c>
      <c r="K249" s="458">
        <f>236+18</f>
        <v>254</v>
      </c>
      <c r="M249" s="475"/>
      <c r="N249" s="458">
        <v>2560</v>
      </c>
      <c r="O249" s="458">
        <f>2304+173+32</f>
        <v>2509</v>
      </c>
      <c r="P249" s="315" t="s">
        <v>869</v>
      </c>
      <c r="Q249" s="284"/>
    </row>
    <row r="250" spans="1:17" s="137" customFormat="1" ht="18.75" customHeight="1">
      <c r="A250" s="98" t="s">
        <v>76</v>
      </c>
      <c r="B250" s="139" t="s">
        <v>763</v>
      </c>
      <c r="C250" s="141" t="s">
        <v>135</v>
      </c>
      <c r="D250" s="137">
        <f>118+9</f>
        <v>127</v>
      </c>
      <c r="E250" s="458"/>
      <c r="F250" s="458"/>
      <c r="G250" s="137">
        <f>215+16</f>
        <v>231</v>
      </c>
      <c r="I250" s="137">
        <f>504+38</f>
        <v>542</v>
      </c>
      <c r="K250" s="137">
        <f>240+18</f>
        <v>258</v>
      </c>
      <c r="M250" s="475"/>
      <c r="N250" s="137">
        <v>2600</v>
      </c>
      <c r="O250" s="137">
        <f>2340+176+32</f>
        <v>2548</v>
      </c>
      <c r="P250" s="284" t="s">
        <v>1035</v>
      </c>
      <c r="Q250" s="284"/>
    </row>
    <row r="251" spans="1:17" s="137" customFormat="1" ht="18.75" customHeight="1">
      <c r="A251" s="98" t="s">
        <v>76</v>
      </c>
      <c r="B251" s="139" t="s">
        <v>734</v>
      </c>
      <c r="C251" s="141" t="s">
        <v>293</v>
      </c>
      <c r="D251" s="137">
        <f>118+9</f>
        <v>127</v>
      </c>
      <c r="E251" s="458"/>
      <c r="F251" s="458"/>
      <c r="G251" s="137">
        <f>215+16</f>
        <v>231</v>
      </c>
      <c r="H251" s="137">
        <f>504+38</f>
        <v>542</v>
      </c>
      <c r="L251" s="137">
        <f>240+18+34</f>
        <v>292</v>
      </c>
      <c r="M251" s="475"/>
      <c r="N251" s="137">
        <v>2600</v>
      </c>
      <c r="O251" s="137">
        <f>2340+176+32</f>
        <v>2548</v>
      </c>
      <c r="P251" s="141" t="s">
        <v>428</v>
      </c>
      <c r="Q251" s="284"/>
    </row>
    <row r="252" spans="1:17" s="137" customFormat="1" ht="18.75" customHeight="1">
      <c r="A252" s="98" t="s">
        <v>76</v>
      </c>
      <c r="B252" s="139" t="s">
        <v>749</v>
      </c>
      <c r="C252" s="141" t="s">
        <v>136</v>
      </c>
      <c r="D252" s="137">
        <f>118+9</f>
        <v>127</v>
      </c>
      <c r="E252" s="458"/>
      <c r="F252" s="458"/>
      <c r="G252" s="137">
        <f>215+16</f>
        <v>231</v>
      </c>
      <c r="I252" s="137">
        <f>504+38</f>
        <v>542</v>
      </c>
      <c r="L252" s="137">
        <f>240+18</f>
        <v>258</v>
      </c>
      <c r="M252" s="475"/>
      <c r="N252" s="137">
        <v>2600</v>
      </c>
      <c r="O252" s="137">
        <f>2340+176+32</f>
        <v>2548</v>
      </c>
      <c r="P252" s="141" t="s">
        <v>430</v>
      </c>
      <c r="Q252" s="284"/>
    </row>
    <row r="253" spans="1:17" s="137" customFormat="1" ht="18.75" customHeight="1">
      <c r="A253" s="98" t="s">
        <v>76</v>
      </c>
      <c r="B253" s="93" t="s">
        <v>881</v>
      </c>
      <c r="C253" s="141" t="s">
        <v>293</v>
      </c>
      <c r="D253" s="137">
        <f>120+9</f>
        <v>129</v>
      </c>
      <c r="E253" s="458"/>
      <c r="F253" s="458"/>
      <c r="G253" s="137">
        <f>218+16</f>
        <v>234</v>
      </c>
      <c r="H253" s="137">
        <f>512+38</f>
        <v>550</v>
      </c>
      <c r="L253" s="137">
        <f>244+18</f>
        <v>262</v>
      </c>
      <c r="M253" s="475"/>
      <c r="N253" s="137">
        <f>2640</f>
        <v>2640</v>
      </c>
      <c r="O253" s="137">
        <f>2376+178+32</f>
        <v>2586</v>
      </c>
      <c r="P253" s="141" t="s">
        <v>311</v>
      </c>
      <c r="Q253" s="284"/>
    </row>
    <row r="254" spans="1:17" s="458" customFormat="1" ht="18.75" customHeight="1">
      <c r="A254" s="180" t="s">
        <v>76</v>
      </c>
      <c r="B254" s="193" t="s">
        <v>870</v>
      </c>
      <c r="C254" s="284" t="s">
        <v>376</v>
      </c>
      <c r="G254" s="458">
        <f>530+13</f>
        <v>543</v>
      </c>
      <c r="I254" s="458">
        <v>34</v>
      </c>
      <c r="K254" s="458">
        <f>740+18</f>
        <v>758</v>
      </c>
      <c r="M254" s="475"/>
      <c r="N254" s="458">
        <v>2670</v>
      </c>
      <c r="O254" s="458">
        <f>2403+58+32</f>
        <v>2493</v>
      </c>
      <c r="P254" s="133" t="s">
        <v>295</v>
      </c>
      <c r="Q254" s="284"/>
    </row>
    <row r="255" spans="1:17" s="458" customFormat="1" ht="18.75" customHeight="1">
      <c r="A255" s="180" t="s">
        <v>76</v>
      </c>
      <c r="B255" s="193" t="s">
        <v>871</v>
      </c>
      <c r="C255" s="284" t="s">
        <v>1000</v>
      </c>
      <c r="M255" s="475"/>
      <c r="N255" s="458">
        <v>2670</v>
      </c>
      <c r="O255" s="458">
        <f>2403+58+32</f>
        <v>2493</v>
      </c>
      <c r="P255" s="133" t="s">
        <v>295</v>
      </c>
      <c r="Q255" s="284"/>
    </row>
    <row r="256" spans="1:17" s="458" customFormat="1" ht="18.75" customHeight="1">
      <c r="A256" s="180" t="s">
        <v>76</v>
      </c>
      <c r="B256" s="193" t="s">
        <v>872</v>
      </c>
      <c r="C256" s="284" t="s">
        <v>1001</v>
      </c>
      <c r="G256" s="458">
        <f>475+11</f>
        <v>486</v>
      </c>
      <c r="H256" s="458">
        <f>370+9</f>
        <v>379</v>
      </c>
      <c r="I256" s="458">
        <v>34</v>
      </c>
      <c r="K256" s="458">
        <f>247+6</f>
        <v>253</v>
      </c>
      <c r="L256" s="458">
        <f>247+6</f>
        <v>253</v>
      </c>
      <c r="M256" s="475"/>
      <c r="N256" s="458">
        <v>2670</v>
      </c>
      <c r="O256" s="458">
        <f>2403+58+32</f>
        <v>2493</v>
      </c>
      <c r="P256" s="133" t="s">
        <v>295</v>
      </c>
      <c r="Q256" s="284"/>
    </row>
    <row r="257" spans="1:17" s="458" customFormat="1" ht="18.75" customHeight="1">
      <c r="A257" s="180" t="s">
        <v>76</v>
      </c>
      <c r="B257" s="93" t="s">
        <v>880</v>
      </c>
      <c r="C257" s="284" t="s">
        <v>995</v>
      </c>
      <c r="D257" s="458">
        <f>125+9</f>
        <v>134</v>
      </c>
      <c r="G257" s="458">
        <f>227+17</f>
        <v>244</v>
      </c>
      <c r="H257" s="458">
        <f>533+40</f>
        <v>573</v>
      </c>
      <c r="K257" s="458">
        <f>254+19</f>
        <v>273</v>
      </c>
      <c r="M257" s="475"/>
      <c r="N257" s="458">
        <v>2750</v>
      </c>
      <c r="O257" s="458">
        <f>2475+186+32</f>
        <v>2693</v>
      </c>
      <c r="P257" s="315" t="s">
        <v>874</v>
      </c>
      <c r="Q257" s="284"/>
    </row>
    <row r="258" spans="1:17" s="458" customFormat="1" ht="18.75" customHeight="1">
      <c r="A258" s="180" t="s">
        <v>76</v>
      </c>
      <c r="B258" s="193" t="s">
        <v>875</v>
      </c>
      <c r="C258" s="284" t="s">
        <v>1003</v>
      </c>
      <c r="G258" s="458">
        <f>559+13</f>
        <v>572</v>
      </c>
      <c r="H258" s="458">
        <v>34</v>
      </c>
      <c r="L258" s="458">
        <f>781+19</f>
        <v>800</v>
      </c>
      <c r="M258" s="475"/>
      <c r="N258" s="458">
        <v>2820</v>
      </c>
      <c r="O258" s="458">
        <f>2538+61+32</f>
        <v>2631</v>
      </c>
      <c r="P258" s="133" t="s">
        <v>295</v>
      </c>
      <c r="Q258" s="284"/>
    </row>
    <row r="259" spans="1:17" s="458" customFormat="1" ht="18.75" customHeight="1">
      <c r="A259" s="180" t="s">
        <v>76</v>
      </c>
      <c r="B259" s="193" t="s">
        <v>876</v>
      </c>
      <c r="C259" s="284" t="s">
        <v>1011</v>
      </c>
      <c r="G259" s="458">
        <f>501+12</f>
        <v>513</v>
      </c>
      <c r="H259" s="458">
        <f>391+9</f>
        <v>400</v>
      </c>
      <c r="K259" s="458">
        <v>34</v>
      </c>
      <c r="L259" s="458">
        <f>521+13</f>
        <v>534</v>
      </c>
      <c r="M259" s="475"/>
      <c r="N259" s="458">
        <v>2820</v>
      </c>
      <c r="O259" s="458">
        <f>2538+61+32</f>
        <v>2631</v>
      </c>
      <c r="P259" s="133" t="s">
        <v>295</v>
      </c>
      <c r="Q259" s="284"/>
    </row>
    <row r="260" spans="1:17" s="501" customFormat="1" ht="18.75" customHeight="1">
      <c r="A260" s="180" t="s">
        <v>76</v>
      </c>
      <c r="B260" s="193" t="s">
        <v>1290</v>
      </c>
      <c r="C260" s="284" t="s">
        <v>1291</v>
      </c>
      <c r="G260" s="501">
        <f>525+13</f>
        <v>538</v>
      </c>
      <c r="H260" s="501">
        <v>34</v>
      </c>
      <c r="I260" s="501">
        <f>338+8</f>
        <v>346</v>
      </c>
      <c r="K260" s="501">
        <f>260+6</f>
        <v>266</v>
      </c>
      <c r="L260" s="501">
        <f>260+6</f>
        <v>266</v>
      </c>
      <c r="N260" s="501">
        <v>2820</v>
      </c>
      <c r="O260" s="501">
        <f>2538+61+32</f>
        <v>2631</v>
      </c>
      <c r="P260" s="133" t="s">
        <v>295</v>
      </c>
      <c r="Q260" s="284"/>
    </row>
    <row r="261" spans="1:17" s="501" customFormat="1" ht="18.75" customHeight="1">
      <c r="A261" s="180" t="s">
        <v>76</v>
      </c>
      <c r="B261" s="93" t="s">
        <v>1292</v>
      </c>
      <c r="C261" s="284" t="s">
        <v>135</v>
      </c>
      <c r="D261" s="501">
        <f>132+10</f>
        <v>142</v>
      </c>
      <c r="G261" s="501">
        <f>240+18</f>
        <v>258</v>
      </c>
      <c r="I261" s="501">
        <f>562+42</f>
        <v>604</v>
      </c>
      <c r="K261" s="501">
        <f>268+20</f>
        <v>288</v>
      </c>
      <c r="N261" s="501">
        <v>2900</v>
      </c>
      <c r="O261" s="501">
        <f>2610+196+32</f>
        <v>2838</v>
      </c>
      <c r="P261" s="284" t="s">
        <v>467</v>
      </c>
      <c r="Q261" s="284"/>
    </row>
    <row r="262" spans="1:17" s="458" customFormat="1" ht="18.75" customHeight="1">
      <c r="A262" s="180" t="s">
        <v>76</v>
      </c>
      <c r="B262" s="139" t="s">
        <v>877</v>
      </c>
      <c r="C262" s="284" t="s">
        <v>673</v>
      </c>
      <c r="D262" s="458">
        <f>132+10</f>
        <v>142</v>
      </c>
      <c r="G262" s="458">
        <f>240+18</f>
        <v>258</v>
      </c>
      <c r="I262" s="458">
        <f>562+42</f>
        <v>604</v>
      </c>
      <c r="L262" s="458">
        <f>268+20</f>
        <v>288</v>
      </c>
      <c r="M262" s="475"/>
      <c r="N262" s="458">
        <v>2900</v>
      </c>
      <c r="O262" s="458">
        <f>2610+196+32</f>
        <v>2838</v>
      </c>
      <c r="P262" s="284" t="s">
        <v>1068</v>
      </c>
      <c r="Q262" s="284"/>
    </row>
    <row r="263" spans="1:17" s="501" customFormat="1" ht="18.75" customHeight="1">
      <c r="A263" s="180" t="s">
        <v>76</v>
      </c>
      <c r="B263" s="139" t="s">
        <v>1293</v>
      </c>
      <c r="C263" s="284" t="s">
        <v>1283</v>
      </c>
      <c r="D263" s="501">
        <f>132+10</f>
        <v>142</v>
      </c>
      <c r="G263" s="501">
        <f>240+18</f>
        <v>258</v>
      </c>
      <c r="H263" s="501">
        <f>562+42</f>
        <v>604</v>
      </c>
      <c r="L263" s="501">
        <f>268+20</f>
        <v>288</v>
      </c>
      <c r="N263" s="501">
        <v>2900</v>
      </c>
      <c r="O263" s="501">
        <f>2610+196+32</f>
        <v>2838</v>
      </c>
      <c r="P263" s="284" t="s">
        <v>821</v>
      </c>
      <c r="Q263" s="284"/>
    </row>
    <row r="264" spans="1:17" s="458" customFormat="1" ht="18.75" customHeight="1">
      <c r="A264" s="180" t="s">
        <v>76</v>
      </c>
      <c r="B264" s="93" t="s">
        <v>878</v>
      </c>
      <c r="C264" s="284" t="s">
        <v>670</v>
      </c>
      <c r="D264" s="458">
        <f>134+10</f>
        <v>144</v>
      </c>
      <c r="G264" s="458">
        <f>243+18</f>
        <v>261</v>
      </c>
      <c r="H264" s="458">
        <f>570+43</f>
        <v>613</v>
      </c>
      <c r="K264" s="458">
        <f>271+20</f>
        <v>291</v>
      </c>
      <c r="M264" s="475"/>
      <c r="N264" s="458">
        <v>2940</v>
      </c>
      <c r="O264" s="458">
        <f>2646+198+32</f>
        <v>2876</v>
      </c>
      <c r="P264" s="315" t="s">
        <v>879</v>
      </c>
      <c r="Q264" s="284"/>
    </row>
    <row r="265" spans="1:17" s="458" customFormat="1" ht="18.75" customHeight="1">
      <c r="A265" s="180" t="s">
        <v>78</v>
      </c>
      <c r="B265" s="93" t="s">
        <v>884</v>
      </c>
      <c r="C265" s="284" t="s">
        <v>1006</v>
      </c>
      <c r="D265" s="458">
        <f>105+8</f>
        <v>113</v>
      </c>
      <c r="G265" s="458">
        <f>190+14</f>
        <v>204</v>
      </c>
      <c r="I265" s="458">
        <f>446+33</f>
        <v>479</v>
      </c>
      <c r="L265" s="458">
        <f>212+16+34</f>
        <v>262</v>
      </c>
      <c r="M265" s="475"/>
      <c r="N265" s="458">
        <v>2300</v>
      </c>
      <c r="O265" s="458">
        <f>2070+155+32</f>
        <v>2257</v>
      </c>
      <c r="P265" s="93" t="s">
        <v>499</v>
      </c>
      <c r="Q265" s="284"/>
    </row>
    <row r="266" spans="1:17" s="458" customFormat="1" ht="18.75" customHeight="1">
      <c r="A266" s="180" t="s">
        <v>78</v>
      </c>
      <c r="B266" s="93" t="s">
        <v>885</v>
      </c>
      <c r="C266" s="284" t="s">
        <v>999</v>
      </c>
      <c r="D266" s="458">
        <f>105+8+10</f>
        <v>123</v>
      </c>
      <c r="G266" s="458">
        <f>190+14</f>
        <v>204</v>
      </c>
      <c r="I266" s="458">
        <f>446+33</f>
        <v>479</v>
      </c>
      <c r="K266" s="458">
        <f>212+16</f>
        <v>228</v>
      </c>
      <c r="M266" s="475"/>
      <c r="N266" s="458">
        <v>2300</v>
      </c>
      <c r="O266" s="458">
        <f>2070+155+32</f>
        <v>2257</v>
      </c>
      <c r="P266" s="93" t="s">
        <v>499</v>
      </c>
      <c r="Q266" s="284"/>
    </row>
    <row r="267" spans="1:17" s="458" customFormat="1" ht="18.75" customHeight="1">
      <c r="A267" s="180" t="s">
        <v>78</v>
      </c>
      <c r="B267" s="93" t="s">
        <v>886</v>
      </c>
      <c r="C267" s="284" t="s">
        <v>708</v>
      </c>
      <c r="D267" s="458">
        <f>105+8</f>
        <v>113</v>
      </c>
      <c r="G267" s="458">
        <f>190+14</f>
        <v>204</v>
      </c>
      <c r="H267" s="458">
        <f>446+33</f>
        <v>479</v>
      </c>
      <c r="L267" s="458">
        <f>212+16</f>
        <v>228</v>
      </c>
      <c r="M267" s="475"/>
      <c r="N267" s="458">
        <v>2300</v>
      </c>
      <c r="O267" s="458">
        <f>2070+155+32</f>
        <v>2257</v>
      </c>
      <c r="P267" s="93" t="s">
        <v>499</v>
      </c>
      <c r="Q267" s="284"/>
    </row>
    <row r="268" spans="1:17" s="137" customFormat="1" ht="18.75" customHeight="1">
      <c r="A268" s="98" t="s">
        <v>78</v>
      </c>
      <c r="B268" s="139" t="s">
        <v>1069</v>
      </c>
      <c r="C268" s="141" t="s">
        <v>136</v>
      </c>
      <c r="D268" s="137">
        <f>106+8</f>
        <v>114</v>
      </c>
      <c r="E268" s="458"/>
      <c r="F268" s="458"/>
      <c r="G268" s="137">
        <f>193+14</f>
        <v>207</v>
      </c>
      <c r="I268" s="137">
        <f>452+34</f>
        <v>486</v>
      </c>
      <c r="L268" s="137">
        <f>215+16</f>
        <v>231</v>
      </c>
      <c r="M268" s="475"/>
      <c r="N268" s="137">
        <v>2330</v>
      </c>
      <c r="O268" s="137">
        <f>2097+157+32</f>
        <v>2286</v>
      </c>
      <c r="P268" s="135"/>
      <c r="Q268" s="284"/>
    </row>
    <row r="269" spans="1:17" ht="18.75" customHeight="1">
      <c r="A269" s="52" t="s">
        <v>78</v>
      </c>
      <c r="B269" s="93" t="s">
        <v>723</v>
      </c>
      <c r="C269" s="141" t="s">
        <v>135</v>
      </c>
      <c r="D269" s="17">
        <f>106+8+10</f>
        <v>124</v>
      </c>
      <c r="G269" s="17">
        <f>193+14</f>
        <v>207</v>
      </c>
      <c r="I269" s="17">
        <f>452+34</f>
        <v>486</v>
      </c>
      <c r="K269" s="17">
        <f>215+16</f>
        <v>231</v>
      </c>
      <c r="N269" s="17">
        <v>2330</v>
      </c>
      <c r="O269" s="143">
        <f>2097+157+32</f>
        <v>2286</v>
      </c>
      <c r="P269" s="135" t="s">
        <v>1033</v>
      </c>
    </row>
    <row r="270" spans="1:17" ht="18.75" customHeight="1">
      <c r="A270" s="52" t="s">
        <v>78</v>
      </c>
      <c r="B270" s="93" t="s">
        <v>740</v>
      </c>
      <c r="C270" s="141" t="s">
        <v>134</v>
      </c>
      <c r="D270" s="17">
        <f>106+8+10</f>
        <v>124</v>
      </c>
      <c r="G270" s="17">
        <f>193+14</f>
        <v>207</v>
      </c>
      <c r="H270" s="17">
        <f>452+34</f>
        <v>486</v>
      </c>
      <c r="K270" s="17">
        <f>215+16</f>
        <v>231</v>
      </c>
      <c r="N270" s="17">
        <v>2330</v>
      </c>
      <c r="O270" s="143">
        <f>2097+157+32</f>
        <v>2286</v>
      </c>
      <c r="P270" s="140" t="s">
        <v>425</v>
      </c>
    </row>
    <row r="271" spans="1:17" ht="18.75" customHeight="1">
      <c r="A271" s="52" t="s">
        <v>78</v>
      </c>
      <c r="B271" s="93" t="s">
        <v>729</v>
      </c>
      <c r="C271" s="141" t="s">
        <v>293</v>
      </c>
      <c r="D271" s="17">
        <f>106+8</f>
        <v>114</v>
      </c>
      <c r="G271" s="17">
        <f>193+14</f>
        <v>207</v>
      </c>
      <c r="H271" s="17">
        <f>452+34</f>
        <v>486</v>
      </c>
      <c r="L271" s="17">
        <f>215+16</f>
        <v>231</v>
      </c>
      <c r="N271" s="17">
        <v>2330</v>
      </c>
      <c r="O271" s="143">
        <f>2097+157+32</f>
        <v>2286</v>
      </c>
      <c r="P271" s="140" t="s">
        <v>431</v>
      </c>
    </row>
    <row r="272" spans="1:17" ht="18.75" customHeight="1">
      <c r="A272" s="52" t="s">
        <v>78</v>
      </c>
      <c r="B272" s="153" t="s">
        <v>147</v>
      </c>
      <c r="C272" s="158" t="s">
        <v>1392</v>
      </c>
      <c r="D272" s="17">
        <f>106+4</f>
        <v>110</v>
      </c>
      <c r="G272" s="17">
        <f>193+7</f>
        <v>200</v>
      </c>
      <c r="I272" s="17">
        <f>452+17</f>
        <v>469</v>
      </c>
      <c r="L272" s="17">
        <f>215+8+34</f>
        <v>257</v>
      </c>
      <c r="N272" s="17">
        <v>2330</v>
      </c>
      <c r="O272" s="143">
        <f>2097+157+32</f>
        <v>2286</v>
      </c>
      <c r="P272" s="158" t="s">
        <v>461</v>
      </c>
      <c r="Q272" s="284" t="s">
        <v>462</v>
      </c>
    </row>
    <row r="273" spans="1:17" ht="18.75" customHeight="1">
      <c r="A273" s="52" t="s">
        <v>78</v>
      </c>
      <c r="B273" s="139" t="s">
        <v>325</v>
      </c>
      <c r="C273" s="141" t="s">
        <v>135</v>
      </c>
      <c r="D273" s="17">
        <f>107+8+10</f>
        <v>125</v>
      </c>
      <c r="G273" s="17">
        <f>195+15</f>
        <v>210</v>
      </c>
      <c r="I273" s="17">
        <f>458+34</f>
        <v>492</v>
      </c>
      <c r="K273" s="17">
        <f>218+16</f>
        <v>234</v>
      </c>
      <c r="N273" s="17">
        <v>2360</v>
      </c>
      <c r="O273" s="131">
        <f>2124+159+32</f>
        <v>2315</v>
      </c>
      <c r="P273" s="141" t="s">
        <v>310</v>
      </c>
    </row>
    <row r="274" spans="1:17" s="137" customFormat="1" ht="18.75" customHeight="1">
      <c r="A274" s="98" t="s">
        <v>78</v>
      </c>
      <c r="B274" s="155" t="s">
        <v>354</v>
      </c>
      <c r="C274" s="158" t="s">
        <v>376</v>
      </c>
      <c r="E274" s="458"/>
      <c r="F274" s="458"/>
      <c r="G274" s="137">
        <f>476+11</f>
        <v>487</v>
      </c>
      <c r="I274" s="137">
        <v>34</v>
      </c>
      <c r="K274" s="137">
        <f>665+16</f>
        <v>681</v>
      </c>
      <c r="M274" s="475"/>
      <c r="N274" s="137">
        <v>2400</v>
      </c>
      <c r="O274" s="137">
        <f>2160+52+32</f>
        <v>2244</v>
      </c>
      <c r="P274" s="133" t="s">
        <v>295</v>
      </c>
      <c r="Q274" s="284"/>
    </row>
    <row r="275" spans="1:17" s="137" customFormat="1" ht="18.75" customHeight="1">
      <c r="A275" s="98" t="s">
        <v>78</v>
      </c>
      <c r="B275" s="155" t="s">
        <v>355</v>
      </c>
      <c r="C275" s="158" t="s">
        <v>386</v>
      </c>
      <c r="E275" s="458"/>
      <c r="F275" s="458"/>
      <c r="G275" s="137">
        <f>427+10</f>
        <v>437</v>
      </c>
      <c r="H275" s="137">
        <f>388+9</f>
        <v>397</v>
      </c>
      <c r="I275" s="137">
        <f>388+9</f>
        <v>397</v>
      </c>
      <c r="K275" s="137">
        <v>34</v>
      </c>
      <c r="M275" s="475"/>
      <c r="N275" s="137">
        <v>2400</v>
      </c>
      <c r="O275" s="137">
        <f>2160+52+32</f>
        <v>2244</v>
      </c>
      <c r="P275" s="133" t="s">
        <v>295</v>
      </c>
      <c r="Q275" s="284"/>
    </row>
    <row r="276" spans="1:17" s="137" customFormat="1" ht="18.75" customHeight="1">
      <c r="A276" s="98" t="s">
        <v>78</v>
      </c>
      <c r="B276" s="155" t="s">
        <v>356</v>
      </c>
      <c r="C276" s="158" t="s">
        <v>387</v>
      </c>
      <c r="E276" s="458"/>
      <c r="F276" s="458"/>
      <c r="G276" s="137">
        <f>446+11</f>
        <v>457</v>
      </c>
      <c r="H276" s="137">
        <f>255+6</f>
        <v>261</v>
      </c>
      <c r="I276" s="137">
        <f>255+6</f>
        <v>261</v>
      </c>
      <c r="J276" s="137">
        <f>222+5</f>
        <v>227</v>
      </c>
      <c r="M276" s="475"/>
      <c r="N276" s="137">
        <v>2400</v>
      </c>
      <c r="O276" s="137">
        <f>2160+52+32</f>
        <v>2244</v>
      </c>
      <c r="P276" s="133" t="s">
        <v>295</v>
      </c>
      <c r="Q276" s="284"/>
    </row>
    <row r="277" spans="1:17" s="137" customFormat="1" ht="18.75" customHeight="1">
      <c r="A277" s="98" t="s">
        <v>78</v>
      </c>
      <c r="B277" s="139" t="s">
        <v>882</v>
      </c>
      <c r="C277" s="141" t="s">
        <v>135</v>
      </c>
      <c r="D277" s="137">
        <f>113+8+10</f>
        <v>131</v>
      </c>
      <c r="E277" s="458"/>
      <c r="F277" s="458"/>
      <c r="G277" s="137">
        <f>205+15</f>
        <v>220</v>
      </c>
      <c r="I277" s="137">
        <f>481+36</f>
        <v>517</v>
      </c>
      <c r="K277" s="137">
        <f>229+17</f>
        <v>246</v>
      </c>
      <c r="M277" s="475"/>
      <c r="N277" s="137">
        <v>2480</v>
      </c>
      <c r="O277" s="137">
        <f>2232+167+32</f>
        <v>2431</v>
      </c>
      <c r="P277" s="141" t="s">
        <v>312</v>
      </c>
      <c r="Q277" s="284"/>
    </row>
    <row r="278" spans="1:17" s="137" customFormat="1" ht="18.75" customHeight="1">
      <c r="A278" s="98" t="s">
        <v>78</v>
      </c>
      <c r="B278" s="155" t="s">
        <v>980</v>
      </c>
      <c r="C278" s="158" t="s">
        <v>373</v>
      </c>
      <c r="E278" s="458"/>
      <c r="F278" s="458"/>
      <c r="G278" s="137">
        <f>500+12</f>
        <v>512</v>
      </c>
      <c r="H278" s="137">
        <f>698+17</f>
        <v>715</v>
      </c>
      <c r="K278" s="137">
        <v>34</v>
      </c>
      <c r="M278" s="475"/>
      <c r="N278" s="137">
        <v>2520</v>
      </c>
      <c r="O278" s="137">
        <f>2268+54+32</f>
        <v>2354</v>
      </c>
      <c r="P278" s="133" t="s">
        <v>295</v>
      </c>
      <c r="Q278" s="284"/>
    </row>
    <row r="279" spans="1:17" s="137" customFormat="1" ht="18.75" customHeight="1">
      <c r="A279" s="98" t="s">
        <v>78</v>
      </c>
      <c r="B279" s="155" t="s">
        <v>357</v>
      </c>
      <c r="C279" s="158" t="s">
        <v>377</v>
      </c>
      <c r="E279" s="458"/>
      <c r="F279" s="458"/>
      <c r="G279" s="137">
        <f>448+11</f>
        <v>459</v>
      </c>
      <c r="I279" s="137">
        <f>465+11</f>
        <v>476</v>
      </c>
      <c r="J279" s="137">
        <v>34</v>
      </c>
      <c r="L279" s="137">
        <f>349+8</f>
        <v>357</v>
      </c>
      <c r="M279" s="475"/>
      <c r="N279" s="137">
        <v>2520</v>
      </c>
      <c r="O279" s="137">
        <f>2268+54+32</f>
        <v>2354</v>
      </c>
      <c r="P279" s="133" t="s">
        <v>295</v>
      </c>
      <c r="Q279" s="284"/>
    </row>
    <row r="280" spans="1:17" s="137" customFormat="1" ht="18.75" customHeight="1">
      <c r="A280" s="98" t="s">
        <v>78</v>
      </c>
      <c r="B280" s="155" t="s">
        <v>358</v>
      </c>
      <c r="C280" s="158" t="s">
        <v>371</v>
      </c>
      <c r="E280" s="458"/>
      <c r="F280" s="458"/>
      <c r="G280" s="137">
        <f>469+11</f>
        <v>480</v>
      </c>
      <c r="H280" s="137">
        <f>268+6</f>
        <v>274</v>
      </c>
      <c r="I280" s="137">
        <f>268+6</f>
        <v>274</v>
      </c>
      <c r="J280" s="137">
        <v>34</v>
      </c>
      <c r="L280" s="137">
        <f>233+6</f>
        <v>239</v>
      </c>
      <c r="M280" s="475"/>
      <c r="N280" s="137">
        <v>2520</v>
      </c>
      <c r="O280" s="137">
        <f>2268+54+32</f>
        <v>2354</v>
      </c>
      <c r="P280" s="133" t="s">
        <v>295</v>
      </c>
      <c r="Q280" s="284"/>
    </row>
    <row r="281" spans="1:17" s="137" customFormat="1" ht="18.75" customHeight="1">
      <c r="A281" s="98" t="s">
        <v>78</v>
      </c>
      <c r="B281" s="139" t="s">
        <v>764</v>
      </c>
      <c r="C281" s="141" t="s">
        <v>135</v>
      </c>
      <c r="D281" s="137">
        <f>118+9+10</f>
        <v>137</v>
      </c>
      <c r="E281" s="458"/>
      <c r="F281" s="458"/>
      <c r="G281" s="137">
        <f>215+16</f>
        <v>231</v>
      </c>
      <c r="I281" s="137">
        <f>504+38</f>
        <v>542</v>
      </c>
      <c r="K281" s="137">
        <f>240+18</f>
        <v>258</v>
      </c>
      <c r="M281" s="475"/>
      <c r="N281" s="137">
        <v>2600</v>
      </c>
      <c r="O281" s="137">
        <f>2340+176+32</f>
        <v>2548</v>
      </c>
      <c r="P281" s="284" t="s">
        <v>1035</v>
      </c>
      <c r="Q281" s="284"/>
    </row>
    <row r="282" spans="1:17" s="137" customFormat="1" ht="18.75" customHeight="1">
      <c r="A282" s="98" t="s">
        <v>78</v>
      </c>
      <c r="B282" s="139" t="s">
        <v>756</v>
      </c>
      <c r="C282" s="141" t="s">
        <v>136</v>
      </c>
      <c r="D282" s="137">
        <f>118+9</f>
        <v>127</v>
      </c>
      <c r="E282" s="458"/>
      <c r="F282" s="458"/>
      <c r="G282" s="137">
        <f>215+16</f>
        <v>231</v>
      </c>
      <c r="I282" s="137">
        <f>504+38</f>
        <v>542</v>
      </c>
      <c r="L282" s="137">
        <f>240+18+34</f>
        <v>292</v>
      </c>
      <c r="M282" s="475"/>
      <c r="N282" s="137">
        <v>2600</v>
      </c>
      <c r="O282" s="137">
        <f>2340+176+32</f>
        <v>2548</v>
      </c>
      <c r="P282" s="284" t="s">
        <v>1070</v>
      </c>
      <c r="Q282" s="284"/>
    </row>
    <row r="283" spans="1:17" s="137" customFormat="1" ht="18.75" customHeight="1">
      <c r="A283" s="98" t="s">
        <v>78</v>
      </c>
      <c r="B283" s="139" t="s">
        <v>735</v>
      </c>
      <c r="C283" s="141" t="s">
        <v>134</v>
      </c>
      <c r="D283" s="137">
        <f>118+9+10</f>
        <v>137</v>
      </c>
      <c r="E283" s="458"/>
      <c r="F283" s="458"/>
      <c r="G283" s="137">
        <f>215+16</f>
        <v>231</v>
      </c>
      <c r="H283" s="137">
        <f>504+38</f>
        <v>542</v>
      </c>
      <c r="K283" s="137">
        <f>240+18</f>
        <v>258</v>
      </c>
      <c r="M283" s="475"/>
      <c r="N283" s="137">
        <v>2600</v>
      </c>
      <c r="O283" s="137">
        <f>2340+176+32</f>
        <v>2548</v>
      </c>
      <c r="P283" s="141" t="s">
        <v>430</v>
      </c>
      <c r="Q283" s="284"/>
    </row>
    <row r="284" spans="1:17" s="137" customFormat="1" ht="18.75" customHeight="1">
      <c r="A284" s="98" t="s">
        <v>78</v>
      </c>
      <c r="B284" s="139" t="s">
        <v>750</v>
      </c>
      <c r="C284" s="141" t="s">
        <v>135</v>
      </c>
      <c r="D284" s="137">
        <f>118+9+10</f>
        <v>137</v>
      </c>
      <c r="E284" s="458"/>
      <c r="F284" s="458"/>
      <c r="I284" s="137">
        <f>504+38</f>
        <v>542</v>
      </c>
      <c r="K284" s="137">
        <f>240+18</f>
        <v>258</v>
      </c>
      <c r="M284" s="475"/>
      <c r="N284" s="137">
        <v>2600</v>
      </c>
      <c r="O284" s="137">
        <f>2340+176+32</f>
        <v>2548</v>
      </c>
      <c r="P284" s="141" t="s">
        <v>432</v>
      </c>
      <c r="Q284" s="284"/>
    </row>
    <row r="285" spans="1:17" s="137" customFormat="1" ht="18.75" customHeight="1">
      <c r="A285" s="98" t="s">
        <v>78</v>
      </c>
      <c r="B285" s="153" t="s">
        <v>1079</v>
      </c>
      <c r="C285" s="158" t="s">
        <v>1391</v>
      </c>
      <c r="D285" s="137">
        <f>118+4</f>
        <v>122</v>
      </c>
      <c r="E285" s="458"/>
      <c r="F285" s="458"/>
      <c r="G285" s="137">
        <f>215+8</f>
        <v>223</v>
      </c>
      <c r="H285" s="137">
        <f>504+19</f>
        <v>523</v>
      </c>
      <c r="L285" s="137">
        <f>240+9</f>
        <v>249</v>
      </c>
      <c r="M285" s="475"/>
      <c r="N285" s="137">
        <v>2600</v>
      </c>
      <c r="O285" s="137">
        <f>2340+89+32</f>
        <v>2461</v>
      </c>
      <c r="P285" s="179" t="s">
        <v>433</v>
      </c>
      <c r="Q285" s="284"/>
    </row>
    <row r="286" spans="1:17" s="137" customFormat="1" ht="18.75" customHeight="1">
      <c r="A286" s="98" t="s">
        <v>78</v>
      </c>
      <c r="B286" s="139" t="s">
        <v>883</v>
      </c>
      <c r="C286" s="141" t="s">
        <v>135</v>
      </c>
      <c r="D286" s="137">
        <f>120+9+10</f>
        <v>139</v>
      </c>
      <c r="E286" s="458"/>
      <c r="F286" s="458"/>
      <c r="G286" s="137">
        <f>218+16</f>
        <v>234</v>
      </c>
      <c r="I286" s="137">
        <f>512+38</f>
        <v>550</v>
      </c>
      <c r="K286" s="137">
        <f>244+18</f>
        <v>262</v>
      </c>
      <c r="M286" s="475"/>
      <c r="N286" s="137">
        <v>2640</v>
      </c>
      <c r="O286" s="137">
        <f>2376+178+32</f>
        <v>2586</v>
      </c>
      <c r="P286" s="141" t="s">
        <v>311</v>
      </c>
      <c r="Q286" s="284"/>
    </row>
    <row r="287" spans="1:17" s="458" customFormat="1" ht="18.75" customHeight="1">
      <c r="A287" s="180" t="s">
        <v>78</v>
      </c>
      <c r="B287" s="193" t="s">
        <v>893</v>
      </c>
      <c r="C287" s="284" t="s">
        <v>1003</v>
      </c>
      <c r="G287" s="458">
        <f>530+13</f>
        <v>543</v>
      </c>
      <c r="H287" s="458">
        <v>34</v>
      </c>
      <c r="L287" s="458">
        <f>740+18</f>
        <v>758</v>
      </c>
      <c r="M287" s="475"/>
      <c r="N287" s="458">
        <v>2670</v>
      </c>
      <c r="O287" s="458">
        <f>2403+58+32</f>
        <v>2493</v>
      </c>
      <c r="P287" s="133" t="s">
        <v>295</v>
      </c>
      <c r="Q287" s="284"/>
    </row>
    <row r="288" spans="1:17" s="458" customFormat="1" ht="18.75" customHeight="1">
      <c r="A288" s="180" t="s">
        <v>78</v>
      </c>
      <c r="B288" s="193" t="s">
        <v>892</v>
      </c>
      <c r="C288" s="284" t="s">
        <v>1004</v>
      </c>
      <c r="G288" s="458">
        <f>497+12</f>
        <v>509</v>
      </c>
      <c r="H288" s="458">
        <f>518+12</f>
        <v>530</v>
      </c>
      <c r="I288" s="458">
        <v>34</v>
      </c>
      <c r="K288" s="458">
        <f>296+7</f>
        <v>303</v>
      </c>
      <c r="M288" s="475"/>
      <c r="N288" s="458">
        <v>2670</v>
      </c>
      <c r="O288" s="458">
        <f>2403+58+32</f>
        <v>2493</v>
      </c>
      <c r="P288" s="133" t="s">
        <v>295</v>
      </c>
      <c r="Q288" s="284"/>
    </row>
    <row r="289" spans="1:17" s="458" customFormat="1" ht="18.75" customHeight="1">
      <c r="A289" s="180" t="s">
        <v>78</v>
      </c>
      <c r="B289" s="193" t="s">
        <v>891</v>
      </c>
      <c r="C289" s="284" t="s">
        <v>1005</v>
      </c>
      <c r="G289" s="458">
        <f>475+11</f>
        <v>486</v>
      </c>
      <c r="H289" s="458">
        <v>34</v>
      </c>
      <c r="I289" s="458">
        <f>370+9</f>
        <v>379</v>
      </c>
      <c r="J289" s="458">
        <f>247+6</f>
        <v>253</v>
      </c>
      <c r="L289" s="458">
        <f>247+6</f>
        <v>253</v>
      </c>
      <c r="M289" s="475"/>
      <c r="N289" s="458">
        <v>2670</v>
      </c>
      <c r="O289" s="458">
        <f>2403+58+32</f>
        <v>2493</v>
      </c>
      <c r="P289" s="133" t="s">
        <v>295</v>
      </c>
      <c r="Q289" s="284"/>
    </row>
    <row r="290" spans="1:17" s="458" customFormat="1" ht="18.75" customHeight="1">
      <c r="A290" s="180" t="s">
        <v>78</v>
      </c>
      <c r="B290" s="93" t="s">
        <v>887</v>
      </c>
      <c r="C290" s="284" t="s">
        <v>1006</v>
      </c>
      <c r="D290" s="458">
        <f>123+5</f>
        <v>128</v>
      </c>
      <c r="G290" s="458">
        <f>223+8</f>
        <v>231</v>
      </c>
      <c r="I290" s="458">
        <f>524+20</f>
        <v>544</v>
      </c>
      <c r="L290" s="458">
        <f>249+9+34</f>
        <v>292</v>
      </c>
      <c r="M290" s="475"/>
      <c r="N290" s="458">
        <v>2700</v>
      </c>
      <c r="O290" s="458">
        <f>2430+92+32</f>
        <v>2554</v>
      </c>
      <c r="P290" s="284" t="s">
        <v>888</v>
      </c>
      <c r="Q290" s="284" t="s">
        <v>1359</v>
      </c>
    </row>
    <row r="291" spans="1:17" s="458" customFormat="1" ht="18.75" customHeight="1">
      <c r="A291" s="180" t="s">
        <v>78</v>
      </c>
      <c r="B291" s="93" t="s">
        <v>903</v>
      </c>
      <c r="C291" s="284" t="s">
        <v>1006</v>
      </c>
      <c r="D291" s="458">
        <f>125+9</f>
        <v>134</v>
      </c>
      <c r="G291" s="458">
        <f>227+17</f>
        <v>244</v>
      </c>
      <c r="I291" s="458">
        <f>533+40</f>
        <v>573</v>
      </c>
      <c r="L291" s="458">
        <f>254+19+34</f>
        <v>307</v>
      </c>
      <c r="M291" s="475"/>
      <c r="N291" s="458">
        <v>2750</v>
      </c>
      <c r="O291" s="458">
        <f>2475+186+32</f>
        <v>2693</v>
      </c>
      <c r="P291" s="284" t="s">
        <v>889</v>
      </c>
      <c r="Q291" s="284"/>
    </row>
    <row r="292" spans="1:17" s="458" customFormat="1" ht="18.75" customHeight="1">
      <c r="A292" s="180" t="s">
        <v>78</v>
      </c>
      <c r="B292" s="193" t="s">
        <v>890</v>
      </c>
      <c r="C292" s="284" t="s">
        <v>1007</v>
      </c>
      <c r="G292" s="458">
        <f>559+13</f>
        <v>572</v>
      </c>
      <c r="I292" s="458">
        <v>34</v>
      </c>
      <c r="K292" s="458">
        <f>781+19</f>
        <v>800</v>
      </c>
      <c r="M292" s="475"/>
      <c r="N292" s="458">
        <v>2820</v>
      </c>
      <c r="O292" s="458">
        <f>2538+61+32</f>
        <v>2631</v>
      </c>
      <c r="P292" s="133" t="s">
        <v>295</v>
      </c>
      <c r="Q292" s="284"/>
    </row>
    <row r="293" spans="1:17" s="458" customFormat="1" ht="18.75" customHeight="1">
      <c r="A293" s="180" t="s">
        <v>78</v>
      </c>
      <c r="B293" s="193" t="s">
        <v>894</v>
      </c>
      <c r="C293" s="284" t="s">
        <v>1008</v>
      </c>
      <c r="G293" s="458">
        <f>501+12</f>
        <v>513</v>
      </c>
      <c r="H293" s="458">
        <f>456+11</f>
        <v>467</v>
      </c>
      <c r="I293" s="458">
        <f>456+11</f>
        <v>467</v>
      </c>
      <c r="K293" s="458">
        <v>34</v>
      </c>
      <c r="M293" s="475"/>
      <c r="N293" s="458">
        <v>2820</v>
      </c>
      <c r="O293" s="458">
        <f>2538+61+32</f>
        <v>2631</v>
      </c>
      <c r="P293" s="133" t="s">
        <v>295</v>
      </c>
      <c r="Q293" s="284"/>
    </row>
    <row r="294" spans="1:17" s="458" customFormat="1" ht="18.75" customHeight="1">
      <c r="A294" s="180" t="s">
        <v>78</v>
      </c>
      <c r="B294" s="193" t="s">
        <v>895</v>
      </c>
      <c r="C294" s="284" t="s">
        <v>1009</v>
      </c>
      <c r="G294" s="458">
        <f>525+13</f>
        <v>538</v>
      </c>
      <c r="H294" s="458">
        <f>299+7</f>
        <v>306</v>
      </c>
      <c r="I294" s="458">
        <f>299+7</f>
        <v>306</v>
      </c>
      <c r="J294" s="458">
        <f>299+7</f>
        <v>306</v>
      </c>
      <c r="M294" s="475"/>
      <c r="N294" s="458">
        <v>2820</v>
      </c>
      <c r="O294" s="458">
        <f>2538+61+32</f>
        <v>2631</v>
      </c>
      <c r="P294" s="133" t="s">
        <v>295</v>
      </c>
      <c r="Q294" s="284"/>
    </row>
    <row r="295" spans="1:17" s="458" customFormat="1" ht="18.75" customHeight="1">
      <c r="A295" s="180" t="s">
        <v>78</v>
      </c>
      <c r="B295" s="93" t="s">
        <v>896</v>
      </c>
      <c r="C295" s="284" t="s">
        <v>999</v>
      </c>
      <c r="D295" s="458">
        <f>132+10+10</f>
        <v>152</v>
      </c>
      <c r="G295" s="458">
        <f>240+18</f>
        <v>258</v>
      </c>
      <c r="I295" s="458">
        <f>562+42</f>
        <v>604</v>
      </c>
      <c r="K295" s="458">
        <f>268+20</f>
        <v>288</v>
      </c>
      <c r="M295" s="475"/>
      <c r="N295" s="458">
        <v>2900</v>
      </c>
      <c r="O295" s="458">
        <f>2610+196+32</f>
        <v>2838</v>
      </c>
      <c r="P295" s="284" t="s">
        <v>455</v>
      </c>
      <c r="Q295" s="284"/>
    </row>
    <row r="296" spans="1:17" s="458" customFormat="1" ht="18.75" customHeight="1">
      <c r="A296" s="180" t="s">
        <v>78</v>
      </c>
      <c r="B296" s="93" t="s">
        <v>897</v>
      </c>
      <c r="C296" s="284" t="s">
        <v>995</v>
      </c>
      <c r="D296" s="458">
        <f>132+10</f>
        <v>142</v>
      </c>
      <c r="G296" s="458">
        <f>240+18</f>
        <v>258</v>
      </c>
      <c r="H296" s="458">
        <f>562+42</f>
        <v>604</v>
      </c>
      <c r="K296" s="458">
        <f>268+20</f>
        <v>288</v>
      </c>
      <c r="M296" s="475"/>
      <c r="N296" s="458">
        <v>2900</v>
      </c>
      <c r="O296" s="458">
        <f>2610+196+32</f>
        <v>2838</v>
      </c>
      <c r="P296" s="284" t="s">
        <v>1068</v>
      </c>
      <c r="Q296" s="284"/>
    </row>
    <row r="297" spans="1:17" s="458" customFormat="1" ht="18.75" customHeight="1">
      <c r="A297" s="180" t="s">
        <v>78</v>
      </c>
      <c r="B297" s="93" t="s">
        <v>898</v>
      </c>
      <c r="C297" s="284" t="s">
        <v>999</v>
      </c>
      <c r="D297" s="458">
        <f>132+10+10</f>
        <v>152</v>
      </c>
      <c r="G297" s="458">
        <f>240+18</f>
        <v>258</v>
      </c>
      <c r="I297" s="458">
        <f>562+42</f>
        <v>604</v>
      </c>
      <c r="K297" s="458">
        <f>268+20</f>
        <v>288</v>
      </c>
      <c r="M297" s="475"/>
      <c r="N297" s="458">
        <v>2900</v>
      </c>
      <c r="O297" s="458">
        <f>2610+196+32</f>
        <v>2838</v>
      </c>
      <c r="P297" s="184" t="s">
        <v>1071</v>
      </c>
      <c r="Q297" s="284"/>
    </row>
    <row r="298" spans="1:17" s="458" customFormat="1" ht="18.75" customHeight="1">
      <c r="A298" s="180" t="s">
        <v>78</v>
      </c>
      <c r="B298" s="185" t="s">
        <v>899</v>
      </c>
      <c r="C298" s="284" t="s">
        <v>1391</v>
      </c>
      <c r="D298" s="458">
        <f>132+5</f>
        <v>137</v>
      </c>
      <c r="G298" s="458">
        <f>240+9</f>
        <v>249</v>
      </c>
      <c r="H298" s="458">
        <f>562+21</f>
        <v>583</v>
      </c>
      <c r="L298" s="458">
        <f>268+10</f>
        <v>278</v>
      </c>
      <c r="M298" s="475"/>
      <c r="N298" s="458">
        <v>2900</v>
      </c>
      <c r="O298" s="458">
        <f>2610+99+32</f>
        <v>2741</v>
      </c>
      <c r="P298" s="284" t="s">
        <v>900</v>
      </c>
      <c r="Q298" s="284" t="s">
        <v>1359</v>
      </c>
    </row>
    <row r="299" spans="1:17" s="458" customFormat="1" ht="18.75" customHeight="1">
      <c r="A299" s="180" t="s">
        <v>78</v>
      </c>
      <c r="B299" s="93" t="s">
        <v>902</v>
      </c>
      <c r="C299" s="284" t="s">
        <v>1006</v>
      </c>
      <c r="D299" s="458">
        <f>134+10</f>
        <v>144</v>
      </c>
      <c r="G299" s="458">
        <f>243+18</f>
        <v>261</v>
      </c>
      <c r="I299" s="458">
        <f>570+43</f>
        <v>613</v>
      </c>
      <c r="L299" s="458">
        <f>271+20+34</f>
        <v>325</v>
      </c>
      <c r="M299" s="475"/>
      <c r="N299" s="458">
        <v>2940</v>
      </c>
      <c r="O299" s="458">
        <f>2646+198+32</f>
        <v>2876</v>
      </c>
      <c r="P299" s="284" t="s">
        <v>901</v>
      </c>
      <c r="Q299" s="284"/>
    </row>
    <row r="300" spans="1:17" s="126" customFormat="1" ht="17.25" customHeight="1">
      <c r="A300" s="180" t="s">
        <v>80</v>
      </c>
      <c r="B300" s="93" t="s">
        <v>904</v>
      </c>
      <c r="C300" s="141" t="s">
        <v>995</v>
      </c>
      <c r="D300" s="126">
        <f>105+8</f>
        <v>113</v>
      </c>
      <c r="E300" s="458"/>
      <c r="F300" s="458"/>
      <c r="G300" s="126">
        <f>190+14</f>
        <v>204</v>
      </c>
      <c r="H300" s="126">
        <f>446+33</f>
        <v>479</v>
      </c>
      <c r="K300" s="126">
        <f>212+16</f>
        <v>228</v>
      </c>
      <c r="M300" s="475"/>
      <c r="N300" s="126">
        <v>2300</v>
      </c>
      <c r="O300" s="131">
        <f>2070+155</f>
        <v>2225</v>
      </c>
      <c r="P300" s="93" t="s">
        <v>499</v>
      </c>
      <c r="Q300" s="284"/>
    </row>
    <row r="301" spans="1:17" s="99" customFormat="1" ht="18.75" customHeight="1">
      <c r="A301" s="180" t="s">
        <v>80</v>
      </c>
      <c r="B301" s="110" t="s">
        <v>905</v>
      </c>
      <c r="C301" s="141" t="s">
        <v>1010</v>
      </c>
      <c r="D301" s="99">
        <f>105+8</f>
        <v>113</v>
      </c>
      <c r="E301" s="458"/>
      <c r="F301" s="458"/>
      <c r="G301" s="99">
        <f>295+22</f>
        <v>317</v>
      </c>
      <c r="K301" s="99">
        <f>212+16</f>
        <v>228</v>
      </c>
      <c r="L301" s="99">
        <f>212+16</f>
        <v>228</v>
      </c>
      <c r="M301" s="475"/>
      <c r="N301" s="99">
        <v>2300</v>
      </c>
      <c r="O301" s="458">
        <f>2070+155</f>
        <v>2225</v>
      </c>
      <c r="P301" s="93" t="s">
        <v>499</v>
      </c>
      <c r="Q301" s="284"/>
    </row>
    <row r="302" spans="1:17" s="99" customFormat="1" ht="18.75" customHeight="1">
      <c r="A302" s="180" t="s">
        <v>80</v>
      </c>
      <c r="B302" s="110" t="s">
        <v>906</v>
      </c>
      <c r="C302" s="141" t="s">
        <v>999</v>
      </c>
      <c r="D302" s="99">
        <f>105+8</f>
        <v>113</v>
      </c>
      <c r="E302" s="458"/>
      <c r="F302" s="458"/>
      <c r="G302" s="99">
        <f>190+14</f>
        <v>204</v>
      </c>
      <c r="I302" s="99">
        <f>446+33</f>
        <v>479</v>
      </c>
      <c r="K302" s="99">
        <f>212+16</f>
        <v>228</v>
      </c>
      <c r="M302" s="475"/>
      <c r="N302" s="99">
        <v>2300</v>
      </c>
      <c r="O302" s="131">
        <f>2070+155</f>
        <v>2225</v>
      </c>
      <c r="P302" s="93" t="s">
        <v>499</v>
      </c>
      <c r="Q302" s="284"/>
    </row>
    <row r="303" spans="1:17" s="137" customFormat="1" ht="18.75" customHeight="1">
      <c r="A303" s="98" t="s">
        <v>80</v>
      </c>
      <c r="B303" s="93" t="s">
        <v>907</v>
      </c>
      <c r="C303" s="141" t="s">
        <v>293</v>
      </c>
      <c r="D303" s="137">
        <f>106+8</f>
        <v>114</v>
      </c>
      <c r="E303" s="458"/>
      <c r="F303" s="458"/>
      <c r="G303" s="137">
        <f>193+14</f>
        <v>207</v>
      </c>
      <c r="H303" s="137">
        <f>452+34</f>
        <v>486</v>
      </c>
      <c r="L303" s="137">
        <f>215+16</f>
        <v>231</v>
      </c>
      <c r="M303" s="475"/>
      <c r="N303" s="137">
        <v>2330</v>
      </c>
      <c r="O303" s="137">
        <f t="shared" ref="O303:O309" si="16">2097+157</f>
        <v>2254</v>
      </c>
      <c r="P303" s="141" t="s">
        <v>434</v>
      </c>
      <c r="Q303" s="284"/>
    </row>
    <row r="304" spans="1:17" ht="18.75" customHeight="1">
      <c r="A304" s="52" t="s">
        <v>80</v>
      </c>
      <c r="B304" s="93" t="s">
        <v>724</v>
      </c>
      <c r="C304" s="141" t="s">
        <v>135</v>
      </c>
      <c r="D304" s="17">
        <f>106+8</f>
        <v>114</v>
      </c>
      <c r="G304" s="17">
        <f>193+14</f>
        <v>207</v>
      </c>
      <c r="I304" s="17">
        <f>452+34</f>
        <v>486</v>
      </c>
      <c r="K304" s="17">
        <f>215+16</f>
        <v>231</v>
      </c>
      <c r="N304" s="17">
        <v>2330</v>
      </c>
      <c r="O304" s="137">
        <f t="shared" si="16"/>
        <v>2254</v>
      </c>
      <c r="P304" s="141" t="s">
        <v>1033</v>
      </c>
    </row>
    <row r="305" spans="1:17" ht="18.75" customHeight="1">
      <c r="A305" s="52" t="s">
        <v>80</v>
      </c>
      <c r="B305" s="93" t="s">
        <v>741</v>
      </c>
      <c r="C305" s="141" t="s">
        <v>134</v>
      </c>
      <c r="D305" s="17">
        <f>106+8</f>
        <v>114</v>
      </c>
      <c r="G305" s="17">
        <f>193+14</f>
        <v>207</v>
      </c>
      <c r="H305" s="17">
        <f>452+34</f>
        <v>486</v>
      </c>
      <c r="K305" s="17">
        <f>215+16</f>
        <v>231</v>
      </c>
      <c r="N305" s="17">
        <v>2330</v>
      </c>
      <c r="O305" s="137">
        <f t="shared" si="16"/>
        <v>2254</v>
      </c>
      <c r="P305" s="140" t="s">
        <v>431</v>
      </c>
    </row>
    <row r="306" spans="1:17" ht="18.75" customHeight="1">
      <c r="A306" s="52" t="s">
        <v>80</v>
      </c>
      <c r="B306" s="93" t="s">
        <v>730</v>
      </c>
      <c r="C306" s="141" t="s">
        <v>136</v>
      </c>
      <c r="D306" s="17">
        <f>106+8</f>
        <v>114</v>
      </c>
      <c r="G306" s="17">
        <f>193+14</f>
        <v>207</v>
      </c>
      <c r="I306" s="17">
        <f>452+34</f>
        <v>486</v>
      </c>
      <c r="L306" s="17">
        <f>215+16</f>
        <v>231</v>
      </c>
      <c r="N306" s="17">
        <v>2330</v>
      </c>
      <c r="O306" s="137">
        <f t="shared" si="16"/>
        <v>2254</v>
      </c>
      <c r="P306" s="140" t="s">
        <v>421</v>
      </c>
    </row>
    <row r="307" spans="1:17" ht="18.75" customHeight="1">
      <c r="A307" s="52" t="s">
        <v>80</v>
      </c>
      <c r="B307" s="161" t="s">
        <v>150</v>
      </c>
      <c r="C307" s="158" t="s">
        <v>395</v>
      </c>
      <c r="G307" s="17">
        <f>424+16</f>
        <v>440</v>
      </c>
      <c r="H307" s="17">
        <f>624+24</f>
        <v>648</v>
      </c>
      <c r="N307" s="17">
        <v>2330</v>
      </c>
      <c r="O307" s="137">
        <f t="shared" si="16"/>
        <v>2254</v>
      </c>
      <c r="P307" s="158" t="s">
        <v>463</v>
      </c>
    </row>
    <row r="308" spans="1:17" ht="18.75" customHeight="1">
      <c r="A308" s="52" t="s">
        <v>80</v>
      </c>
      <c r="B308" s="161" t="s">
        <v>151</v>
      </c>
      <c r="C308" s="158" t="s">
        <v>381</v>
      </c>
      <c r="G308" s="17">
        <f>443+17</f>
        <v>460</v>
      </c>
      <c r="H308" s="17">
        <f>366+14</f>
        <v>380</v>
      </c>
      <c r="K308" s="17">
        <f>215+8</f>
        <v>223</v>
      </c>
      <c r="N308" s="17">
        <v>2330</v>
      </c>
      <c r="O308" s="137">
        <f t="shared" si="16"/>
        <v>2254</v>
      </c>
      <c r="P308" s="158" t="s">
        <v>463</v>
      </c>
    </row>
    <row r="309" spans="1:17" ht="18.75" customHeight="1">
      <c r="A309" s="52" t="s">
        <v>80</v>
      </c>
      <c r="B309" s="161" t="s">
        <v>148</v>
      </c>
      <c r="C309" s="158" t="s">
        <v>382</v>
      </c>
      <c r="G309" s="17">
        <f>443+17</f>
        <v>460</v>
      </c>
      <c r="I309" s="17">
        <f>366+14</f>
        <v>380</v>
      </c>
      <c r="L309" s="17">
        <f>215+8</f>
        <v>223</v>
      </c>
      <c r="N309" s="17">
        <v>2330</v>
      </c>
      <c r="O309" s="137">
        <f t="shared" si="16"/>
        <v>2254</v>
      </c>
      <c r="P309" s="158" t="s">
        <v>463</v>
      </c>
    </row>
    <row r="310" spans="1:17" s="458" customFormat="1" ht="18.75" customHeight="1">
      <c r="A310" s="180" t="s">
        <v>80</v>
      </c>
      <c r="B310" s="93" t="s">
        <v>908</v>
      </c>
      <c r="C310" s="284" t="s">
        <v>708</v>
      </c>
      <c r="D310" s="458">
        <f>113+8</f>
        <v>121</v>
      </c>
      <c r="G310" s="458">
        <f>206+15</f>
        <v>221</v>
      </c>
      <c r="H310" s="458">
        <f>483+36</f>
        <v>519</v>
      </c>
      <c r="L310" s="458">
        <f>230+17</f>
        <v>247</v>
      </c>
      <c r="M310" s="475"/>
      <c r="N310" s="458">
        <v>2490</v>
      </c>
      <c r="O310" s="458">
        <f>2241+168</f>
        <v>2409</v>
      </c>
      <c r="P310" s="284" t="s">
        <v>1032</v>
      </c>
      <c r="Q310" s="284"/>
    </row>
    <row r="311" spans="1:17" s="137" customFormat="1" ht="18.75" customHeight="1">
      <c r="A311" s="98" t="s">
        <v>80</v>
      </c>
      <c r="B311" s="139" t="s">
        <v>307</v>
      </c>
      <c r="C311" s="141" t="s">
        <v>136</v>
      </c>
      <c r="E311" s="458"/>
      <c r="F311" s="458"/>
      <c r="G311" s="137">
        <f>494+19</f>
        <v>513</v>
      </c>
      <c r="I311" s="137">
        <f>408+16</f>
        <v>424</v>
      </c>
      <c r="L311" s="137">
        <f>240+9</f>
        <v>249</v>
      </c>
      <c r="M311" s="475"/>
      <c r="N311" s="137">
        <v>2600</v>
      </c>
      <c r="O311" s="137">
        <f>2340+89</f>
        <v>2429</v>
      </c>
      <c r="P311" s="140" t="s">
        <v>435</v>
      </c>
      <c r="Q311" s="284"/>
    </row>
    <row r="312" spans="1:17" s="137" customFormat="1" ht="18.75" customHeight="1">
      <c r="A312" s="98" t="s">
        <v>80</v>
      </c>
      <c r="B312" s="139" t="s">
        <v>765</v>
      </c>
      <c r="C312" s="141" t="s">
        <v>135</v>
      </c>
      <c r="D312" s="137">
        <f>118+9</f>
        <v>127</v>
      </c>
      <c r="E312" s="458"/>
      <c r="F312" s="458"/>
      <c r="G312" s="137">
        <f>215+16</f>
        <v>231</v>
      </c>
      <c r="I312" s="137">
        <f>504+38</f>
        <v>542</v>
      </c>
      <c r="K312" s="137">
        <f>240+18</f>
        <v>258</v>
      </c>
      <c r="M312" s="475"/>
      <c r="N312" s="137">
        <v>2600</v>
      </c>
      <c r="O312" s="137">
        <f>2340+89</f>
        <v>2429</v>
      </c>
      <c r="P312" s="141" t="s">
        <v>455</v>
      </c>
      <c r="Q312" s="284"/>
    </row>
    <row r="313" spans="1:17" s="137" customFormat="1" ht="18.75" customHeight="1">
      <c r="A313" s="98" t="s">
        <v>80</v>
      </c>
      <c r="B313" s="139" t="s">
        <v>757</v>
      </c>
      <c r="C313" s="141" t="s">
        <v>293</v>
      </c>
      <c r="D313" s="137">
        <f>118+9</f>
        <v>127</v>
      </c>
      <c r="E313" s="458"/>
      <c r="F313" s="458"/>
      <c r="G313" s="137">
        <f>215+16</f>
        <v>231</v>
      </c>
      <c r="H313" s="137">
        <f>504+38</f>
        <v>542</v>
      </c>
      <c r="L313" s="137">
        <f>240+18</f>
        <v>258</v>
      </c>
      <c r="M313" s="475"/>
      <c r="N313" s="137">
        <v>2600</v>
      </c>
      <c r="O313" s="137">
        <f>2340+89</f>
        <v>2429</v>
      </c>
      <c r="P313" s="158" t="s">
        <v>420</v>
      </c>
      <c r="Q313" s="284"/>
    </row>
    <row r="314" spans="1:17" s="137" customFormat="1" ht="18.75" customHeight="1">
      <c r="A314" s="98" t="s">
        <v>80</v>
      </c>
      <c r="B314" s="139" t="s">
        <v>736</v>
      </c>
      <c r="C314" s="141" t="s">
        <v>134</v>
      </c>
      <c r="D314" s="137">
        <f>118+9</f>
        <v>127</v>
      </c>
      <c r="E314" s="458"/>
      <c r="F314" s="458"/>
      <c r="G314" s="137">
        <f>215+16</f>
        <v>231</v>
      </c>
      <c r="H314" s="137">
        <f>504+38</f>
        <v>542</v>
      </c>
      <c r="K314" s="137">
        <f>240+18</f>
        <v>258</v>
      </c>
      <c r="M314" s="475"/>
      <c r="N314" s="137">
        <v>2600</v>
      </c>
      <c r="O314" s="137">
        <f>2340+89</f>
        <v>2429</v>
      </c>
      <c r="P314" s="141" t="s">
        <v>432</v>
      </c>
      <c r="Q314" s="284"/>
    </row>
    <row r="315" spans="1:17" s="137" customFormat="1" ht="18.75" customHeight="1">
      <c r="A315" s="98" t="s">
        <v>80</v>
      </c>
      <c r="B315" s="139" t="s">
        <v>751</v>
      </c>
      <c r="C315" s="141" t="s">
        <v>136</v>
      </c>
      <c r="D315" s="137">
        <f>118+9</f>
        <v>127</v>
      </c>
      <c r="E315" s="458"/>
      <c r="F315" s="458"/>
      <c r="G315" s="137">
        <f>215+16</f>
        <v>231</v>
      </c>
      <c r="I315" s="137">
        <f>504+38</f>
        <v>542</v>
      </c>
      <c r="L315" s="137">
        <f>240+18</f>
        <v>258</v>
      </c>
      <c r="M315" s="475"/>
      <c r="N315" s="137">
        <v>2600</v>
      </c>
      <c r="O315" s="137">
        <f>2340+176</f>
        <v>2516</v>
      </c>
      <c r="P315" s="141" t="s">
        <v>419</v>
      </c>
      <c r="Q315" s="284"/>
    </row>
    <row r="316" spans="1:17" s="137" customFormat="1" ht="18.75" customHeight="1">
      <c r="A316" s="98" t="s">
        <v>80</v>
      </c>
      <c r="B316" s="161" t="s">
        <v>308</v>
      </c>
      <c r="C316" s="158" t="s">
        <v>395</v>
      </c>
      <c r="E316" s="458"/>
      <c r="F316" s="458"/>
      <c r="G316" s="137">
        <f>473+18</f>
        <v>491</v>
      </c>
      <c r="H316" s="137">
        <f>696+26</f>
        <v>722</v>
      </c>
      <c r="M316" s="475"/>
      <c r="N316" s="137">
        <v>2600</v>
      </c>
      <c r="O316" s="137">
        <f>2340+176</f>
        <v>2516</v>
      </c>
      <c r="P316" s="140" t="s">
        <v>435</v>
      </c>
      <c r="Q316" s="284"/>
    </row>
    <row r="317" spans="1:17" s="137" customFormat="1" ht="18.75" customHeight="1">
      <c r="A317" s="98" t="s">
        <v>80</v>
      </c>
      <c r="B317" s="161" t="s">
        <v>309</v>
      </c>
      <c r="C317" s="158" t="s">
        <v>381</v>
      </c>
      <c r="E317" s="458"/>
      <c r="F317" s="458"/>
      <c r="G317" s="137">
        <f>494+19</f>
        <v>513</v>
      </c>
      <c r="H317" s="137">
        <f>408+16</f>
        <v>424</v>
      </c>
      <c r="K317" s="137">
        <f>240+9</f>
        <v>249</v>
      </c>
      <c r="M317" s="475"/>
      <c r="N317" s="137">
        <v>2600</v>
      </c>
      <c r="O317" s="137">
        <f>2340+176</f>
        <v>2516</v>
      </c>
      <c r="P317" s="140" t="s">
        <v>435</v>
      </c>
      <c r="Q317" s="284"/>
    </row>
    <row r="318" spans="1:17" s="458" customFormat="1" ht="18.75" customHeight="1">
      <c r="A318" s="180" t="s">
        <v>80</v>
      </c>
      <c r="B318" s="93" t="s">
        <v>909</v>
      </c>
      <c r="C318" s="284" t="s">
        <v>670</v>
      </c>
      <c r="D318" s="458">
        <f>118+9</f>
        <v>127</v>
      </c>
      <c r="G318" s="458">
        <f>215+16</f>
        <v>231</v>
      </c>
      <c r="H318" s="458">
        <f>504+38</f>
        <v>542</v>
      </c>
      <c r="K318" s="458">
        <f>240+18</f>
        <v>258</v>
      </c>
      <c r="M318" s="475"/>
      <c r="N318" s="458">
        <v>2600</v>
      </c>
      <c r="O318" s="458">
        <f>2340+176</f>
        <v>2516</v>
      </c>
      <c r="P318" s="184" t="s">
        <v>1289</v>
      </c>
      <c r="Q318" s="284"/>
    </row>
    <row r="319" spans="1:17" s="458" customFormat="1" ht="18.75" customHeight="1">
      <c r="A319" s="180" t="s">
        <v>80</v>
      </c>
      <c r="B319" s="193" t="s">
        <v>910</v>
      </c>
      <c r="C319" s="284" t="s">
        <v>850</v>
      </c>
      <c r="G319" s="458">
        <f>575+14</f>
        <v>589</v>
      </c>
      <c r="H319" s="458">
        <f>803+19</f>
        <v>822</v>
      </c>
      <c r="M319" s="475"/>
      <c r="N319" s="458">
        <v>2900</v>
      </c>
      <c r="O319" s="458">
        <f>2610+63</f>
        <v>2673</v>
      </c>
      <c r="P319" s="184" t="s">
        <v>919</v>
      </c>
      <c r="Q319" s="284"/>
    </row>
    <row r="320" spans="1:17" s="458" customFormat="1" ht="18.75" customHeight="1">
      <c r="A320" s="180" t="s">
        <v>80</v>
      </c>
      <c r="B320" s="193" t="s">
        <v>911</v>
      </c>
      <c r="C320" s="284" t="s">
        <v>912</v>
      </c>
      <c r="G320" s="458">
        <f>515+12</f>
        <v>527</v>
      </c>
      <c r="H320" s="458">
        <f>469+11</f>
        <v>480</v>
      </c>
      <c r="I320" s="458">
        <f>469+11</f>
        <v>480</v>
      </c>
      <c r="M320" s="475"/>
      <c r="N320" s="458">
        <v>2900</v>
      </c>
      <c r="O320" s="458">
        <f>2610+63</f>
        <v>2673</v>
      </c>
      <c r="P320" s="184" t="s">
        <v>919</v>
      </c>
      <c r="Q320" s="284"/>
    </row>
    <row r="321" spans="1:17" s="458" customFormat="1" ht="18.75" customHeight="1">
      <c r="A321" s="180" t="s">
        <v>80</v>
      </c>
      <c r="B321" s="193" t="s">
        <v>913</v>
      </c>
      <c r="C321" s="284" t="s">
        <v>914</v>
      </c>
      <c r="G321" s="458">
        <f>515+12</f>
        <v>527</v>
      </c>
      <c r="I321" s="458">
        <f>402+10</f>
        <v>412</v>
      </c>
      <c r="J321" s="458">
        <f>268+6</f>
        <v>274</v>
      </c>
      <c r="K321" s="458">
        <f>268+6</f>
        <v>274</v>
      </c>
      <c r="M321" s="475"/>
      <c r="N321" s="458">
        <v>2900</v>
      </c>
      <c r="O321" s="458">
        <f>2610+63</f>
        <v>2673</v>
      </c>
      <c r="P321" s="184" t="s">
        <v>919</v>
      </c>
      <c r="Q321" s="284"/>
    </row>
    <row r="322" spans="1:17" s="458" customFormat="1" ht="18.75" customHeight="1">
      <c r="A322" s="180" t="s">
        <v>80</v>
      </c>
      <c r="B322" s="93" t="s">
        <v>915</v>
      </c>
      <c r="C322" s="284" t="s">
        <v>677</v>
      </c>
      <c r="D322" s="458">
        <f>132+10</f>
        <v>142</v>
      </c>
      <c r="G322" s="458">
        <f>240+18</f>
        <v>258</v>
      </c>
      <c r="I322" s="458">
        <f>562+42</f>
        <v>604</v>
      </c>
      <c r="K322" s="458">
        <f>268+20</f>
        <v>288</v>
      </c>
      <c r="M322" s="475"/>
      <c r="N322" s="458">
        <v>2900</v>
      </c>
      <c r="O322" s="458">
        <f>2610+196</f>
        <v>2806</v>
      </c>
      <c r="P322" s="284" t="s">
        <v>455</v>
      </c>
      <c r="Q322" s="284"/>
    </row>
    <row r="323" spans="1:17" s="458" customFormat="1" ht="18.75" customHeight="1">
      <c r="A323" s="180" t="s">
        <v>80</v>
      </c>
      <c r="B323" s="93" t="s">
        <v>916</v>
      </c>
      <c r="C323" s="284" t="s">
        <v>670</v>
      </c>
      <c r="D323" s="458">
        <f>132+10</f>
        <v>142</v>
      </c>
      <c r="G323" s="458">
        <f>240+18</f>
        <v>258</v>
      </c>
      <c r="H323" s="458">
        <f>562+42</f>
        <v>604</v>
      </c>
      <c r="K323" s="458">
        <f>268+20</f>
        <v>288</v>
      </c>
      <c r="M323" s="475"/>
      <c r="N323" s="458">
        <v>2900</v>
      </c>
      <c r="O323" s="458">
        <f>2610+196</f>
        <v>2806</v>
      </c>
      <c r="P323" s="184" t="s">
        <v>1071</v>
      </c>
      <c r="Q323" s="284"/>
    </row>
    <row r="324" spans="1:17" s="458" customFormat="1" ht="18.75" customHeight="1">
      <c r="A324" s="180" t="s">
        <v>80</v>
      </c>
      <c r="B324" s="93" t="s">
        <v>917</v>
      </c>
      <c r="C324" s="284" t="s">
        <v>673</v>
      </c>
      <c r="D324" s="458">
        <f>132+10</f>
        <v>142</v>
      </c>
      <c r="G324" s="458">
        <f>240+18</f>
        <v>258</v>
      </c>
      <c r="I324" s="458">
        <f>562+42</f>
        <v>604</v>
      </c>
      <c r="L324" s="458">
        <f>268+20</f>
        <v>288</v>
      </c>
      <c r="M324" s="475"/>
      <c r="N324" s="458">
        <v>2900</v>
      </c>
      <c r="O324" s="458">
        <f>2610+196</f>
        <v>2806</v>
      </c>
      <c r="P324" s="184" t="s">
        <v>706</v>
      </c>
      <c r="Q324" s="284"/>
    </row>
    <row r="325" spans="1:17" s="564" customFormat="1" ht="18.75" customHeight="1">
      <c r="A325" s="180" t="s">
        <v>80</v>
      </c>
      <c r="B325" s="93" t="s">
        <v>918</v>
      </c>
      <c r="C325" s="284" t="s">
        <v>112</v>
      </c>
      <c r="D325" s="564">
        <f>132+10</f>
        <v>142</v>
      </c>
      <c r="G325" s="564">
        <f>312+23</f>
        <v>335</v>
      </c>
      <c r="I325" s="564">
        <f>669+50</f>
        <v>719</v>
      </c>
      <c r="N325" s="564">
        <v>2900</v>
      </c>
      <c r="O325" s="564">
        <f>2610+196</f>
        <v>2806</v>
      </c>
      <c r="P325" s="184" t="s">
        <v>919</v>
      </c>
      <c r="Q325" s="284"/>
    </row>
    <row r="326" spans="1:17" s="458" customFormat="1" ht="18.75" customHeight="1">
      <c r="A326" s="180" t="s">
        <v>80</v>
      </c>
      <c r="B326" s="93" t="s">
        <v>1452</v>
      </c>
      <c r="C326" s="284" t="s">
        <v>293</v>
      </c>
      <c r="D326" s="458">
        <f>132+10</f>
        <v>142</v>
      </c>
      <c r="G326" s="564">
        <f>240+18</f>
        <v>258</v>
      </c>
      <c r="H326" s="564">
        <f>562+42</f>
        <v>604</v>
      </c>
      <c r="L326" s="564">
        <f>268+20</f>
        <v>288</v>
      </c>
      <c r="M326" s="475"/>
      <c r="N326" s="458">
        <v>2900</v>
      </c>
      <c r="O326" s="458">
        <f>2610+196</f>
        <v>2806</v>
      </c>
      <c r="P326" s="93" t="s">
        <v>1453</v>
      </c>
      <c r="Q326" s="284"/>
    </row>
    <row r="327" spans="1:17" s="128" customFormat="1" ht="18.75" customHeight="1">
      <c r="A327" s="98" t="s">
        <v>82</v>
      </c>
      <c r="B327" s="93" t="s">
        <v>973</v>
      </c>
      <c r="C327" s="141" t="s">
        <v>293</v>
      </c>
      <c r="D327" s="128">
        <v>130</v>
      </c>
      <c r="E327" s="458"/>
      <c r="F327" s="458"/>
      <c r="G327" s="128">
        <v>248</v>
      </c>
      <c r="H327" s="128">
        <v>550</v>
      </c>
      <c r="L327" s="128">
        <v>262</v>
      </c>
      <c r="M327" s="475"/>
      <c r="N327" s="128">
        <v>2230</v>
      </c>
      <c r="O327" s="131">
        <f>2408+181+32</f>
        <v>2621</v>
      </c>
      <c r="P327" s="141" t="s">
        <v>1034</v>
      </c>
      <c r="Q327" s="284"/>
    </row>
    <row r="328" spans="1:17" s="458" customFormat="1" ht="18.75" customHeight="1">
      <c r="A328" s="180" t="s">
        <v>82</v>
      </c>
      <c r="B328" s="129" t="s">
        <v>920</v>
      </c>
      <c r="C328" s="284" t="s">
        <v>708</v>
      </c>
      <c r="D328" s="458">
        <f>126+9</f>
        <v>135</v>
      </c>
      <c r="G328" s="458">
        <f>228+17</f>
        <v>245</v>
      </c>
      <c r="H328" s="458">
        <f>535+40</f>
        <v>575</v>
      </c>
      <c r="L328" s="458">
        <f>255+19</f>
        <v>274</v>
      </c>
      <c r="M328" s="475"/>
      <c r="N328" s="458">
        <v>2300</v>
      </c>
      <c r="O328" s="458">
        <f t="shared" ref="O328:O333" si="17">2484+186+32</f>
        <v>2702</v>
      </c>
      <c r="P328" s="93" t="s">
        <v>499</v>
      </c>
      <c r="Q328" s="284"/>
    </row>
    <row r="329" spans="1:17" s="458" customFormat="1" ht="18.75" customHeight="1">
      <c r="A329" s="180" t="s">
        <v>82</v>
      </c>
      <c r="B329" s="93" t="s">
        <v>921</v>
      </c>
      <c r="C329" s="284" t="s">
        <v>673</v>
      </c>
      <c r="D329" s="458">
        <f>126+9</f>
        <v>135</v>
      </c>
      <c r="G329" s="458">
        <f>228+17</f>
        <v>245</v>
      </c>
      <c r="I329" s="458">
        <f>535+40+34</f>
        <v>609</v>
      </c>
      <c r="L329" s="458">
        <f>255+19</f>
        <v>274</v>
      </c>
      <c r="M329" s="475"/>
      <c r="N329" s="458">
        <v>2300</v>
      </c>
      <c r="O329" s="458">
        <f t="shared" si="17"/>
        <v>2702</v>
      </c>
      <c r="P329" s="93" t="s">
        <v>499</v>
      </c>
      <c r="Q329" s="284"/>
    </row>
    <row r="330" spans="1:17" s="458" customFormat="1" ht="18.75" customHeight="1">
      <c r="A330" s="180" t="s">
        <v>82</v>
      </c>
      <c r="B330" s="93" t="s">
        <v>923</v>
      </c>
      <c r="C330" s="284" t="s">
        <v>673</v>
      </c>
      <c r="D330" s="458">
        <f>126+9</f>
        <v>135</v>
      </c>
      <c r="G330" s="458">
        <f>354+27</f>
        <v>381</v>
      </c>
      <c r="K330" s="458">
        <f>255+19</f>
        <v>274</v>
      </c>
      <c r="L330" s="458">
        <f>255+19+34</f>
        <v>308</v>
      </c>
      <c r="M330" s="475"/>
      <c r="N330" s="458">
        <v>2300</v>
      </c>
      <c r="O330" s="458">
        <f t="shared" si="17"/>
        <v>2702</v>
      </c>
      <c r="P330" s="93" t="s">
        <v>499</v>
      </c>
      <c r="Q330" s="284"/>
    </row>
    <row r="331" spans="1:17" s="458" customFormat="1" ht="18.75" customHeight="1">
      <c r="A331" s="180" t="s">
        <v>82</v>
      </c>
      <c r="B331" s="93" t="s">
        <v>924</v>
      </c>
      <c r="C331" s="284" t="s">
        <v>670</v>
      </c>
      <c r="D331" s="458">
        <f>126+9+10</f>
        <v>145</v>
      </c>
      <c r="G331" s="458">
        <f>228+17</f>
        <v>245</v>
      </c>
      <c r="H331" s="458">
        <f>535+40</f>
        <v>575</v>
      </c>
      <c r="K331" s="458">
        <f>255+19</f>
        <v>274</v>
      </c>
      <c r="M331" s="475"/>
      <c r="N331" s="458">
        <v>2300</v>
      </c>
      <c r="O331" s="458">
        <f t="shared" si="17"/>
        <v>2702</v>
      </c>
      <c r="P331" s="93" t="s">
        <v>499</v>
      </c>
      <c r="Q331" s="284"/>
    </row>
    <row r="332" spans="1:17" s="475" customFormat="1" ht="18.75" customHeight="1">
      <c r="A332" s="180" t="s">
        <v>82</v>
      </c>
      <c r="B332" s="93" t="s">
        <v>1155</v>
      </c>
      <c r="C332" s="284" t="s">
        <v>1156</v>
      </c>
      <c r="D332" s="475">
        <f>126+9+10</f>
        <v>145</v>
      </c>
      <c r="G332" s="475">
        <f>228+17</f>
        <v>245</v>
      </c>
      <c r="L332" s="475">
        <f>255+19</f>
        <v>274</v>
      </c>
      <c r="M332" s="475">
        <f>535+40</f>
        <v>575</v>
      </c>
      <c r="N332" s="475">
        <v>2300</v>
      </c>
      <c r="O332" s="475">
        <f t="shared" si="17"/>
        <v>2702</v>
      </c>
      <c r="P332" s="93" t="s">
        <v>499</v>
      </c>
      <c r="Q332" s="284"/>
    </row>
    <row r="333" spans="1:17" s="458" customFormat="1" ht="18.75" customHeight="1">
      <c r="A333" s="180" t="s">
        <v>82</v>
      </c>
      <c r="B333" s="93" t="s">
        <v>922</v>
      </c>
      <c r="C333" s="284" t="s">
        <v>673</v>
      </c>
      <c r="D333" s="458">
        <f>126+9</f>
        <v>135</v>
      </c>
      <c r="G333" s="458">
        <f>228+17</f>
        <v>245</v>
      </c>
      <c r="I333" s="458">
        <f>535+40+34</f>
        <v>609</v>
      </c>
      <c r="L333" s="458">
        <f>255+19</f>
        <v>274</v>
      </c>
      <c r="M333" s="475"/>
      <c r="N333" s="458">
        <v>2300</v>
      </c>
      <c r="O333" s="458">
        <f t="shared" si="17"/>
        <v>2702</v>
      </c>
      <c r="P333" s="284" t="s">
        <v>1119</v>
      </c>
      <c r="Q333" s="284"/>
    </row>
    <row r="334" spans="1:17" ht="18.75" customHeight="1">
      <c r="A334" s="52" t="s">
        <v>82</v>
      </c>
      <c r="B334" s="93" t="s">
        <v>925</v>
      </c>
      <c r="C334" s="141" t="s">
        <v>134</v>
      </c>
      <c r="D334" s="17">
        <v>137</v>
      </c>
      <c r="G334" s="17">
        <f>231+17</f>
        <v>248</v>
      </c>
      <c r="H334" s="17">
        <f>542+41</f>
        <v>583</v>
      </c>
      <c r="K334" s="17">
        <f>258+19</f>
        <v>277</v>
      </c>
      <c r="N334" s="17">
        <v>2330</v>
      </c>
      <c r="O334" s="131">
        <f>2516+189+32</f>
        <v>2737</v>
      </c>
      <c r="P334" s="33" t="s">
        <v>1072</v>
      </c>
    </row>
    <row r="335" spans="1:17" ht="18.75" customHeight="1">
      <c r="A335" s="52" t="s">
        <v>82</v>
      </c>
      <c r="B335" s="93" t="s">
        <v>926</v>
      </c>
      <c r="C335" s="141" t="s">
        <v>135</v>
      </c>
      <c r="D335" s="475">
        <f>127+10+10</f>
        <v>147</v>
      </c>
      <c r="G335" s="17">
        <f>231+17</f>
        <v>248</v>
      </c>
      <c r="I335" s="17">
        <f>542+41</f>
        <v>583</v>
      </c>
      <c r="K335" s="17">
        <f>258+19</f>
        <v>277</v>
      </c>
      <c r="N335" s="17">
        <v>2330</v>
      </c>
      <c r="O335" s="143">
        <f>2516+189+32</f>
        <v>2737</v>
      </c>
      <c r="P335" s="33" t="s">
        <v>1033</v>
      </c>
    </row>
    <row r="336" spans="1:17" ht="18.75" customHeight="1">
      <c r="A336" s="52" t="s">
        <v>82</v>
      </c>
      <c r="B336" s="93" t="s">
        <v>927</v>
      </c>
      <c r="C336" s="141" t="s">
        <v>136</v>
      </c>
      <c r="D336" s="17">
        <f>127+10</f>
        <v>137</v>
      </c>
      <c r="G336" s="17">
        <f>231+17</f>
        <v>248</v>
      </c>
      <c r="I336" s="17">
        <f>542+41+34</f>
        <v>617</v>
      </c>
      <c r="L336" s="17">
        <f>258+19</f>
        <v>277</v>
      </c>
      <c r="N336" s="17">
        <v>2330</v>
      </c>
      <c r="O336" s="143">
        <f>2516+189+32</f>
        <v>2737</v>
      </c>
      <c r="P336" s="184" t="s">
        <v>1073</v>
      </c>
    </row>
    <row r="337" spans="1:17" s="475" customFormat="1" ht="18.75" customHeight="1">
      <c r="A337" s="180" t="s">
        <v>82</v>
      </c>
      <c r="B337" s="93" t="s">
        <v>1157</v>
      </c>
      <c r="C337" s="284" t="s">
        <v>1158</v>
      </c>
      <c r="D337" s="475">
        <f>127+10+10</f>
        <v>147</v>
      </c>
      <c r="G337" s="475">
        <f>231+17</f>
        <v>248</v>
      </c>
      <c r="K337" s="475">
        <f>258+19</f>
        <v>277</v>
      </c>
      <c r="M337" s="475">
        <f>542+41</f>
        <v>583</v>
      </c>
      <c r="N337" s="475">
        <v>2330</v>
      </c>
      <c r="O337" s="475">
        <f>2516+189+32</f>
        <v>2737</v>
      </c>
      <c r="P337" s="184" t="s">
        <v>1159</v>
      </c>
      <c r="Q337" s="284"/>
    </row>
    <row r="338" spans="1:17" s="137" customFormat="1" ht="18.75" customHeight="1">
      <c r="A338" s="98" t="s">
        <v>82</v>
      </c>
      <c r="B338" s="155" t="s">
        <v>981</v>
      </c>
      <c r="C338" s="158" t="s">
        <v>369</v>
      </c>
      <c r="E338" s="458"/>
      <c r="F338" s="458"/>
      <c r="G338" s="137">
        <f>571+14</f>
        <v>585</v>
      </c>
      <c r="I338" s="137">
        <f>798+19</f>
        <v>817</v>
      </c>
      <c r="J338" s="137">
        <v>34</v>
      </c>
      <c r="M338" s="475"/>
      <c r="N338" s="137">
        <v>2400</v>
      </c>
      <c r="O338" s="137">
        <f t="shared" ref="O338:O343" si="18">2592+62+32</f>
        <v>2686</v>
      </c>
      <c r="P338" s="133" t="s">
        <v>295</v>
      </c>
      <c r="Q338" s="284"/>
    </row>
    <row r="339" spans="1:17" s="137" customFormat="1" ht="18.75" customHeight="1">
      <c r="A339" s="98" t="s">
        <v>82</v>
      </c>
      <c r="B339" s="155" t="s">
        <v>359</v>
      </c>
      <c r="C339" s="158" t="s">
        <v>384</v>
      </c>
      <c r="E339" s="458"/>
      <c r="F339" s="458"/>
      <c r="G339" s="137">
        <f>536+13</f>
        <v>549</v>
      </c>
      <c r="H339" s="137">
        <f>558+13</f>
        <v>571</v>
      </c>
      <c r="K339" s="137">
        <f>319+8</f>
        <v>327</v>
      </c>
      <c r="M339" s="475"/>
      <c r="N339" s="137">
        <v>2400</v>
      </c>
      <c r="O339" s="137">
        <f t="shared" si="18"/>
        <v>2686</v>
      </c>
      <c r="P339" s="133" t="s">
        <v>295</v>
      </c>
      <c r="Q339" s="284"/>
    </row>
    <row r="340" spans="1:17" s="137" customFormat="1" ht="18.75" customHeight="1">
      <c r="A340" s="98" t="s">
        <v>82</v>
      </c>
      <c r="B340" s="155" t="s">
        <v>360</v>
      </c>
      <c r="C340" s="158" t="s">
        <v>378</v>
      </c>
      <c r="E340" s="458"/>
      <c r="F340" s="458"/>
      <c r="G340" s="137">
        <f>536+13</f>
        <v>549</v>
      </c>
      <c r="H340" s="137">
        <f>306+7</f>
        <v>313</v>
      </c>
      <c r="I340" s="137">
        <f>306+7</f>
        <v>313</v>
      </c>
      <c r="J340" s="137">
        <v>34</v>
      </c>
      <c r="K340" s="137">
        <f>266+6</f>
        <v>272</v>
      </c>
      <c r="M340" s="475"/>
      <c r="N340" s="137">
        <v>2400</v>
      </c>
      <c r="O340" s="137">
        <f t="shared" si="18"/>
        <v>2686</v>
      </c>
      <c r="P340" s="133" t="s">
        <v>295</v>
      </c>
      <c r="Q340" s="284"/>
    </row>
    <row r="341" spans="1:17" s="137" customFormat="1" ht="18.75" customHeight="1">
      <c r="A341" s="98" t="s">
        <v>82</v>
      </c>
      <c r="B341" s="155" t="s">
        <v>361</v>
      </c>
      <c r="C341" s="158" t="s">
        <v>383</v>
      </c>
      <c r="E341" s="458"/>
      <c r="F341" s="458"/>
      <c r="G341" s="137">
        <f>600+14</f>
        <v>614</v>
      </c>
      <c r="L341" s="137">
        <f>838+20</f>
        <v>858</v>
      </c>
      <c r="M341" s="475"/>
      <c r="N341" s="137">
        <v>2400</v>
      </c>
      <c r="O341" s="137">
        <f t="shared" si="18"/>
        <v>2686</v>
      </c>
      <c r="P341" s="133" t="s">
        <v>295</v>
      </c>
      <c r="Q341" s="284"/>
    </row>
    <row r="342" spans="1:17" s="137" customFormat="1" ht="18.75" customHeight="1">
      <c r="A342" s="98" t="s">
        <v>82</v>
      </c>
      <c r="B342" s="155" t="s">
        <v>362</v>
      </c>
      <c r="C342" s="158" t="s">
        <v>370</v>
      </c>
      <c r="E342" s="458"/>
      <c r="F342" s="458"/>
      <c r="G342" s="137">
        <f>537+13</f>
        <v>550</v>
      </c>
      <c r="I342" s="137">
        <f>335+8</f>
        <v>343</v>
      </c>
      <c r="J342" s="137">
        <v>34</v>
      </c>
      <c r="K342" s="137">
        <f>642+15</f>
        <v>657</v>
      </c>
      <c r="M342" s="475"/>
      <c r="N342" s="137">
        <v>2400</v>
      </c>
      <c r="O342" s="137">
        <f t="shared" si="18"/>
        <v>2686</v>
      </c>
      <c r="P342" s="133" t="s">
        <v>295</v>
      </c>
      <c r="Q342" s="284"/>
    </row>
    <row r="343" spans="1:17" s="137" customFormat="1" ht="18" customHeight="1">
      <c r="A343" s="98" t="s">
        <v>82</v>
      </c>
      <c r="B343" s="155" t="s">
        <v>363</v>
      </c>
      <c r="C343" s="158" t="s">
        <v>387</v>
      </c>
      <c r="E343" s="458"/>
      <c r="F343" s="458"/>
      <c r="G343" s="137">
        <f>562+13</f>
        <v>575</v>
      </c>
      <c r="H343" s="137">
        <f>321+8</f>
        <v>329</v>
      </c>
      <c r="I343" s="137">
        <f>321+8</f>
        <v>329</v>
      </c>
      <c r="J343" s="137">
        <f>279+7</f>
        <v>286</v>
      </c>
      <c r="K343" s="137">
        <v>34</v>
      </c>
      <c r="M343" s="475"/>
      <c r="N343" s="137">
        <v>2400</v>
      </c>
      <c r="O343" s="137">
        <f t="shared" si="18"/>
        <v>2686</v>
      </c>
      <c r="P343" s="133" t="s">
        <v>295</v>
      </c>
      <c r="Q343" s="284"/>
    </row>
    <row r="344" spans="1:17" s="458" customFormat="1" ht="18.75" customHeight="1">
      <c r="A344" s="180" t="s">
        <v>82</v>
      </c>
      <c r="B344" s="93" t="s">
        <v>928</v>
      </c>
      <c r="C344" s="284" t="s">
        <v>677</v>
      </c>
      <c r="D344" s="458">
        <f>133+18+10</f>
        <v>161</v>
      </c>
      <c r="G344" s="458">
        <f>241+18</f>
        <v>259</v>
      </c>
      <c r="I344" s="458">
        <f>565+42</f>
        <v>607</v>
      </c>
      <c r="K344" s="458">
        <f>269+20</f>
        <v>289</v>
      </c>
      <c r="M344" s="475"/>
      <c r="N344" s="458">
        <v>2430</v>
      </c>
      <c r="O344" s="458">
        <f>2624+197+32</f>
        <v>2853</v>
      </c>
      <c r="P344" s="315" t="s">
        <v>686</v>
      </c>
      <c r="Q344" s="284"/>
    </row>
    <row r="345" spans="1:17" s="458" customFormat="1" ht="18.75" customHeight="1">
      <c r="A345" s="180" t="s">
        <v>82</v>
      </c>
      <c r="B345" s="193" t="s">
        <v>929</v>
      </c>
      <c r="C345" s="284" t="s">
        <v>930</v>
      </c>
      <c r="G345" s="458">
        <f>600+14</f>
        <v>614</v>
      </c>
      <c r="H345" s="458">
        <v>34</v>
      </c>
      <c r="L345" s="458">
        <f>838+20</f>
        <v>858</v>
      </c>
      <c r="M345" s="475"/>
      <c r="N345" s="458">
        <v>2520</v>
      </c>
      <c r="O345" s="458">
        <f>2721+65+32</f>
        <v>2818</v>
      </c>
      <c r="P345" s="133" t="s">
        <v>295</v>
      </c>
      <c r="Q345" s="284"/>
    </row>
    <row r="346" spans="1:17" s="458" customFormat="1" ht="18.75" customHeight="1">
      <c r="A346" s="180" t="s">
        <v>82</v>
      </c>
      <c r="B346" s="193" t="s">
        <v>931</v>
      </c>
      <c r="C346" s="284" t="s">
        <v>932</v>
      </c>
      <c r="G346" s="458">
        <f>537+13</f>
        <v>550</v>
      </c>
      <c r="I346" s="458">
        <f>335+8</f>
        <v>343</v>
      </c>
      <c r="J346" s="458">
        <v>14</v>
      </c>
      <c r="K346" s="458">
        <f>642+15</f>
        <v>657</v>
      </c>
      <c r="M346" s="475"/>
      <c r="N346" s="458">
        <v>2520</v>
      </c>
      <c r="O346" s="458">
        <f>2721+65+32</f>
        <v>2818</v>
      </c>
      <c r="P346" s="133" t="s">
        <v>295</v>
      </c>
      <c r="Q346" s="284"/>
    </row>
    <row r="347" spans="1:17" s="458" customFormat="1" ht="18.75" customHeight="1">
      <c r="A347" s="180" t="s">
        <v>82</v>
      </c>
      <c r="B347" s="193" t="s">
        <v>933</v>
      </c>
      <c r="C347" s="284" t="s">
        <v>934</v>
      </c>
      <c r="G347" s="458">
        <f>562+13</f>
        <v>575</v>
      </c>
      <c r="H347" s="458">
        <f>321+8</f>
        <v>329</v>
      </c>
      <c r="I347" s="458">
        <f>321+8</f>
        <v>329</v>
      </c>
      <c r="J347" s="458">
        <f>279+7</f>
        <v>286</v>
      </c>
      <c r="K347" s="458">
        <v>34</v>
      </c>
      <c r="M347" s="475"/>
      <c r="N347" s="458">
        <v>2520</v>
      </c>
      <c r="O347" s="458">
        <f>2721+65+32</f>
        <v>2818</v>
      </c>
      <c r="P347" s="133" t="s">
        <v>295</v>
      </c>
      <c r="Q347" s="284"/>
    </row>
    <row r="348" spans="1:17" s="458" customFormat="1" ht="18.75" customHeight="1">
      <c r="A348" s="180" t="s">
        <v>82</v>
      </c>
      <c r="B348" s="93" t="s">
        <v>936</v>
      </c>
      <c r="C348" s="284" t="s">
        <v>673</v>
      </c>
      <c r="D348" s="458">
        <f>140+10</f>
        <v>150</v>
      </c>
      <c r="G348" s="458">
        <f>254+19</f>
        <v>273</v>
      </c>
      <c r="I348" s="458">
        <f>596+45+34</f>
        <v>675</v>
      </c>
      <c r="L348" s="458">
        <f>284+21</f>
        <v>305</v>
      </c>
      <c r="M348" s="475"/>
      <c r="N348" s="458">
        <v>2560</v>
      </c>
      <c r="O348" s="458">
        <f>2764+207+32</f>
        <v>3003</v>
      </c>
      <c r="P348" s="284" t="s">
        <v>1120</v>
      </c>
      <c r="Q348" s="284"/>
    </row>
    <row r="349" spans="1:17" s="137" customFormat="1" ht="18.75" customHeight="1">
      <c r="A349" s="98" t="s">
        <v>82</v>
      </c>
      <c r="B349" s="139" t="s">
        <v>752</v>
      </c>
      <c r="C349" s="141" t="s">
        <v>136</v>
      </c>
      <c r="D349" s="458">
        <f>142+11</f>
        <v>153</v>
      </c>
      <c r="E349" s="458"/>
      <c r="F349" s="458"/>
      <c r="G349" s="137">
        <f>258+19</f>
        <v>277</v>
      </c>
      <c r="I349" s="137">
        <f>605+45+34</f>
        <v>684</v>
      </c>
      <c r="L349" s="137">
        <f>288+22</f>
        <v>310</v>
      </c>
      <c r="M349" s="475"/>
      <c r="N349" s="137">
        <f>2600</f>
        <v>2600</v>
      </c>
      <c r="O349" s="137">
        <f>2808+211+32</f>
        <v>3051</v>
      </c>
      <c r="P349" s="141" t="s">
        <v>436</v>
      </c>
      <c r="Q349" s="284"/>
    </row>
    <row r="350" spans="1:17" s="137" customFormat="1" ht="18.75" customHeight="1">
      <c r="A350" s="98" t="s">
        <v>82</v>
      </c>
      <c r="B350" s="93" t="s">
        <v>937</v>
      </c>
      <c r="C350" s="158" t="s">
        <v>134</v>
      </c>
      <c r="D350" s="137">
        <f>142+11+10</f>
        <v>163</v>
      </c>
      <c r="E350" s="458"/>
      <c r="F350" s="458"/>
      <c r="G350" s="137">
        <f>258+19</f>
        <v>277</v>
      </c>
      <c r="H350" s="137">
        <f>605+45</f>
        <v>650</v>
      </c>
      <c r="K350" s="137">
        <f>288+22</f>
        <v>310</v>
      </c>
      <c r="M350" s="475"/>
      <c r="N350" s="137">
        <f>2600</f>
        <v>2600</v>
      </c>
      <c r="O350" s="137">
        <f>2808+211+32</f>
        <v>3051</v>
      </c>
      <c r="P350" s="140" t="s">
        <v>437</v>
      </c>
      <c r="Q350" s="284"/>
    </row>
    <row r="351" spans="1:17" s="137" customFormat="1" ht="18.75" customHeight="1">
      <c r="A351" s="98" t="s">
        <v>82</v>
      </c>
      <c r="B351" s="139" t="s">
        <v>766</v>
      </c>
      <c r="C351" s="141" t="s">
        <v>135</v>
      </c>
      <c r="D351" s="137">
        <f>142+11+10</f>
        <v>163</v>
      </c>
      <c r="E351" s="458"/>
      <c r="F351" s="458"/>
      <c r="G351" s="137">
        <f>258+19</f>
        <v>277</v>
      </c>
      <c r="I351" s="137">
        <f>605+45</f>
        <v>650</v>
      </c>
      <c r="K351" s="137">
        <f>288+22</f>
        <v>310</v>
      </c>
      <c r="M351" s="475"/>
      <c r="N351" s="137">
        <f>2600</f>
        <v>2600</v>
      </c>
      <c r="O351" s="137">
        <f>2808+211+32</f>
        <v>3051</v>
      </c>
      <c r="P351" s="140" t="s">
        <v>1035</v>
      </c>
      <c r="Q351" s="284"/>
    </row>
    <row r="352" spans="1:17" s="458" customFormat="1" ht="18.75" customHeight="1">
      <c r="A352" s="180" t="s">
        <v>82</v>
      </c>
      <c r="B352" s="93" t="s">
        <v>938</v>
      </c>
      <c r="C352" s="284" t="s">
        <v>677</v>
      </c>
      <c r="D352" s="458">
        <f>142+11+10</f>
        <v>163</v>
      </c>
      <c r="G352" s="458">
        <f>258+19</f>
        <v>277</v>
      </c>
      <c r="I352" s="458">
        <f>605+45</f>
        <v>650</v>
      </c>
      <c r="K352" s="458">
        <f>288+22</f>
        <v>310</v>
      </c>
      <c r="M352" s="475"/>
      <c r="N352" s="458">
        <f>2600</f>
        <v>2600</v>
      </c>
      <c r="O352" s="458">
        <f>2808+211+32</f>
        <v>3051</v>
      </c>
      <c r="P352" s="184" t="s">
        <v>1074</v>
      </c>
      <c r="Q352" s="284"/>
    </row>
    <row r="353" spans="1:17" s="475" customFormat="1" ht="18.75" customHeight="1">
      <c r="A353" s="180" t="s">
        <v>82</v>
      </c>
      <c r="B353" s="93" t="s">
        <v>1160</v>
      </c>
      <c r="C353" s="284" t="s">
        <v>1158</v>
      </c>
      <c r="D353" s="475">
        <f>142+11+10</f>
        <v>163</v>
      </c>
      <c r="G353" s="475">
        <f>258+19</f>
        <v>277</v>
      </c>
      <c r="K353" s="475">
        <f>288+22</f>
        <v>310</v>
      </c>
      <c r="M353" s="475">
        <f>605+45</f>
        <v>650</v>
      </c>
      <c r="N353" s="475">
        <f>2600</f>
        <v>2600</v>
      </c>
      <c r="O353" s="475">
        <f>2808+211+32</f>
        <v>3051</v>
      </c>
      <c r="P353" s="184" t="s">
        <v>1161</v>
      </c>
      <c r="Q353" s="284"/>
    </row>
    <row r="354" spans="1:17" s="458" customFormat="1" ht="18.75" customHeight="1">
      <c r="A354" s="180" t="s">
        <v>82</v>
      </c>
      <c r="B354" s="193" t="s">
        <v>939</v>
      </c>
      <c r="C354" s="284" t="s">
        <v>850</v>
      </c>
      <c r="G354" s="458">
        <f>636+15</f>
        <v>651</v>
      </c>
      <c r="H354" s="458">
        <f>887+21</f>
        <v>908</v>
      </c>
      <c r="K354" s="458">
        <v>34</v>
      </c>
      <c r="M354" s="475"/>
      <c r="N354" s="458">
        <f>2670</f>
        <v>2670</v>
      </c>
      <c r="O354" s="458">
        <f>2883+69+32</f>
        <v>2984</v>
      </c>
      <c r="P354" s="133" t="s">
        <v>295</v>
      </c>
      <c r="Q354" s="284"/>
    </row>
    <row r="355" spans="1:17" s="458" customFormat="1" ht="18.75" customHeight="1">
      <c r="A355" s="180" t="s">
        <v>82</v>
      </c>
      <c r="B355" s="193" t="s">
        <v>974</v>
      </c>
      <c r="C355" s="284" t="s">
        <v>976</v>
      </c>
      <c r="G355" s="458">
        <f>569+14</f>
        <v>583</v>
      </c>
      <c r="H355" s="458">
        <v>34</v>
      </c>
      <c r="I355" s="458">
        <f>592+14</f>
        <v>606</v>
      </c>
      <c r="J355" s="458">
        <f>444+11</f>
        <v>455</v>
      </c>
      <c r="M355" s="475"/>
      <c r="N355" s="458">
        <f>2670</f>
        <v>2670</v>
      </c>
      <c r="O355" s="458">
        <f>2883+69+32</f>
        <v>2984</v>
      </c>
      <c r="P355" s="133" t="s">
        <v>295</v>
      </c>
      <c r="Q355" s="284"/>
    </row>
    <row r="356" spans="1:17" s="458" customFormat="1" ht="18.75" customHeight="1">
      <c r="A356" s="180" t="s">
        <v>82</v>
      </c>
      <c r="B356" s="193" t="s">
        <v>975</v>
      </c>
      <c r="C356" s="284" t="s">
        <v>914</v>
      </c>
      <c r="G356" s="458">
        <f>569+14</f>
        <v>583</v>
      </c>
      <c r="H356" s="458">
        <v>34</v>
      </c>
      <c r="I356" s="458">
        <f>444+11</f>
        <v>455</v>
      </c>
      <c r="J356" s="458">
        <f>296+7</f>
        <v>303</v>
      </c>
      <c r="K356" s="458">
        <f>296+7</f>
        <v>303</v>
      </c>
      <c r="M356" s="475"/>
      <c r="N356" s="458">
        <f>2670</f>
        <v>2670</v>
      </c>
      <c r="O356" s="458">
        <f>2883+69+32</f>
        <v>2984</v>
      </c>
      <c r="P356" s="133" t="s">
        <v>295</v>
      </c>
      <c r="Q356" s="284"/>
    </row>
    <row r="357" spans="1:17" s="458" customFormat="1" ht="18.75" customHeight="1">
      <c r="A357" s="180" t="s">
        <v>82</v>
      </c>
      <c r="B357" s="193" t="s">
        <v>940</v>
      </c>
      <c r="C357" s="284" t="s">
        <v>802</v>
      </c>
      <c r="G357" s="458">
        <f>671+16</f>
        <v>687</v>
      </c>
      <c r="I357" s="458">
        <f>937+22</f>
        <v>959</v>
      </c>
      <c r="J357" s="458">
        <v>34</v>
      </c>
      <c r="M357" s="475"/>
      <c r="N357" s="458">
        <v>2820</v>
      </c>
      <c r="O357" s="458">
        <f>3045+73+62</f>
        <v>3180</v>
      </c>
      <c r="P357" s="133" t="s">
        <v>295</v>
      </c>
      <c r="Q357" s="284"/>
    </row>
    <row r="358" spans="1:17" s="458" customFormat="1" ht="18.75" customHeight="1">
      <c r="A358" s="180" t="s">
        <v>82</v>
      </c>
      <c r="B358" s="193" t="s">
        <v>941</v>
      </c>
      <c r="C358" s="284" t="s">
        <v>804</v>
      </c>
      <c r="G358" s="458">
        <f>629+15</f>
        <v>644</v>
      </c>
      <c r="H358" s="458">
        <f>656+16</f>
        <v>672</v>
      </c>
      <c r="I358" s="458">
        <v>34</v>
      </c>
      <c r="K358" s="458">
        <f>375+9</f>
        <v>384</v>
      </c>
      <c r="M358" s="475"/>
      <c r="N358" s="458">
        <v>2820</v>
      </c>
      <c r="O358" s="458">
        <f>3045+73+62</f>
        <v>3180</v>
      </c>
      <c r="P358" s="133" t="s">
        <v>295</v>
      </c>
      <c r="Q358" s="284"/>
    </row>
    <row r="359" spans="1:17" s="458" customFormat="1" ht="18.75" customHeight="1">
      <c r="A359" s="180" t="s">
        <v>82</v>
      </c>
      <c r="B359" s="193" t="s">
        <v>942</v>
      </c>
      <c r="C359" s="284" t="s">
        <v>934</v>
      </c>
      <c r="G359" s="458">
        <f>629+15</f>
        <v>644</v>
      </c>
      <c r="H359" s="458">
        <f>359+9</f>
        <v>368</v>
      </c>
      <c r="I359" s="458">
        <f>359+9</f>
        <v>368</v>
      </c>
      <c r="J359" s="458">
        <v>34</v>
      </c>
      <c r="K359" s="458">
        <f>312+7</f>
        <v>319</v>
      </c>
      <c r="M359" s="475"/>
      <c r="N359" s="458">
        <v>2820</v>
      </c>
      <c r="O359" s="458">
        <f>3045+73+62</f>
        <v>3180</v>
      </c>
      <c r="P359" s="133" t="s">
        <v>295</v>
      </c>
      <c r="Q359" s="284"/>
    </row>
    <row r="360" spans="1:17" s="458" customFormat="1" ht="18.75" customHeight="1">
      <c r="A360" s="180" t="s">
        <v>82</v>
      </c>
      <c r="B360" s="93" t="s">
        <v>935</v>
      </c>
      <c r="C360" s="284" t="s">
        <v>673</v>
      </c>
      <c r="D360" s="458">
        <f>158+12</f>
        <v>170</v>
      </c>
      <c r="G360" s="458">
        <f>288+22</f>
        <v>310</v>
      </c>
      <c r="I360" s="458">
        <f>675+51+34</f>
        <v>760</v>
      </c>
      <c r="L360" s="458">
        <f>321+24</f>
        <v>345</v>
      </c>
      <c r="M360" s="475"/>
      <c r="N360" s="458">
        <v>2900</v>
      </c>
      <c r="O360" s="458">
        <f>3132+235+32</f>
        <v>3399</v>
      </c>
      <c r="P360" s="315" t="s">
        <v>1075</v>
      </c>
      <c r="Q360" s="284"/>
    </row>
    <row r="361" spans="1:17" s="458" customFormat="1" ht="18.75" customHeight="1">
      <c r="A361" s="180" t="s">
        <v>82</v>
      </c>
      <c r="B361" s="93" t="s">
        <v>943</v>
      </c>
      <c r="C361" s="284" t="s">
        <v>670</v>
      </c>
      <c r="D361" s="458">
        <f>158+12+10</f>
        <v>180</v>
      </c>
      <c r="G361" s="458">
        <f>288+22</f>
        <v>310</v>
      </c>
      <c r="H361" s="458">
        <f>675+51</f>
        <v>726</v>
      </c>
      <c r="K361" s="458">
        <f>321+24</f>
        <v>345</v>
      </c>
      <c r="M361" s="475"/>
      <c r="N361" s="458">
        <v>2900</v>
      </c>
      <c r="O361" s="458">
        <f>3132+235+32</f>
        <v>3399</v>
      </c>
      <c r="P361" s="315" t="s">
        <v>1076</v>
      </c>
      <c r="Q361" s="284"/>
    </row>
    <row r="362" spans="1:17" s="458" customFormat="1" ht="18.75" customHeight="1">
      <c r="A362" s="180" t="s">
        <v>82</v>
      </c>
      <c r="B362" s="93" t="s">
        <v>944</v>
      </c>
      <c r="C362" s="284" t="s">
        <v>677</v>
      </c>
      <c r="D362" s="458">
        <f>158+12+10</f>
        <v>180</v>
      </c>
      <c r="G362" s="458">
        <f>288+22</f>
        <v>310</v>
      </c>
      <c r="I362" s="458">
        <f>675+51</f>
        <v>726</v>
      </c>
      <c r="K362" s="458">
        <f>321+24</f>
        <v>345</v>
      </c>
      <c r="M362" s="475"/>
      <c r="N362" s="458">
        <v>2900</v>
      </c>
      <c r="O362" s="458">
        <f>3132+235+32</f>
        <v>3399</v>
      </c>
      <c r="P362" s="184" t="s">
        <v>455</v>
      </c>
      <c r="Q362" s="284"/>
    </row>
    <row r="363" spans="1:17" s="475" customFormat="1" ht="18.75" customHeight="1">
      <c r="A363" s="180" t="s">
        <v>82</v>
      </c>
      <c r="B363" s="93" t="s">
        <v>1162</v>
      </c>
      <c r="C363" s="284" t="s">
        <v>1158</v>
      </c>
      <c r="D363" s="475">
        <f>158+12+10</f>
        <v>180</v>
      </c>
      <c r="G363" s="475">
        <f>288+22</f>
        <v>310</v>
      </c>
      <c r="K363" s="475">
        <f>321+24</f>
        <v>345</v>
      </c>
      <c r="M363" s="475">
        <f>675+51</f>
        <v>726</v>
      </c>
      <c r="N363" s="475">
        <v>2900</v>
      </c>
      <c r="O363" s="475">
        <f>3132+235+32</f>
        <v>3399</v>
      </c>
      <c r="P363" s="184" t="s">
        <v>1163</v>
      </c>
      <c r="Q363" s="284"/>
    </row>
    <row r="364" spans="1:17" s="20" customFormat="1" ht="19.5" customHeight="1">
      <c r="A364" s="52" t="s">
        <v>84</v>
      </c>
      <c r="B364" s="93" t="s">
        <v>947</v>
      </c>
      <c r="C364" s="141" t="s">
        <v>293</v>
      </c>
      <c r="D364" s="20">
        <f>251+19+10</f>
        <v>280</v>
      </c>
      <c r="E364" s="458">
        <v>534</v>
      </c>
      <c r="F364" s="458">
        <v>890</v>
      </c>
      <c r="G364" s="20">
        <f>792+59+15</f>
        <v>866</v>
      </c>
      <c r="H364" s="20">
        <f>977+73+34</f>
        <v>1084</v>
      </c>
      <c r="L364" s="20">
        <f>510+38</f>
        <v>548</v>
      </c>
      <c r="M364" s="475"/>
      <c r="N364" s="137">
        <v>2300</v>
      </c>
      <c r="O364" s="131">
        <f>4968</f>
        <v>4968</v>
      </c>
      <c r="P364" s="33" t="s">
        <v>505</v>
      </c>
      <c r="Q364" s="284"/>
    </row>
    <row r="365" spans="1:17" s="458" customFormat="1" ht="19.5" customHeight="1">
      <c r="A365" s="180" t="s">
        <v>968</v>
      </c>
      <c r="B365" s="93" t="s">
        <v>969</v>
      </c>
      <c r="C365" s="284" t="s">
        <v>670</v>
      </c>
      <c r="D365" s="458">
        <f>251+19+10</f>
        <v>280</v>
      </c>
      <c r="E365" s="458">
        <v>534</v>
      </c>
      <c r="F365" s="458">
        <v>890</v>
      </c>
      <c r="G365" s="458">
        <f>868+80+15</f>
        <v>963</v>
      </c>
      <c r="H365" s="458">
        <f>1070+80+34</f>
        <v>1184</v>
      </c>
      <c r="K365" s="458">
        <f>510+38</f>
        <v>548</v>
      </c>
      <c r="M365" s="475"/>
      <c r="N365" s="458">
        <v>2300</v>
      </c>
      <c r="O365" s="458">
        <f>4968</f>
        <v>4968</v>
      </c>
      <c r="P365" s="93" t="s">
        <v>499</v>
      </c>
      <c r="Q365" s="284"/>
    </row>
    <row r="366" spans="1:17" s="458" customFormat="1" ht="19.5" customHeight="1">
      <c r="A366" s="180" t="s">
        <v>84</v>
      </c>
      <c r="B366" s="93" t="s">
        <v>948</v>
      </c>
      <c r="C366" s="284" t="s">
        <v>293</v>
      </c>
      <c r="D366" s="458">
        <f>251+19+10</f>
        <v>280</v>
      </c>
      <c r="E366" s="458">
        <v>534</v>
      </c>
      <c r="F366" s="458">
        <v>890</v>
      </c>
      <c r="G366" s="458">
        <f>792+59+15</f>
        <v>866</v>
      </c>
      <c r="H366" s="458">
        <f>977+73+34</f>
        <v>1084</v>
      </c>
      <c r="L366" s="458">
        <f>510+38</f>
        <v>548</v>
      </c>
      <c r="M366" s="475"/>
      <c r="N366" s="458">
        <v>2300</v>
      </c>
      <c r="O366" s="458">
        <f>4968</f>
        <v>4968</v>
      </c>
      <c r="P366" s="93" t="s">
        <v>499</v>
      </c>
      <c r="Q366" s="284"/>
    </row>
    <row r="367" spans="1:17" s="458" customFormat="1" ht="19.5" customHeight="1">
      <c r="A367" s="180" t="s">
        <v>84</v>
      </c>
      <c r="B367" s="93" t="s">
        <v>946</v>
      </c>
      <c r="C367" s="284" t="s">
        <v>677</v>
      </c>
      <c r="D367" s="458">
        <f>251+19+10</f>
        <v>280</v>
      </c>
      <c r="E367" s="458">
        <v>534</v>
      </c>
      <c r="F367" s="458">
        <v>890</v>
      </c>
      <c r="G367" s="458">
        <f>868+65+15</f>
        <v>948</v>
      </c>
      <c r="H367" s="458">
        <v>34</v>
      </c>
      <c r="K367" s="458">
        <f>510+38</f>
        <v>548</v>
      </c>
      <c r="M367" s="475"/>
      <c r="N367" s="458">
        <v>2300</v>
      </c>
      <c r="O367" s="458">
        <f>4968+373+96</f>
        <v>5437</v>
      </c>
      <c r="P367" s="165" t="s">
        <v>458</v>
      </c>
      <c r="Q367" s="284"/>
    </row>
    <row r="368" spans="1:17" s="137" customFormat="1" ht="18.75" customHeight="1">
      <c r="A368" s="98" t="s">
        <v>84</v>
      </c>
      <c r="B368" s="93" t="s">
        <v>945</v>
      </c>
      <c r="C368" s="141" t="s">
        <v>135</v>
      </c>
      <c r="D368" s="137">
        <f>251+19+10</f>
        <v>280</v>
      </c>
      <c r="E368" s="458">
        <v>534</v>
      </c>
      <c r="F368" s="458">
        <v>890</v>
      </c>
      <c r="G368" s="137">
        <f>868+25+15</f>
        <v>908</v>
      </c>
      <c r="H368" s="137">
        <v>34</v>
      </c>
      <c r="I368" s="137">
        <f>1070+80</f>
        <v>1150</v>
      </c>
      <c r="K368" s="137">
        <f>510+38</f>
        <v>548</v>
      </c>
      <c r="M368" s="475"/>
      <c r="N368" s="137">
        <v>2300</v>
      </c>
      <c r="O368" s="137">
        <f>4968+373+96</f>
        <v>5437</v>
      </c>
      <c r="P368" s="93" t="s">
        <v>499</v>
      </c>
      <c r="Q368" s="284"/>
    </row>
    <row r="369" spans="1:17" ht="18.75" customHeight="1">
      <c r="A369" s="52" t="s">
        <v>84</v>
      </c>
      <c r="B369" s="93" t="s">
        <v>949</v>
      </c>
      <c r="C369" s="141" t="s">
        <v>134</v>
      </c>
      <c r="D369" s="17">
        <f>255+19+10</f>
        <v>284</v>
      </c>
      <c r="E369" s="458">
        <v>541</v>
      </c>
      <c r="F369" s="458">
        <v>902</v>
      </c>
      <c r="G369" s="17">
        <f>879+66+15</f>
        <v>960</v>
      </c>
      <c r="H369" s="17">
        <f>1084+81+34</f>
        <v>1199</v>
      </c>
      <c r="K369" s="17">
        <f>516+39</f>
        <v>555</v>
      </c>
      <c r="N369" s="17">
        <v>2330</v>
      </c>
      <c r="O369" s="137">
        <f>5032+377+96</f>
        <v>5505</v>
      </c>
      <c r="P369" s="184" t="s">
        <v>1077</v>
      </c>
    </row>
    <row r="370" spans="1:17" s="137" customFormat="1" ht="18.75" customHeight="1">
      <c r="A370" s="98" t="s">
        <v>84</v>
      </c>
      <c r="B370" s="93" t="s">
        <v>951</v>
      </c>
      <c r="C370" s="141" t="s">
        <v>136</v>
      </c>
      <c r="D370" s="137">
        <f>255+19+10</f>
        <v>284</v>
      </c>
      <c r="E370" s="458">
        <v>541</v>
      </c>
      <c r="F370" s="458">
        <v>902</v>
      </c>
      <c r="G370" s="137">
        <f>879+66</f>
        <v>945</v>
      </c>
      <c r="I370" s="137">
        <f>1084+81+34</f>
        <v>1199</v>
      </c>
      <c r="J370" s="137">
        <v>34</v>
      </c>
      <c r="L370" s="137">
        <f>516+39</f>
        <v>555</v>
      </c>
      <c r="M370" s="475"/>
      <c r="N370" s="137">
        <v>2330</v>
      </c>
      <c r="O370" s="137">
        <f>5032+377+96</f>
        <v>5505</v>
      </c>
      <c r="P370" s="158" t="s">
        <v>464</v>
      </c>
      <c r="Q370" s="284"/>
    </row>
    <row r="371" spans="1:17" ht="18.75" customHeight="1">
      <c r="A371" s="52" t="s">
        <v>84</v>
      </c>
      <c r="B371" s="162" t="s">
        <v>950</v>
      </c>
      <c r="C371" s="158" t="s">
        <v>1390</v>
      </c>
      <c r="D371" s="17">
        <f>255+10+10</f>
        <v>275</v>
      </c>
      <c r="E371" s="458">
        <v>541</v>
      </c>
      <c r="F371" s="458">
        <v>902</v>
      </c>
      <c r="G371" s="17">
        <f>879+33</f>
        <v>912</v>
      </c>
      <c r="I371" s="17">
        <f>1084+41+34</f>
        <v>1159</v>
      </c>
      <c r="J371" s="17">
        <v>34</v>
      </c>
      <c r="L371" s="17">
        <f>516+20</f>
        <v>536</v>
      </c>
      <c r="N371" s="17">
        <v>2330</v>
      </c>
      <c r="O371" s="131">
        <f>5032+377+96</f>
        <v>5505</v>
      </c>
      <c r="P371" s="158" t="s">
        <v>456</v>
      </c>
      <c r="Q371" s="284" t="s">
        <v>1360</v>
      </c>
    </row>
    <row r="372" spans="1:17" ht="18.75" customHeight="1">
      <c r="A372" s="52" t="s">
        <v>84</v>
      </c>
      <c r="B372" s="163" t="s">
        <v>952</v>
      </c>
      <c r="C372" s="284" t="s">
        <v>396</v>
      </c>
      <c r="D372" s="17">
        <f>258+19</f>
        <v>277</v>
      </c>
      <c r="E372" s="458">
        <v>548</v>
      </c>
      <c r="F372" s="458">
        <v>913</v>
      </c>
      <c r="G372" s="17">
        <f>890+67+15</f>
        <v>972</v>
      </c>
      <c r="H372" s="17">
        <v>34</v>
      </c>
      <c r="I372" s="17">
        <f>1098+82</f>
        <v>1180</v>
      </c>
      <c r="K372" s="17">
        <f>523+39</f>
        <v>562</v>
      </c>
      <c r="N372" s="17">
        <v>2360</v>
      </c>
      <c r="O372" s="131">
        <f>5097+382+96</f>
        <v>5575</v>
      </c>
      <c r="P372" s="139" t="s">
        <v>300</v>
      </c>
    </row>
    <row r="373" spans="1:17" s="557" customFormat="1" ht="18.75" customHeight="1">
      <c r="A373" s="180" t="s">
        <v>84</v>
      </c>
      <c r="B373" s="540" t="s">
        <v>1425</v>
      </c>
      <c r="C373" s="284" t="s">
        <v>1397</v>
      </c>
      <c r="D373" s="557">
        <f>258+32+10</f>
        <v>300</v>
      </c>
      <c r="E373" s="557">
        <f>451</f>
        <v>451</v>
      </c>
      <c r="F373" s="557">
        <f>752</f>
        <v>752</v>
      </c>
      <c r="G373" s="557">
        <f>844+105+15</f>
        <v>964</v>
      </c>
      <c r="H373" s="557">
        <f>602+75+34</f>
        <v>711</v>
      </c>
      <c r="I373" s="557">
        <f>602+75</f>
        <v>677</v>
      </c>
      <c r="K373" s="557">
        <f>314+39</f>
        <v>353</v>
      </c>
      <c r="M373" s="557">
        <f>209+26</f>
        <v>235</v>
      </c>
      <c r="N373" s="557">
        <v>1700</v>
      </c>
      <c r="O373" s="557">
        <f>5100+632+96</f>
        <v>5828</v>
      </c>
      <c r="P373" s="93" t="s">
        <v>1427</v>
      </c>
      <c r="Q373" s="284"/>
    </row>
    <row r="374" spans="1:17" s="539" customFormat="1" ht="18.75" customHeight="1">
      <c r="A374" s="180" t="s">
        <v>84</v>
      </c>
      <c r="B374" s="540" t="s">
        <v>1349</v>
      </c>
      <c r="C374" s="284" t="s">
        <v>1344</v>
      </c>
      <c r="D374" s="539">
        <f>296+37+10</f>
        <v>343</v>
      </c>
      <c r="E374" s="539">
        <f>517</f>
        <v>517</v>
      </c>
      <c r="F374" s="539">
        <f>862</f>
        <v>862</v>
      </c>
      <c r="G374" s="539">
        <f>968+120+15</f>
        <v>1103</v>
      </c>
      <c r="H374" s="539">
        <f>690+86+34</f>
        <v>810</v>
      </c>
      <c r="I374" s="539">
        <f>690+86</f>
        <v>776</v>
      </c>
      <c r="K374" s="539">
        <f>360+45</f>
        <v>405</v>
      </c>
      <c r="M374" s="539">
        <f>240+30</f>
        <v>270</v>
      </c>
      <c r="N374" s="539">
        <v>1950</v>
      </c>
      <c r="O374" s="539">
        <f>5850+725+96</f>
        <v>6671</v>
      </c>
      <c r="P374" s="93" t="s">
        <v>1432</v>
      </c>
      <c r="Q374" s="284" t="s">
        <v>1368</v>
      </c>
    </row>
    <row r="375" spans="1:17" s="458" customFormat="1" ht="18.75" customHeight="1">
      <c r="A375" s="180" t="s">
        <v>84</v>
      </c>
      <c r="B375" s="93" t="s">
        <v>953</v>
      </c>
      <c r="C375" s="284" t="s">
        <v>673</v>
      </c>
      <c r="D375" s="458">
        <f>266+20+10</f>
        <v>296</v>
      </c>
      <c r="E375" s="458">
        <v>564</v>
      </c>
      <c r="F375" s="458">
        <v>940</v>
      </c>
      <c r="G375" s="458">
        <f>917+69</f>
        <v>986</v>
      </c>
      <c r="I375" s="458">
        <f>1131+85+34</f>
        <v>1250</v>
      </c>
      <c r="J375" s="458">
        <v>34</v>
      </c>
      <c r="L375" s="458">
        <f>538+40</f>
        <v>578</v>
      </c>
      <c r="M375" s="475"/>
      <c r="N375" s="458">
        <v>2430</v>
      </c>
      <c r="O375" s="458">
        <f>5248+394+96</f>
        <v>5738</v>
      </c>
      <c r="P375" s="93" t="s">
        <v>686</v>
      </c>
      <c r="Q375" s="284"/>
    </row>
    <row r="376" spans="1:17" s="501" customFormat="1" ht="18.75" customHeight="1">
      <c r="A376" s="180" t="s">
        <v>84</v>
      </c>
      <c r="B376" s="93" t="s">
        <v>1282</v>
      </c>
      <c r="C376" s="284" t="s">
        <v>1283</v>
      </c>
      <c r="D376" s="501">
        <f>266+20+10</f>
        <v>296</v>
      </c>
      <c r="E376" s="501">
        <v>564</v>
      </c>
      <c r="F376" s="501">
        <v>940</v>
      </c>
      <c r="G376" s="501">
        <f>917+69+15</f>
        <v>1001</v>
      </c>
      <c r="H376" s="501">
        <f>1131+85+34</f>
        <v>1250</v>
      </c>
      <c r="L376" s="501">
        <f>538+40</f>
        <v>578</v>
      </c>
      <c r="N376" s="501">
        <v>2430</v>
      </c>
      <c r="O376" s="501">
        <f>5248+394+96</f>
        <v>5738</v>
      </c>
      <c r="P376" s="93" t="s">
        <v>1284</v>
      </c>
      <c r="Q376" s="284"/>
    </row>
    <row r="377" spans="1:17" s="458" customFormat="1" ht="18.75" customHeight="1">
      <c r="A377" s="180" t="s">
        <v>84</v>
      </c>
      <c r="B377" s="93" t="s">
        <v>957</v>
      </c>
      <c r="C377" s="284" t="s">
        <v>677</v>
      </c>
      <c r="D377" s="458">
        <f>280+21+10</f>
        <v>311</v>
      </c>
      <c r="E377" s="458">
        <v>595</v>
      </c>
      <c r="F377" s="458">
        <v>991</v>
      </c>
      <c r="G377" s="458">
        <f>966+72+15</f>
        <v>1053</v>
      </c>
      <c r="H377" s="458">
        <v>34</v>
      </c>
      <c r="K377" s="458">
        <f>567+43</f>
        <v>610</v>
      </c>
      <c r="M377" s="475"/>
      <c r="N377" s="458">
        <v>2560</v>
      </c>
      <c r="O377" s="458">
        <f>5529+415+96</f>
        <v>6040</v>
      </c>
      <c r="P377" s="165" t="s">
        <v>458</v>
      </c>
      <c r="Q377" s="284"/>
    </row>
    <row r="378" spans="1:17" s="458" customFormat="1" ht="18.75" customHeight="1">
      <c r="A378" s="180" t="s">
        <v>84</v>
      </c>
      <c r="B378" s="93" t="s">
        <v>954</v>
      </c>
      <c r="C378" s="284" t="s">
        <v>293</v>
      </c>
      <c r="D378" s="458">
        <f>280+21+10</f>
        <v>311</v>
      </c>
      <c r="E378" s="458">
        <v>595</v>
      </c>
      <c r="F378" s="458">
        <v>991</v>
      </c>
      <c r="G378" s="458">
        <f>966+72+15</f>
        <v>1053</v>
      </c>
      <c r="H378" s="458">
        <f>1191+89+34</f>
        <v>1314</v>
      </c>
      <c r="L378" s="458">
        <f>567+43</f>
        <v>610</v>
      </c>
      <c r="M378" s="475"/>
      <c r="N378" s="458">
        <v>2560</v>
      </c>
      <c r="O378" s="458">
        <f>5529+415+96</f>
        <v>6040</v>
      </c>
      <c r="P378" s="284" t="s">
        <v>1121</v>
      </c>
      <c r="Q378" s="284"/>
    </row>
    <row r="379" spans="1:17" s="137" customFormat="1" ht="18.75" customHeight="1">
      <c r="A379" s="98" t="s">
        <v>84</v>
      </c>
      <c r="B379" s="93" t="s">
        <v>956</v>
      </c>
      <c r="C379" s="141" t="s">
        <v>136</v>
      </c>
      <c r="D379" s="137">
        <f>284+21+10</f>
        <v>315</v>
      </c>
      <c r="E379" s="458">
        <v>604</v>
      </c>
      <c r="F379" s="458">
        <v>1007</v>
      </c>
      <c r="G379" s="137">
        <f>981+74</f>
        <v>1055</v>
      </c>
      <c r="I379" s="137">
        <f>1210+91+34</f>
        <v>1335</v>
      </c>
      <c r="J379" s="137">
        <v>34</v>
      </c>
      <c r="L379" s="137">
        <f>576+43</f>
        <v>619</v>
      </c>
      <c r="M379" s="475"/>
      <c r="N379" s="137">
        <v>2600</v>
      </c>
      <c r="O379" s="137">
        <f>5616+421+96</f>
        <v>6133</v>
      </c>
      <c r="P379" s="139" t="s">
        <v>465</v>
      </c>
      <c r="Q379" s="284"/>
    </row>
    <row r="380" spans="1:17" s="137" customFormat="1" ht="18.75" customHeight="1">
      <c r="A380" s="98" t="s">
        <v>84</v>
      </c>
      <c r="B380" s="93" t="s">
        <v>955</v>
      </c>
      <c r="C380" s="141" t="s">
        <v>134</v>
      </c>
      <c r="D380" s="137">
        <f>284+21+10</f>
        <v>315</v>
      </c>
      <c r="E380" s="458">
        <v>604</v>
      </c>
      <c r="F380" s="458">
        <v>1007</v>
      </c>
      <c r="G380" s="137">
        <f>981+74+15</f>
        <v>1070</v>
      </c>
      <c r="H380" s="137">
        <f>1210+91+34</f>
        <v>1335</v>
      </c>
      <c r="K380" s="137">
        <f>576+43</f>
        <v>619</v>
      </c>
      <c r="M380" s="475"/>
      <c r="N380" s="137">
        <v>2600</v>
      </c>
      <c r="O380" s="137">
        <f>5616+421+96</f>
        <v>6133</v>
      </c>
      <c r="P380" s="139" t="s">
        <v>465</v>
      </c>
      <c r="Q380" s="284"/>
    </row>
    <row r="381" spans="1:17" s="137" customFormat="1" ht="18.75" customHeight="1">
      <c r="A381" s="98" t="s">
        <v>84</v>
      </c>
      <c r="B381" s="162" t="s">
        <v>958</v>
      </c>
      <c r="C381" s="158" t="s">
        <v>1358</v>
      </c>
      <c r="D381" s="137">
        <f>284+11+10</f>
        <v>305</v>
      </c>
      <c r="E381" s="458">
        <v>604</v>
      </c>
      <c r="F381" s="458">
        <v>1007</v>
      </c>
      <c r="G381" s="137">
        <f>981+37+15</f>
        <v>1033</v>
      </c>
      <c r="H381" s="137">
        <f>1210+46+34</f>
        <v>1290</v>
      </c>
      <c r="L381" s="137">
        <f>576+22</f>
        <v>598</v>
      </c>
      <c r="M381" s="475"/>
      <c r="N381" s="137">
        <v>2600</v>
      </c>
      <c r="O381" s="137">
        <f>5616+421+96</f>
        <v>6133</v>
      </c>
      <c r="P381" s="139" t="s">
        <v>423</v>
      </c>
      <c r="Q381" s="284" t="s">
        <v>1361</v>
      </c>
    </row>
    <row r="382" spans="1:17" s="137" customFormat="1" ht="18.75" customHeight="1">
      <c r="A382" s="98" t="s">
        <v>84</v>
      </c>
      <c r="B382" s="93" t="s">
        <v>959</v>
      </c>
      <c r="C382" s="141" t="s">
        <v>134</v>
      </c>
      <c r="D382" s="137">
        <f>284+21+10</f>
        <v>315</v>
      </c>
      <c r="E382" s="458">
        <v>604</v>
      </c>
      <c r="F382" s="458">
        <v>1007</v>
      </c>
      <c r="G382" s="137">
        <f>981+74+15</f>
        <v>1070</v>
      </c>
      <c r="H382" s="137">
        <f>1210+91+34</f>
        <v>1335</v>
      </c>
      <c r="K382" s="137">
        <f>576+43</f>
        <v>619</v>
      </c>
      <c r="M382" s="475"/>
      <c r="N382" s="137">
        <v>2600</v>
      </c>
      <c r="O382" s="137">
        <f>5616+421+96</f>
        <v>6133</v>
      </c>
      <c r="P382" s="194" t="s">
        <v>467</v>
      </c>
      <c r="Q382" s="284"/>
    </row>
    <row r="383" spans="1:17" s="539" customFormat="1" ht="18.75" customHeight="1">
      <c r="A383" s="180" t="s">
        <v>84</v>
      </c>
      <c r="B383" s="541" t="s">
        <v>1354</v>
      </c>
      <c r="C383" s="284" t="s">
        <v>1355</v>
      </c>
      <c r="D383" s="539">
        <f>284+11+10</f>
        <v>305</v>
      </c>
      <c r="E383" s="539">
        <f>604</f>
        <v>604</v>
      </c>
      <c r="F383" s="539">
        <f>1007</f>
        <v>1007</v>
      </c>
      <c r="G383" s="539">
        <f>981+37+15</f>
        <v>1033</v>
      </c>
      <c r="H383" s="539">
        <f>1210+46+34</f>
        <v>1290</v>
      </c>
      <c r="K383" s="539">
        <f>576+22</f>
        <v>598</v>
      </c>
      <c r="N383" s="539">
        <v>2600</v>
      </c>
      <c r="O383" s="539">
        <f>5616+213+96</f>
        <v>5925</v>
      </c>
      <c r="P383" s="93" t="s">
        <v>1356</v>
      </c>
      <c r="Q383" s="284" t="s">
        <v>1357</v>
      </c>
    </row>
    <row r="384" spans="1:17" s="137" customFormat="1" ht="18.75" customHeight="1">
      <c r="A384" s="98" t="s">
        <v>84</v>
      </c>
      <c r="B384" s="163" t="s">
        <v>960</v>
      </c>
      <c r="C384" s="158" t="s">
        <v>396</v>
      </c>
      <c r="D384" s="137">
        <f>289+22+10</f>
        <v>321</v>
      </c>
      <c r="E384" s="458">
        <v>613</v>
      </c>
      <c r="F384" s="458">
        <v>1022</v>
      </c>
      <c r="G384" s="137">
        <f>996+75+15</f>
        <v>1086</v>
      </c>
      <c r="H384" s="137">
        <v>34</v>
      </c>
      <c r="I384" s="137">
        <f>1229+92</f>
        <v>1321</v>
      </c>
      <c r="K384" s="137">
        <f>585+44</f>
        <v>629</v>
      </c>
      <c r="M384" s="475"/>
      <c r="N384" s="137">
        <f>2640</f>
        <v>2640</v>
      </c>
      <c r="O384" s="137">
        <f>5702+428+96</f>
        <v>6226</v>
      </c>
      <c r="P384" s="139" t="s">
        <v>300</v>
      </c>
      <c r="Q384" s="284"/>
    </row>
    <row r="385" spans="1:17" s="539" customFormat="1" ht="18.75" customHeight="1">
      <c r="A385" s="180" t="s">
        <v>84</v>
      </c>
      <c r="B385" s="540" t="s">
        <v>1348</v>
      </c>
      <c r="C385" s="284" t="s">
        <v>1344</v>
      </c>
      <c r="D385" s="539">
        <f>310+38+10</f>
        <v>358</v>
      </c>
      <c r="E385" s="539">
        <f>541</f>
        <v>541</v>
      </c>
      <c r="F385" s="539">
        <f>902</f>
        <v>902</v>
      </c>
      <c r="G385" s="539">
        <f>1013+126+15</f>
        <v>1154</v>
      </c>
      <c r="H385" s="539">
        <f>722+90+34</f>
        <v>846</v>
      </c>
      <c r="I385" s="539">
        <f>722+90</f>
        <v>812</v>
      </c>
      <c r="K385" s="539">
        <f>377+47</f>
        <v>424</v>
      </c>
      <c r="M385" s="539">
        <f>251+31</f>
        <v>282</v>
      </c>
      <c r="N385" s="539">
        <f>2040</f>
        <v>2040</v>
      </c>
      <c r="O385" s="539">
        <f>6120+759+96</f>
        <v>6975</v>
      </c>
      <c r="P385" s="93" t="s">
        <v>1433</v>
      </c>
      <c r="Q385" s="284" t="s">
        <v>1368</v>
      </c>
    </row>
    <row r="386" spans="1:17" s="557" customFormat="1" ht="18.75" customHeight="1">
      <c r="A386" s="180" t="s">
        <v>84</v>
      </c>
      <c r="B386" s="540" t="s">
        <v>1424</v>
      </c>
      <c r="C386" s="284" t="s">
        <v>1397</v>
      </c>
      <c r="D386" s="557">
        <f>279+35+10</f>
        <v>324</v>
      </c>
      <c r="E386" s="557">
        <f>488</f>
        <v>488</v>
      </c>
      <c r="F386" s="557">
        <f>813</f>
        <v>813</v>
      </c>
      <c r="G386" s="557">
        <f>913+113+15</f>
        <v>1041</v>
      </c>
      <c r="H386" s="557">
        <f>651+81+34</f>
        <v>766</v>
      </c>
      <c r="I386" s="557">
        <f>651+81</f>
        <v>732</v>
      </c>
      <c r="K386" s="557">
        <f>340+42</f>
        <v>382</v>
      </c>
      <c r="M386" s="557">
        <f>227+28</f>
        <v>255</v>
      </c>
      <c r="N386" s="557">
        <v>1840</v>
      </c>
      <c r="O386" s="557">
        <f>5520+684+96</f>
        <v>6300</v>
      </c>
      <c r="P386" s="93" t="s">
        <v>1426</v>
      </c>
      <c r="Q386" s="284"/>
    </row>
    <row r="387" spans="1:17" s="458" customFormat="1" ht="18.75" customHeight="1">
      <c r="A387" s="180" t="s">
        <v>84</v>
      </c>
      <c r="B387" s="93" t="s">
        <v>961</v>
      </c>
      <c r="C387" s="284" t="s">
        <v>670</v>
      </c>
      <c r="D387" s="458">
        <f>317+24+10</f>
        <v>351</v>
      </c>
      <c r="E387" s="458">
        <v>674</v>
      </c>
      <c r="F387" s="458">
        <v>1123</v>
      </c>
      <c r="G387" s="458">
        <f>1094+82+15</f>
        <v>1191</v>
      </c>
      <c r="H387" s="458">
        <f>1350+101+34</f>
        <v>1485</v>
      </c>
      <c r="K387" s="458">
        <f>643+48</f>
        <v>691</v>
      </c>
      <c r="M387" s="475"/>
      <c r="N387" s="458">
        <v>2900</v>
      </c>
      <c r="O387" s="458">
        <f>6264+470+96</f>
        <v>6830</v>
      </c>
      <c r="P387" s="93" t="s">
        <v>1078</v>
      </c>
      <c r="Q387" s="284"/>
    </row>
    <row r="388" spans="1:17" s="458" customFormat="1" ht="18.75" customHeight="1">
      <c r="A388" s="180" t="s">
        <v>84</v>
      </c>
      <c r="B388" s="185" t="s">
        <v>962</v>
      </c>
      <c r="C388" s="284" t="s">
        <v>1358</v>
      </c>
      <c r="D388" s="458">
        <f>317+12+10</f>
        <v>339</v>
      </c>
      <c r="E388" s="458">
        <v>674</v>
      </c>
      <c r="F388" s="458">
        <v>1123</v>
      </c>
      <c r="G388" s="458">
        <f>1094+42+15</f>
        <v>1151</v>
      </c>
      <c r="H388" s="458">
        <f>1350+51+34</f>
        <v>1435</v>
      </c>
      <c r="L388" s="458">
        <f>643+24</f>
        <v>667</v>
      </c>
      <c r="M388" s="475"/>
      <c r="N388" s="458">
        <v>2900</v>
      </c>
      <c r="O388" s="458">
        <f>6264+238+96</f>
        <v>6598</v>
      </c>
      <c r="P388" s="93" t="s">
        <v>779</v>
      </c>
      <c r="Q388" s="284" t="s">
        <v>1361</v>
      </c>
    </row>
    <row r="389" spans="1:17" s="458" customFormat="1" ht="18.75" customHeight="1">
      <c r="A389" s="180" t="s">
        <v>84</v>
      </c>
      <c r="B389" s="93" t="s">
        <v>963</v>
      </c>
      <c r="C389" s="284" t="s">
        <v>670</v>
      </c>
      <c r="D389" s="458">
        <f>317+24+10</f>
        <v>351</v>
      </c>
      <c r="E389" s="458">
        <v>674</v>
      </c>
      <c r="F389" s="458">
        <v>1123</v>
      </c>
      <c r="G389" s="458">
        <f>1094+82+15</f>
        <v>1191</v>
      </c>
      <c r="H389" s="458">
        <f>1350+101+34</f>
        <v>1485</v>
      </c>
      <c r="K389" s="458">
        <f>643+48</f>
        <v>691</v>
      </c>
      <c r="M389" s="475"/>
      <c r="N389" s="458">
        <v>2900</v>
      </c>
      <c r="O389" s="458">
        <f>6264+470+96</f>
        <v>6830</v>
      </c>
      <c r="P389" s="194" t="s">
        <v>467</v>
      </c>
      <c r="Q389" s="284"/>
    </row>
    <row r="390" spans="1:17" s="458" customFormat="1" ht="18.75" customHeight="1">
      <c r="A390" s="180" t="s">
        <v>84</v>
      </c>
      <c r="B390" s="163" t="s">
        <v>964</v>
      </c>
      <c r="C390" s="284" t="s">
        <v>965</v>
      </c>
      <c r="D390" s="458">
        <f>321+24+10</f>
        <v>355</v>
      </c>
      <c r="E390" s="458">
        <v>683</v>
      </c>
      <c r="F390" s="458">
        <v>1138</v>
      </c>
      <c r="G390" s="458">
        <f>1109+83+15</f>
        <v>1207</v>
      </c>
      <c r="H390" s="458">
        <v>34</v>
      </c>
      <c r="I390" s="458">
        <f>1368+103</f>
        <v>1471</v>
      </c>
      <c r="K390" s="458">
        <f>651+49</f>
        <v>700</v>
      </c>
      <c r="M390" s="475"/>
      <c r="N390" s="458">
        <f>2940</f>
        <v>2940</v>
      </c>
      <c r="O390" s="458">
        <f>6350+476+96</f>
        <v>6922</v>
      </c>
      <c r="P390" s="139" t="s">
        <v>300</v>
      </c>
      <c r="Q390" s="284"/>
    </row>
    <row r="391" spans="1:17" s="539" customFormat="1" ht="18.75" customHeight="1">
      <c r="A391" s="180" t="s">
        <v>84</v>
      </c>
      <c r="B391" s="540" t="s">
        <v>1350</v>
      </c>
      <c r="C391" s="284" t="s">
        <v>1397</v>
      </c>
      <c r="D391" s="539">
        <f>301+37+10</f>
        <v>348</v>
      </c>
      <c r="E391" s="539">
        <f>525</f>
        <v>525</v>
      </c>
      <c r="F391" s="539">
        <f>875</f>
        <v>875</v>
      </c>
      <c r="G391" s="539">
        <f>983+122+15</f>
        <v>1120</v>
      </c>
      <c r="H391" s="539">
        <f>701+87+34</f>
        <v>822</v>
      </c>
      <c r="I391" s="539">
        <f>701+87+34</f>
        <v>822</v>
      </c>
      <c r="K391" s="539">
        <f>366+45</f>
        <v>411</v>
      </c>
      <c r="M391" s="539">
        <f>244+30</f>
        <v>274</v>
      </c>
      <c r="N391" s="539">
        <v>1980</v>
      </c>
      <c r="O391" s="539">
        <f>5940+737+96</f>
        <v>6773</v>
      </c>
      <c r="P391" s="93" t="s">
        <v>1416</v>
      </c>
      <c r="Q391" s="284"/>
    </row>
    <row r="392" spans="1:17" s="539" customFormat="1" ht="18.75" customHeight="1">
      <c r="A392" s="180" t="s">
        <v>84</v>
      </c>
      <c r="B392" s="540" t="s">
        <v>1347</v>
      </c>
      <c r="C392" s="284" t="s">
        <v>1344</v>
      </c>
      <c r="D392" s="539">
        <f>323+40</f>
        <v>363</v>
      </c>
      <c r="E392" s="539">
        <f>565</f>
        <v>565</v>
      </c>
      <c r="F392" s="539">
        <f>942</f>
        <v>942</v>
      </c>
      <c r="G392" s="539">
        <f>1057+131+15</f>
        <v>1203</v>
      </c>
      <c r="H392" s="539">
        <f>754+93+34</f>
        <v>881</v>
      </c>
      <c r="I392" s="539">
        <f>754+93</f>
        <v>847</v>
      </c>
      <c r="K392" s="539">
        <f>393+49</f>
        <v>442</v>
      </c>
      <c r="M392" s="539">
        <f>262+32</f>
        <v>294</v>
      </c>
      <c r="N392" s="539">
        <v>2130</v>
      </c>
      <c r="O392" s="539">
        <f>6390+792+96</f>
        <v>7278</v>
      </c>
      <c r="P392" s="93" t="s">
        <v>1431</v>
      </c>
      <c r="Q392" s="284" t="s">
        <v>1368</v>
      </c>
    </row>
    <row r="393" spans="1:17" s="539" customFormat="1" ht="18.75" customHeight="1">
      <c r="A393" s="180" t="s">
        <v>84</v>
      </c>
      <c r="B393" s="540" t="s">
        <v>1351</v>
      </c>
      <c r="C393" s="284" t="s">
        <v>1397</v>
      </c>
      <c r="D393" s="539">
        <f>322+40+10</f>
        <v>372</v>
      </c>
      <c r="E393" s="539">
        <f>563</f>
        <v>563</v>
      </c>
      <c r="F393" s="539">
        <f>938</f>
        <v>938</v>
      </c>
      <c r="G393" s="539">
        <f>1052+130+15</f>
        <v>1197</v>
      </c>
      <c r="H393" s="539">
        <f>750+93+34</f>
        <v>877</v>
      </c>
      <c r="I393" s="539">
        <f>750+93</f>
        <v>843</v>
      </c>
      <c r="K393" s="539">
        <f>391+48</f>
        <v>439</v>
      </c>
      <c r="M393" s="539">
        <f>261+32</f>
        <v>293</v>
      </c>
      <c r="N393" s="539">
        <f>2120</f>
        <v>2120</v>
      </c>
      <c r="O393" s="539">
        <f>6360+789+96</f>
        <v>7245</v>
      </c>
      <c r="P393" s="93" t="s">
        <v>1417</v>
      </c>
      <c r="Q393" s="284"/>
    </row>
    <row r="394" spans="1:17" s="539" customFormat="1" ht="18.75" customHeight="1">
      <c r="A394" s="180" t="s">
        <v>84</v>
      </c>
      <c r="B394" s="540" t="s">
        <v>1345</v>
      </c>
      <c r="C394" s="284" t="s">
        <v>1344</v>
      </c>
      <c r="D394" s="539">
        <f>340+42+10</f>
        <v>392</v>
      </c>
      <c r="E394" s="539">
        <f>595</f>
        <v>595</v>
      </c>
      <c r="F394" s="539">
        <f>991</f>
        <v>991</v>
      </c>
      <c r="G394" s="539">
        <f>1112+138+15</f>
        <v>1265</v>
      </c>
      <c r="H394" s="539">
        <f>793+98+34</f>
        <v>925</v>
      </c>
      <c r="I394" s="539">
        <f>793+98</f>
        <v>891</v>
      </c>
      <c r="K394" s="539">
        <f>414+51</f>
        <v>465</v>
      </c>
      <c r="M394" s="539">
        <f>276+34</f>
        <v>310</v>
      </c>
      <c r="N394" s="539">
        <v>2240</v>
      </c>
      <c r="O394" s="539">
        <f>6720+833+96</f>
        <v>7649</v>
      </c>
      <c r="P394" s="93" t="s">
        <v>1434</v>
      </c>
      <c r="Q394" s="284" t="s">
        <v>1368</v>
      </c>
    </row>
    <row r="395" spans="1:17" s="539" customFormat="1" ht="18.75" customHeight="1">
      <c r="A395" s="180" t="s">
        <v>84</v>
      </c>
      <c r="B395" s="540" t="s">
        <v>1352</v>
      </c>
      <c r="C395" s="284" t="s">
        <v>1398</v>
      </c>
      <c r="D395" s="539">
        <f>343+43+10</f>
        <v>396</v>
      </c>
      <c r="E395" s="539">
        <f>600</f>
        <v>600</v>
      </c>
      <c r="F395" s="539">
        <f>1000</f>
        <v>1000</v>
      </c>
      <c r="G395" s="539">
        <f>1122+139+15</f>
        <v>1276</v>
      </c>
      <c r="H395" s="539">
        <f>800+99+34</f>
        <v>933</v>
      </c>
      <c r="I395" s="539">
        <f>800+99</f>
        <v>899</v>
      </c>
      <c r="K395" s="539">
        <f>417+52</f>
        <v>469</v>
      </c>
      <c r="M395" s="539">
        <f>278+34</f>
        <v>312</v>
      </c>
      <c r="N395" s="539">
        <v>2260</v>
      </c>
      <c r="O395" s="539">
        <f>6780</f>
        <v>6780</v>
      </c>
      <c r="P395" s="93" t="s">
        <v>1428</v>
      </c>
      <c r="Q395" s="284" t="s">
        <v>1353</v>
      </c>
    </row>
    <row r="396" spans="1:17" s="539" customFormat="1" ht="18.75" customHeight="1">
      <c r="A396" s="180" t="s">
        <v>84</v>
      </c>
      <c r="B396" s="540" t="s">
        <v>1346</v>
      </c>
      <c r="C396" s="284" t="s">
        <v>1344</v>
      </c>
      <c r="D396" s="539">
        <f>357+44+10</f>
        <v>411</v>
      </c>
      <c r="E396" s="539">
        <v>624</v>
      </c>
      <c r="F396" s="539">
        <v>1040</v>
      </c>
      <c r="G396" s="539">
        <f>1167+145+15</f>
        <v>1327</v>
      </c>
      <c r="H396" s="539">
        <f>832+103+34</f>
        <v>969</v>
      </c>
      <c r="I396" s="539">
        <f>832+103</f>
        <v>935</v>
      </c>
      <c r="K396" s="539">
        <f>434+54</f>
        <v>488</v>
      </c>
      <c r="M396" s="539">
        <f>289+36</f>
        <v>325</v>
      </c>
      <c r="N396" s="539">
        <v>2350</v>
      </c>
      <c r="O396" s="539">
        <f>7050+874+96</f>
        <v>8020</v>
      </c>
      <c r="P396" s="93" t="s">
        <v>1430</v>
      </c>
      <c r="Q396" s="284" t="s">
        <v>1368</v>
      </c>
    </row>
    <row r="397" spans="1:17" s="539" customFormat="1" ht="18.75" customHeight="1">
      <c r="A397" s="180" t="s">
        <v>84</v>
      </c>
      <c r="B397" s="540" t="s">
        <v>1387</v>
      </c>
      <c r="C397" s="284" t="s">
        <v>1398</v>
      </c>
      <c r="D397" s="539">
        <f>367+46+10</f>
        <v>423</v>
      </c>
      <c r="E397" s="539">
        <f>642</f>
        <v>642</v>
      </c>
      <c r="F397" s="539">
        <f>1070</f>
        <v>1070</v>
      </c>
      <c r="G397" s="539">
        <f>1201+149+15</f>
        <v>1365</v>
      </c>
      <c r="H397" s="539">
        <f>857+106+34</f>
        <v>997</v>
      </c>
      <c r="I397" s="539">
        <f>857+106</f>
        <v>963</v>
      </c>
      <c r="K397" s="539">
        <f>447+55</f>
        <v>502</v>
      </c>
      <c r="M397" s="539">
        <f>298+37</f>
        <v>335</v>
      </c>
      <c r="N397" s="539">
        <f>2420</f>
        <v>2420</v>
      </c>
      <c r="O397" s="539">
        <f>7260+900+96</f>
        <v>8256</v>
      </c>
      <c r="P397" s="93" t="s">
        <v>1429</v>
      </c>
      <c r="Q397" s="284" t="s">
        <v>1353</v>
      </c>
    </row>
    <row r="398" spans="1:17" ht="18.75" customHeight="1">
      <c r="A398" s="52" t="s">
        <v>86</v>
      </c>
      <c r="B398" s="33" t="s">
        <v>153</v>
      </c>
      <c r="G398" s="17">
        <f>staticResult!$C$4</f>
        <v>85</v>
      </c>
    </row>
    <row r="399" spans="1:17" ht="18.75" customHeight="1">
      <c r="A399" s="52" t="s">
        <v>86</v>
      </c>
      <c r="B399" s="33" t="s">
        <v>405</v>
      </c>
      <c r="K399" s="471">
        <f>staticResult!$B$4</f>
        <v>188</v>
      </c>
    </row>
    <row r="400" spans="1:17" s="461" customFormat="1" ht="18.75" customHeight="1">
      <c r="A400" s="180" t="s">
        <v>86</v>
      </c>
      <c r="B400" s="284" t="s">
        <v>1021</v>
      </c>
      <c r="C400" s="471"/>
      <c r="M400" s="475">
        <f>staticResult!$B$4</f>
        <v>188</v>
      </c>
      <c r="P400" s="284"/>
      <c r="Q400" s="284"/>
    </row>
    <row r="401" spans="1:17" ht="18.75" customHeight="1">
      <c r="A401" s="52" t="s">
        <v>88</v>
      </c>
      <c r="B401" s="33" t="s">
        <v>292</v>
      </c>
      <c r="H401" s="471">
        <f>staticResult!$B$4</f>
        <v>188</v>
      </c>
    </row>
    <row r="402" spans="1:17" ht="18.75" customHeight="1">
      <c r="A402" s="52" t="s">
        <v>88</v>
      </c>
      <c r="B402" s="33" t="s">
        <v>440</v>
      </c>
      <c r="I402" s="17">
        <f>staticResult!$B$4</f>
        <v>188</v>
      </c>
    </row>
    <row r="403" spans="1:17" ht="18.75" customHeight="1">
      <c r="A403" s="52" t="s">
        <v>88</v>
      </c>
      <c r="B403" s="33" t="s">
        <v>441</v>
      </c>
      <c r="L403" s="471">
        <f>staticResult!$B$4</f>
        <v>188</v>
      </c>
    </row>
    <row r="404" spans="1:17" s="117" customFormat="1" ht="18.75" customHeight="1">
      <c r="A404" s="98" t="s">
        <v>88</v>
      </c>
      <c r="B404" s="118" t="s">
        <v>290</v>
      </c>
      <c r="C404" s="127"/>
      <c r="E404" s="458"/>
      <c r="F404" s="458"/>
      <c r="J404" s="117">
        <v>83</v>
      </c>
      <c r="M404" s="475"/>
      <c r="O404" s="131"/>
      <c r="P404" s="103"/>
      <c r="Q404" s="284"/>
    </row>
    <row r="405" spans="1:17" ht="18.75" customHeight="1">
      <c r="A405" s="52" t="s">
        <v>90</v>
      </c>
      <c r="B405" s="33" t="s">
        <v>291</v>
      </c>
      <c r="H405" s="471">
        <f>staticResult!$B$4</f>
        <v>188</v>
      </c>
    </row>
    <row r="406" spans="1:17" ht="18.75" customHeight="1">
      <c r="A406" s="52" t="s">
        <v>90</v>
      </c>
      <c r="B406" s="33" t="s">
        <v>442</v>
      </c>
      <c r="I406" s="471">
        <f>staticResult!$B$4</f>
        <v>188</v>
      </c>
    </row>
    <row r="407" spans="1:17" ht="18.75" customHeight="1">
      <c r="A407" s="52" t="s">
        <v>90</v>
      </c>
      <c r="B407" s="33" t="s">
        <v>443</v>
      </c>
      <c r="L407" s="471">
        <f>staticResult!$B$4</f>
        <v>188</v>
      </c>
    </row>
    <row r="408" spans="1:17" ht="18.75" customHeight="1">
      <c r="A408" s="52" t="s">
        <v>92</v>
      </c>
      <c r="B408" s="33" t="s">
        <v>154</v>
      </c>
      <c r="G408" s="471">
        <f>staticResult!$C$4</f>
        <v>85</v>
      </c>
    </row>
    <row r="409" spans="1:17" ht="18.75" customHeight="1">
      <c r="A409" s="52" t="s">
        <v>92</v>
      </c>
      <c r="B409" s="33" t="s">
        <v>444</v>
      </c>
      <c r="K409" s="471">
        <f>staticResult!$B$4</f>
        <v>188</v>
      </c>
    </row>
    <row r="410" spans="1:17" ht="18.75" customHeight="1">
      <c r="A410" s="52" t="s">
        <v>92</v>
      </c>
      <c r="B410" s="33" t="s">
        <v>445</v>
      </c>
      <c r="C410" s="471"/>
      <c r="M410" s="475">
        <f>staticResult!$B$4</f>
        <v>188</v>
      </c>
    </row>
    <row r="411" spans="1:17" ht="18.75" customHeight="1">
      <c r="A411" s="52" t="s">
        <v>95</v>
      </c>
      <c r="B411" s="33" t="s">
        <v>299</v>
      </c>
      <c r="K411" s="471">
        <f>staticResult!$B$4</f>
        <v>188</v>
      </c>
    </row>
    <row r="412" spans="1:17" ht="18.75" customHeight="1">
      <c r="A412" s="52" t="s">
        <v>95</v>
      </c>
      <c r="B412" s="33" t="s">
        <v>404</v>
      </c>
      <c r="G412" s="471">
        <f>staticResult!$C$4</f>
        <v>85</v>
      </c>
    </row>
    <row r="413" spans="1:17" ht="18.75" customHeight="1">
      <c r="A413" s="52" t="s">
        <v>95</v>
      </c>
      <c r="B413" s="33" t="s">
        <v>971</v>
      </c>
      <c r="D413" s="17">
        <f>staticResult!$D$4</f>
        <v>42</v>
      </c>
    </row>
    <row r="414" spans="1:17" ht="18.75" customHeight="1">
      <c r="A414" s="52" t="s">
        <v>97</v>
      </c>
      <c r="B414" s="33" t="s">
        <v>225</v>
      </c>
      <c r="H414" s="471">
        <f>staticResult!$B$4</f>
        <v>188</v>
      </c>
    </row>
    <row r="415" spans="1:17" ht="18.75" customHeight="1">
      <c r="A415" s="52" t="s">
        <v>97</v>
      </c>
      <c r="B415" s="33" t="s">
        <v>970</v>
      </c>
      <c r="D415" s="471">
        <f>staticResult!$D$4</f>
        <v>42</v>
      </c>
    </row>
    <row r="416" spans="1:17" s="475" customFormat="1" ht="18.75" customHeight="1">
      <c r="A416" s="180" t="s">
        <v>97</v>
      </c>
      <c r="B416" s="284" t="s">
        <v>1164</v>
      </c>
      <c r="C416" s="284"/>
      <c r="M416" s="475">
        <f>staticResult!$B$4</f>
        <v>188</v>
      </c>
      <c r="P416" s="284"/>
      <c r="Q416" s="284"/>
    </row>
    <row r="417" spans="1:17" ht="18.75" customHeight="1">
      <c r="A417" s="52" t="s">
        <v>99</v>
      </c>
      <c r="B417" s="33" t="s">
        <v>446</v>
      </c>
      <c r="G417" s="471">
        <f>staticResult!$C$4</f>
        <v>85</v>
      </c>
    </row>
    <row r="418" spans="1:17" s="458" customFormat="1" ht="18.75" customHeight="1">
      <c r="A418" s="180" t="s">
        <v>99</v>
      </c>
      <c r="B418" s="284" t="s">
        <v>972</v>
      </c>
      <c r="C418" s="284"/>
      <c r="E418" s="458">
        <f>staticResult!$E$4</f>
        <v>127</v>
      </c>
      <c r="F418" s="458">
        <f>E418</f>
        <v>127</v>
      </c>
      <c r="M418" s="475"/>
      <c r="P418" s="284"/>
      <c r="Q418" s="284"/>
    </row>
    <row r="419" spans="1:17" ht="18.75" customHeight="1">
      <c r="A419" s="52" t="s">
        <v>189</v>
      </c>
      <c r="B419" s="33" t="s">
        <v>203</v>
      </c>
      <c r="D419" s="17">
        <v>31</v>
      </c>
      <c r="G419" s="17">
        <v>62</v>
      </c>
      <c r="H419" s="17">
        <v>139</v>
      </c>
      <c r="I419" s="17">
        <v>139</v>
      </c>
      <c r="J419" s="17">
        <v>139</v>
      </c>
      <c r="K419" s="17">
        <v>139</v>
      </c>
      <c r="L419" s="17">
        <v>139</v>
      </c>
    </row>
    <row r="420" spans="1:17" ht="18.75" customHeight="1">
      <c r="A420" s="52" t="s">
        <v>191</v>
      </c>
      <c r="B420" s="33" t="s">
        <v>204</v>
      </c>
      <c r="G420" s="17">
        <v>124</v>
      </c>
      <c r="H420" s="17">
        <v>278</v>
      </c>
      <c r="J420" s="17">
        <v>278</v>
      </c>
    </row>
    <row r="421" spans="1:17" ht="18.75" customHeight="1">
      <c r="A421" s="52" t="s">
        <v>193</v>
      </c>
      <c r="B421" s="33" t="s">
        <v>205</v>
      </c>
      <c r="E421" s="458">
        <v>373</v>
      </c>
      <c r="F421" s="458">
        <v>373</v>
      </c>
      <c r="G421" s="17">
        <v>248</v>
      </c>
      <c r="H421" s="17">
        <v>555</v>
      </c>
      <c r="J421" s="17">
        <v>555</v>
      </c>
    </row>
    <row r="422" spans="1:17" s="20" customFormat="1" ht="18.75" customHeight="1">
      <c r="A422" s="52" t="s">
        <v>412</v>
      </c>
      <c r="B422" s="33" t="s">
        <v>403</v>
      </c>
      <c r="C422" s="127"/>
      <c r="E422" s="458"/>
      <c r="F422" s="458"/>
      <c r="G422" s="20">
        <v>18</v>
      </c>
      <c r="M422" s="475"/>
      <c r="O422" s="131"/>
      <c r="P422" s="33"/>
      <c r="Q422" s="284"/>
    </row>
    <row r="423" spans="1:17" s="20" customFormat="1" ht="18.75" customHeight="1">
      <c r="A423" s="156" t="s">
        <v>412</v>
      </c>
      <c r="B423" s="33" t="s">
        <v>400</v>
      </c>
      <c r="C423" s="127"/>
      <c r="E423" s="458"/>
      <c r="F423" s="458"/>
      <c r="H423" s="20">
        <v>24</v>
      </c>
      <c r="M423" s="475"/>
      <c r="O423" s="131"/>
      <c r="P423" s="33"/>
      <c r="Q423" s="284"/>
    </row>
    <row r="424" spans="1:17" s="137" customFormat="1" ht="18.75" customHeight="1">
      <c r="A424" s="156" t="s">
        <v>412</v>
      </c>
      <c r="B424" s="158" t="s">
        <v>414</v>
      </c>
      <c r="C424" s="135"/>
      <c r="E424" s="458"/>
      <c r="F424" s="458"/>
      <c r="L424" s="137">
        <v>55</v>
      </c>
      <c r="M424" s="475"/>
      <c r="P424" s="135"/>
      <c r="Q424" s="284"/>
    </row>
    <row r="425" spans="1:17" s="20" customFormat="1" ht="18.75" customHeight="1">
      <c r="A425" s="156" t="s">
        <v>413</v>
      </c>
      <c r="B425" s="158" t="s">
        <v>402</v>
      </c>
      <c r="C425" s="127"/>
      <c r="E425" s="458"/>
      <c r="F425" s="458"/>
      <c r="G425" s="20">
        <v>18</v>
      </c>
      <c r="M425" s="475"/>
      <c r="O425" s="131"/>
      <c r="P425" s="33"/>
      <c r="Q425" s="284"/>
    </row>
    <row r="426" spans="1:17" s="20" customFormat="1" ht="18.75" customHeight="1">
      <c r="A426" s="156" t="s">
        <v>413</v>
      </c>
      <c r="B426" s="33" t="s">
        <v>401</v>
      </c>
      <c r="C426" s="127"/>
      <c r="E426" s="458"/>
      <c r="F426" s="458"/>
      <c r="H426" s="20">
        <v>24</v>
      </c>
      <c r="M426" s="475"/>
      <c r="O426" s="131"/>
      <c r="P426" s="33"/>
      <c r="Q426" s="284"/>
    </row>
    <row r="427" spans="1:17" s="137" customFormat="1" ht="18.75" customHeight="1">
      <c r="A427" s="156" t="s">
        <v>413</v>
      </c>
      <c r="B427" s="158" t="s">
        <v>415</v>
      </c>
      <c r="C427" s="135"/>
      <c r="E427" s="458"/>
      <c r="F427" s="458"/>
      <c r="L427" s="137">
        <v>55</v>
      </c>
      <c r="M427" s="475"/>
      <c r="P427" s="135"/>
      <c r="Q427" s="284"/>
    </row>
    <row r="428" spans="1:17" ht="18.75" customHeight="1">
      <c r="A428" s="52" t="s">
        <v>206</v>
      </c>
      <c r="B428" s="95" t="s">
        <v>447</v>
      </c>
      <c r="G428" s="17">
        <v>68</v>
      </c>
    </row>
    <row r="429" spans="1:17" ht="18.75" customHeight="1">
      <c r="A429" s="52" t="s">
        <v>206</v>
      </c>
      <c r="B429" s="95" t="s">
        <v>207</v>
      </c>
      <c r="G429" s="17">
        <v>128</v>
      </c>
    </row>
    <row r="430" spans="1:17" s="563" customFormat="1" ht="18.75" customHeight="1">
      <c r="A430" s="180" t="s">
        <v>206</v>
      </c>
      <c r="B430" s="284" t="s">
        <v>1441</v>
      </c>
      <c r="C430" s="284"/>
      <c r="G430" s="563">
        <v>0</v>
      </c>
      <c r="P430" s="284"/>
      <c r="Q430" s="284"/>
    </row>
    <row r="431" spans="1:17" ht="18.75" customHeight="1">
      <c r="A431" s="52" t="s">
        <v>247</v>
      </c>
      <c r="B431" s="33" t="s">
        <v>248</v>
      </c>
      <c r="K431" s="17">
        <f>staticResult!D2</f>
        <v>139.48500000000001</v>
      </c>
      <c r="L431" s="17">
        <f>staticResult!E2*3</f>
        <v>261.56423999999998</v>
      </c>
    </row>
    <row r="432" spans="1:17" s="42" customFormat="1" ht="18.75" customHeight="1">
      <c r="A432" s="52" t="s">
        <v>247</v>
      </c>
      <c r="B432" s="95" t="s">
        <v>281</v>
      </c>
      <c r="C432" s="127"/>
      <c r="E432" s="458"/>
      <c r="F432" s="458"/>
      <c r="M432" s="475"/>
      <c r="O432" s="131"/>
      <c r="P432" s="33"/>
      <c r="Q432" s="284"/>
    </row>
    <row r="433" spans="1:17" ht="18.75" customHeight="1">
      <c r="A433" s="52" t="s">
        <v>249</v>
      </c>
      <c r="B433" s="33" t="s">
        <v>250</v>
      </c>
      <c r="K433" s="17">
        <v>100</v>
      </c>
      <c r="L433" s="17">
        <v>100</v>
      </c>
    </row>
    <row r="434" spans="1:17" s="42" customFormat="1" ht="18.75" customHeight="1">
      <c r="A434" s="52" t="s">
        <v>249</v>
      </c>
      <c r="B434" s="95" t="s">
        <v>281</v>
      </c>
      <c r="C434" s="127"/>
      <c r="E434" s="458"/>
      <c r="F434" s="458"/>
      <c r="M434" s="475"/>
      <c r="O434" s="131"/>
      <c r="P434" s="33"/>
      <c r="Q434" s="284"/>
    </row>
    <row r="435" spans="1:17" ht="18.75" customHeight="1">
      <c r="A435" s="52" t="s">
        <v>251</v>
      </c>
      <c r="B435" s="33" t="s">
        <v>1095</v>
      </c>
      <c r="D435" s="17">
        <v>48</v>
      </c>
      <c r="Q435" s="284">
        <v>189</v>
      </c>
    </row>
    <row r="436" spans="1:17" s="42" customFormat="1" ht="18.75" customHeight="1">
      <c r="A436" s="52" t="s">
        <v>251</v>
      </c>
      <c r="B436" s="95" t="s">
        <v>1096</v>
      </c>
      <c r="C436" s="127"/>
      <c r="D436" s="42">
        <v>41</v>
      </c>
      <c r="E436" s="458"/>
      <c r="F436" s="458"/>
      <c r="M436" s="475"/>
      <c r="O436" s="131"/>
      <c r="P436" s="33"/>
      <c r="Q436" s="284">
        <v>150</v>
      </c>
    </row>
    <row r="437" spans="1:17" s="42" customFormat="1" ht="18.75" customHeight="1">
      <c r="A437" s="52" t="s">
        <v>251</v>
      </c>
      <c r="B437" s="95" t="s">
        <v>448</v>
      </c>
      <c r="C437" s="127"/>
      <c r="D437" s="42">
        <v>69</v>
      </c>
      <c r="E437" s="458"/>
      <c r="F437" s="458"/>
      <c r="M437" s="475"/>
      <c r="O437" s="131"/>
      <c r="P437" s="33"/>
      <c r="Q437" s="284">
        <v>233</v>
      </c>
    </row>
    <row r="438" spans="1:17" ht="18.75" customHeight="1">
      <c r="A438" s="52" t="s">
        <v>251</v>
      </c>
      <c r="B438" s="33" t="s">
        <v>1094</v>
      </c>
      <c r="D438" s="17">
        <v>95</v>
      </c>
      <c r="Q438" s="284">
        <v>450</v>
      </c>
    </row>
    <row r="439" spans="1:17" s="42" customFormat="1" ht="18.75" customHeight="1">
      <c r="A439" s="52" t="s">
        <v>251</v>
      </c>
      <c r="B439" s="95" t="s">
        <v>281</v>
      </c>
      <c r="C439" s="127"/>
      <c r="E439" s="458"/>
      <c r="F439" s="458"/>
      <c r="M439" s="475"/>
      <c r="O439" s="131"/>
      <c r="P439" s="33"/>
      <c r="Q439" s="284"/>
    </row>
    <row r="440" spans="1:17" ht="18.75" customHeight="1">
      <c r="A440" s="52" t="s">
        <v>252</v>
      </c>
      <c r="B440" s="33" t="s">
        <v>256</v>
      </c>
      <c r="G440" s="17">
        <v>95</v>
      </c>
      <c r="Q440" s="284">
        <v>300</v>
      </c>
    </row>
    <row r="441" spans="1:17" s="42" customFormat="1" ht="18.75" customHeight="1">
      <c r="A441" s="52" t="s">
        <v>252</v>
      </c>
      <c r="B441" s="95" t="s">
        <v>449</v>
      </c>
      <c r="C441" s="127"/>
      <c r="E441" s="458"/>
      <c r="F441" s="458"/>
      <c r="G441" s="42">
        <v>114</v>
      </c>
      <c r="M441" s="475"/>
      <c r="O441" s="131"/>
      <c r="P441" s="33"/>
      <c r="Q441" s="284">
        <v>200</v>
      </c>
    </row>
    <row r="442" spans="1:17" s="42" customFormat="1" ht="18.75" customHeight="1">
      <c r="A442" s="52" t="s">
        <v>252</v>
      </c>
      <c r="B442" s="95" t="s">
        <v>450</v>
      </c>
      <c r="C442" s="127"/>
      <c r="E442" s="458"/>
      <c r="F442" s="458"/>
      <c r="G442" s="42">
        <v>140</v>
      </c>
      <c r="M442" s="475"/>
      <c r="O442" s="131"/>
      <c r="P442" s="33"/>
      <c r="Q442" s="284">
        <v>209</v>
      </c>
    </row>
    <row r="443" spans="1:17" ht="18.75" customHeight="1">
      <c r="A443" s="52" t="s">
        <v>252</v>
      </c>
      <c r="B443" s="33" t="s">
        <v>260</v>
      </c>
      <c r="G443" s="17">
        <v>190</v>
      </c>
      <c r="Q443" s="284">
        <v>400</v>
      </c>
    </row>
    <row r="444" spans="1:17" ht="18.75" customHeight="1">
      <c r="A444" s="52" t="s">
        <v>252</v>
      </c>
      <c r="B444" s="33" t="s">
        <v>255</v>
      </c>
      <c r="H444" s="17">
        <v>212</v>
      </c>
      <c r="Q444" s="284">
        <v>400</v>
      </c>
    </row>
    <row r="445" spans="1:17" ht="18.75" customHeight="1">
      <c r="A445" s="52" t="s">
        <v>252</v>
      </c>
      <c r="B445" s="33" t="s">
        <v>259</v>
      </c>
      <c r="H445" s="17">
        <v>423</v>
      </c>
      <c r="Q445" s="284">
        <v>300</v>
      </c>
    </row>
    <row r="446" spans="1:17" s="42" customFormat="1" ht="18.75" customHeight="1">
      <c r="A446" s="52" t="s">
        <v>252</v>
      </c>
      <c r="B446" s="95" t="s">
        <v>278</v>
      </c>
      <c r="C446" s="127"/>
      <c r="E446" s="458"/>
      <c r="F446" s="458"/>
      <c r="I446" s="42">
        <v>111</v>
      </c>
      <c r="M446" s="475"/>
      <c r="O446" s="131"/>
      <c r="P446" s="33"/>
      <c r="Q446" s="284">
        <v>300</v>
      </c>
    </row>
    <row r="447" spans="1:17" ht="18.75" customHeight="1">
      <c r="A447" s="52" t="s">
        <v>252</v>
      </c>
      <c r="B447" s="94" t="s">
        <v>253</v>
      </c>
      <c r="I447" s="17">
        <v>212</v>
      </c>
      <c r="Q447" s="284">
        <v>185</v>
      </c>
    </row>
    <row r="448" spans="1:17" ht="18.75" customHeight="1">
      <c r="A448" s="52" t="s">
        <v>252</v>
      </c>
      <c r="B448" s="33" t="s">
        <v>257</v>
      </c>
      <c r="I448" s="17">
        <v>423</v>
      </c>
      <c r="Q448" s="284">
        <v>350</v>
      </c>
    </row>
    <row r="449" spans="1:17" s="42" customFormat="1" ht="18.75" customHeight="1">
      <c r="A449" s="52" t="s">
        <v>252</v>
      </c>
      <c r="B449" s="95" t="s">
        <v>277</v>
      </c>
      <c r="C449" s="127"/>
      <c r="E449" s="458"/>
      <c r="F449" s="458"/>
      <c r="J449" s="42">
        <v>111</v>
      </c>
      <c r="M449" s="475"/>
      <c r="O449" s="131"/>
      <c r="P449" s="33"/>
      <c r="Q449" s="284">
        <v>200</v>
      </c>
    </row>
    <row r="450" spans="1:17" s="42" customFormat="1" ht="18.75" customHeight="1">
      <c r="A450" s="52" t="s">
        <v>252</v>
      </c>
      <c r="B450" s="95" t="s">
        <v>451</v>
      </c>
      <c r="C450" s="127"/>
      <c r="E450" s="458"/>
      <c r="F450" s="458"/>
      <c r="J450" s="42">
        <v>187</v>
      </c>
      <c r="M450" s="475"/>
      <c r="O450" s="131"/>
      <c r="P450" s="33"/>
      <c r="Q450" s="284">
        <v>250</v>
      </c>
    </row>
    <row r="451" spans="1:17" ht="18.75" customHeight="1">
      <c r="A451" s="52" t="s">
        <v>252</v>
      </c>
      <c r="B451" s="33" t="s">
        <v>254</v>
      </c>
      <c r="K451" s="17">
        <v>212</v>
      </c>
      <c r="Q451" s="284">
        <v>185</v>
      </c>
    </row>
    <row r="452" spans="1:17" ht="18.75" customHeight="1">
      <c r="A452" s="52" t="s">
        <v>252</v>
      </c>
      <c r="B452" s="33" t="s">
        <v>258</v>
      </c>
      <c r="K452" s="17">
        <v>423</v>
      </c>
      <c r="Q452" s="284">
        <v>400</v>
      </c>
    </row>
    <row r="453" spans="1:17" s="42" customFormat="1" ht="18.75" customHeight="1">
      <c r="A453" s="52" t="s">
        <v>252</v>
      </c>
      <c r="B453" s="95" t="s">
        <v>281</v>
      </c>
      <c r="C453" s="127"/>
      <c r="E453" s="458"/>
      <c r="F453" s="458"/>
      <c r="M453" s="475"/>
      <c r="O453" s="131"/>
      <c r="P453" s="33"/>
      <c r="Q453" s="284"/>
    </row>
    <row r="454" spans="1:17" ht="18.75" customHeight="1">
      <c r="A454" s="52" t="s">
        <v>261</v>
      </c>
      <c r="B454" s="33" t="s">
        <v>1091</v>
      </c>
      <c r="D454" s="17">
        <v>37</v>
      </c>
      <c r="Q454" s="284">
        <v>210</v>
      </c>
    </row>
    <row r="455" spans="1:17" s="42" customFormat="1" ht="18.75" customHeight="1">
      <c r="A455" s="52" t="s">
        <v>261</v>
      </c>
      <c r="B455" s="95" t="s">
        <v>1092</v>
      </c>
      <c r="C455" s="127"/>
      <c r="D455" s="42">
        <v>46</v>
      </c>
      <c r="E455" s="458"/>
      <c r="F455" s="458"/>
      <c r="M455" s="475"/>
      <c r="O455" s="131"/>
      <c r="P455" s="33"/>
      <c r="Q455" s="284">
        <v>119</v>
      </c>
    </row>
    <row r="456" spans="1:17" ht="18.75" customHeight="1">
      <c r="A456" s="52" t="s">
        <v>261</v>
      </c>
      <c r="B456" s="33" t="s">
        <v>1093</v>
      </c>
      <c r="D456" s="17">
        <v>74</v>
      </c>
      <c r="Q456" s="284">
        <v>318</v>
      </c>
    </row>
    <row r="457" spans="1:17" s="42" customFormat="1" ht="18.75" customHeight="1">
      <c r="A457" s="52" t="s">
        <v>261</v>
      </c>
      <c r="B457" s="95" t="s">
        <v>281</v>
      </c>
      <c r="C457" s="127"/>
      <c r="E457" s="458"/>
      <c r="F457" s="458"/>
      <c r="M457" s="475"/>
      <c r="O457" s="131"/>
      <c r="P457" s="33"/>
      <c r="Q457" s="284"/>
    </row>
    <row r="458" spans="1:17" ht="18.75" customHeight="1">
      <c r="A458" s="52" t="s">
        <v>262</v>
      </c>
      <c r="B458" s="33" t="s">
        <v>266</v>
      </c>
      <c r="G458" s="17">
        <v>74</v>
      </c>
      <c r="Q458" s="284">
        <v>168</v>
      </c>
    </row>
    <row r="459" spans="1:17" s="42" customFormat="1" ht="18.75" customHeight="1">
      <c r="A459" s="52" t="s">
        <v>262</v>
      </c>
      <c r="B459" s="95" t="s">
        <v>452</v>
      </c>
      <c r="C459" s="127"/>
      <c r="E459" s="458"/>
      <c r="F459" s="458"/>
      <c r="G459" s="42">
        <v>94</v>
      </c>
      <c r="M459" s="475"/>
      <c r="O459" s="131"/>
      <c r="P459" s="33"/>
      <c r="Q459" s="284">
        <v>156</v>
      </c>
    </row>
    <row r="460" spans="1:17" ht="18.75" customHeight="1">
      <c r="A460" s="52" t="s">
        <v>262</v>
      </c>
      <c r="B460" s="94" t="s">
        <v>270</v>
      </c>
      <c r="G460" s="17">
        <v>148</v>
      </c>
      <c r="Q460" s="284">
        <v>270</v>
      </c>
    </row>
    <row r="461" spans="1:17" s="42" customFormat="1" ht="18.75" customHeight="1">
      <c r="A461" s="52" t="s">
        <v>262</v>
      </c>
      <c r="B461" s="95" t="s">
        <v>453</v>
      </c>
      <c r="C461" s="127"/>
      <c r="E461" s="458"/>
      <c r="F461" s="458"/>
      <c r="H461" s="42">
        <v>125</v>
      </c>
      <c r="M461" s="475"/>
      <c r="O461" s="131"/>
      <c r="P461" s="33"/>
      <c r="Q461" s="284">
        <v>155</v>
      </c>
    </row>
    <row r="462" spans="1:17" ht="18.75" customHeight="1">
      <c r="A462" s="52" t="s">
        <v>262</v>
      </c>
      <c r="B462" s="33" t="s">
        <v>265</v>
      </c>
      <c r="H462" s="17">
        <v>165</v>
      </c>
      <c r="Q462" s="284">
        <v>130</v>
      </c>
    </row>
    <row r="463" spans="1:17" ht="18.75" customHeight="1">
      <c r="A463" s="52" t="s">
        <v>262</v>
      </c>
      <c r="B463" s="33" t="s">
        <v>269</v>
      </c>
      <c r="H463" s="17">
        <v>329</v>
      </c>
      <c r="Q463" s="284">
        <v>300</v>
      </c>
    </row>
    <row r="464" spans="1:17" s="42" customFormat="1" ht="18.75" customHeight="1">
      <c r="A464" s="52" t="s">
        <v>262</v>
      </c>
      <c r="B464" s="95" t="s">
        <v>1335</v>
      </c>
      <c r="C464" s="127"/>
      <c r="E464" s="458"/>
      <c r="F464" s="458"/>
      <c r="I464" s="42">
        <v>102</v>
      </c>
      <c r="M464" s="475"/>
      <c r="O464" s="131"/>
      <c r="P464" s="33"/>
      <c r="Q464" s="284">
        <v>111</v>
      </c>
    </row>
    <row r="465" spans="1:17" ht="18.75" customHeight="1">
      <c r="A465" s="52" t="s">
        <v>262</v>
      </c>
      <c r="B465" s="33" t="s">
        <v>263</v>
      </c>
      <c r="I465" s="17">
        <v>165</v>
      </c>
      <c r="Q465" s="284">
        <v>112</v>
      </c>
    </row>
    <row r="466" spans="1:17" ht="18.75" customHeight="1">
      <c r="A466" s="52" t="s">
        <v>262</v>
      </c>
      <c r="B466" s="33" t="s">
        <v>267</v>
      </c>
      <c r="I466" s="17">
        <v>329</v>
      </c>
      <c r="Q466" s="284">
        <v>270</v>
      </c>
    </row>
    <row r="467" spans="1:17" s="42" customFormat="1" ht="18.75" customHeight="1">
      <c r="A467" s="52" t="s">
        <v>262</v>
      </c>
      <c r="B467" s="96" t="s">
        <v>276</v>
      </c>
      <c r="C467" s="127"/>
      <c r="E467" s="458"/>
      <c r="F467" s="458"/>
      <c r="J467" s="42">
        <v>74</v>
      </c>
      <c r="M467" s="475"/>
      <c r="O467" s="131"/>
      <c r="P467" s="33"/>
      <c r="Q467" s="284">
        <v>249</v>
      </c>
    </row>
    <row r="468" spans="1:17" ht="18.75" customHeight="1">
      <c r="A468" s="52" t="s">
        <v>262</v>
      </c>
      <c r="B468" s="33" t="s">
        <v>264</v>
      </c>
      <c r="K468" s="17">
        <v>165</v>
      </c>
      <c r="Q468" s="284">
        <v>122</v>
      </c>
    </row>
    <row r="469" spans="1:17" ht="18.75" customHeight="1">
      <c r="A469" s="52" t="s">
        <v>262</v>
      </c>
      <c r="B469" s="33" t="s">
        <v>268</v>
      </c>
      <c r="K469" s="17">
        <v>329</v>
      </c>
      <c r="Q469" s="284">
        <v>310</v>
      </c>
    </row>
    <row r="470" spans="1:17" s="42" customFormat="1" ht="18.75" customHeight="1">
      <c r="A470" s="52" t="s">
        <v>262</v>
      </c>
      <c r="B470" s="95" t="s">
        <v>281</v>
      </c>
      <c r="C470" s="127"/>
      <c r="E470" s="458"/>
      <c r="F470" s="458"/>
      <c r="M470" s="475"/>
      <c r="O470" s="131"/>
      <c r="P470" s="33"/>
      <c r="Q470" s="284"/>
    </row>
    <row r="471" spans="1:17" ht="18.75" customHeight="1">
      <c r="A471" s="52" t="s">
        <v>279</v>
      </c>
      <c r="B471" s="284" t="s">
        <v>271</v>
      </c>
      <c r="D471" s="17">
        <v>63</v>
      </c>
      <c r="Q471" s="284">
        <v>600</v>
      </c>
    </row>
    <row r="472" spans="1:17" ht="18.75" customHeight="1">
      <c r="A472" s="52" t="s">
        <v>279</v>
      </c>
      <c r="B472" s="95" t="s">
        <v>272</v>
      </c>
      <c r="D472" s="17">
        <v>74</v>
      </c>
      <c r="Q472" s="284">
        <v>2500</v>
      </c>
    </row>
    <row r="473" spans="1:17" ht="18.75" customHeight="1">
      <c r="A473" s="52" t="s">
        <v>279</v>
      </c>
      <c r="B473" s="95" t="s">
        <v>273</v>
      </c>
      <c r="D473" s="17">
        <v>10</v>
      </c>
      <c r="G473" s="17">
        <v>20</v>
      </c>
      <c r="K473" s="17">
        <v>18</v>
      </c>
      <c r="Q473" s="284">
        <v>200</v>
      </c>
    </row>
    <row r="474" spans="1:17" ht="18.75" customHeight="1">
      <c r="A474" s="52" t="s">
        <v>279</v>
      </c>
      <c r="B474" s="95" t="s">
        <v>274</v>
      </c>
      <c r="G474" s="17">
        <v>99</v>
      </c>
      <c r="I474" s="17">
        <v>219</v>
      </c>
      <c r="K474" s="17">
        <v>219</v>
      </c>
      <c r="Q474" s="284">
        <v>2500</v>
      </c>
    </row>
    <row r="475" spans="1:17" ht="18.75" customHeight="1">
      <c r="A475" s="52" t="s">
        <v>279</v>
      </c>
      <c r="B475" s="95" t="s">
        <v>275</v>
      </c>
      <c r="I475" s="17">
        <v>219</v>
      </c>
      <c r="K475" s="17">
        <v>219</v>
      </c>
      <c r="Q475" s="284">
        <v>2500</v>
      </c>
    </row>
    <row r="476" spans="1:17" ht="18.75" customHeight="1">
      <c r="A476" s="98" t="s">
        <v>104</v>
      </c>
      <c r="B476" s="95" t="s">
        <v>280</v>
      </c>
    </row>
    <row r="488" spans="2:7" ht="18.75" customHeight="1">
      <c r="B488" s="33">
        <v>1780</v>
      </c>
      <c r="C488" s="135" t="s">
        <v>298</v>
      </c>
      <c r="D488" s="17">
        <v>890</v>
      </c>
      <c r="G488" s="17">
        <v>1040</v>
      </c>
    </row>
  </sheetData>
  <sheetProtection password="E803" sheet="1" objects="1" scenarios="1"/>
  <autoFilter ref="A1:Q476" xr:uid="{00000000-0009-0000-0000-000002000000}"/>
  <phoneticPr fontId="3" type="noConversion"/>
  <conditionalFormatting sqref="B1:B152 B199:B324 B154:B197 B327:B1048576">
    <cfRule type="containsText" dxfId="87" priority="121" operator="containsText" text="曉天">
      <formula>NOT(ISERROR(SEARCH("曉天",B1)))</formula>
    </cfRule>
    <cfRule type="containsText" dxfId="86" priority="122" operator="containsText" text="凌絕">
      <formula>NOT(ISERROR(SEARCH("凌絕",B1)))</formula>
    </cfRule>
    <cfRule type="containsText" dxfId="85" priority="123" operator="containsText" text="天韶">
      <formula>NOT(ISERROR(SEARCH("天韶",B1)))</formula>
    </cfRule>
    <cfRule type="containsText" dxfId="84" priority="124" operator="containsText" text="鶴夢">
      <formula>NOT(ISERROR(SEARCH("鶴夢",B1)))</formula>
    </cfRule>
    <cfRule type="containsText" dxfId="83" priority="125" operator="containsText" text="宿寂">
      <formula>NOT(ISERROR(SEARCH("宿寂",B1)))</formula>
    </cfRule>
    <cfRule type="containsText" dxfId="82" priority="126" operator="containsText" text="茲櫟">
      <formula>NOT(ISERROR(SEARCH("茲櫟",B1)))</formula>
    </cfRule>
    <cfRule type="containsText" dxfId="81" priority="127" operator="containsText" text="寒夜">
      <formula>NOT(ISERROR(SEARCH("寒夜",B1)))</formula>
    </cfRule>
    <cfRule type="containsText" dxfId="80" priority="129" operator="containsText" text="無界">
      <formula>NOT(ISERROR(SEARCH("無界",B1)))</formula>
    </cfRule>
  </conditionalFormatting>
  <conditionalFormatting sqref="B392">
    <cfRule type="containsText" dxfId="79" priority="105" operator="containsText" text="曉天">
      <formula>NOT(ISERROR(SEARCH("曉天",B392)))</formula>
    </cfRule>
    <cfRule type="containsText" dxfId="78" priority="106" operator="containsText" text="凌絕">
      <formula>NOT(ISERROR(SEARCH("凌絕",B392)))</formula>
    </cfRule>
    <cfRule type="containsText" dxfId="77" priority="107" operator="containsText" text="天韶">
      <formula>NOT(ISERROR(SEARCH("天韶",B392)))</formula>
    </cfRule>
    <cfRule type="containsText" dxfId="76" priority="108" operator="containsText" text="鶴夢">
      <formula>NOT(ISERROR(SEARCH("鶴夢",B392)))</formula>
    </cfRule>
    <cfRule type="containsText" dxfId="75" priority="109" operator="containsText" text="宿寂">
      <formula>NOT(ISERROR(SEARCH("宿寂",B392)))</formula>
    </cfRule>
    <cfRule type="containsText" dxfId="74" priority="110" operator="containsText" text="茲櫟">
      <formula>NOT(ISERROR(SEARCH("茲櫟",B392)))</formula>
    </cfRule>
    <cfRule type="containsText" dxfId="73" priority="111" operator="containsText" text="寒夜">
      <formula>NOT(ISERROR(SEARCH("寒夜",B392)))</formula>
    </cfRule>
    <cfRule type="containsText" dxfId="72" priority="112" operator="containsText" text="無界">
      <formula>NOT(ISERROR(SEARCH("無界",B392)))</formula>
    </cfRule>
  </conditionalFormatting>
  <conditionalFormatting sqref="B394">
    <cfRule type="containsText" dxfId="71" priority="97" operator="containsText" text="曉天">
      <formula>NOT(ISERROR(SEARCH("曉天",B394)))</formula>
    </cfRule>
    <cfRule type="containsText" dxfId="70" priority="98" operator="containsText" text="凌絕">
      <formula>NOT(ISERROR(SEARCH("凌絕",B394)))</formula>
    </cfRule>
    <cfRule type="containsText" dxfId="69" priority="99" operator="containsText" text="天韶">
      <formula>NOT(ISERROR(SEARCH("天韶",B394)))</formula>
    </cfRule>
    <cfRule type="containsText" dxfId="68" priority="100" operator="containsText" text="鶴夢">
      <formula>NOT(ISERROR(SEARCH("鶴夢",B394)))</formula>
    </cfRule>
    <cfRule type="containsText" dxfId="67" priority="101" operator="containsText" text="宿寂">
      <formula>NOT(ISERROR(SEARCH("宿寂",B394)))</formula>
    </cfRule>
    <cfRule type="containsText" dxfId="66" priority="102" operator="containsText" text="茲櫟">
      <formula>NOT(ISERROR(SEARCH("茲櫟",B394)))</formula>
    </cfRule>
    <cfRule type="containsText" dxfId="65" priority="103" operator="containsText" text="寒夜">
      <formula>NOT(ISERROR(SEARCH("寒夜",B394)))</formula>
    </cfRule>
    <cfRule type="containsText" dxfId="64" priority="104" operator="containsText" text="無界">
      <formula>NOT(ISERROR(SEARCH("無界",B394)))</formula>
    </cfRule>
  </conditionalFormatting>
  <conditionalFormatting sqref="B395:B397">
    <cfRule type="containsText" dxfId="63" priority="65" operator="containsText" text="曉天">
      <formula>NOT(ISERROR(SEARCH("曉天",B395)))</formula>
    </cfRule>
    <cfRule type="containsText" dxfId="62" priority="66" operator="containsText" text="凌絕">
      <formula>NOT(ISERROR(SEARCH("凌絕",B395)))</formula>
    </cfRule>
    <cfRule type="containsText" dxfId="61" priority="67" operator="containsText" text="天韶">
      <formula>NOT(ISERROR(SEARCH("天韶",B395)))</formula>
    </cfRule>
    <cfRule type="containsText" dxfId="60" priority="68" operator="containsText" text="鶴夢">
      <formula>NOT(ISERROR(SEARCH("鶴夢",B395)))</formula>
    </cfRule>
    <cfRule type="containsText" dxfId="59" priority="69" operator="containsText" text="宿寂">
      <formula>NOT(ISERROR(SEARCH("宿寂",B395)))</formula>
    </cfRule>
    <cfRule type="containsText" dxfId="58" priority="70" operator="containsText" text="茲櫟">
      <formula>NOT(ISERROR(SEARCH("茲櫟",B395)))</formula>
    </cfRule>
    <cfRule type="containsText" dxfId="57" priority="71" operator="containsText" text="寒夜">
      <formula>NOT(ISERROR(SEARCH("寒夜",B395)))</formula>
    </cfRule>
    <cfRule type="containsText" dxfId="56" priority="72" operator="containsText" text="無界">
      <formula>NOT(ISERROR(SEARCH("無界",B395)))</formula>
    </cfRule>
  </conditionalFormatting>
  <conditionalFormatting sqref="B397">
    <cfRule type="containsText" dxfId="55" priority="57" operator="containsText" text="曉天">
      <formula>NOT(ISERROR(SEARCH("曉天",B397)))</formula>
    </cfRule>
    <cfRule type="containsText" dxfId="54" priority="58" operator="containsText" text="凌絕">
      <formula>NOT(ISERROR(SEARCH("凌絕",B397)))</formula>
    </cfRule>
    <cfRule type="containsText" dxfId="53" priority="59" operator="containsText" text="天韶">
      <formula>NOT(ISERROR(SEARCH("天韶",B397)))</formula>
    </cfRule>
    <cfRule type="containsText" dxfId="52" priority="60" operator="containsText" text="鶴夢">
      <formula>NOT(ISERROR(SEARCH("鶴夢",B397)))</formula>
    </cfRule>
    <cfRule type="containsText" dxfId="51" priority="61" operator="containsText" text="宿寂">
      <formula>NOT(ISERROR(SEARCH("宿寂",B397)))</formula>
    </cfRule>
    <cfRule type="containsText" dxfId="50" priority="62" operator="containsText" text="茲櫟">
      <formula>NOT(ISERROR(SEARCH("茲櫟",B397)))</formula>
    </cfRule>
    <cfRule type="containsText" dxfId="49" priority="63" operator="containsText" text="寒夜">
      <formula>NOT(ISERROR(SEARCH("寒夜",B397)))</formula>
    </cfRule>
    <cfRule type="containsText" dxfId="48" priority="64" operator="containsText" text="無界">
      <formula>NOT(ISERROR(SEARCH("無界",B397)))</formula>
    </cfRule>
  </conditionalFormatting>
  <conditionalFormatting sqref="B386">
    <cfRule type="containsText" dxfId="47" priority="49" operator="containsText" text="曉天">
      <formula>NOT(ISERROR(SEARCH("曉天",B386)))</formula>
    </cfRule>
    <cfRule type="containsText" dxfId="46" priority="50" operator="containsText" text="凌絕">
      <formula>NOT(ISERROR(SEARCH("凌絕",B386)))</formula>
    </cfRule>
    <cfRule type="containsText" dxfId="45" priority="51" operator="containsText" text="天韶">
      <formula>NOT(ISERROR(SEARCH("天韶",B386)))</formula>
    </cfRule>
    <cfRule type="containsText" dxfId="44" priority="52" operator="containsText" text="鶴夢">
      <formula>NOT(ISERROR(SEARCH("鶴夢",B386)))</formula>
    </cfRule>
    <cfRule type="containsText" dxfId="43" priority="53" operator="containsText" text="宿寂">
      <formula>NOT(ISERROR(SEARCH("宿寂",B386)))</formula>
    </cfRule>
    <cfRule type="containsText" dxfId="42" priority="54" operator="containsText" text="茲櫟">
      <formula>NOT(ISERROR(SEARCH("茲櫟",B386)))</formula>
    </cfRule>
    <cfRule type="containsText" dxfId="41" priority="55" operator="containsText" text="寒夜">
      <formula>NOT(ISERROR(SEARCH("寒夜",B386)))</formula>
    </cfRule>
    <cfRule type="containsText" dxfId="40" priority="56" operator="containsText" text="無界">
      <formula>NOT(ISERROR(SEARCH("無界",B386)))</formula>
    </cfRule>
  </conditionalFormatting>
  <conditionalFormatting sqref="B373:B374">
    <cfRule type="containsText" dxfId="39" priority="41" operator="containsText" text="曉天">
      <formula>NOT(ISERROR(SEARCH("曉天",B373)))</formula>
    </cfRule>
    <cfRule type="containsText" dxfId="38" priority="42" operator="containsText" text="凌絕">
      <formula>NOT(ISERROR(SEARCH("凌絕",B373)))</formula>
    </cfRule>
    <cfRule type="containsText" dxfId="37" priority="43" operator="containsText" text="天韶">
      <formula>NOT(ISERROR(SEARCH("天韶",B373)))</formula>
    </cfRule>
    <cfRule type="containsText" dxfId="36" priority="44" operator="containsText" text="鶴夢">
      <formula>NOT(ISERROR(SEARCH("鶴夢",B373)))</formula>
    </cfRule>
    <cfRule type="containsText" dxfId="35" priority="45" operator="containsText" text="宿寂">
      <formula>NOT(ISERROR(SEARCH("宿寂",B373)))</formula>
    </cfRule>
    <cfRule type="containsText" dxfId="34" priority="46" operator="containsText" text="茲櫟">
      <formula>NOT(ISERROR(SEARCH("茲櫟",B373)))</formula>
    </cfRule>
    <cfRule type="containsText" dxfId="33" priority="47" operator="containsText" text="寒夜">
      <formula>NOT(ISERROR(SEARCH("寒夜",B373)))</formula>
    </cfRule>
    <cfRule type="containsText" dxfId="32" priority="48" operator="containsText" text="無界">
      <formula>NOT(ISERROR(SEARCH("無界",B373)))</formula>
    </cfRule>
  </conditionalFormatting>
  <conditionalFormatting sqref="B198">
    <cfRule type="containsText" dxfId="31" priority="33" operator="containsText" text="曉天">
      <formula>NOT(ISERROR(SEARCH("曉天",B198)))</formula>
    </cfRule>
    <cfRule type="containsText" dxfId="30" priority="34" operator="containsText" text="凌絕">
      <formula>NOT(ISERROR(SEARCH("凌絕",B198)))</formula>
    </cfRule>
    <cfRule type="containsText" dxfId="29" priority="35" operator="containsText" text="天韶">
      <formula>NOT(ISERROR(SEARCH("天韶",B198)))</formula>
    </cfRule>
    <cfRule type="containsText" dxfId="28" priority="36" operator="containsText" text="鶴夢">
      <formula>NOT(ISERROR(SEARCH("鶴夢",B198)))</formula>
    </cfRule>
    <cfRule type="containsText" dxfId="27" priority="37" operator="containsText" text="宿寂">
      <formula>NOT(ISERROR(SEARCH("宿寂",B198)))</formula>
    </cfRule>
    <cfRule type="containsText" dxfId="26" priority="38" operator="containsText" text="茲櫟">
      <formula>NOT(ISERROR(SEARCH("茲櫟",B198)))</formula>
    </cfRule>
    <cfRule type="containsText" dxfId="25" priority="39" operator="containsText" text="寒夜">
      <formula>NOT(ISERROR(SEARCH("寒夜",B198)))</formula>
    </cfRule>
    <cfRule type="containsText" dxfId="24" priority="40" operator="containsText" text="無界">
      <formula>NOT(ISERROR(SEARCH("無界",B198)))</formula>
    </cfRule>
  </conditionalFormatting>
  <conditionalFormatting sqref="B153">
    <cfRule type="containsText" dxfId="23" priority="25" operator="containsText" text="曉天">
      <formula>NOT(ISERROR(SEARCH("曉天",B153)))</formula>
    </cfRule>
    <cfRule type="containsText" dxfId="22" priority="26" operator="containsText" text="凌絕">
      <formula>NOT(ISERROR(SEARCH("凌絕",B153)))</formula>
    </cfRule>
    <cfRule type="containsText" dxfId="21" priority="27" operator="containsText" text="天韶">
      <formula>NOT(ISERROR(SEARCH("天韶",B153)))</formula>
    </cfRule>
    <cfRule type="containsText" dxfId="20" priority="28" operator="containsText" text="鶴夢">
      <formula>NOT(ISERROR(SEARCH("鶴夢",B153)))</formula>
    </cfRule>
    <cfRule type="containsText" dxfId="19" priority="29" operator="containsText" text="宿寂">
      <formula>NOT(ISERROR(SEARCH("宿寂",B153)))</formula>
    </cfRule>
    <cfRule type="containsText" dxfId="18" priority="30" operator="containsText" text="茲櫟">
      <formula>NOT(ISERROR(SEARCH("茲櫟",B153)))</formula>
    </cfRule>
    <cfRule type="containsText" dxfId="17" priority="31" operator="containsText" text="寒夜">
      <formula>NOT(ISERROR(SEARCH("寒夜",B153)))</formula>
    </cfRule>
    <cfRule type="containsText" dxfId="16" priority="32" operator="containsText" text="無界">
      <formula>NOT(ISERROR(SEARCH("無界",B153)))</formula>
    </cfRule>
  </conditionalFormatting>
  <conditionalFormatting sqref="B325">
    <cfRule type="containsText" dxfId="15" priority="17" operator="containsText" text="曉天">
      <formula>NOT(ISERROR(SEARCH("曉天",B325)))</formula>
    </cfRule>
    <cfRule type="containsText" dxfId="14" priority="18" operator="containsText" text="凌絕">
      <formula>NOT(ISERROR(SEARCH("凌絕",B325)))</formula>
    </cfRule>
    <cfRule type="containsText" dxfId="13" priority="19" operator="containsText" text="天韶">
      <formula>NOT(ISERROR(SEARCH("天韶",B325)))</formula>
    </cfRule>
    <cfRule type="containsText" dxfId="12" priority="20" operator="containsText" text="鶴夢">
      <formula>NOT(ISERROR(SEARCH("鶴夢",B325)))</formula>
    </cfRule>
    <cfRule type="containsText" dxfId="11" priority="21" operator="containsText" text="宿寂">
      <formula>NOT(ISERROR(SEARCH("宿寂",B325)))</formula>
    </cfRule>
    <cfRule type="containsText" dxfId="10" priority="22" operator="containsText" text="茲櫟">
      <formula>NOT(ISERROR(SEARCH("茲櫟",B325)))</formula>
    </cfRule>
    <cfRule type="containsText" dxfId="9" priority="23" operator="containsText" text="寒夜">
      <formula>NOT(ISERROR(SEARCH("寒夜",B325)))</formula>
    </cfRule>
    <cfRule type="containsText" dxfId="8" priority="24" operator="containsText" text="無界">
      <formula>NOT(ISERROR(SEARCH("無界",B325)))</formula>
    </cfRule>
  </conditionalFormatting>
  <conditionalFormatting sqref="B326">
    <cfRule type="containsText" dxfId="7" priority="1" operator="containsText" text="曉天">
      <formula>NOT(ISERROR(SEARCH("曉天",B326)))</formula>
    </cfRule>
    <cfRule type="containsText" dxfId="6" priority="2" operator="containsText" text="凌絕">
      <formula>NOT(ISERROR(SEARCH("凌絕",B326)))</formula>
    </cfRule>
    <cfRule type="containsText" dxfId="5" priority="3" operator="containsText" text="天韶">
      <formula>NOT(ISERROR(SEARCH("天韶",B326)))</formula>
    </cfRule>
    <cfRule type="containsText" dxfId="4" priority="4" operator="containsText" text="鶴夢">
      <formula>NOT(ISERROR(SEARCH("鶴夢",B326)))</formula>
    </cfRule>
    <cfRule type="containsText" dxfId="3" priority="5" operator="containsText" text="宿寂">
      <formula>NOT(ISERROR(SEARCH("宿寂",B326)))</formula>
    </cfRule>
    <cfRule type="containsText" dxfId="2" priority="6" operator="containsText" text="茲櫟">
      <formula>NOT(ISERROR(SEARCH("茲櫟",B326)))</formula>
    </cfRule>
    <cfRule type="containsText" dxfId="1" priority="7" operator="containsText" text="寒夜">
      <formula>NOT(ISERROR(SEARCH("寒夜",B326)))</formula>
    </cfRule>
    <cfRule type="containsText" dxfId="0" priority="8" operator="containsText" text="無界">
      <formula>NOT(ISERROR(SEARCH("無界",B326)))</formula>
    </cfRule>
  </conditionalFormatting>
  <dataValidations count="1">
    <dataValidation type="list" allowBlank="1" showInputMessage="1" showErrorMessage="1" sqref="A2:A475" xr:uid="{00000000-0002-0000-0200-000000000000}">
      <formula1>裝備部位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0BFD-45F4-4528-9BCC-E766AD4A860D}">
  <sheetPr codeName="工作表9"/>
  <dimension ref="A1:Q334"/>
  <sheetViews>
    <sheetView workbookViewId="0">
      <pane ySplit="1" topLeftCell="A2" activePane="bottomLeft" state="frozen"/>
      <selection pane="bottomLeft" activeCell="F10" sqref="F10"/>
    </sheetView>
  </sheetViews>
  <sheetFormatPr defaultRowHeight="18.75" customHeight="1"/>
  <cols>
    <col min="1" max="1" width="6" style="326" customWidth="1"/>
    <col min="2" max="2" width="8" style="324" customWidth="1"/>
    <col min="3" max="3" width="23.5" style="93" customWidth="1"/>
    <col min="4" max="4" width="10.125" style="93" customWidth="1"/>
    <col min="5" max="5" width="10" style="325" customWidth="1"/>
    <col min="6" max="6" width="12.875" style="325" customWidth="1"/>
    <col min="7" max="7" width="9.125" style="325" customWidth="1"/>
    <col min="8" max="8" width="10.125" style="325" customWidth="1"/>
    <col min="9" max="9" width="13.25" style="325" customWidth="1"/>
    <col min="10" max="10" width="9.5" style="325" customWidth="1"/>
    <col min="11" max="11" width="8.375" style="325" customWidth="1"/>
    <col min="12" max="12" width="9.875" style="325" customWidth="1"/>
    <col min="13" max="13" width="10.375" style="325" customWidth="1"/>
    <col min="14" max="14" width="35.875" style="93" customWidth="1"/>
    <col min="15" max="16384" width="9" style="325"/>
  </cols>
  <sheetData>
    <row r="1" spans="1:15" s="317" customFormat="1" ht="18.75" customHeight="1">
      <c r="A1" s="316" t="s">
        <v>507</v>
      </c>
      <c r="B1" s="317" t="s">
        <v>122</v>
      </c>
      <c r="C1" s="318" t="s">
        <v>125</v>
      </c>
      <c r="D1" s="319" t="s">
        <v>133</v>
      </c>
      <c r="E1" s="320" t="s">
        <v>508</v>
      </c>
      <c r="F1" s="151" t="s">
        <v>126</v>
      </c>
      <c r="G1" s="321" t="s">
        <v>114</v>
      </c>
      <c r="H1" s="154" t="s">
        <v>112</v>
      </c>
      <c r="I1" s="322" t="s">
        <v>113</v>
      </c>
      <c r="J1" s="323" t="s">
        <v>111</v>
      </c>
      <c r="K1" s="147" t="s">
        <v>115</v>
      </c>
      <c r="L1" s="317" t="s">
        <v>123</v>
      </c>
      <c r="M1" s="317" t="s">
        <v>294</v>
      </c>
      <c r="N1" s="317" t="s">
        <v>124</v>
      </c>
      <c r="O1" s="317" t="s">
        <v>152</v>
      </c>
    </row>
    <row r="2" spans="1:15" ht="18.75" customHeight="1">
      <c r="N2" s="315"/>
    </row>
    <row r="3" spans="1:15" ht="18.75" customHeight="1">
      <c r="N3" s="315"/>
    </row>
    <row r="4" spans="1:15" ht="18.75" customHeight="1">
      <c r="N4" s="315"/>
    </row>
    <row r="5" spans="1:15" ht="18.75" customHeight="1">
      <c r="C5" s="440"/>
      <c r="N5" s="315"/>
    </row>
    <row r="6" spans="1:15" ht="18.75" customHeight="1">
      <c r="N6" s="315"/>
    </row>
    <row r="7" spans="1:15" ht="18.75" customHeight="1">
      <c r="N7" s="315"/>
    </row>
    <row r="8" spans="1:15" ht="18.75" customHeight="1">
      <c r="N8" s="315"/>
    </row>
    <row r="9" spans="1:15" ht="18.75" customHeight="1">
      <c r="N9" s="315"/>
    </row>
    <row r="10" spans="1:15" ht="18.75" customHeight="1">
      <c r="N10" s="315"/>
    </row>
    <row r="11" spans="1:15" ht="18.75" customHeight="1">
      <c r="N11" s="315"/>
    </row>
    <row r="12" spans="1:15" ht="18.75" customHeight="1">
      <c r="N12" s="315"/>
    </row>
    <row r="13" spans="1:15" ht="18.75" customHeight="1">
      <c r="N13" s="315"/>
    </row>
    <row r="14" spans="1:15" ht="18.75" customHeight="1">
      <c r="N14" s="315"/>
    </row>
    <row r="15" spans="1:15" ht="18.75" customHeight="1">
      <c r="N15" s="315"/>
    </row>
    <row r="16" spans="1:15" ht="18.75" customHeight="1">
      <c r="N16" s="315"/>
    </row>
    <row r="17" spans="14:17" ht="18.75" customHeight="1">
      <c r="N17" s="315"/>
    </row>
    <row r="18" spans="14:17" ht="18.75" customHeight="1">
      <c r="N18" s="315"/>
    </row>
    <row r="19" spans="14:17" ht="18.75" customHeight="1">
      <c r="N19" s="315"/>
    </row>
    <row r="20" spans="14:17" ht="18.75" customHeight="1">
      <c r="N20" s="315"/>
    </row>
    <row r="21" spans="14:17" ht="18.75" customHeight="1">
      <c r="N21" s="315"/>
    </row>
    <row r="22" spans="14:17" ht="18.75" customHeight="1">
      <c r="N22" s="315"/>
    </row>
    <row r="23" spans="14:17" ht="18.75" customHeight="1">
      <c r="N23" s="315"/>
      <c r="O23" s="325">
        <f>0</f>
        <v>0</v>
      </c>
      <c r="P23" s="325">
        <f>2560+19</f>
        <v>2579</v>
      </c>
      <c r="Q23" s="325">
        <f>3225+242+64</f>
        <v>3531</v>
      </c>
    </row>
    <row r="29" spans="14:17" ht="18.75" customHeight="1">
      <c r="N29" s="315"/>
    </row>
    <row r="30" spans="14:17" ht="18.75" customHeight="1">
      <c r="N30" s="315"/>
    </row>
    <row r="31" spans="14:17" ht="18.75" customHeight="1">
      <c r="N31" s="315"/>
    </row>
    <row r="33" spans="14:14" ht="18.75" customHeight="1">
      <c r="N33" s="315"/>
    </row>
    <row r="34" spans="14:14" ht="18.75" customHeight="1">
      <c r="N34" s="315"/>
    </row>
    <row r="35" spans="14:14" ht="18.75" customHeight="1">
      <c r="N35" s="315"/>
    </row>
    <row r="36" spans="14:14" ht="18.75" customHeight="1">
      <c r="N36" s="315"/>
    </row>
    <row r="37" spans="14:14" ht="18.75" customHeight="1">
      <c r="N37" s="315"/>
    </row>
    <row r="38" spans="14:14" ht="18.75" customHeight="1">
      <c r="N38" s="315"/>
    </row>
    <row r="45" spans="14:14" ht="18.75" customHeight="1">
      <c r="N45" s="315"/>
    </row>
    <row r="47" spans="14:14" ht="18.75" customHeight="1">
      <c r="N47" s="315"/>
    </row>
    <row r="48" spans="14:14" ht="18.75" customHeight="1">
      <c r="N48" s="315"/>
    </row>
    <row r="49" spans="14:14" ht="18.75" customHeight="1">
      <c r="N49" s="315"/>
    </row>
    <row r="52" spans="14:14" ht="18.75" customHeight="1">
      <c r="N52" s="315"/>
    </row>
    <row r="53" spans="14:14" ht="18.75" customHeight="1">
      <c r="N53" s="315"/>
    </row>
    <row r="54" spans="14:14" ht="18.75" customHeight="1">
      <c r="N54" s="315"/>
    </row>
    <row r="55" spans="14:14" ht="18.75" customHeight="1">
      <c r="N55" s="315"/>
    </row>
    <row r="56" spans="14:14" ht="18.75" customHeight="1">
      <c r="N56" s="315"/>
    </row>
    <row r="64" spans="14:14" ht="18.75" customHeight="1">
      <c r="N64" s="315"/>
    </row>
    <row r="65" spans="14:14" ht="18.75" customHeight="1">
      <c r="N65" s="315"/>
    </row>
    <row r="80" spans="14:14" ht="18.75" customHeight="1">
      <c r="N80" s="315"/>
    </row>
    <row r="90" spans="14:14" ht="18.75" customHeight="1">
      <c r="N90" s="315"/>
    </row>
    <row r="91" spans="14:14" ht="18.75" customHeight="1">
      <c r="N91" s="315"/>
    </row>
    <row r="92" spans="14:14" ht="18.75" customHeight="1">
      <c r="N92" s="315"/>
    </row>
    <row r="93" spans="14:14" ht="18.75" customHeight="1">
      <c r="N93" s="315"/>
    </row>
    <row r="94" spans="14:14" ht="18.75" customHeight="1">
      <c r="N94" s="315"/>
    </row>
    <row r="95" spans="14:14" ht="18.75" customHeight="1">
      <c r="N95" s="315"/>
    </row>
    <row r="98" spans="14:14" ht="18.75" customHeight="1">
      <c r="N98" s="315"/>
    </row>
    <row r="99" spans="14:14" ht="18.75" customHeight="1">
      <c r="N99" s="315"/>
    </row>
    <row r="100" spans="14:14" ht="18.75" customHeight="1">
      <c r="N100" s="315"/>
    </row>
    <row r="101" spans="14:14" ht="18.75" customHeight="1">
      <c r="N101" s="315"/>
    </row>
    <row r="102" spans="14:14" ht="18.75" customHeight="1">
      <c r="N102" s="315"/>
    </row>
    <row r="103" spans="14:14" ht="18.75" customHeight="1">
      <c r="N103" s="315"/>
    </row>
    <row r="118" spans="14:14" ht="18.75" customHeight="1">
      <c r="N118" s="315"/>
    </row>
    <row r="119" spans="14:14" ht="18.75" customHeight="1">
      <c r="N119" s="315"/>
    </row>
    <row r="120" spans="14:14" ht="18.75" customHeight="1">
      <c r="N120" s="315"/>
    </row>
    <row r="121" spans="14:14" ht="18.75" customHeight="1">
      <c r="N121" s="315"/>
    </row>
    <row r="122" spans="14:14" ht="18.75" customHeight="1">
      <c r="N122" s="315"/>
    </row>
    <row r="123" spans="14:14" ht="18.75" customHeight="1">
      <c r="N123" s="315"/>
    </row>
    <row r="129" spans="14:14" ht="18.75" customHeight="1">
      <c r="N129" s="315"/>
    </row>
    <row r="130" spans="14:14" ht="18.75" customHeight="1">
      <c r="N130" s="315"/>
    </row>
    <row r="131" spans="14:14" ht="18.75" customHeight="1">
      <c r="N131" s="315"/>
    </row>
    <row r="137" spans="14:14" ht="18.75" customHeight="1">
      <c r="N137" s="315"/>
    </row>
    <row r="138" spans="14:14" ht="18.75" customHeight="1">
      <c r="N138" s="315"/>
    </row>
    <row r="139" spans="14:14" ht="18.75" customHeight="1">
      <c r="N139" s="315"/>
    </row>
    <row r="140" spans="14:14" ht="18.75" customHeight="1">
      <c r="N140" s="315"/>
    </row>
    <row r="141" spans="14:14" ht="18.75" customHeight="1">
      <c r="N141" s="315"/>
    </row>
    <row r="144" spans="14:14" ht="18.75" customHeight="1">
      <c r="N144" s="315"/>
    </row>
    <row r="145" spans="14:14" ht="18.75" customHeight="1">
      <c r="N145" s="315"/>
    </row>
    <row r="155" spans="14:14" ht="18.75" customHeight="1">
      <c r="N155" s="315"/>
    </row>
    <row r="156" spans="14:14" ht="18.75" customHeight="1">
      <c r="N156" s="315"/>
    </row>
    <row r="157" spans="14:14" ht="18.75" customHeight="1">
      <c r="N157" s="315"/>
    </row>
    <row r="158" spans="14:14" ht="18.75" customHeight="1">
      <c r="N158" s="315"/>
    </row>
    <row r="159" spans="14:14" ht="18.75" customHeight="1">
      <c r="N159" s="315"/>
    </row>
    <row r="160" spans="14:14" ht="18.75" customHeight="1">
      <c r="N160" s="315"/>
    </row>
    <row r="162" spans="14:14" ht="18.75" customHeight="1">
      <c r="N162" s="315"/>
    </row>
    <row r="163" spans="14:14" ht="18.75" customHeight="1">
      <c r="N163" s="315"/>
    </row>
    <row r="164" spans="14:14" ht="18.75" customHeight="1">
      <c r="N164" s="315"/>
    </row>
    <row r="165" spans="14:14" ht="18.75" customHeight="1">
      <c r="N165" s="315"/>
    </row>
    <row r="166" spans="14:14" ht="18.75" customHeight="1">
      <c r="N166" s="315"/>
    </row>
    <row r="167" spans="14:14" ht="18.75" customHeight="1">
      <c r="N167" s="315"/>
    </row>
    <row r="172" spans="14:14" ht="18.75" customHeight="1">
      <c r="N172" s="315"/>
    </row>
    <row r="173" spans="14:14" ht="18.75" customHeight="1">
      <c r="N173" s="315"/>
    </row>
    <row r="174" spans="14:14" ht="18.75" customHeight="1">
      <c r="N174" s="315"/>
    </row>
    <row r="175" spans="14:14" ht="18.75" customHeight="1">
      <c r="N175" s="315"/>
    </row>
    <row r="176" spans="14:14" ht="18.75" customHeight="1">
      <c r="N176" s="315"/>
    </row>
    <row r="177" spans="14:14" ht="18.75" customHeight="1">
      <c r="N177" s="315"/>
    </row>
    <row r="187" spans="14:14" ht="18.75" customHeight="1">
      <c r="N187" s="315"/>
    </row>
    <row r="188" spans="14:14" ht="18.75" customHeight="1">
      <c r="N188" s="315"/>
    </row>
    <row r="189" spans="14:14" ht="18.75" customHeight="1">
      <c r="N189" s="315"/>
    </row>
    <row r="191" spans="14:14" ht="18.75" customHeight="1">
      <c r="N191" s="315"/>
    </row>
    <row r="192" spans="14:14" ht="18.75" customHeight="1">
      <c r="N192" s="315"/>
    </row>
    <row r="193" spans="14:14" ht="18.75" customHeight="1">
      <c r="N193" s="315"/>
    </row>
    <row r="201" spans="14:14" ht="18.75" customHeight="1">
      <c r="N201" s="315"/>
    </row>
    <row r="202" spans="14:14" ht="18.75" customHeight="1">
      <c r="N202" s="315"/>
    </row>
    <row r="205" spans="14:14" ht="18.75" customHeight="1">
      <c r="N205" s="315"/>
    </row>
    <row r="206" spans="14:14" ht="18.75" customHeight="1">
      <c r="N206" s="315"/>
    </row>
    <row r="207" spans="14:14" ht="18.75" customHeight="1">
      <c r="N207" s="315"/>
    </row>
    <row r="209" spans="14:14" ht="18.75" customHeight="1">
      <c r="N209" s="315"/>
    </row>
    <row r="210" spans="14:14" ht="18.75" customHeight="1">
      <c r="N210" s="315"/>
    </row>
    <row r="211" spans="14:14" ht="18.75" customHeight="1">
      <c r="N211" s="315"/>
    </row>
    <row r="216" spans="14:14" ht="18.75" customHeight="1">
      <c r="N216" s="315"/>
    </row>
    <row r="223" spans="14:14" ht="18.75" customHeight="1">
      <c r="N223" s="315"/>
    </row>
    <row r="224" spans="14:14" ht="18.75" customHeight="1">
      <c r="N224" s="315"/>
    </row>
    <row r="228" spans="14:14" ht="18.75" customHeight="1">
      <c r="N228" s="315"/>
    </row>
    <row r="233" spans="14:14" ht="18.75" customHeight="1">
      <c r="N233" s="315"/>
    </row>
    <row r="234" spans="14:14" ht="18.75" customHeight="1">
      <c r="N234" s="315"/>
    </row>
    <row r="239" spans="14:14" ht="18.75" customHeight="1">
      <c r="N239" s="315"/>
    </row>
    <row r="240" spans="14:14" ht="18.75" customHeight="1">
      <c r="N240" s="315"/>
    </row>
    <row r="241" spans="14:14" ht="18.75" customHeight="1">
      <c r="N241" s="315"/>
    </row>
    <row r="242" spans="14:14" ht="18.75" customHeight="1">
      <c r="N242" s="315"/>
    </row>
    <row r="243" spans="14:14" ht="18.75" customHeight="1">
      <c r="N243" s="315"/>
    </row>
    <row r="244" spans="14:14" ht="18.75" customHeight="1">
      <c r="N244" s="315"/>
    </row>
    <row r="246" spans="14:14" ht="18.75" customHeight="1">
      <c r="N246" s="315"/>
    </row>
    <row r="247" spans="14:14" ht="18.75" customHeight="1">
      <c r="N247" s="315"/>
    </row>
    <row r="294" spans="15:15" ht="18.75" customHeight="1">
      <c r="O294" s="325">
        <v>189</v>
      </c>
    </row>
    <row r="295" spans="15:15" ht="18.75" customHeight="1">
      <c r="O295" s="325">
        <v>150</v>
      </c>
    </row>
    <row r="296" spans="15:15" ht="18.75" customHeight="1">
      <c r="O296" s="325">
        <v>233</v>
      </c>
    </row>
    <row r="297" spans="15:15" ht="18.75" customHeight="1">
      <c r="O297" s="325">
        <v>450</v>
      </c>
    </row>
    <row r="299" spans="15:15" ht="18.75" customHeight="1">
      <c r="O299" s="325">
        <v>300</v>
      </c>
    </row>
    <row r="300" spans="15:15" ht="18.75" customHeight="1">
      <c r="O300" s="325">
        <v>200</v>
      </c>
    </row>
    <row r="301" spans="15:15" ht="18.75" customHeight="1">
      <c r="O301" s="325">
        <v>209</v>
      </c>
    </row>
    <row r="302" spans="15:15" ht="18.75" customHeight="1">
      <c r="O302" s="325">
        <v>400</v>
      </c>
    </row>
    <row r="303" spans="15:15" ht="18.75" customHeight="1">
      <c r="O303" s="325">
        <v>400</v>
      </c>
    </row>
    <row r="304" spans="15:15" ht="18.75" customHeight="1">
      <c r="O304" s="325">
        <v>300</v>
      </c>
    </row>
    <row r="305" spans="3:15" ht="18.75" customHeight="1">
      <c r="O305" s="325">
        <v>300</v>
      </c>
    </row>
    <row r="306" spans="3:15" ht="18.75" customHeight="1">
      <c r="C306" s="315"/>
      <c r="O306" s="325">
        <v>185</v>
      </c>
    </row>
    <row r="307" spans="3:15" ht="18.75" customHeight="1">
      <c r="O307" s="325">
        <v>350</v>
      </c>
    </row>
    <row r="308" spans="3:15" ht="18.75" customHeight="1">
      <c r="O308" s="325">
        <v>200</v>
      </c>
    </row>
    <row r="309" spans="3:15" ht="18.75" customHeight="1">
      <c r="O309" s="325">
        <v>250</v>
      </c>
    </row>
    <row r="310" spans="3:15" ht="18.75" customHeight="1">
      <c r="O310" s="325">
        <v>185</v>
      </c>
    </row>
    <row r="311" spans="3:15" ht="18.75" customHeight="1">
      <c r="O311" s="325">
        <v>400</v>
      </c>
    </row>
    <row r="313" spans="3:15" ht="18.75" customHeight="1">
      <c r="O313" s="325">
        <v>210</v>
      </c>
    </row>
    <row r="314" spans="3:15" ht="18.75" customHeight="1">
      <c r="O314" s="325">
        <v>119</v>
      </c>
    </row>
    <row r="315" spans="3:15" ht="18.75" customHeight="1">
      <c r="O315" s="325">
        <v>318</v>
      </c>
    </row>
    <row r="317" spans="3:15" ht="18.75" customHeight="1">
      <c r="O317" s="325">
        <v>168</v>
      </c>
    </row>
    <row r="318" spans="3:15" ht="18.75" customHeight="1">
      <c r="O318" s="325">
        <v>156</v>
      </c>
    </row>
    <row r="319" spans="3:15" ht="18.75" customHeight="1">
      <c r="C319" s="315"/>
      <c r="O319" s="325">
        <v>270</v>
      </c>
    </row>
    <row r="320" spans="3:15" ht="18.75" customHeight="1">
      <c r="O320" s="325">
        <v>155</v>
      </c>
    </row>
    <row r="321" spans="3:15" ht="18.75" customHeight="1">
      <c r="O321" s="325">
        <v>130</v>
      </c>
    </row>
    <row r="322" spans="3:15" ht="18.75" customHeight="1">
      <c r="O322" s="325">
        <v>300</v>
      </c>
    </row>
    <row r="323" spans="3:15" ht="18.75" customHeight="1">
      <c r="O323" s="325">
        <v>111</v>
      </c>
    </row>
    <row r="324" spans="3:15" ht="18.75" customHeight="1">
      <c r="O324" s="325">
        <v>112</v>
      </c>
    </row>
    <row r="325" spans="3:15" ht="18.75" customHeight="1">
      <c r="O325" s="325">
        <v>270</v>
      </c>
    </row>
    <row r="326" spans="3:15" ht="18.75" customHeight="1">
      <c r="C326" s="315"/>
      <c r="O326" s="325">
        <v>249</v>
      </c>
    </row>
    <row r="327" spans="3:15" ht="18.75" customHeight="1">
      <c r="O327" s="325">
        <v>122</v>
      </c>
    </row>
    <row r="328" spans="3:15" ht="18.75" customHeight="1">
      <c r="O328" s="325">
        <v>310</v>
      </c>
    </row>
    <row r="330" spans="3:15" ht="18.75" customHeight="1">
      <c r="O330" s="325">
        <v>600</v>
      </c>
    </row>
    <row r="331" spans="3:15" ht="18.75" customHeight="1">
      <c r="O331" s="325">
        <v>2500</v>
      </c>
    </row>
    <row r="332" spans="3:15" ht="18.75" customHeight="1">
      <c r="O332" s="325">
        <v>200</v>
      </c>
    </row>
    <row r="333" spans="3:15" ht="18.75" customHeight="1">
      <c r="O333" s="325">
        <v>2500</v>
      </c>
    </row>
    <row r="334" spans="3:15" ht="18.75" customHeight="1">
      <c r="O334" s="325">
        <v>2500</v>
      </c>
    </row>
  </sheetData>
  <autoFilter ref="B1:O335" xr:uid="{00000000-0009-0000-0000-000002000000}"/>
  <phoneticPr fontId="44" type="noConversion"/>
  <dataValidations count="1">
    <dataValidation type="list" allowBlank="1" showInputMessage="1" showErrorMessage="1" sqref="B2:B334" xr:uid="{6CB743D8-DC7D-4AEE-B8D6-55F14ED42DDA}">
      <formula1>裝備部位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1"/>
  <dimension ref="A1:O106"/>
  <sheetViews>
    <sheetView topLeftCell="A7" workbookViewId="0">
      <selection activeCell="K23" sqref="K23"/>
    </sheetView>
  </sheetViews>
  <sheetFormatPr defaultRowHeight="18.75"/>
  <cols>
    <col min="1" max="1" width="8.875" style="17" bestFit="1" customWidth="1"/>
    <col min="2" max="3" width="10.5" style="17" bestFit="1" customWidth="1"/>
    <col min="4" max="4" width="9" style="17"/>
    <col min="5" max="6" width="10.5" style="17" bestFit="1" customWidth="1"/>
    <col min="7" max="7" width="9" style="17"/>
    <col min="8" max="8" width="10.5" style="17" bestFit="1" customWidth="1"/>
    <col min="9" max="11" width="12.5" style="17" bestFit="1" customWidth="1"/>
    <col min="12" max="12" width="9" style="17"/>
    <col min="13" max="13" width="10.5" style="17" bestFit="1" customWidth="1"/>
    <col min="14" max="16384" width="9" style="17"/>
  </cols>
  <sheetData>
    <row r="1" spans="1:15">
      <c r="A1" s="620" t="s">
        <v>2</v>
      </c>
      <c r="B1" s="619"/>
      <c r="C1" s="619"/>
    </row>
    <row r="2" spans="1:15" ht="19.5" thickBot="1">
      <c r="A2" s="619" t="s">
        <v>17</v>
      </c>
      <c r="B2" s="619"/>
    </row>
    <row r="3" spans="1:15" ht="19.5" thickBot="1">
      <c r="D3" s="17" t="s">
        <v>0</v>
      </c>
      <c r="E3" s="21">
        <v>2.0081000000000002</v>
      </c>
      <c r="F3" s="619" t="s">
        <v>1</v>
      </c>
      <c r="G3" s="619"/>
      <c r="H3" s="619"/>
      <c r="I3" s="619"/>
      <c r="J3" s="619"/>
    </row>
    <row r="5" spans="1:15">
      <c r="A5" s="22" t="s">
        <v>3</v>
      </c>
      <c r="B5" s="22" t="s">
        <v>4</v>
      </c>
      <c r="C5" s="23" t="s">
        <v>5</v>
      </c>
      <c r="D5" s="24" t="s">
        <v>6</v>
      </c>
      <c r="E5" s="22" t="s">
        <v>7</v>
      </c>
      <c r="F5" s="22" t="s">
        <v>8</v>
      </c>
      <c r="H5" s="619" t="s">
        <v>21</v>
      </c>
      <c r="I5" s="619"/>
      <c r="J5" s="619"/>
      <c r="K5" s="619"/>
    </row>
    <row r="6" spans="1:15">
      <c r="A6" s="25">
        <v>0</v>
      </c>
      <c r="B6" s="17">
        <v>10000</v>
      </c>
      <c r="C6" s="26"/>
      <c r="D6" s="27">
        <v>0</v>
      </c>
      <c r="E6" s="17">
        <v>10000</v>
      </c>
    </row>
    <row r="7" spans="1:15">
      <c r="A7" s="25">
        <v>0.01</v>
      </c>
      <c r="B7" s="17">
        <v>10100</v>
      </c>
      <c r="C7" s="28">
        <f>B7/B6</f>
        <v>1.01</v>
      </c>
      <c r="D7" s="27">
        <v>0.01</v>
      </c>
      <c r="E7" s="17">
        <f>10000*(1-D7)+10000*D7*E3</f>
        <v>10100.81</v>
      </c>
      <c r="F7" s="29">
        <f>E7/E6</f>
        <v>1.010081</v>
      </c>
      <c r="H7" s="30"/>
      <c r="I7" s="30" t="s">
        <v>14</v>
      </c>
      <c r="J7" s="30" t="s">
        <v>15</v>
      </c>
      <c r="K7" s="30" t="s">
        <v>16</v>
      </c>
      <c r="M7" s="30" t="s">
        <v>12</v>
      </c>
      <c r="N7" s="30" t="s">
        <v>13</v>
      </c>
    </row>
    <row r="8" spans="1:15">
      <c r="A8" s="25">
        <v>0.02</v>
      </c>
      <c r="B8" s="17">
        <v>10200</v>
      </c>
      <c r="C8" s="28">
        <f t="shared" ref="C8:C71" si="0">B8/B7</f>
        <v>1.0099009900990099</v>
      </c>
      <c r="D8" s="27">
        <v>0.02</v>
      </c>
      <c r="E8" s="17">
        <f>10000*(1-D8)+10000*D8*E3</f>
        <v>10201.620000000001</v>
      </c>
      <c r="F8" s="29">
        <f t="shared" ref="F8:F71" si="1">E8/E7</f>
        <v>1.0099803877114808</v>
      </c>
      <c r="H8" s="30" t="s">
        <v>9</v>
      </c>
      <c r="I8" s="31">
        <v>1.7317468297860454</v>
      </c>
      <c r="J8" s="31">
        <v>2.1600283038191535</v>
      </c>
      <c r="K8" s="31">
        <v>2.5883097778522615</v>
      </c>
      <c r="M8" s="30">
        <v>5</v>
      </c>
      <c r="N8" s="31">
        <v>0.52138614230117497</v>
      </c>
    </row>
    <row r="9" spans="1:15">
      <c r="A9" s="25">
        <v>0.03</v>
      </c>
      <c r="B9" s="17">
        <v>10300</v>
      </c>
      <c r="C9" s="28">
        <f t="shared" si="0"/>
        <v>1.0098039215686274</v>
      </c>
      <c r="D9" s="27">
        <v>0.03</v>
      </c>
      <c r="E9" s="17">
        <f>10000*(1-D9)+10000*D9*E3</f>
        <v>10302.43</v>
      </c>
      <c r="F9" s="29">
        <f t="shared" si="1"/>
        <v>1.0098817638767175</v>
      </c>
      <c r="H9" s="30" t="s">
        <v>10</v>
      </c>
      <c r="I9" s="31">
        <v>3.4448727259184775</v>
      </c>
      <c r="J9" s="31">
        <v>4.3014356739846935</v>
      </c>
      <c r="K9" s="31">
        <v>5.1766195557045229</v>
      </c>
      <c r="M9" s="30">
        <v>6</v>
      </c>
      <c r="N9" s="31">
        <v>0.63311174422285532</v>
      </c>
    </row>
    <row r="10" spans="1:15">
      <c r="A10" s="25">
        <v>0.04</v>
      </c>
      <c r="B10" s="17">
        <v>10400</v>
      </c>
      <c r="C10" s="28">
        <f t="shared" si="0"/>
        <v>1.0097087378640777</v>
      </c>
      <c r="D10" s="27">
        <v>0.04</v>
      </c>
      <c r="E10" s="17">
        <f>10000*(1-D10)+10000*D10*E3</f>
        <v>10403.24</v>
      </c>
      <c r="F10" s="29">
        <f t="shared" si="1"/>
        <v>1.0097850701242328</v>
      </c>
      <c r="H10" s="30" t="s">
        <v>11</v>
      </c>
      <c r="I10" s="31">
        <v>6.889745451836955</v>
      </c>
      <c r="J10" s="31">
        <v>8.6214922816230004</v>
      </c>
      <c r="K10" s="31">
        <v>10.334618177755432</v>
      </c>
      <c r="M10" s="30">
        <v>7</v>
      </c>
      <c r="N10" s="31">
        <v>0.83794201441260263</v>
      </c>
    </row>
    <row r="11" spans="1:15">
      <c r="A11" s="25">
        <v>0.05</v>
      </c>
      <c r="B11" s="17">
        <v>10500</v>
      </c>
      <c r="C11" s="28">
        <f t="shared" si="0"/>
        <v>1.0096153846153846</v>
      </c>
      <c r="D11" s="27">
        <v>0.05</v>
      </c>
      <c r="E11" s="17">
        <f>10000*(1-D11)+10000*D11*E3</f>
        <v>10504.05</v>
      </c>
      <c r="F11" s="29">
        <f t="shared" si="1"/>
        <v>1.0096902503450849</v>
      </c>
      <c r="M11" s="30">
        <v>8</v>
      </c>
      <c r="N11" s="31">
        <v>1.0800141519095767</v>
      </c>
    </row>
    <row r="12" spans="1:15">
      <c r="A12" s="25">
        <v>0.06</v>
      </c>
      <c r="B12" s="17">
        <v>10600</v>
      </c>
      <c r="C12" s="28">
        <f t="shared" si="0"/>
        <v>1.0095238095238095</v>
      </c>
      <c r="D12" s="27">
        <v>0.06</v>
      </c>
      <c r="E12" s="17">
        <f>10000*(1-D12)+10000*D12*E3</f>
        <v>10604.86</v>
      </c>
      <c r="F12" s="29">
        <f t="shared" si="1"/>
        <v>1.0095972505842985</v>
      </c>
      <c r="H12" s="619" t="s">
        <v>18</v>
      </c>
      <c r="I12" s="619"/>
      <c r="J12" s="619"/>
      <c r="K12" s="619"/>
      <c r="L12" s="619"/>
      <c r="M12" s="619"/>
      <c r="N12" s="619"/>
      <c r="O12" s="619"/>
    </row>
    <row r="13" spans="1:15">
      <c r="A13" s="25">
        <v>7.0000000000000007E-2</v>
      </c>
      <c r="B13" s="17">
        <v>10700</v>
      </c>
      <c r="C13" s="28">
        <f t="shared" si="0"/>
        <v>1.0094339622641511</v>
      </c>
      <c r="D13" s="27">
        <v>7.0000000000000007E-2</v>
      </c>
      <c r="E13" s="17">
        <f>10000*(1-D13)+10000*D13*E3</f>
        <v>10705.67</v>
      </c>
      <c r="F13" s="29">
        <f t="shared" si="1"/>
        <v>1.0095060189384866</v>
      </c>
      <c r="H13" s="619" t="s">
        <v>20</v>
      </c>
      <c r="I13" s="619"/>
      <c r="J13" s="619"/>
      <c r="K13" s="619"/>
      <c r="L13" s="619"/>
      <c r="M13" s="619"/>
      <c r="N13" s="619"/>
      <c r="O13" s="619"/>
    </row>
    <row r="14" spans="1:15">
      <c r="A14" s="25">
        <v>0.08</v>
      </c>
      <c r="B14" s="17">
        <v>10800</v>
      </c>
      <c r="C14" s="28">
        <f t="shared" si="0"/>
        <v>1.0093457943925233</v>
      </c>
      <c r="D14" s="27">
        <v>0.08</v>
      </c>
      <c r="E14" s="17">
        <f>10000*(1-D14)+10000*D14*E3</f>
        <v>10806.48</v>
      </c>
      <c r="F14" s="29">
        <f t="shared" si="1"/>
        <v>1.0094165054592565</v>
      </c>
      <c r="H14" s="619"/>
      <c r="I14" s="619"/>
      <c r="J14" s="619"/>
      <c r="K14" s="619"/>
      <c r="L14" s="619"/>
      <c r="M14" s="619"/>
      <c r="N14" s="619"/>
      <c r="O14" s="619"/>
    </row>
    <row r="15" spans="1:15">
      <c r="A15" s="25">
        <v>0.09</v>
      </c>
      <c r="B15" s="17">
        <v>10900</v>
      </c>
      <c r="C15" s="28">
        <f t="shared" si="0"/>
        <v>1.0092592592592593</v>
      </c>
      <c r="D15" s="27">
        <v>0.09</v>
      </c>
      <c r="E15" s="17">
        <f>10000*(1-D15)+10000*D15*E3</f>
        <v>10907.29</v>
      </c>
      <c r="F15" s="29">
        <f t="shared" si="1"/>
        <v>1.0093286620620221</v>
      </c>
      <c r="H15" s="17" t="s">
        <v>19</v>
      </c>
      <c r="I15" s="32"/>
    </row>
    <row r="16" spans="1:15">
      <c r="A16" s="25">
        <v>0.1</v>
      </c>
      <c r="B16" s="17">
        <v>11000</v>
      </c>
      <c r="C16" s="28">
        <f t="shared" si="0"/>
        <v>1.0091743119266054</v>
      </c>
      <c r="D16" s="27">
        <v>0.1</v>
      </c>
      <c r="E16" s="17">
        <f>10000*(1-D16)+10000*D16*E3</f>
        <v>11008.1</v>
      </c>
      <c r="F16" s="29">
        <f t="shared" si="1"/>
        <v>1.0092424424398727</v>
      </c>
      <c r="I16" s="32"/>
    </row>
    <row r="17" spans="1:15">
      <c r="A17" s="25">
        <v>0.11</v>
      </c>
      <c r="B17" s="17">
        <v>11100.000000000002</v>
      </c>
      <c r="C17" s="28">
        <f t="shared" si="0"/>
        <v>1.0090909090909093</v>
      </c>
      <c r="D17" s="27">
        <v>0.11</v>
      </c>
      <c r="E17" s="17">
        <f>10000*(1-D17)+10000*D17*E3</f>
        <v>11108.91</v>
      </c>
      <c r="F17" s="29">
        <f t="shared" si="1"/>
        <v>1.0091578019821767</v>
      </c>
      <c r="I17" s="33" t="s">
        <v>42</v>
      </c>
      <c r="J17" s="33" t="s">
        <v>40</v>
      </c>
      <c r="K17" s="33" t="s">
        <v>41</v>
      </c>
      <c r="L17" s="33" t="s">
        <v>46</v>
      </c>
      <c r="M17" s="33" t="s">
        <v>48</v>
      </c>
      <c r="N17" s="33" t="s">
        <v>49</v>
      </c>
      <c r="O17" s="33" t="s">
        <v>50</v>
      </c>
    </row>
    <row r="18" spans="1:15">
      <c r="A18" s="25">
        <v>0.12</v>
      </c>
      <c r="B18" s="17">
        <v>11200.000000000002</v>
      </c>
      <c r="C18" s="28">
        <f t="shared" si="0"/>
        <v>1.0090090090090089</v>
      </c>
      <c r="D18" s="27">
        <v>0.12</v>
      </c>
      <c r="E18" s="17">
        <f>10000*(1-D18)+10000*D18*E3</f>
        <v>11209.720000000001</v>
      </c>
      <c r="F18" s="29">
        <f t="shared" si="1"/>
        <v>1.0090746976976139</v>
      </c>
      <c r="H18" s="34" t="s">
        <v>45</v>
      </c>
      <c r="I18" s="35">
        <v>175</v>
      </c>
      <c r="J18" s="36">
        <v>0.5</v>
      </c>
      <c r="K18" s="37">
        <v>16</v>
      </c>
      <c r="L18" s="35">
        <v>1.0066999999999999</v>
      </c>
      <c r="M18" s="35">
        <f>(1.01+L18)*50/2</f>
        <v>50.417500000000004</v>
      </c>
      <c r="N18" s="35">
        <f>(1.0086+L18)*16/2</f>
        <v>16.122399999999999</v>
      </c>
      <c r="O18" s="35">
        <f>M18+N18</f>
        <v>66.539900000000003</v>
      </c>
    </row>
    <row r="19" spans="1:15">
      <c r="A19" s="25">
        <v>0.13</v>
      </c>
      <c r="B19" s="17">
        <v>11299.999999999998</v>
      </c>
      <c r="C19" s="28">
        <f t="shared" si="0"/>
        <v>1.0089285714285712</v>
      </c>
      <c r="D19" s="27">
        <v>0.13</v>
      </c>
      <c r="E19" s="17">
        <f>10000*(1-D19)+10000*D19*E3</f>
        <v>11310.53</v>
      </c>
      <c r="F19" s="29">
        <f t="shared" si="1"/>
        <v>1.0089930881413629</v>
      </c>
      <c r="H19" s="33" t="s">
        <v>44</v>
      </c>
      <c r="I19" s="38"/>
      <c r="J19" s="38"/>
      <c r="K19" s="38"/>
      <c r="L19" s="38"/>
    </row>
    <row r="20" spans="1:15">
      <c r="A20" s="25">
        <v>0.14000000000000001</v>
      </c>
      <c r="B20" s="17">
        <v>11400.000000000002</v>
      </c>
      <c r="C20" s="28">
        <f t="shared" si="0"/>
        <v>1.0088495575221241</v>
      </c>
      <c r="D20" s="27">
        <v>0.14000000000000001</v>
      </c>
      <c r="E20" s="17">
        <f>10000*(1-D20)+10000*D20*E3</f>
        <v>11411.34</v>
      </c>
      <c r="F20" s="29">
        <f t="shared" si="1"/>
        <v>1.0089129333461826</v>
      </c>
      <c r="H20" s="34" t="s">
        <v>38</v>
      </c>
      <c r="I20" s="35">
        <v>180.81</v>
      </c>
      <c r="J20" s="37">
        <v>44</v>
      </c>
      <c r="K20" s="37">
        <v>22</v>
      </c>
      <c r="L20" s="35">
        <v>1.0068999999999999</v>
      </c>
      <c r="M20" s="35">
        <f>(1.01+L20)*44/2</f>
        <v>44.371799999999993</v>
      </c>
      <c r="N20" s="35">
        <f>(1.0086+L20)*22/2</f>
        <v>22.170499999999997</v>
      </c>
      <c r="O20" s="35">
        <f>M20+N20</f>
        <v>66.542299999999983</v>
      </c>
    </row>
    <row r="21" spans="1:15">
      <c r="A21" s="25">
        <v>0.15</v>
      </c>
      <c r="B21" s="17">
        <v>11500</v>
      </c>
      <c r="C21" s="28">
        <f t="shared" si="0"/>
        <v>1.0087719298245612</v>
      </c>
      <c r="D21" s="27">
        <v>0.15</v>
      </c>
      <c r="E21" s="17">
        <f>10000*(1-D21)+10000*D21*E3</f>
        <v>11512.150000000001</v>
      </c>
      <c r="F21" s="29">
        <f t="shared" si="1"/>
        <v>1.0088341947571453</v>
      </c>
      <c r="H21" s="33" t="s">
        <v>39</v>
      </c>
      <c r="I21" s="17">
        <v>185.97</v>
      </c>
      <c r="J21" s="17">
        <v>41</v>
      </c>
      <c r="K21" s="38">
        <v>25</v>
      </c>
      <c r="L21" s="17">
        <v>1.0071000000000001</v>
      </c>
      <c r="M21" s="17">
        <f>(1.01+L21)*41/2</f>
        <v>41.350550000000005</v>
      </c>
      <c r="N21" s="17">
        <f>(1.0086+L25)*22/2</f>
        <v>22.1782</v>
      </c>
      <c r="O21" s="17">
        <f>M21+N21</f>
        <v>63.528750000000002</v>
      </c>
    </row>
    <row r="22" spans="1:15">
      <c r="A22" s="25">
        <v>0.16</v>
      </c>
      <c r="B22" s="17">
        <v>11600</v>
      </c>
      <c r="C22" s="28">
        <f t="shared" si="0"/>
        <v>1.008695652173913</v>
      </c>
      <c r="D22" s="27">
        <v>0.16</v>
      </c>
      <c r="E22" s="17">
        <f>10000*(1-D22)+10000*D22*E3</f>
        <v>11612.960000000001</v>
      </c>
      <c r="F22" s="29">
        <f t="shared" si="1"/>
        <v>1.0087568351697989</v>
      </c>
      <c r="I22" s="17" t="s">
        <v>47</v>
      </c>
    </row>
    <row r="23" spans="1:15">
      <c r="A23" s="25">
        <v>0.17</v>
      </c>
      <c r="B23" s="17">
        <v>11700</v>
      </c>
      <c r="C23" s="28">
        <f t="shared" si="0"/>
        <v>1.0086206896551724</v>
      </c>
      <c r="D23" s="27">
        <v>0.17</v>
      </c>
      <c r="E23" s="17">
        <f>10000*(1-D23)+10000*D23*E3</f>
        <v>11713.77</v>
      </c>
      <c r="F23" s="29">
        <f t="shared" si="1"/>
        <v>1.008680818671553</v>
      </c>
      <c r="H23" s="17" t="s">
        <v>51</v>
      </c>
      <c r="I23" s="17">
        <v>195.97</v>
      </c>
      <c r="J23" s="17">
        <v>35</v>
      </c>
      <c r="K23" s="17">
        <v>31</v>
      </c>
      <c r="L23" s="17">
        <v>1.0075000000000001</v>
      </c>
      <c r="M23" s="17">
        <f>(1.01+L23)*J23/2</f>
        <v>35.306249999999999</v>
      </c>
      <c r="N23" s="17">
        <f>(1.0086+L23)*K23/2</f>
        <v>31.249549999999996</v>
      </c>
      <c r="O23" s="17">
        <f>M23+N23</f>
        <v>66.555799999999991</v>
      </c>
    </row>
    <row r="24" spans="1:15">
      <c r="A24" s="25">
        <v>0.18</v>
      </c>
      <c r="B24" s="17">
        <v>11800</v>
      </c>
      <c r="C24" s="28">
        <f t="shared" si="0"/>
        <v>1.0085470085470085</v>
      </c>
      <c r="D24" s="27">
        <v>0.18</v>
      </c>
      <c r="E24" s="17">
        <f>10000*(1-D24)+10000*D24*E3</f>
        <v>11814.58</v>
      </c>
      <c r="F24" s="29">
        <f t="shared" si="1"/>
        <v>1.008606110586088</v>
      </c>
      <c r="H24" s="17" t="s">
        <v>57</v>
      </c>
      <c r="I24" s="17">
        <v>205.97</v>
      </c>
      <c r="J24" s="17">
        <v>30</v>
      </c>
      <c r="K24" s="17">
        <v>36</v>
      </c>
      <c r="L24" s="17">
        <v>1.0077</v>
      </c>
      <c r="M24" s="17">
        <f>(1.01+L24)*J24/2</f>
        <v>30.265499999999999</v>
      </c>
      <c r="N24" s="17">
        <f>(1.0086+L24)*K24/2</f>
        <v>36.293400000000005</v>
      </c>
      <c r="O24" s="17">
        <f>M24+N24</f>
        <v>66.558900000000008</v>
      </c>
    </row>
    <row r="25" spans="1:15">
      <c r="A25" s="25">
        <v>0.19</v>
      </c>
      <c r="B25" s="17">
        <v>11900</v>
      </c>
      <c r="C25" s="28">
        <f t="shared" si="0"/>
        <v>1.0084745762711864</v>
      </c>
      <c r="D25" s="27">
        <v>0.19</v>
      </c>
      <c r="E25" s="17">
        <f>10000*(1-D25)+10000*D25*E3</f>
        <v>11915.390000000001</v>
      </c>
      <c r="F25" s="29">
        <f t="shared" si="1"/>
        <v>1.0085326774206109</v>
      </c>
      <c r="H25" s="17" t="s">
        <v>52</v>
      </c>
      <c r="I25" s="17">
        <v>200.81</v>
      </c>
      <c r="J25" s="17">
        <v>33</v>
      </c>
      <c r="K25" s="17">
        <v>33</v>
      </c>
      <c r="L25" s="17">
        <v>1.0076000000000001</v>
      </c>
      <c r="M25" s="17">
        <f>(1.01+L25)*J25/2</f>
        <v>33.290399999999998</v>
      </c>
      <c r="N25" s="17">
        <f>(1.01+L25)*J25/2</f>
        <v>33.290399999999998</v>
      </c>
      <c r="O25" s="17">
        <f>M25+N25</f>
        <v>66.580799999999996</v>
      </c>
    </row>
    <row r="26" spans="1:15">
      <c r="A26" s="25">
        <v>0.2</v>
      </c>
      <c r="B26" s="17">
        <v>12000</v>
      </c>
      <c r="C26" s="28">
        <f t="shared" si="0"/>
        <v>1.0084033613445378</v>
      </c>
      <c r="D26" s="27">
        <v>0.2</v>
      </c>
      <c r="E26" s="17">
        <f>10000*(1-D26)+10000*D26*E3</f>
        <v>12016.2</v>
      </c>
      <c r="F26" s="29">
        <f t="shared" si="1"/>
        <v>1.0084604868157903</v>
      </c>
    </row>
    <row r="27" spans="1:15">
      <c r="A27" s="25">
        <v>0.21</v>
      </c>
      <c r="B27" s="17">
        <v>12100</v>
      </c>
      <c r="C27" s="28">
        <f t="shared" si="0"/>
        <v>1.0083333333333333</v>
      </c>
      <c r="D27" s="27">
        <v>0.21</v>
      </c>
      <c r="E27" s="17">
        <f>10000*(1-D27)+10000*D27*E3</f>
        <v>12117.01</v>
      </c>
      <c r="F27" s="29">
        <f t="shared" si="1"/>
        <v>1.0083895074982108</v>
      </c>
    </row>
    <row r="28" spans="1:15">
      <c r="A28" s="25">
        <v>0.22</v>
      </c>
      <c r="B28" s="17">
        <v>12200</v>
      </c>
      <c r="C28" s="28">
        <f t="shared" si="0"/>
        <v>1.0082644628099173</v>
      </c>
      <c r="D28" s="27">
        <v>0.22</v>
      </c>
      <c r="E28" s="17">
        <f>10000*(1-D28)+10000*D28*E3</f>
        <v>12217.82</v>
      </c>
      <c r="F28" s="29">
        <f t="shared" si="1"/>
        <v>1.008319709235199</v>
      </c>
    </row>
    <row r="29" spans="1:15">
      <c r="A29" s="25">
        <v>0.23</v>
      </c>
      <c r="B29" s="17">
        <v>12300</v>
      </c>
      <c r="C29" s="28">
        <f t="shared" si="0"/>
        <v>1.0081967213114753</v>
      </c>
      <c r="D29" s="27">
        <v>0.23</v>
      </c>
      <c r="E29" s="17">
        <f>10000*(1-D29)+10000*D29*E3</f>
        <v>12318.630000000001</v>
      </c>
      <c r="F29" s="29">
        <f t="shared" si="1"/>
        <v>1.0082510627918893</v>
      </c>
    </row>
    <row r="30" spans="1:15">
      <c r="A30" s="25">
        <v>0.24</v>
      </c>
      <c r="B30" s="17">
        <v>12400</v>
      </c>
      <c r="C30" s="28">
        <f t="shared" si="0"/>
        <v>1.0081300813008129</v>
      </c>
      <c r="D30" s="27">
        <v>0.24</v>
      </c>
      <c r="E30" s="17">
        <f>10000*(1-D30)+10000*D30*E3</f>
        <v>12419.44</v>
      </c>
      <c r="F30" s="29">
        <f t="shared" si="1"/>
        <v>1.0081835398903936</v>
      </c>
    </row>
    <row r="31" spans="1:15">
      <c r="A31" s="25">
        <v>0.25</v>
      </c>
      <c r="B31" s="17">
        <v>12500</v>
      </c>
      <c r="C31" s="28">
        <f t="shared" si="0"/>
        <v>1.0080645161290323</v>
      </c>
      <c r="D31" s="27">
        <v>0.25</v>
      </c>
      <c r="E31" s="17">
        <f>10000*(1-D31)+10000*D31*E3</f>
        <v>12520.25</v>
      </c>
      <c r="F31" s="29">
        <f t="shared" si="1"/>
        <v>1.0081171131709641</v>
      </c>
    </row>
    <row r="32" spans="1:15">
      <c r="A32" s="25">
        <v>0.26</v>
      </c>
      <c r="B32" s="17">
        <v>12600</v>
      </c>
      <c r="C32" s="28">
        <f t="shared" si="0"/>
        <v>1.008</v>
      </c>
      <c r="D32" s="27">
        <v>0.26</v>
      </c>
      <c r="E32" s="17">
        <f>10000*(1-D32)+10000*D32*E3</f>
        <v>12621.060000000001</v>
      </c>
      <c r="F32" s="29">
        <f t="shared" si="1"/>
        <v>1.0080517561550291</v>
      </c>
    </row>
    <row r="33" spans="1:6">
      <c r="A33" s="25">
        <v>0.27</v>
      </c>
      <c r="B33" s="17">
        <v>12700</v>
      </c>
      <c r="C33" s="28">
        <f t="shared" si="0"/>
        <v>1.0079365079365079</v>
      </c>
      <c r="D33" s="27">
        <v>0.27</v>
      </c>
      <c r="E33" s="17">
        <f>10000*(1-D33)+10000*D33*E3</f>
        <v>12721.87</v>
      </c>
      <c r="F33" s="29">
        <f t="shared" si="1"/>
        <v>1.0079874432099998</v>
      </c>
    </row>
    <row r="34" spans="1:6">
      <c r="A34" s="25">
        <v>0.28000000000000003</v>
      </c>
      <c r="B34" s="17">
        <v>12800</v>
      </c>
      <c r="C34" s="28">
        <f t="shared" si="0"/>
        <v>1.0078740157480315</v>
      </c>
      <c r="D34" s="27">
        <v>0.28000000000000003</v>
      </c>
      <c r="E34" s="17">
        <f>10000*(1-D34)+10000*D34*E3</f>
        <v>12822.68</v>
      </c>
      <c r="F34" s="29">
        <f t="shared" si="1"/>
        <v>1.0079241495157552</v>
      </c>
    </row>
    <row r="35" spans="1:6">
      <c r="A35" s="25">
        <v>0.28999999999999998</v>
      </c>
      <c r="B35" s="17">
        <v>12900</v>
      </c>
      <c r="C35" s="28">
        <f t="shared" si="0"/>
        <v>1.0078125</v>
      </c>
      <c r="D35" s="27">
        <v>0.28999999999999998</v>
      </c>
      <c r="E35" s="17">
        <f>10000*(1-D35)+10000*D35*E3</f>
        <v>12923.490000000002</v>
      </c>
      <c r="F35" s="29">
        <f t="shared" si="1"/>
        <v>1.0078618510327015</v>
      </c>
    </row>
    <row r="36" spans="1:6">
      <c r="A36" s="25">
        <v>0.3</v>
      </c>
      <c r="B36" s="17">
        <v>13000</v>
      </c>
      <c r="C36" s="28">
        <f t="shared" si="0"/>
        <v>1.0077519379844961</v>
      </c>
      <c r="D36" s="27">
        <v>0.3</v>
      </c>
      <c r="E36" s="17">
        <f>10000*(1-D36)+10000*D36*E3</f>
        <v>13024.300000000001</v>
      </c>
      <c r="F36" s="29">
        <f t="shared" si="1"/>
        <v>1.0078005244713308</v>
      </c>
    </row>
    <row r="37" spans="1:6">
      <c r="A37" s="25">
        <v>0.31</v>
      </c>
      <c r="B37" s="17">
        <v>13100</v>
      </c>
      <c r="C37" s="28">
        <f t="shared" si="0"/>
        <v>1.0076923076923077</v>
      </c>
      <c r="D37" s="27">
        <v>0.31</v>
      </c>
      <c r="E37" s="17">
        <f>10000*(1-D37)+10000*D37*E3</f>
        <v>13125.11</v>
      </c>
      <c r="F37" s="29">
        <f t="shared" si="1"/>
        <v>1.0077401472631926</v>
      </c>
    </row>
    <row r="38" spans="1:6">
      <c r="A38" s="25">
        <v>0.32</v>
      </c>
      <c r="B38" s="17">
        <v>13200</v>
      </c>
      <c r="C38" s="28">
        <f t="shared" si="0"/>
        <v>1.0076335877862594</v>
      </c>
      <c r="D38" s="27">
        <v>0.32</v>
      </c>
      <c r="E38" s="17">
        <f>10000*(1-D38)+10000*D38*E3</f>
        <v>13225.92</v>
      </c>
      <c r="F38" s="29">
        <f t="shared" si="1"/>
        <v>1.0076806975332016</v>
      </c>
    </row>
    <row r="39" spans="1:6">
      <c r="A39" s="25">
        <v>0.33</v>
      </c>
      <c r="B39" s="17">
        <v>13300</v>
      </c>
      <c r="C39" s="28">
        <f t="shared" si="0"/>
        <v>1.0075757575757576</v>
      </c>
      <c r="D39" s="27">
        <v>0.33</v>
      </c>
      <c r="E39" s="17">
        <f>10000*(1-D39)+10000*D39*E3</f>
        <v>13326.73</v>
      </c>
      <c r="F39" s="29">
        <f t="shared" si="1"/>
        <v>1.0076221540732138</v>
      </c>
    </row>
    <row r="40" spans="1:6">
      <c r="A40" s="25">
        <v>0.34</v>
      </c>
      <c r="B40" s="17">
        <v>13400</v>
      </c>
      <c r="C40" s="28">
        <f t="shared" si="0"/>
        <v>1.0075187969924813</v>
      </c>
      <c r="D40" s="27">
        <v>0.34</v>
      </c>
      <c r="E40" s="17">
        <f>10000*(1-D40)+10000*D40*E3</f>
        <v>13427.54</v>
      </c>
      <c r="F40" s="29">
        <f t="shared" si="1"/>
        <v>1.0075644963168009</v>
      </c>
    </row>
    <row r="41" spans="1:6">
      <c r="A41" s="25">
        <v>0.35</v>
      </c>
      <c r="B41" s="17">
        <v>13500</v>
      </c>
      <c r="C41" s="28">
        <f t="shared" si="0"/>
        <v>1.0074626865671641</v>
      </c>
      <c r="D41" s="27">
        <v>0.35</v>
      </c>
      <c r="E41" s="17">
        <f>10000*(1-D41)+10000*D41*E3</f>
        <v>13528.35</v>
      </c>
      <c r="F41" s="29">
        <f t="shared" si="1"/>
        <v>1.0075077043151612</v>
      </c>
    </row>
    <row r="42" spans="1:6">
      <c r="A42" s="25">
        <v>0.36</v>
      </c>
      <c r="B42" s="17">
        <v>13599.999999999998</v>
      </c>
      <c r="C42" s="28">
        <f t="shared" si="0"/>
        <v>1.0074074074074073</v>
      </c>
      <c r="D42" s="27">
        <v>0.36</v>
      </c>
      <c r="E42" s="17">
        <f>10000*(1-D42)+10000*D42*E3</f>
        <v>13629.16</v>
      </c>
      <c r="F42" s="29">
        <f t="shared" si="1"/>
        <v>1.0074517587141076</v>
      </c>
    </row>
    <row r="43" spans="1:6">
      <c r="A43" s="25">
        <v>0.37</v>
      </c>
      <c r="B43" s="17">
        <v>13700.000000000002</v>
      </c>
      <c r="C43" s="28">
        <f t="shared" si="0"/>
        <v>1.0073529411764708</v>
      </c>
      <c r="D43" s="27">
        <v>0.37</v>
      </c>
      <c r="E43" s="17">
        <f>10000*(1-D43)+10000*D43*E3</f>
        <v>13729.970000000001</v>
      </c>
      <c r="F43" s="29">
        <f t="shared" si="1"/>
        <v>1.0073966407320776</v>
      </c>
    </row>
    <row r="44" spans="1:6">
      <c r="A44" s="25">
        <v>0.38</v>
      </c>
      <c r="B44" s="17">
        <v>13799.999999999998</v>
      </c>
      <c r="C44" s="28">
        <f t="shared" si="0"/>
        <v>1.0072992700729924</v>
      </c>
      <c r="D44" s="27">
        <v>0.38</v>
      </c>
      <c r="E44" s="17">
        <f>10000*(1-D44)+10000*D44*E3</f>
        <v>13830.78</v>
      </c>
      <c r="F44" s="29">
        <f t="shared" si="1"/>
        <v>1.0073423321391088</v>
      </c>
    </row>
    <row r="45" spans="1:6">
      <c r="A45" s="25">
        <v>0.39</v>
      </c>
      <c r="B45" s="17">
        <v>13900.000000000002</v>
      </c>
      <c r="C45" s="28">
        <f t="shared" si="0"/>
        <v>1.0072463768115945</v>
      </c>
      <c r="D45" s="27">
        <v>0.39</v>
      </c>
      <c r="E45" s="17">
        <f>10000*(1-D45)+10000*D45*E3</f>
        <v>13931.59</v>
      </c>
      <c r="F45" s="29">
        <f t="shared" si="1"/>
        <v>1.0072888152367401</v>
      </c>
    </row>
    <row r="46" spans="1:6">
      <c r="A46" s="25">
        <v>0.4</v>
      </c>
      <c r="B46" s="17">
        <v>14000</v>
      </c>
      <c r="C46" s="28">
        <f t="shared" si="0"/>
        <v>1.0071942446043165</v>
      </c>
      <c r="D46" s="27">
        <v>0.4</v>
      </c>
      <c r="E46" s="17">
        <f>10000*(1-D46)+10000*D46*E3</f>
        <v>14032.400000000001</v>
      </c>
      <c r="F46" s="29">
        <f t="shared" si="1"/>
        <v>1.0072360728387788</v>
      </c>
    </row>
    <row r="47" spans="1:6">
      <c r="A47" s="25">
        <v>0.41</v>
      </c>
      <c r="B47" s="17">
        <v>14100.000000000002</v>
      </c>
      <c r="C47" s="28">
        <f t="shared" si="0"/>
        <v>1.0071428571428573</v>
      </c>
      <c r="D47" s="27">
        <v>0.41</v>
      </c>
      <c r="E47" s="17">
        <f>10000*(1-D47)+10000*D47*E3</f>
        <v>14133.210000000003</v>
      </c>
      <c r="F47" s="29">
        <f t="shared" si="1"/>
        <v>1.0071840882529006</v>
      </c>
    </row>
    <row r="48" spans="1:6">
      <c r="A48" s="25">
        <v>0.42</v>
      </c>
      <c r="B48" s="17">
        <v>14200</v>
      </c>
      <c r="C48" s="28">
        <f t="shared" si="0"/>
        <v>1.0070921985815602</v>
      </c>
      <c r="D48" s="27">
        <v>0.42</v>
      </c>
      <c r="E48" s="17">
        <f>10000*(1-D48)+10000*D48*E3</f>
        <v>14234.02</v>
      </c>
      <c r="F48" s="29">
        <f t="shared" si="1"/>
        <v>1.0071328452630364</v>
      </c>
    </row>
    <row r="49" spans="1:6">
      <c r="A49" s="25">
        <v>0.43</v>
      </c>
      <c r="B49" s="17">
        <v>14300</v>
      </c>
      <c r="C49" s="28">
        <f t="shared" si="0"/>
        <v>1.0070422535211268</v>
      </c>
      <c r="D49" s="27">
        <v>0.43</v>
      </c>
      <c r="E49" s="17">
        <f>10000*(1-D49)+10000*D49*E3</f>
        <v>14334.830000000002</v>
      </c>
      <c r="F49" s="29">
        <f t="shared" si="1"/>
        <v>1.0070823281125081</v>
      </c>
    </row>
    <row r="50" spans="1:6">
      <c r="A50" s="25">
        <v>0.44</v>
      </c>
      <c r="B50" s="17">
        <v>14400</v>
      </c>
      <c r="C50" s="28">
        <f t="shared" si="0"/>
        <v>1.0069930069930071</v>
      </c>
      <c r="D50" s="27">
        <v>0.44</v>
      </c>
      <c r="E50" s="17">
        <f>10000*(1-D50)+10000*D50*E3</f>
        <v>14435.640000000003</v>
      </c>
      <c r="F50" s="29">
        <f t="shared" si="1"/>
        <v>1.0070325214878726</v>
      </c>
    </row>
    <row r="51" spans="1:6">
      <c r="A51" s="25">
        <v>0.45</v>
      </c>
      <c r="B51" s="17">
        <v>14500</v>
      </c>
      <c r="C51" s="28">
        <f t="shared" si="0"/>
        <v>1.0069444444444444</v>
      </c>
      <c r="D51" s="27">
        <v>0.45</v>
      </c>
      <c r="E51" s="17">
        <f>10000*(1-D51)+10000*D51*E3</f>
        <v>14536.45</v>
      </c>
      <c r="F51" s="29">
        <f t="shared" si="1"/>
        <v>1.0069834105034483</v>
      </c>
    </row>
    <row r="52" spans="1:6">
      <c r="A52" s="25">
        <v>0.46</v>
      </c>
      <c r="B52" s="17">
        <v>14600</v>
      </c>
      <c r="C52" s="28">
        <f t="shared" si="0"/>
        <v>1.0068965517241379</v>
      </c>
      <c r="D52" s="27">
        <v>0.46</v>
      </c>
      <c r="E52" s="17">
        <f>10000*(1-D52)+10000*D52*E3</f>
        <v>14637.26</v>
      </c>
      <c r="F52" s="29">
        <f t="shared" si="1"/>
        <v>1.0069349806864811</v>
      </c>
    </row>
    <row r="53" spans="1:6">
      <c r="A53" s="25">
        <v>0.47</v>
      </c>
      <c r="B53" s="17">
        <v>14700</v>
      </c>
      <c r="C53" s="28">
        <f t="shared" si="0"/>
        <v>1.0068493150684932</v>
      </c>
      <c r="D53" s="27">
        <v>0.47</v>
      </c>
      <c r="E53" s="17">
        <f>10000*(1-D53)+10000*D53*E3</f>
        <v>14738.070000000002</v>
      </c>
      <c r="F53" s="29">
        <f t="shared" si="1"/>
        <v>1.0068872179629249</v>
      </c>
    </row>
    <row r="54" spans="1:6">
      <c r="A54" s="25">
        <v>0.48</v>
      </c>
      <c r="B54" s="17">
        <v>14800</v>
      </c>
      <c r="C54" s="28">
        <f t="shared" si="0"/>
        <v>1.0068027210884354</v>
      </c>
      <c r="D54" s="27">
        <v>0.48</v>
      </c>
      <c r="E54" s="17">
        <f>10000*(1-D54)+10000*D54*E3</f>
        <v>14838.880000000001</v>
      </c>
      <c r="F54" s="29">
        <f t="shared" si="1"/>
        <v>1.0068401086438048</v>
      </c>
    </row>
    <row r="55" spans="1:6">
      <c r="A55" s="25">
        <v>0.49</v>
      </c>
      <c r="B55" s="17">
        <v>14900</v>
      </c>
      <c r="C55" s="28">
        <f t="shared" si="0"/>
        <v>1.0067567567567568</v>
      </c>
      <c r="D55" s="27">
        <v>0.49</v>
      </c>
      <c r="E55" s="17">
        <f>10000*(1-D55)+10000*D55*E3</f>
        <v>14939.69</v>
      </c>
      <c r="F55" s="29">
        <f t="shared" si="1"/>
        <v>1.0067936394121388</v>
      </c>
    </row>
    <row r="56" spans="1:6">
      <c r="A56" s="25">
        <v>0.5</v>
      </c>
      <c r="B56" s="17">
        <v>15000</v>
      </c>
      <c r="C56" s="28">
        <f t="shared" si="0"/>
        <v>1.0067114093959733</v>
      </c>
      <c r="D56" s="27">
        <v>0.5</v>
      </c>
      <c r="E56" s="17">
        <f>10000*(1-D56)+10000*D56*E3</f>
        <v>15040.500000000002</v>
      </c>
      <c r="F56" s="29">
        <f t="shared" si="1"/>
        <v>1.006747797310386</v>
      </c>
    </row>
    <row r="57" spans="1:6">
      <c r="A57" s="25">
        <v>0.51</v>
      </c>
      <c r="B57" s="17">
        <v>15100</v>
      </c>
      <c r="C57" s="28">
        <f t="shared" si="0"/>
        <v>1.0066666666666666</v>
      </c>
      <c r="D57" s="27">
        <v>0.51</v>
      </c>
      <c r="E57" s="17">
        <f>10000*(1-D57)+10000*D57*E3</f>
        <v>15141.310000000001</v>
      </c>
      <c r="F57" s="29">
        <f t="shared" si="1"/>
        <v>1.0067025697284</v>
      </c>
    </row>
    <row r="58" spans="1:6">
      <c r="A58" s="25">
        <v>0.52</v>
      </c>
      <c r="B58" s="17">
        <v>15200</v>
      </c>
      <c r="C58" s="28">
        <f t="shared" si="0"/>
        <v>1.0066225165562914</v>
      </c>
      <c r="D58" s="27">
        <v>0.52</v>
      </c>
      <c r="E58" s="17">
        <f>10000*(1-D58)+10000*D58*E3</f>
        <v>15242.12</v>
      </c>
      <c r="F58" s="29">
        <f t="shared" si="1"/>
        <v>1.0066579443918657</v>
      </c>
    </row>
    <row r="59" spans="1:6">
      <c r="A59" s="25">
        <v>0.53</v>
      </c>
      <c r="B59" s="17">
        <v>15300</v>
      </c>
      <c r="C59" s="28">
        <f t="shared" si="0"/>
        <v>1.006578947368421</v>
      </c>
      <c r="D59" s="27">
        <v>0.53</v>
      </c>
      <c r="E59" s="17">
        <f>10000*(1-D59)+10000*D59*E3</f>
        <v>15342.93</v>
      </c>
      <c r="F59" s="29">
        <f t="shared" si="1"/>
        <v>1.0066139093511925</v>
      </c>
    </row>
    <row r="60" spans="1:6">
      <c r="A60" s="25">
        <v>0.54</v>
      </c>
      <c r="B60" s="17">
        <v>15400</v>
      </c>
      <c r="C60" s="28">
        <f t="shared" si="0"/>
        <v>1.0065359477124183</v>
      </c>
      <c r="D60" s="27">
        <v>0.54</v>
      </c>
      <c r="E60" s="17">
        <f>10000*(1-D60)+10000*D60*E3</f>
        <v>15443.740000000002</v>
      </c>
      <c r="F60" s="29">
        <f t="shared" si="1"/>
        <v>1.0065704529708472</v>
      </c>
    </row>
    <row r="61" spans="1:6">
      <c r="A61" s="25">
        <v>0.55000000000000004</v>
      </c>
      <c r="B61" s="17">
        <v>15500</v>
      </c>
      <c r="C61" s="28">
        <f t="shared" si="0"/>
        <v>1.0064935064935066</v>
      </c>
      <c r="D61" s="27">
        <v>0.55000000000000004</v>
      </c>
      <c r="E61" s="17">
        <f>10000*(1-D61)+10000*D61*E3</f>
        <v>15544.550000000001</v>
      </c>
      <c r="F61" s="29">
        <f t="shared" si="1"/>
        <v>1.0065275639191025</v>
      </c>
    </row>
    <row r="62" spans="1:6">
      <c r="A62" s="25">
        <v>0.56000000000000005</v>
      </c>
      <c r="B62" s="17">
        <v>15600</v>
      </c>
      <c r="C62" s="28">
        <f t="shared" si="0"/>
        <v>1.0064516129032257</v>
      </c>
      <c r="D62" s="27">
        <v>0.56000000000000005</v>
      </c>
      <c r="E62" s="17">
        <f>10000*(1-D62)+10000*D62*E3</f>
        <v>15645.36</v>
      </c>
      <c r="F62" s="29">
        <f t="shared" si="1"/>
        <v>1.0064852311581873</v>
      </c>
    </row>
    <row r="63" spans="1:6">
      <c r="A63" s="25">
        <v>0.56999999999999995</v>
      </c>
      <c r="B63" s="17">
        <v>15700</v>
      </c>
      <c r="C63" s="28">
        <f t="shared" si="0"/>
        <v>1.0064102564102564</v>
      </c>
      <c r="D63" s="27">
        <v>0.56999999999999995</v>
      </c>
      <c r="E63" s="17">
        <f>10000*(1-D63)+10000*D63*E3</f>
        <v>15746.170000000002</v>
      </c>
      <c r="F63" s="29">
        <f t="shared" si="1"/>
        <v>1.0064434439348153</v>
      </c>
    </row>
    <row r="64" spans="1:6">
      <c r="A64" s="25">
        <v>0.57999999999999996</v>
      </c>
      <c r="B64" s="17">
        <v>15800</v>
      </c>
      <c r="C64" s="28">
        <f t="shared" si="0"/>
        <v>1.0063694267515924</v>
      </c>
      <c r="D64" s="27">
        <v>0.57999999999999996</v>
      </c>
      <c r="E64" s="17">
        <f>10000*(1-D64)+10000*D64*E3</f>
        <v>15846.980000000001</v>
      </c>
      <c r="F64" s="29">
        <f t="shared" si="1"/>
        <v>1.0064021917710784</v>
      </c>
    </row>
    <row r="65" spans="1:6">
      <c r="A65" s="25">
        <v>0.59</v>
      </c>
      <c r="B65" s="17">
        <v>15899.999999999998</v>
      </c>
      <c r="C65" s="28">
        <f t="shared" si="0"/>
        <v>1.0063291139240504</v>
      </c>
      <c r="D65" s="27">
        <v>0.59</v>
      </c>
      <c r="E65" s="17">
        <f>10000*(1-D65)+10000*D65*E3</f>
        <v>15947.79</v>
      </c>
      <c r="F65" s="29">
        <f t="shared" si="1"/>
        <v>1.006361464455688</v>
      </c>
    </row>
    <row r="66" spans="1:6">
      <c r="A66" s="25">
        <v>0.6</v>
      </c>
      <c r="B66" s="17">
        <v>16000</v>
      </c>
      <c r="C66" s="28">
        <f t="shared" si="0"/>
        <v>1.0062893081761008</v>
      </c>
      <c r="D66" s="27">
        <v>0.6</v>
      </c>
      <c r="E66" s="17">
        <f>10000*(1-D66)+10000*D66*E3</f>
        <v>16048.600000000002</v>
      </c>
      <c r="F66" s="29">
        <f t="shared" si="1"/>
        <v>1.0063212520355487</v>
      </c>
    </row>
    <row r="67" spans="1:6">
      <c r="A67" s="25">
        <v>0.61</v>
      </c>
      <c r="B67" s="17">
        <v>16099.999999999998</v>
      </c>
      <c r="C67" s="28">
        <f t="shared" si="0"/>
        <v>1.0062499999999999</v>
      </c>
      <c r="D67" s="27">
        <v>0.61</v>
      </c>
      <c r="E67" s="17">
        <f>10000*(1-D67)+10000*D67*E3</f>
        <v>16149.410000000002</v>
      </c>
      <c r="F67" s="29">
        <f t="shared" si="1"/>
        <v>1.0062815448076468</v>
      </c>
    </row>
    <row r="68" spans="1:6">
      <c r="A68" s="25">
        <v>0.62</v>
      </c>
      <c r="B68" s="17">
        <v>16200.000000000002</v>
      </c>
      <c r="C68" s="28">
        <f t="shared" si="0"/>
        <v>1.0062111801242237</v>
      </c>
      <c r="D68" s="27">
        <v>0.62</v>
      </c>
      <c r="E68" s="17">
        <f>10000*(1-D68)+10000*D68*E3</f>
        <v>16250.220000000001</v>
      </c>
      <c r="F68" s="29">
        <f t="shared" si="1"/>
        <v>1.0062423333112478</v>
      </c>
    </row>
    <row r="69" spans="1:6">
      <c r="A69" s="25">
        <v>0.63</v>
      </c>
      <c r="B69" s="17">
        <v>16299.999999999998</v>
      </c>
      <c r="C69" s="28">
        <f t="shared" si="0"/>
        <v>1.0061728395061726</v>
      </c>
      <c r="D69" s="27">
        <v>0.63</v>
      </c>
      <c r="E69" s="17">
        <f>10000*(1-D69)+10000*D69*E3</f>
        <v>16351.03</v>
      </c>
      <c r="F69" s="29">
        <f t="shared" si="1"/>
        <v>1.0062036083203796</v>
      </c>
    </row>
    <row r="70" spans="1:6">
      <c r="A70" s="25">
        <v>0.64</v>
      </c>
      <c r="B70" s="17">
        <v>16400</v>
      </c>
      <c r="C70" s="28">
        <f t="shared" si="0"/>
        <v>1.0061349693251536</v>
      </c>
      <c r="D70" s="27">
        <v>0.64</v>
      </c>
      <c r="E70" s="17">
        <f>10000*(1-D70)+10000*D70*E3</f>
        <v>16451.840000000004</v>
      </c>
      <c r="F70" s="29">
        <f t="shared" si="1"/>
        <v>1.0061653608365959</v>
      </c>
    </row>
    <row r="71" spans="1:6">
      <c r="A71" s="25">
        <v>0.65</v>
      </c>
      <c r="B71" s="17">
        <v>16500</v>
      </c>
      <c r="C71" s="28">
        <f t="shared" si="0"/>
        <v>1.0060975609756098</v>
      </c>
      <c r="D71" s="27">
        <v>0.65</v>
      </c>
      <c r="E71" s="17">
        <f>10000*(1-D71)+10000*D71*E3</f>
        <v>16552.650000000001</v>
      </c>
      <c r="F71" s="29">
        <f t="shared" si="1"/>
        <v>1.0061275820820041</v>
      </c>
    </row>
    <row r="72" spans="1:6">
      <c r="A72" s="25">
        <v>0.66</v>
      </c>
      <c r="B72" s="17">
        <v>16600</v>
      </c>
      <c r="C72" s="28">
        <f t="shared" ref="C72:C106" si="2">B72/B71</f>
        <v>1.0060606060606061</v>
      </c>
      <c r="D72" s="27">
        <v>0.66</v>
      </c>
      <c r="E72" s="17">
        <f>10000*(1-D72)+10000*D72*E3</f>
        <v>16653.46</v>
      </c>
      <c r="F72" s="29">
        <f t="shared" ref="F72:F106" si="3">E72/E71</f>
        <v>1.0060902634925524</v>
      </c>
    </row>
    <row r="73" spans="1:6">
      <c r="A73" s="25">
        <v>0.67</v>
      </c>
      <c r="B73" s="17">
        <v>16700</v>
      </c>
      <c r="C73" s="28">
        <f t="shared" si="2"/>
        <v>1.0060240963855422</v>
      </c>
      <c r="D73" s="27">
        <v>0.67</v>
      </c>
      <c r="E73" s="17">
        <f>10000*(1-D73)+10000*D73*E3</f>
        <v>16754.27</v>
      </c>
      <c r="F73" s="29">
        <f t="shared" si="3"/>
        <v>1.0060533967115544</v>
      </c>
    </row>
    <row r="74" spans="1:6">
      <c r="A74" s="25">
        <v>0.68</v>
      </c>
      <c r="B74" s="17">
        <v>16800</v>
      </c>
      <c r="C74" s="28">
        <f t="shared" si="2"/>
        <v>1.0059880239520957</v>
      </c>
      <c r="D74" s="27">
        <v>0.68</v>
      </c>
      <c r="E74" s="17">
        <f>10000*(1-D74)+10000*D74*E3</f>
        <v>16855.080000000002</v>
      </c>
      <c r="F74" s="29">
        <f t="shared" si="3"/>
        <v>1.0060169735834508</v>
      </c>
    </row>
    <row r="75" spans="1:6">
      <c r="A75" s="25">
        <v>0.69</v>
      </c>
      <c r="B75" s="17">
        <v>16900</v>
      </c>
      <c r="C75" s="28">
        <f t="shared" si="2"/>
        <v>1.0059523809523809</v>
      </c>
      <c r="D75" s="27">
        <v>0.69</v>
      </c>
      <c r="E75" s="17">
        <f>10000*(1-D75)+10000*D75*E3</f>
        <v>16955.89</v>
      </c>
      <c r="F75" s="29">
        <f t="shared" si="3"/>
        <v>1.0059809861477962</v>
      </c>
    </row>
    <row r="76" spans="1:6">
      <c r="A76" s="25">
        <v>0.7</v>
      </c>
      <c r="B76" s="17">
        <v>17000</v>
      </c>
      <c r="C76" s="28">
        <f t="shared" si="2"/>
        <v>1.0059171597633136</v>
      </c>
      <c r="D76" s="27">
        <v>0.7</v>
      </c>
      <c r="E76" s="17">
        <f>10000*(1-D76)+10000*D76*E3</f>
        <v>17056.7</v>
      </c>
      <c r="F76" s="29">
        <f t="shared" si="3"/>
        <v>1.0059454266334591</v>
      </c>
    </row>
    <row r="77" spans="1:6">
      <c r="A77" s="25">
        <v>0.71</v>
      </c>
      <c r="B77" s="17">
        <v>17100</v>
      </c>
      <c r="C77" s="28">
        <f t="shared" si="2"/>
        <v>1.0058823529411764</v>
      </c>
      <c r="D77" s="27">
        <v>0.71</v>
      </c>
      <c r="E77" s="17">
        <f>10000*(1-D77)+10000*D77*E3</f>
        <v>17157.510000000002</v>
      </c>
      <c r="F77" s="29">
        <f t="shared" si="3"/>
        <v>1.0059102874530244</v>
      </c>
    </row>
    <row r="78" spans="1:6">
      <c r="A78" s="25">
        <v>0.72</v>
      </c>
      <c r="B78" s="17">
        <v>17200</v>
      </c>
      <c r="C78" s="28">
        <f t="shared" si="2"/>
        <v>1.0058479532163742</v>
      </c>
      <c r="D78" s="27">
        <v>0.72</v>
      </c>
      <c r="E78" s="17">
        <f>10000*(1-D78)+10000*D78*E3</f>
        <v>17258.320000000003</v>
      </c>
      <c r="F78" s="29">
        <f t="shared" si="3"/>
        <v>1.0058755611974</v>
      </c>
    </row>
    <row r="79" spans="1:6">
      <c r="A79" s="25">
        <v>0.73</v>
      </c>
      <c r="B79" s="17">
        <v>17300</v>
      </c>
      <c r="C79" s="28">
        <f t="shared" si="2"/>
        <v>1.0058139534883721</v>
      </c>
      <c r="D79" s="27">
        <v>0.73</v>
      </c>
      <c r="E79" s="17">
        <f>10000*(1-D79)+10000*D79*E3</f>
        <v>17359.13</v>
      </c>
      <c r="F79" s="29">
        <f t="shared" si="3"/>
        <v>1.0058412406306059</v>
      </c>
    </row>
    <row r="80" spans="1:6">
      <c r="A80" s="25">
        <v>0.74</v>
      </c>
      <c r="B80" s="17">
        <v>17400</v>
      </c>
      <c r="C80" s="28">
        <f t="shared" si="2"/>
        <v>1.0057803468208093</v>
      </c>
      <c r="D80" s="27">
        <v>0.74</v>
      </c>
      <c r="E80" s="17">
        <f>10000*(1-D80)+10000*D80*E3</f>
        <v>17459.940000000002</v>
      </c>
      <c r="F80" s="29">
        <f t="shared" si="3"/>
        <v>1.0058073186847498</v>
      </c>
    </row>
    <row r="81" spans="1:6">
      <c r="A81" s="25">
        <v>0.75</v>
      </c>
      <c r="B81" s="17">
        <v>17500</v>
      </c>
      <c r="C81" s="28">
        <f t="shared" si="2"/>
        <v>1.0057471264367817</v>
      </c>
      <c r="D81" s="27">
        <v>0.75</v>
      </c>
      <c r="E81" s="17">
        <f>10000*(1-D81)+10000*D81*E3</f>
        <v>17560.75</v>
      </c>
      <c r="F81" s="29">
        <f t="shared" si="3"/>
        <v>1.0057737884551721</v>
      </c>
    </row>
    <row r="82" spans="1:6">
      <c r="A82" s="25">
        <v>0.76</v>
      </c>
      <c r="B82" s="17">
        <v>17600</v>
      </c>
      <c r="C82" s="28">
        <f t="shared" si="2"/>
        <v>1.0057142857142858</v>
      </c>
      <c r="D82" s="27">
        <v>0.76</v>
      </c>
      <c r="E82" s="17">
        <f>10000*(1-D82)+10000*D82*E3</f>
        <v>17661.560000000001</v>
      </c>
      <c r="F82" s="29">
        <f t="shared" si="3"/>
        <v>1.0057406431957634</v>
      </c>
    </row>
    <row r="83" spans="1:6">
      <c r="A83" s="25">
        <v>0.77</v>
      </c>
      <c r="B83" s="17">
        <v>17700</v>
      </c>
      <c r="C83" s="28">
        <f t="shared" si="2"/>
        <v>1.0056818181818181</v>
      </c>
      <c r="D83" s="27">
        <v>0.77</v>
      </c>
      <c r="E83" s="17">
        <f>10000*(1-D83)+10000*D83*E3</f>
        <v>17762.370000000003</v>
      </c>
      <c r="F83" s="29">
        <f t="shared" si="3"/>
        <v>1.0057078763144367</v>
      </c>
    </row>
    <row r="84" spans="1:6">
      <c r="A84" s="25">
        <v>0.78</v>
      </c>
      <c r="B84" s="17">
        <v>17800</v>
      </c>
      <c r="C84" s="28">
        <f t="shared" si="2"/>
        <v>1.0056497175141244</v>
      </c>
      <c r="D84" s="27">
        <v>0.78</v>
      </c>
      <c r="E84" s="17">
        <f>10000*(1-D84)+10000*D84*E3</f>
        <v>17863.18</v>
      </c>
      <c r="F84" s="29">
        <f t="shared" si="3"/>
        <v>1.0056754813687587</v>
      </c>
    </row>
    <row r="85" spans="1:6">
      <c r="A85" s="25">
        <v>0.79</v>
      </c>
      <c r="B85" s="17">
        <v>17900</v>
      </c>
      <c r="C85" s="28">
        <f t="shared" si="2"/>
        <v>1.0056179775280898</v>
      </c>
      <c r="D85" s="27">
        <v>0.79</v>
      </c>
      <c r="E85" s="17">
        <f>10000*(1-D85)+10000*D85*E3</f>
        <v>17963.990000000002</v>
      </c>
      <c r="F85" s="29">
        <f t="shared" si="3"/>
        <v>1.005643452061727</v>
      </c>
    </row>
    <row r="86" spans="1:6">
      <c r="A86" s="25">
        <v>0.8</v>
      </c>
      <c r="B86" s="17">
        <v>18000</v>
      </c>
      <c r="C86" s="28">
        <f t="shared" si="2"/>
        <v>1.005586592178771</v>
      </c>
      <c r="D86" s="27">
        <v>0.8</v>
      </c>
      <c r="E86" s="17">
        <f>10000*(1-D86)+10000*D86*E3</f>
        <v>18064.8</v>
      </c>
      <c r="F86" s="29">
        <f t="shared" si="3"/>
        <v>1.0056117822376875</v>
      </c>
    </row>
    <row r="87" spans="1:6">
      <c r="A87" s="25">
        <v>0.81</v>
      </c>
      <c r="B87" s="17">
        <v>18100</v>
      </c>
      <c r="C87" s="28">
        <f t="shared" si="2"/>
        <v>1.0055555555555555</v>
      </c>
      <c r="D87" s="27">
        <v>0.81</v>
      </c>
      <c r="E87" s="17">
        <f>10000*(1-D87)+10000*D87*E3</f>
        <v>18165.610000000004</v>
      </c>
      <c r="F87" s="29">
        <f t="shared" si="3"/>
        <v>1.0055804658783936</v>
      </c>
    </row>
    <row r="88" spans="1:6">
      <c r="A88" s="25">
        <v>0.82</v>
      </c>
      <c r="B88" s="17">
        <v>18200</v>
      </c>
      <c r="C88" s="28">
        <f t="shared" si="2"/>
        <v>1.0055248618784531</v>
      </c>
      <c r="D88" s="27">
        <v>0.82</v>
      </c>
      <c r="E88" s="17">
        <f>10000*(1-D88)+10000*D88*E3</f>
        <v>18266.420000000002</v>
      </c>
      <c r="F88" s="29">
        <f t="shared" si="3"/>
        <v>1.0055494970991889</v>
      </c>
    </row>
    <row r="89" spans="1:6">
      <c r="A89" s="25">
        <v>0.83</v>
      </c>
      <c r="B89" s="17">
        <v>18300</v>
      </c>
      <c r="C89" s="28">
        <f t="shared" si="2"/>
        <v>1.0054945054945055</v>
      </c>
      <c r="D89" s="27">
        <v>0.83</v>
      </c>
      <c r="E89" s="17">
        <f>10000*(1-D89)+10000*D89*E3</f>
        <v>18367.230000000003</v>
      </c>
      <c r="F89" s="29">
        <f t="shared" si="3"/>
        <v>1.0055188701453268</v>
      </c>
    </row>
    <row r="90" spans="1:6">
      <c r="A90" s="25">
        <v>0.84</v>
      </c>
      <c r="B90" s="17">
        <v>18400</v>
      </c>
      <c r="C90" s="28">
        <f t="shared" si="2"/>
        <v>1.0054644808743169</v>
      </c>
      <c r="D90" s="27">
        <v>0.84</v>
      </c>
      <c r="E90" s="17">
        <f>10000*(1-D90)+10000*D90*E3</f>
        <v>18468.04</v>
      </c>
      <c r="F90" s="29">
        <f t="shared" si="3"/>
        <v>1.0054885793883999</v>
      </c>
    </row>
    <row r="91" spans="1:6">
      <c r="A91" s="25">
        <v>0.85</v>
      </c>
      <c r="B91" s="17">
        <v>18500</v>
      </c>
      <c r="C91" s="28">
        <f t="shared" si="2"/>
        <v>1.0054347826086956</v>
      </c>
      <c r="D91" s="27">
        <v>0.85</v>
      </c>
      <c r="E91" s="17">
        <f>10000*(1-D91)+10000*D91*E3</f>
        <v>18568.850000000002</v>
      </c>
      <c r="F91" s="29">
        <f t="shared" si="3"/>
        <v>1.0054586193228952</v>
      </c>
    </row>
    <row r="92" spans="1:6">
      <c r="A92" s="25">
        <v>0.86</v>
      </c>
      <c r="B92" s="17">
        <v>18600</v>
      </c>
      <c r="C92" s="28">
        <f t="shared" si="2"/>
        <v>1.0054054054054054</v>
      </c>
      <c r="D92" s="27">
        <v>0.86</v>
      </c>
      <c r="E92" s="17">
        <f>10000*(1-D92)+10000*D92*E3</f>
        <v>18669.660000000003</v>
      </c>
      <c r="F92" s="29">
        <f t="shared" si="3"/>
        <v>1.0054289845628568</v>
      </c>
    </row>
    <row r="93" spans="1:6">
      <c r="A93" s="25">
        <v>0.87</v>
      </c>
      <c r="B93" s="17">
        <v>18700</v>
      </c>
      <c r="C93" s="28">
        <f t="shared" si="2"/>
        <v>1.0053763440860215</v>
      </c>
      <c r="D93" s="27">
        <v>0.87</v>
      </c>
      <c r="E93" s="17">
        <f>10000*(1-D93)+10000*D93*E3</f>
        <v>18770.47</v>
      </c>
      <c r="F93" s="29">
        <f t="shared" si="3"/>
        <v>1.0053996698386578</v>
      </c>
    </row>
    <row r="94" spans="1:6">
      <c r="A94" s="25">
        <v>0.88</v>
      </c>
      <c r="B94" s="17">
        <v>18800</v>
      </c>
      <c r="C94" s="28">
        <f t="shared" si="2"/>
        <v>1.0053475935828877</v>
      </c>
      <c r="D94" s="27">
        <v>0.88</v>
      </c>
      <c r="E94" s="17">
        <f>10000*(1-D94)+10000*D94*E3</f>
        <v>18871.280000000002</v>
      </c>
      <c r="F94" s="29">
        <f t="shared" si="3"/>
        <v>1.0053706699938787</v>
      </c>
    </row>
    <row r="95" spans="1:6">
      <c r="A95" s="25">
        <v>0.89</v>
      </c>
      <c r="B95" s="17">
        <v>18900</v>
      </c>
      <c r="C95" s="28">
        <f t="shared" si="2"/>
        <v>1.0053191489361701</v>
      </c>
      <c r="D95" s="27">
        <v>0.89</v>
      </c>
      <c r="E95" s="17">
        <f>10000*(1-D95)+10000*D95*E3</f>
        <v>18972.09</v>
      </c>
      <c r="F95" s="29">
        <f t="shared" si="3"/>
        <v>1.0053419799822798</v>
      </c>
    </row>
    <row r="96" spans="1:6">
      <c r="A96" s="25">
        <v>0.9</v>
      </c>
      <c r="B96" s="17">
        <v>19000</v>
      </c>
      <c r="C96" s="28">
        <f t="shared" si="2"/>
        <v>1.0052910052910053</v>
      </c>
      <c r="D96" s="27">
        <v>0.9</v>
      </c>
      <c r="E96" s="17">
        <f>10000*(1-D96)+10000*D96*E3</f>
        <v>19072.900000000001</v>
      </c>
      <c r="F96" s="29">
        <f t="shared" si="3"/>
        <v>1.0053135948648779</v>
      </c>
    </row>
    <row r="97" spans="1:6">
      <c r="A97" s="25">
        <v>0.91</v>
      </c>
      <c r="B97" s="17">
        <v>19100</v>
      </c>
      <c r="C97" s="28">
        <f t="shared" si="2"/>
        <v>1.0052631578947369</v>
      </c>
      <c r="D97" s="27">
        <v>0.91</v>
      </c>
      <c r="E97" s="17">
        <f>10000*(1-D97)+10000*D97*E3</f>
        <v>19173.710000000003</v>
      </c>
      <c r="F97" s="29">
        <f t="shared" si="3"/>
        <v>1.0052855098071085</v>
      </c>
    </row>
    <row r="98" spans="1:6">
      <c r="A98" s="25">
        <v>0.92</v>
      </c>
      <c r="B98" s="17">
        <v>19200</v>
      </c>
      <c r="C98" s="28">
        <f t="shared" si="2"/>
        <v>1.0052356020942408</v>
      </c>
      <c r="D98" s="27">
        <v>0.92</v>
      </c>
      <c r="E98" s="17">
        <f>10000*(1-D98)+10000*D98*E3</f>
        <v>19274.52</v>
      </c>
      <c r="F98" s="29">
        <f t="shared" si="3"/>
        <v>1.0052577200760833</v>
      </c>
    </row>
    <row r="99" spans="1:6">
      <c r="A99" s="25">
        <v>0.93</v>
      </c>
      <c r="B99" s="17">
        <v>19300</v>
      </c>
      <c r="C99" s="28">
        <f t="shared" si="2"/>
        <v>1.0052083333333333</v>
      </c>
      <c r="D99" s="27">
        <v>0.93</v>
      </c>
      <c r="E99" s="17">
        <f>10000*(1-D99)+10000*D99*E3</f>
        <v>19375.330000000002</v>
      </c>
      <c r="F99" s="29">
        <f t="shared" si="3"/>
        <v>1.00523022103793</v>
      </c>
    </row>
    <row r="100" spans="1:6">
      <c r="A100" s="25">
        <v>0.94</v>
      </c>
      <c r="B100" s="17">
        <v>19400</v>
      </c>
      <c r="C100" s="28">
        <f t="shared" si="2"/>
        <v>1.0051813471502591</v>
      </c>
      <c r="D100" s="27">
        <v>0.94</v>
      </c>
      <c r="E100" s="17">
        <f>10000*(1-D100)+10000*D100*E3</f>
        <v>19476.140000000003</v>
      </c>
      <c r="F100" s="29">
        <f t="shared" si="3"/>
        <v>1.0052030081552159</v>
      </c>
    </row>
    <row r="101" spans="1:6">
      <c r="A101" s="25">
        <v>0.95</v>
      </c>
      <c r="B101" s="17">
        <v>19500</v>
      </c>
      <c r="C101" s="28">
        <f t="shared" si="2"/>
        <v>1.0051546391752577</v>
      </c>
      <c r="D101" s="27">
        <v>0.95</v>
      </c>
      <c r="E101" s="17">
        <f>10000*(1-D101)+10000*D101*E3</f>
        <v>19576.95</v>
      </c>
      <c r="F101" s="29">
        <f t="shared" si="3"/>
        <v>1.0051760769844538</v>
      </c>
    </row>
    <row r="102" spans="1:6">
      <c r="A102" s="25">
        <v>0.96</v>
      </c>
      <c r="B102" s="17">
        <v>19600</v>
      </c>
      <c r="C102" s="28">
        <f t="shared" si="2"/>
        <v>1.0051282051282051</v>
      </c>
      <c r="D102" s="27">
        <v>0.96</v>
      </c>
      <c r="E102" s="17">
        <f>10000*(1-D102)+10000*D102*E3</f>
        <v>19677.760000000002</v>
      </c>
      <c r="F102" s="29">
        <f t="shared" si="3"/>
        <v>1.0051494231736813</v>
      </c>
    </row>
    <row r="103" spans="1:6">
      <c r="A103" s="25">
        <v>0.97</v>
      </c>
      <c r="B103" s="17">
        <v>19700</v>
      </c>
      <c r="C103" s="28">
        <f t="shared" si="2"/>
        <v>1.0051020408163265</v>
      </c>
      <c r="D103" s="27">
        <v>0.97</v>
      </c>
      <c r="E103" s="17">
        <f>10000*(1-D103)+10000*D103*E3</f>
        <v>19778.570000000003</v>
      </c>
      <c r="F103" s="29">
        <f t="shared" si="3"/>
        <v>1.0051230424601174</v>
      </c>
    </row>
    <row r="104" spans="1:6">
      <c r="A104" s="25">
        <v>0.98</v>
      </c>
      <c r="B104" s="17">
        <v>19800</v>
      </c>
      <c r="C104" s="28">
        <f t="shared" si="2"/>
        <v>1.0050761421319796</v>
      </c>
      <c r="D104" s="27">
        <v>0.98</v>
      </c>
      <c r="E104" s="17">
        <f>10000*(1-D104)+10000*D104*E3</f>
        <v>19879.38</v>
      </c>
      <c r="F104" s="29">
        <f t="shared" si="3"/>
        <v>1.0050969306678894</v>
      </c>
    </row>
    <row r="105" spans="1:6">
      <c r="A105" s="25">
        <v>0.99</v>
      </c>
      <c r="B105" s="17">
        <v>19900</v>
      </c>
      <c r="C105" s="28">
        <f t="shared" si="2"/>
        <v>1.005050505050505</v>
      </c>
      <c r="D105" s="27">
        <v>0.99</v>
      </c>
      <c r="E105" s="17">
        <f>10000*(1-D105)+10000*D105*E3</f>
        <v>19980.190000000002</v>
      </c>
      <c r="F105" s="29">
        <f t="shared" si="3"/>
        <v>1.0050710837058299</v>
      </c>
    </row>
    <row r="106" spans="1:6">
      <c r="A106" s="25">
        <v>1</v>
      </c>
      <c r="B106" s="17">
        <v>20000</v>
      </c>
      <c r="C106" s="28">
        <f t="shared" si="2"/>
        <v>1.0050251256281406</v>
      </c>
      <c r="D106" s="27">
        <v>1</v>
      </c>
      <c r="E106" s="17">
        <f>10000*(1-D106)+10000*D106*E3</f>
        <v>20081.000000000004</v>
      </c>
      <c r="F106" s="29">
        <f t="shared" si="3"/>
        <v>1.0050454975653385</v>
      </c>
    </row>
  </sheetData>
  <mergeCells count="7">
    <mergeCell ref="H14:O14"/>
    <mergeCell ref="F3:J3"/>
    <mergeCell ref="A1:C1"/>
    <mergeCell ref="H5:K5"/>
    <mergeCell ref="A2:B2"/>
    <mergeCell ref="H12:O12"/>
    <mergeCell ref="H13:O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4"/>
  <dimension ref="A1:Q83"/>
  <sheetViews>
    <sheetView topLeftCell="A4" zoomScaleNormal="100" workbookViewId="0">
      <selection activeCell="E60" sqref="E60:J60"/>
    </sheetView>
  </sheetViews>
  <sheetFormatPr defaultRowHeight="18.75"/>
  <cols>
    <col min="1" max="1" width="9" style="141"/>
    <col min="2" max="2" width="24.25" style="103" customWidth="1"/>
    <col min="3" max="3" width="9" style="100"/>
    <col min="4" max="5" width="9.625" style="100" bestFit="1" customWidth="1"/>
    <col min="6" max="6" width="10.625" style="100" bestFit="1" customWidth="1"/>
    <col min="7" max="7" width="9.625" style="100" bestFit="1" customWidth="1"/>
    <col min="8" max="8" width="10.625" style="100" bestFit="1" customWidth="1"/>
    <col min="9" max="9" width="14.75" style="104" customWidth="1"/>
    <col min="10" max="10" width="18.25" style="104" bestFit="1" customWidth="1"/>
    <col min="11" max="11" width="13.125" style="100" customWidth="1"/>
    <col min="12" max="12" width="13.25" style="100" customWidth="1"/>
    <col min="13" max="13" width="10" style="104" customWidth="1"/>
    <col min="14" max="16384" width="9" style="100"/>
  </cols>
  <sheetData>
    <row r="1" spans="1:14" s="176" customFormat="1">
      <c r="A1" s="172" t="s">
        <v>408</v>
      </c>
      <c r="B1" s="173" t="s">
        <v>36</v>
      </c>
      <c r="C1" s="173" t="s">
        <v>30</v>
      </c>
      <c r="D1" s="174" t="s">
        <v>22</v>
      </c>
      <c r="E1" s="174" t="s">
        <v>23</v>
      </c>
      <c r="F1" s="174" t="s">
        <v>24</v>
      </c>
      <c r="G1" s="174" t="s">
        <v>25</v>
      </c>
      <c r="H1" s="174" t="s">
        <v>26</v>
      </c>
      <c r="I1" s="175" t="s">
        <v>53</v>
      </c>
      <c r="J1" s="175" t="s">
        <v>1321</v>
      </c>
      <c r="K1" s="174" t="s">
        <v>37</v>
      </c>
      <c r="L1" s="174" t="s">
        <v>43</v>
      </c>
      <c r="M1" s="175" t="s">
        <v>56</v>
      </c>
      <c r="N1" s="176" t="s">
        <v>282</v>
      </c>
    </row>
    <row r="2" spans="1:14" s="503" customFormat="1">
      <c r="A2" s="284">
        <v>3</v>
      </c>
      <c r="B2" s="503" t="s">
        <v>1323</v>
      </c>
      <c r="E2" s="187"/>
      <c r="F2" s="168"/>
      <c r="G2" s="164"/>
      <c r="H2" s="168"/>
      <c r="I2" s="188"/>
      <c r="J2" s="188">
        <v>78977</v>
      </c>
      <c r="M2" s="188"/>
    </row>
    <row r="3" spans="1:14" s="503" customFormat="1">
      <c r="A3" s="284">
        <v>4</v>
      </c>
      <c r="B3" s="503" t="s">
        <v>1322</v>
      </c>
      <c r="E3" s="187"/>
      <c r="F3" s="168"/>
      <c r="G3" s="164"/>
      <c r="H3" s="168"/>
      <c r="I3" s="188"/>
      <c r="J3" s="188">
        <v>79509</v>
      </c>
      <c r="M3" s="188"/>
    </row>
    <row r="4" spans="1:14" s="503" customFormat="1">
      <c r="A4" s="284">
        <v>2</v>
      </c>
      <c r="B4" s="503" t="s">
        <v>1324</v>
      </c>
      <c r="E4" s="187"/>
      <c r="F4" s="168"/>
      <c r="G4" s="164"/>
      <c r="H4" s="168"/>
      <c r="I4" s="188"/>
      <c r="J4" s="188">
        <v>81328</v>
      </c>
      <c r="M4" s="188"/>
    </row>
    <row r="5" spans="1:14" s="503" customFormat="1">
      <c r="A5" s="284"/>
      <c r="B5" s="503" t="s">
        <v>1327</v>
      </c>
      <c r="E5" s="187"/>
      <c r="F5" s="168"/>
      <c r="G5" s="164"/>
      <c r="H5" s="168"/>
      <c r="I5" s="188"/>
      <c r="J5" s="188">
        <v>80255</v>
      </c>
      <c r="M5" s="188"/>
    </row>
    <row r="6" spans="1:14" s="503" customFormat="1">
      <c r="A6" s="284">
        <v>1</v>
      </c>
      <c r="B6" s="503" t="s">
        <v>1325</v>
      </c>
      <c r="E6" s="187"/>
      <c r="F6" s="168"/>
      <c r="G6" s="164"/>
      <c r="H6" s="168"/>
      <c r="I6" s="188"/>
      <c r="J6" s="188">
        <v>82001</v>
      </c>
      <c r="M6" s="188"/>
    </row>
    <row r="7" spans="1:14" s="503" customFormat="1">
      <c r="A7" s="284">
        <v>5</v>
      </c>
      <c r="B7" s="503" t="s">
        <v>1328</v>
      </c>
      <c r="E7" s="187"/>
      <c r="F7" s="168"/>
      <c r="G7" s="164"/>
      <c r="H7" s="168"/>
      <c r="I7" s="188"/>
      <c r="J7" s="188">
        <v>77222</v>
      </c>
      <c r="M7" s="188"/>
    </row>
    <row r="8" spans="1:14" s="503" customFormat="1">
      <c r="A8" s="284"/>
      <c r="E8" s="187"/>
      <c r="F8" s="168"/>
      <c r="G8" s="164"/>
      <c r="H8" s="168"/>
      <c r="I8" s="188"/>
      <c r="J8" s="188"/>
      <c r="M8" s="188"/>
    </row>
    <row r="9" spans="1:14" s="557" customFormat="1">
      <c r="A9" s="284"/>
      <c r="B9" s="557" t="s">
        <v>1401</v>
      </c>
      <c r="E9" s="187"/>
      <c r="F9" s="168"/>
      <c r="G9" s="164"/>
      <c r="H9" s="168">
        <v>1.1071</v>
      </c>
      <c r="I9" s="188"/>
      <c r="J9" s="188">
        <v>111898</v>
      </c>
      <c r="M9" s="188" t="s">
        <v>1399</v>
      </c>
      <c r="N9" s="557" t="s">
        <v>1400</v>
      </c>
    </row>
    <row r="10" spans="1:14" s="503" customFormat="1">
      <c r="A10" s="284"/>
      <c r="B10" s="503" t="s">
        <v>1402</v>
      </c>
      <c r="E10" s="187"/>
      <c r="F10" s="168"/>
      <c r="G10" s="164"/>
      <c r="H10" s="168">
        <v>1.1056999999999999</v>
      </c>
      <c r="I10" s="188"/>
      <c r="J10" s="188">
        <v>108567</v>
      </c>
      <c r="M10" s="188" t="s">
        <v>1399</v>
      </c>
      <c r="N10" s="557" t="s">
        <v>1400</v>
      </c>
    </row>
    <row r="11" spans="1:14" s="557" customFormat="1">
      <c r="A11" s="284"/>
      <c r="B11" s="557" t="s">
        <v>1408</v>
      </c>
      <c r="E11" s="187"/>
      <c r="F11" s="168"/>
      <c r="G11" s="164"/>
      <c r="H11" s="168">
        <v>1.0865</v>
      </c>
      <c r="I11" s="188"/>
      <c r="J11" s="188">
        <v>119633</v>
      </c>
      <c r="M11" s="188" t="s">
        <v>1399</v>
      </c>
      <c r="N11" s="557" t="s">
        <v>1400</v>
      </c>
    </row>
    <row r="12" spans="1:14" s="503" customFormat="1">
      <c r="A12" s="284"/>
      <c r="B12" s="557" t="s">
        <v>1403</v>
      </c>
      <c r="E12" s="187"/>
      <c r="F12" s="168"/>
      <c r="G12" s="164"/>
      <c r="H12" s="168">
        <v>1.1122000000000001</v>
      </c>
      <c r="I12" s="188"/>
      <c r="J12" s="188">
        <v>115635</v>
      </c>
      <c r="M12" s="188" t="s">
        <v>1399</v>
      </c>
      <c r="N12" s="557" t="s">
        <v>1400</v>
      </c>
    </row>
    <row r="13" spans="1:14" s="503" customFormat="1">
      <c r="A13" s="284"/>
      <c r="B13" s="557" t="s">
        <v>1404</v>
      </c>
      <c r="E13" s="187"/>
      <c r="F13" s="168"/>
      <c r="G13" s="164"/>
      <c r="H13" s="168">
        <v>1.1147</v>
      </c>
      <c r="I13" s="188"/>
      <c r="J13" s="188">
        <v>116324</v>
      </c>
      <c r="M13" s="188" t="s">
        <v>1399</v>
      </c>
      <c r="N13" s="557" t="s">
        <v>1400</v>
      </c>
    </row>
    <row r="14" spans="1:14" s="503" customFormat="1">
      <c r="A14" s="284"/>
      <c r="B14" s="557" t="s">
        <v>1405</v>
      </c>
      <c r="E14" s="187"/>
      <c r="F14" s="168"/>
      <c r="G14" s="164"/>
      <c r="H14" s="168">
        <v>1.0940000000000001</v>
      </c>
      <c r="I14" s="188"/>
      <c r="J14" s="188">
        <v>123177</v>
      </c>
      <c r="M14" s="188" t="s">
        <v>1399</v>
      </c>
      <c r="N14" s="557" t="s">
        <v>1400</v>
      </c>
    </row>
    <row r="15" spans="1:14" s="503" customFormat="1">
      <c r="A15" s="284"/>
      <c r="B15" s="557" t="s">
        <v>1406</v>
      </c>
      <c r="E15" s="187"/>
      <c r="F15" s="168"/>
      <c r="G15" s="164"/>
      <c r="H15" s="168">
        <v>1.0964</v>
      </c>
      <c r="I15" s="188"/>
      <c r="J15" s="188">
        <v>126975</v>
      </c>
      <c r="M15" s="188" t="s">
        <v>1399</v>
      </c>
      <c r="N15" s="557" t="s">
        <v>1400</v>
      </c>
    </row>
    <row r="16" spans="1:14" s="18" customFormat="1">
      <c r="A16" s="180"/>
      <c r="B16" s="18" t="s">
        <v>1410</v>
      </c>
      <c r="E16" s="558"/>
      <c r="F16" s="559"/>
      <c r="G16" s="170"/>
      <c r="H16" s="559">
        <v>1.0953999999999999</v>
      </c>
      <c r="I16" s="560"/>
      <c r="J16" s="560">
        <v>128685</v>
      </c>
      <c r="M16" s="560" t="s">
        <v>1399</v>
      </c>
      <c r="N16" s="18" t="s">
        <v>1400</v>
      </c>
    </row>
    <row r="17" spans="1:14" s="503" customFormat="1">
      <c r="A17" s="284"/>
      <c r="B17" s="503" t="s">
        <v>1407</v>
      </c>
      <c r="E17" s="187"/>
      <c r="F17" s="168"/>
      <c r="G17" s="164"/>
      <c r="H17" s="168">
        <v>1.093</v>
      </c>
      <c r="I17" s="188"/>
      <c r="J17" s="188">
        <v>127885</v>
      </c>
      <c r="M17" s="188" t="s">
        <v>1399</v>
      </c>
      <c r="N17" s="503" t="s">
        <v>1400</v>
      </c>
    </row>
    <row r="18" spans="1:14" s="503" customFormat="1">
      <c r="A18" s="284"/>
      <c r="E18" s="187"/>
      <c r="F18" s="168"/>
      <c r="G18" s="164"/>
      <c r="H18" s="168"/>
      <c r="I18" s="188"/>
      <c r="J18" s="188"/>
      <c r="M18" s="188"/>
    </row>
    <row r="19" spans="1:14" s="503" customFormat="1">
      <c r="A19" s="284"/>
      <c r="E19" s="187"/>
      <c r="F19" s="168"/>
      <c r="G19" s="164"/>
      <c r="H19" s="168"/>
      <c r="I19" s="188"/>
      <c r="J19" s="188"/>
      <c r="M19" s="188"/>
    </row>
    <row r="20" spans="1:14" s="503" customFormat="1">
      <c r="A20" s="284"/>
      <c r="E20" s="187"/>
      <c r="F20" s="168"/>
      <c r="G20" s="164"/>
      <c r="H20" s="168"/>
      <c r="I20" s="188"/>
      <c r="J20" s="188"/>
      <c r="M20" s="188"/>
    </row>
    <row r="21" spans="1:14" s="503" customFormat="1">
      <c r="A21" s="284"/>
      <c r="E21" s="187"/>
      <c r="F21" s="168"/>
      <c r="G21" s="164"/>
      <c r="H21" s="168"/>
      <c r="I21" s="188"/>
      <c r="J21" s="188"/>
      <c r="M21" s="188"/>
    </row>
    <row r="22" spans="1:14" s="503" customFormat="1">
      <c r="A22" s="284"/>
      <c r="E22" s="187"/>
      <c r="F22" s="168"/>
      <c r="G22" s="164"/>
      <c r="H22" s="168"/>
      <c r="I22" s="188"/>
      <c r="J22" s="188"/>
      <c r="M22" s="188"/>
    </row>
    <row r="23" spans="1:14" s="503" customFormat="1">
      <c r="A23" s="284"/>
      <c r="E23" s="187"/>
      <c r="F23" s="168"/>
      <c r="G23" s="164"/>
      <c r="H23" s="168"/>
      <c r="I23" s="188"/>
      <c r="J23" s="188"/>
      <c r="M23" s="188"/>
    </row>
    <row r="24" spans="1:14" s="503" customFormat="1">
      <c r="A24" s="284"/>
      <c r="E24" s="187"/>
      <c r="F24" s="168"/>
      <c r="G24" s="164"/>
      <c r="H24" s="168"/>
      <c r="I24" s="188"/>
      <c r="J24" s="188"/>
      <c r="M24" s="188"/>
    </row>
    <row r="25" spans="1:14" s="503" customFormat="1">
      <c r="A25" s="284"/>
      <c r="E25" s="187"/>
      <c r="F25" s="168"/>
      <c r="G25" s="164"/>
      <c r="H25" s="168"/>
      <c r="I25" s="188"/>
      <c r="J25" s="188"/>
      <c r="M25" s="188"/>
    </row>
    <row r="26" spans="1:14" s="503" customFormat="1">
      <c r="A26" s="284"/>
      <c r="E26" s="187"/>
      <c r="F26" s="168"/>
      <c r="G26" s="164"/>
      <c r="H26" s="168"/>
      <c r="I26" s="188"/>
      <c r="J26" s="188"/>
      <c r="M26" s="188"/>
    </row>
    <row r="27" spans="1:14" s="503" customFormat="1">
      <c r="A27" s="284"/>
      <c r="E27" s="187"/>
      <c r="F27" s="168"/>
      <c r="G27" s="164"/>
      <c r="H27" s="168"/>
      <c r="I27" s="188"/>
      <c r="J27" s="188"/>
      <c r="M27" s="188"/>
    </row>
    <row r="28" spans="1:14" s="503" customFormat="1">
      <c r="A28" s="284"/>
      <c r="E28" s="187"/>
      <c r="F28" s="168"/>
      <c r="G28" s="164"/>
      <c r="H28" s="168"/>
      <c r="I28" s="188"/>
      <c r="J28" s="188"/>
      <c r="M28" s="188"/>
    </row>
    <row r="29" spans="1:14" s="503" customFormat="1">
      <c r="A29" s="284"/>
      <c r="E29" s="187"/>
      <c r="F29" s="168"/>
      <c r="G29" s="164"/>
      <c r="H29" s="168"/>
      <c r="I29" s="188"/>
      <c r="J29" s="188"/>
      <c r="M29" s="188"/>
    </row>
    <row r="30" spans="1:14" s="503" customFormat="1">
      <c r="A30" s="284"/>
      <c r="E30" s="187"/>
      <c r="F30" s="168"/>
      <c r="G30" s="164"/>
      <c r="H30" s="168"/>
      <c r="I30" s="188"/>
      <c r="J30" s="188"/>
      <c r="M30" s="188"/>
    </row>
    <row r="31" spans="1:14" s="503" customFormat="1">
      <c r="A31" s="284"/>
      <c r="E31" s="187"/>
      <c r="F31" s="168"/>
      <c r="G31" s="164"/>
      <c r="H31" s="168"/>
      <c r="I31" s="188"/>
      <c r="J31" s="188"/>
      <c r="M31" s="188"/>
    </row>
    <row r="32" spans="1:14" s="503" customFormat="1">
      <c r="A32" s="284"/>
      <c r="E32" s="187"/>
      <c r="F32" s="168"/>
      <c r="G32" s="164"/>
      <c r="H32" s="168"/>
      <c r="I32" s="188"/>
      <c r="J32" s="188"/>
      <c r="M32" s="188"/>
    </row>
    <row r="33" spans="1:13" s="503" customFormat="1">
      <c r="A33" s="284"/>
      <c r="E33" s="187"/>
      <c r="F33" s="168"/>
      <c r="G33" s="164"/>
      <c r="H33" s="168"/>
      <c r="I33" s="188"/>
      <c r="J33" s="188"/>
      <c r="M33" s="188"/>
    </row>
    <row r="34" spans="1:13" s="503" customFormat="1">
      <c r="A34" s="284"/>
      <c r="E34" s="187"/>
      <c r="F34" s="168"/>
      <c r="G34" s="164"/>
      <c r="H34" s="168"/>
      <c r="I34" s="188"/>
      <c r="J34" s="188"/>
      <c r="M34" s="188"/>
    </row>
    <row r="35" spans="1:13" s="503" customFormat="1">
      <c r="A35" s="284"/>
      <c r="E35" s="187"/>
      <c r="F35" s="168"/>
      <c r="G35" s="164"/>
      <c r="H35" s="168"/>
      <c r="I35" s="188"/>
      <c r="J35" s="188"/>
      <c r="M35" s="188"/>
    </row>
    <row r="36" spans="1:13" s="503" customFormat="1">
      <c r="A36" s="284"/>
      <c r="E36" s="187"/>
      <c r="F36" s="168"/>
      <c r="G36" s="164"/>
      <c r="H36" s="168"/>
      <c r="I36" s="188"/>
      <c r="J36" s="188"/>
      <c r="M36" s="188"/>
    </row>
    <row r="37" spans="1:13" s="503" customFormat="1">
      <c r="A37" s="284"/>
      <c r="E37" s="187"/>
      <c r="F37" s="168"/>
      <c r="G37" s="164"/>
      <c r="H37" s="168"/>
      <c r="I37" s="188"/>
      <c r="J37" s="188"/>
      <c r="M37" s="188"/>
    </row>
    <row r="38" spans="1:13" s="503" customFormat="1">
      <c r="A38" s="284"/>
      <c r="E38" s="187"/>
      <c r="F38" s="168"/>
      <c r="G38" s="164"/>
      <c r="H38" s="168"/>
      <c r="I38" s="188"/>
      <c r="J38" s="188"/>
      <c r="M38" s="188"/>
    </row>
    <row r="39" spans="1:13" s="503" customFormat="1">
      <c r="A39" s="284"/>
      <c r="E39" s="187"/>
      <c r="F39" s="168"/>
      <c r="G39" s="164"/>
      <c r="H39" s="168"/>
      <c r="I39" s="188"/>
      <c r="J39" s="188"/>
      <c r="M39" s="188"/>
    </row>
    <row r="40" spans="1:13" s="503" customFormat="1">
      <c r="A40" s="284"/>
      <c r="E40" s="187"/>
      <c r="F40" s="168"/>
      <c r="G40" s="164"/>
      <c r="H40" s="168"/>
      <c r="I40" s="188"/>
      <c r="J40" s="188"/>
      <c r="M40" s="188"/>
    </row>
    <row r="41" spans="1:13" s="503" customFormat="1">
      <c r="A41" s="284"/>
      <c r="E41" s="187"/>
      <c r="F41" s="168"/>
      <c r="G41" s="164"/>
      <c r="H41" s="168"/>
      <c r="I41" s="188"/>
      <c r="J41" s="188"/>
      <c r="M41" s="188"/>
    </row>
    <row r="42" spans="1:13" s="503" customFormat="1">
      <c r="A42" s="284"/>
      <c r="E42" s="187"/>
      <c r="F42" s="168"/>
      <c r="G42" s="164"/>
      <c r="H42" s="168"/>
      <c r="I42" s="188"/>
      <c r="J42" s="188"/>
      <c r="M42" s="188"/>
    </row>
    <row r="43" spans="1:13" s="503" customFormat="1">
      <c r="A43" s="284"/>
      <c r="E43" s="187"/>
      <c r="F43" s="168"/>
      <c r="G43" s="164"/>
      <c r="H43" s="168"/>
      <c r="I43" s="188"/>
      <c r="J43" s="188"/>
      <c r="M43" s="188"/>
    </row>
    <row r="44" spans="1:13" s="503" customFormat="1">
      <c r="A44" s="284"/>
      <c r="E44" s="187"/>
      <c r="F44" s="168"/>
      <c r="G44" s="164"/>
      <c r="H44" s="168"/>
      <c r="I44" s="188"/>
      <c r="J44" s="188"/>
      <c r="M44" s="188"/>
    </row>
    <row r="45" spans="1:13" s="503" customFormat="1">
      <c r="A45" s="284"/>
      <c r="E45" s="187"/>
      <c r="F45" s="168"/>
      <c r="G45" s="164"/>
      <c r="H45" s="168"/>
      <c r="I45" s="188"/>
      <c r="J45" s="188"/>
      <c r="M45" s="188"/>
    </row>
    <row r="46" spans="1:13" s="503" customFormat="1">
      <c r="A46" s="284"/>
      <c r="E46" s="187"/>
      <c r="F46" s="168"/>
      <c r="G46" s="164"/>
      <c r="H46" s="168"/>
      <c r="I46" s="188"/>
      <c r="J46" s="188"/>
      <c r="M46" s="188"/>
    </row>
    <row r="47" spans="1:13" s="503" customFormat="1">
      <c r="A47" s="284"/>
      <c r="E47" s="187"/>
      <c r="F47" s="168"/>
      <c r="G47" s="164"/>
      <c r="H47" s="168"/>
      <c r="I47" s="188"/>
      <c r="J47" s="188"/>
      <c r="M47" s="188"/>
    </row>
    <row r="48" spans="1:13" s="503" customFormat="1">
      <c r="A48" s="284"/>
      <c r="E48" s="187"/>
      <c r="F48" s="168"/>
      <c r="G48" s="164"/>
      <c r="H48" s="168"/>
      <c r="I48" s="188"/>
      <c r="J48" s="188"/>
      <c r="M48" s="188"/>
    </row>
    <row r="49" spans="1:17" s="503" customFormat="1">
      <c r="A49" s="284"/>
      <c r="E49" s="187"/>
      <c r="F49" s="168"/>
      <c r="G49" s="164"/>
      <c r="H49" s="168"/>
      <c r="I49" s="188"/>
      <c r="J49" s="188"/>
      <c r="M49" s="188"/>
    </row>
    <row r="50" spans="1:17" s="503" customFormat="1">
      <c r="A50" s="284"/>
      <c r="E50" s="187"/>
      <c r="F50" s="168"/>
      <c r="G50" s="164"/>
      <c r="H50" s="168"/>
      <c r="I50" s="188"/>
      <c r="J50" s="188"/>
      <c r="M50" s="188"/>
    </row>
    <row r="51" spans="1:17" s="503" customFormat="1">
      <c r="A51" s="284"/>
      <c r="E51" s="187"/>
      <c r="F51" s="168"/>
      <c r="G51" s="164"/>
      <c r="H51" s="168"/>
      <c r="I51" s="188"/>
      <c r="J51" s="188"/>
      <c r="M51" s="188"/>
    </row>
    <row r="52" spans="1:17" s="503" customFormat="1">
      <c r="A52" s="284"/>
      <c r="E52" s="187"/>
      <c r="F52" s="168"/>
      <c r="G52" s="164"/>
      <c r="H52" s="168"/>
      <c r="I52" s="188"/>
      <c r="J52" s="188"/>
      <c r="M52" s="188"/>
    </row>
    <row r="53" spans="1:17" s="503" customFormat="1">
      <c r="A53" s="284"/>
      <c r="E53" s="187"/>
      <c r="F53" s="168"/>
      <c r="G53" s="164"/>
      <c r="H53" s="168"/>
      <c r="I53" s="188"/>
      <c r="J53" s="188"/>
      <c r="M53" s="188"/>
    </row>
    <row r="54" spans="1:17" s="503" customFormat="1">
      <c r="A54" s="284"/>
      <c r="E54" s="187"/>
      <c r="F54" s="168"/>
      <c r="G54" s="164"/>
      <c r="H54" s="168"/>
      <c r="I54" s="188"/>
      <c r="J54" s="188"/>
      <c r="M54" s="188"/>
    </row>
    <row r="55" spans="1:17">
      <c r="B55" s="281"/>
      <c r="C55" s="281"/>
      <c r="D55" s="281"/>
      <c r="E55" s="282"/>
      <c r="F55" s="282"/>
      <c r="G55" s="282"/>
      <c r="H55" s="282"/>
      <c r="I55" s="283"/>
      <c r="J55" s="283"/>
    </row>
    <row r="56" spans="1:17" s="101" customFormat="1" ht="15.75" customHeight="1">
      <c r="A56" s="156"/>
      <c r="B56" s="170" t="s">
        <v>406</v>
      </c>
      <c r="C56" s="18"/>
      <c r="D56" s="171"/>
      <c r="E56" s="170" t="s">
        <v>407</v>
      </c>
      <c r="F56" s="168"/>
      <c r="G56" s="168"/>
      <c r="H56" s="168"/>
      <c r="I56" s="169"/>
      <c r="J56" s="108"/>
      <c r="K56" s="107"/>
      <c r="M56" s="108"/>
      <c r="N56" s="112"/>
      <c r="O56" s="112"/>
      <c r="P56" s="112"/>
      <c r="Q56" s="107"/>
    </row>
    <row r="57" spans="1:17" s="102" customFormat="1">
      <c r="A57" s="141">
        <v>1</v>
      </c>
      <c r="B57" s="189" t="s">
        <v>1409</v>
      </c>
      <c r="C57" s="168"/>
      <c r="D57" s="168"/>
      <c r="E57" s="561" t="s">
        <v>1414</v>
      </c>
      <c r="F57" s="168"/>
      <c r="G57" s="168"/>
      <c r="H57" s="168"/>
      <c r="I57" s="169"/>
      <c r="J57" s="106"/>
      <c r="M57" s="106"/>
    </row>
    <row r="58" spans="1:17" s="102" customFormat="1">
      <c r="A58" s="141">
        <v>2</v>
      </c>
      <c r="B58" s="103" t="s">
        <v>1320</v>
      </c>
      <c r="C58" s="166"/>
      <c r="D58" s="164"/>
      <c r="E58" s="325" t="s">
        <v>1413</v>
      </c>
      <c r="F58" s="164"/>
      <c r="G58" s="164"/>
      <c r="H58" s="168"/>
      <c r="I58" s="169"/>
      <c r="J58" s="106"/>
      <c r="M58" s="106"/>
    </row>
    <row r="59" spans="1:17" s="102" customFormat="1">
      <c r="A59" s="141">
        <v>3</v>
      </c>
      <c r="B59" s="325" t="s">
        <v>1411</v>
      </c>
      <c r="C59" s="100"/>
      <c r="D59" s="100"/>
      <c r="E59" s="325" t="s">
        <v>1412</v>
      </c>
      <c r="F59" s="164"/>
      <c r="G59" s="164"/>
      <c r="H59" s="168"/>
      <c r="I59" s="169"/>
      <c r="J59" s="106"/>
      <c r="M59" s="106"/>
    </row>
    <row r="60" spans="1:17" s="102" customFormat="1">
      <c r="A60" s="141">
        <v>4</v>
      </c>
      <c r="B60" s="315" t="s">
        <v>1415</v>
      </c>
      <c r="C60" s="166"/>
      <c r="D60" s="168"/>
      <c r="E60" s="325" t="s">
        <v>1418</v>
      </c>
      <c r="F60" s="561" t="s">
        <v>1419</v>
      </c>
      <c r="G60" s="561" t="s">
        <v>1420</v>
      </c>
      <c r="H60" s="561" t="s">
        <v>1421</v>
      </c>
      <c r="I60" s="562" t="s">
        <v>1422</v>
      </c>
      <c r="J60" s="562" t="s">
        <v>1423</v>
      </c>
      <c r="M60" s="106"/>
    </row>
    <row r="61" spans="1:17" s="102" customFormat="1">
      <c r="A61" s="160">
        <v>5</v>
      </c>
      <c r="B61" s="167"/>
      <c r="C61" s="166"/>
      <c r="D61" s="168"/>
      <c r="M61" s="106"/>
    </row>
    <row r="62" spans="1:17" s="101" customFormat="1">
      <c r="A62" s="110">
        <v>6</v>
      </c>
      <c r="B62" s="159"/>
      <c r="C62" s="166"/>
      <c r="D62" s="168"/>
      <c r="E62" s="17"/>
      <c r="F62" s="122"/>
      <c r="G62" s="122"/>
      <c r="H62" s="122"/>
      <c r="I62" s="108"/>
      <c r="J62" s="108"/>
      <c r="M62" s="108"/>
    </row>
    <row r="63" spans="1:17" s="102" customFormat="1">
      <c r="A63" s="110">
        <v>1</v>
      </c>
      <c r="B63" s="160"/>
      <c r="C63" s="164"/>
      <c r="D63" s="164"/>
      <c r="E63" s="20"/>
      <c r="F63" s="122"/>
      <c r="G63" s="122"/>
      <c r="H63" s="122"/>
      <c r="I63" s="106"/>
      <c r="J63" s="106"/>
      <c r="M63" s="106"/>
    </row>
    <row r="64" spans="1:17">
      <c r="A64" s="110">
        <v>2</v>
      </c>
      <c r="B64" s="160"/>
      <c r="C64" s="164"/>
      <c r="D64" s="164"/>
      <c r="E64" s="17"/>
      <c r="F64" s="122"/>
      <c r="G64" s="122"/>
      <c r="H64" s="122"/>
    </row>
    <row r="65" spans="1:13">
      <c r="A65" s="110">
        <v>3</v>
      </c>
      <c r="B65" s="160"/>
      <c r="C65" s="164"/>
      <c r="D65" s="164"/>
      <c r="E65" s="17"/>
      <c r="F65" s="122"/>
      <c r="G65" s="122"/>
      <c r="H65" s="122"/>
    </row>
    <row r="66" spans="1:13">
      <c r="A66" s="110">
        <v>4</v>
      </c>
      <c r="B66" s="102"/>
      <c r="C66" s="164"/>
      <c r="D66" s="164"/>
      <c r="E66" s="119"/>
      <c r="F66" s="122"/>
      <c r="G66" s="122"/>
      <c r="H66" s="122"/>
    </row>
    <row r="67" spans="1:13" s="102" customFormat="1">
      <c r="A67" s="111"/>
      <c r="B67" s="101"/>
      <c r="C67" s="101"/>
      <c r="D67" s="101"/>
      <c r="E67" s="20"/>
      <c r="F67" s="124"/>
      <c r="G67" s="124"/>
      <c r="H67" s="124"/>
      <c r="I67" s="106"/>
      <c r="J67" s="106"/>
      <c r="M67" s="106"/>
    </row>
    <row r="68" spans="1:13" s="102" customFormat="1">
      <c r="A68" s="110"/>
      <c r="E68" s="17"/>
      <c r="F68" s="122"/>
      <c r="G68" s="122"/>
      <c r="H68" s="122"/>
      <c r="I68" s="104"/>
      <c r="J68" s="104"/>
      <c r="M68" s="106"/>
    </row>
    <row r="69" spans="1:13">
      <c r="E69" s="17"/>
      <c r="F69" s="124"/>
      <c r="G69" s="124"/>
      <c r="H69" s="124"/>
    </row>
    <row r="70" spans="1:13">
      <c r="E70" s="17"/>
      <c r="F70" s="121"/>
      <c r="G70" s="121"/>
      <c r="H70" s="122"/>
    </row>
    <row r="71" spans="1:13">
      <c r="E71" s="17"/>
      <c r="F71" s="102"/>
      <c r="G71" s="102"/>
      <c r="H71" s="105"/>
    </row>
    <row r="72" spans="1:13" s="102" customFormat="1">
      <c r="A72" s="110"/>
      <c r="E72" s="20"/>
      <c r="H72" s="105"/>
      <c r="I72" s="106"/>
      <c r="J72" s="106"/>
      <c r="M72" s="106"/>
    </row>
    <row r="73" spans="1:13" s="101" customFormat="1">
      <c r="A73" s="110"/>
      <c r="B73" s="102"/>
      <c r="C73" s="102"/>
      <c r="D73" s="102"/>
      <c r="E73" s="17"/>
      <c r="F73" s="102"/>
      <c r="G73" s="102"/>
      <c r="H73" s="105"/>
      <c r="I73" s="108"/>
      <c r="J73" s="108"/>
      <c r="M73" s="108"/>
    </row>
    <row r="74" spans="1:13" s="101" customFormat="1">
      <c r="A74" s="141"/>
      <c r="B74" s="103"/>
      <c r="C74" s="100"/>
      <c r="D74" s="100"/>
      <c r="E74" s="17"/>
      <c r="F74" s="125"/>
      <c r="G74" s="125"/>
      <c r="H74" s="123"/>
      <c r="I74" s="108"/>
      <c r="J74" s="108"/>
      <c r="M74" s="108"/>
    </row>
    <row r="75" spans="1:13">
      <c r="E75" s="17"/>
      <c r="F75" s="121"/>
      <c r="G75" s="121"/>
      <c r="H75" s="122"/>
    </row>
    <row r="76" spans="1:13">
      <c r="E76" s="17"/>
      <c r="F76" s="102"/>
      <c r="G76" s="102"/>
      <c r="H76" s="105"/>
    </row>
    <row r="77" spans="1:13">
      <c r="A77" s="110"/>
      <c r="B77" s="102"/>
      <c r="C77" s="102"/>
      <c r="D77" s="102"/>
      <c r="E77" s="105"/>
      <c r="F77" s="105"/>
      <c r="G77" s="105"/>
      <c r="H77" s="105"/>
    </row>
    <row r="78" spans="1:13">
      <c r="A78" s="111"/>
      <c r="B78" s="101"/>
      <c r="C78" s="101"/>
      <c r="D78" s="101"/>
      <c r="E78" s="105"/>
      <c r="F78" s="105"/>
      <c r="G78" s="105"/>
      <c r="H78" s="105"/>
    </row>
    <row r="79" spans="1:13">
      <c r="A79" s="111"/>
      <c r="B79" s="101"/>
      <c r="C79" s="101"/>
      <c r="D79" s="101"/>
    </row>
    <row r="82" spans="2:4">
      <c r="B82" s="120"/>
      <c r="C82" s="109"/>
      <c r="D82" s="105"/>
    </row>
    <row r="83" spans="2:4">
      <c r="B83" s="120"/>
      <c r="C83" s="109"/>
      <c r="D83" s="10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75</vt:i4>
      </vt:variant>
    </vt:vector>
  </HeadingPairs>
  <TitlesOfParts>
    <vt:vector size="86" baseType="lpstr">
      <vt:lpstr>傷害計算</vt:lpstr>
      <vt:lpstr>配裝模擬</vt:lpstr>
      <vt:lpstr>破會收益</vt:lpstr>
      <vt:lpstr>BUFF</vt:lpstr>
      <vt:lpstr>DPS計算(Test)</vt:lpstr>
      <vt:lpstr>資料庫</vt:lpstr>
      <vt:lpstr>AutoData</vt:lpstr>
      <vt:lpstr>會破試算</vt:lpstr>
      <vt:lpstr>個人配裝</vt:lpstr>
      <vt:lpstr>static</vt:lpstr>
      <vt:lpstr>staticResult</vt:lpstr>
      <vt:lpstr>AutoData!下裝</vt:lpstr>
      <vt:lpstr>下裝</vt:lpstr>
      <vt:lpstr>AutoData!下裝附魔</vt:lpstr>
      <vt:lpstr>下裝附魔</vt:lpstr>
      <vt:lpstr>五彩石</vt:lpstr>
      <vt:lpstr>AutoData!衣服</vt:lpstr>
      <vt:lpstr>衣服</vt:lpstr>
      <vt:lpstr>AutoData!衣服附魔</vt:lpstr>
      <vt:lpstr>衣服附魔</vt:lpstr>
      <vt:lpstr>AutoData!戒指</vt:lpstr>
      <vt:lpstr>戒指</vt:lpstr>
      <vt:lpstr>AutoData!戒指附魔</vt:lpstr>
      <vt:lpstr>戒指附魔</vt:lpstr>
      <vt:lpstr>AutoData!其他宴席</vt:lpstr>
      <vt:lpstr>其他宴席</vt:lpstr>
      <vt:lpstr>奇穴1</vt:lpstr>
      <vt:lpstr>奇穴10</vt:lpstr>
      <vt:lpstr>奇穴11</vt:lpstr>
      <vt:lpstr>奇穴12</vt:lpstr>
      <vt:lpstr>奇穴2</vt:lpstr>
      <vt:lpstr>奇穴3</vt:lpstr>
      <vt:lpstr>奇穴4</vt:lpstr>
      <vt:lpstr>奇穴5</vt:lpstr>
      <vt:lpstr>奇穴6</vt:lpstr>
      <vt:lpstr>奇穴7</vt:lpstr>
      <vt:lpstr>奇穴8</vt:lpstr>
      <vt:lpstr>奇穴9</vt:lpstr>
      <vt:lpstr>AutoData!武器</vt:lpstr>
      <vt:lpstr>武器</vt:lpstr>
      <vt:lpstr>AutoData!武器附魔</vt:lpstr>
      <vt:lpstr>武器附魔</vt:lpstr>
      <vt:lpstr>AutoData!武器熔錠</vt:lpstr>
      <vt:lpstr>武器熔錠</vt:lpstr>
      <vt:lpstr>AutoData!宴席</vt:lpstr>
      <vt:lpstr>宴席</vt:lpstr>
      <vt:lpstr>AutoData!畢業頭部</vt:lpstr>
      <vt:lpstr>畢業頭部</vt:lpstr>
      <vt:lpstr>AutoData!項鍊</vt:lpstr>
      <vt:lpstr>項鍊</vt:lpstr>
      <vt:lpstr>AutoData!暗器附魔</vt:lpstr>
      <vt:lpstr>暗器附魔</vt:lpstr>
      <vt:lpstr>AutoData!暗器囊</vt:lpstr>
      <vt:lpstr>暗器囊</vt:lpstr>
      <vt:lpstr>AutoData!腰帶</vt:lpstr>
      <vt:lpstr>腰帶</vt:lpstr>
      <vt:lpstr>AutoData!腰帶附魔</vt:lpstr>
      <vt:lpstr>腰帶附魔</vt:lpstr>
      <vt:lpstr>AutoData!腰墜</vt:lpstr>
      <vt:lpstr>腰墜</vt:lpstr>
      <vt:lpstr>AutoData!裝備名稱</vt:lpstr>
      <vt:lpstr>裝備名稱</vt:lpstr>
      <vt:lpstr>裝備部位</vt:lpstr>
      <vt:lpstr>AutoData!輔助食品</vt:lpstr>
      <vt:lpstr>輔助食品</vt:lpstr>
      <vt:lpstr>AutoData!輔助藥品</vt:lpstr>
      <vt:lpstr>輔助藥品</vt:lpstr>
      <vt:lpstr>AutoData!增強食品</vt:lpstr>
      <vt:lpstr>增強食品</vt:lpstr>
      <vt:lpstr>AutoData!增強藥品</vt:lpstr>
      <vt:lpstr>增強藥品</vt:lpstr>
      <vt:lpstr>AutoData!鞋子</vt:lpstr>
      <vt:lpstr>鞋子</vt:lpstr>
      <vt:lpstr>AutoData!鞋子附魔</vt:lpstr>
      <vt:lpstr>鞋子附魔</vt:lpstr>
      <vt:lpstr>AutoData!頭部</vt:lpstr>
      <vt:lpstr>頭部</vt:lpstr>
      <vt:lpstr>AutoData!頭部附魔</vt:lpstr>
      <vt:lpstr>頭部附魔</vt:lpstr>
      <vt:lpstr>AutoData!幫會宴席</vt:lpstr>
      <vt:lpstr>幫會宴席</vt:lpstr>
      <vt:lpstr>類型</vt:lpstr>
      <vt:lpstr>AutoData!護腕</vt:lpstr>
      <vt:lpstr>護腕</vt:lpstr>
      <vt:lpstr>AutoData!護腕附魔</vt:lpstr>
      <vt:lpstr>護腕附魔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夏菲</cp:lastModifiedBy>
  <dcterms:created xsi:type="dcterms:W3CDTF">2019-04-19T12:44:08Z</dcterms:created>
  <dcterms:modified xsi:type="dcterms:W3CDTF">2020-03-24T19:50:37Z</dcterms:modified>
</cp:coreProperties>
</file>