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E:\Game\JX3\EXCEL\自製\"/>
    </mc:Choice>
  </mc:AlternateContent>
  <xr:revisionPtr revIDLastSave="0" documentId="13_ncr:1_{7BC2FB8C-A420-414B-98DF-3CB80E50D418}" xr6:coauthVersionLast="44" xr6:coauthVersionMax="44" xr10:uidLastSave="{00000000-0000-0000-0000-000000000000}"/>
  <bookViews>
    <workbookView xWindow="-120" yWindow="-120" windowWidth="21840" windowHeight="13140" xr2:uid="{00000000-000D-0000-FFFF-FFFF00000000}"/>
  </bookViews>
  <sheets>
    <sheet name="計算機" sheetId="7" r:id="rId1"/>
    <sheet name="後台" sheetId="8" r:id="rId2"/>
    <sheet name="材料" sheetId="9" r:id="rId3"/>
    <sheet name="五行石" sheetId="10" r:id="rId4"/>
  </sheets>
  <definedNames>
    <definedName name="布料">計算機!$B$26:$F$30</definedName>
    <definedName name="全材料">材料!$B$2:$H$86</definedName>
    <definedName name="商店材料">計算機!$B$31:$J$35</definedName>
    <definedName name="基礎材料">計算機!$B$36:$S$40</definedName>
    <definedName name="烹飪·紫">後台!$B$96:$B$110</definedName>
    <definedName name="烹飪·藍">後台!$B$81:$B$95</definedName>
    <definedName name="縫紉">後台!$B$33:$B$40</definedName>
    <definedName name="醫術·紫">後台!$B$62:$B$76</definedName>
    <definedName name="醫術·藍">後台!$B$47:$B$61</definedName>
    <definedName name="礦石">計算機!$B$21:$F$25</definedName>
    <definedName name="鑄造">後台!$B$2:$B$14</definedName>
    <definedName name="鑄造·紫熔錠">後台!$B$16:$B$18</definedName>
    <definedName name="鑄造·藍熔錠">後台!$B$20:$B$22</definedName>
    <definedName name="鑄鐵">計算機!$C$16:$I$20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5" i="7" l="1"/>
  <c r="D12" i="9" l="1"/>
  <c r="D11" i="9"/>
  <c r="D10" i="9"/>
  <c r="D9" i="9"/>
  <c r="D8" i="9"/>
  <c r="D7" i="9"/>
  <c r="D6" i="9"/>
  <c r="D5" i="9"/>
  <c r="D4" i="9"/>
  <c r="D3" i="9"/>
  <c r="D2" i="9"/>
  <c r="K2" i="7" l="1"/>
  <c r="I2" i="7"/>
  <c r="E16" i="10" l="1"/>
  <c r="D16" i="10"/>
  <c r="C16" i="10"/>
  <c r="B14" i="10"/>
  <c r="C13" i="10"/>
  <c r="C14" i="10" s="1"/>
  <c r="D13" i="10" s="1"/>
  <c r="D14" i="10" s="1"/>
  <c r="E13" i="10" s="1"/>
  <c r="E14" i="10" s="1"/>
  <c r="J13" i="9"/>
  <c r="I13" i="9"/>
  <c r="N5" i="9"/>
  <c r="D2" i="10"/>
  <c r="C9" i="10"/>
  <c r="D9" i="10"/>
  <c r="E9" i="10"/>
  <c r="D6" i="10"/>
  <c r="E7" i="10"/>
  <c r="E6" i="10"/>
  <c r="B7" i="10"/>
  <c r="C7" i="10"/>
  <c r="D7" i="10"/>
  <c r="C6" i="10"/>
  <c r="B12" i="7" l="1"/>
  <c r="G2" i="7" l="1"/>
  <c r="D12" i="7" s="1"/>
  <c r="C2" i="7"/>
  <c r="F5" i="7"/>
  <c r="D17" i="7" s="1"/>
  <c r="E4" i="7"/>
  <c r="F4" i="7"/>
  <c r="D5" i="7"/>
  <c r="C5" i="7"/>
  <c r="D14" i="7" s="1"/>
  <c r="B5" i="7"/>
  <c r="D13" i="7" s="1"/>
  <c r="E2" i="7"/>
  <c r="D2" i="7"/>
  <c r="D4" i="7"/>
  <c r="C4" i="7"/>
  <c r="B4" i="7"/>
  <c r="G17" i="7" l="1"/>
  <c r="I17" i="7"/>
  <c r="B6" i="7"/>
  <c r="C13" i="7"/>
  <c r="L4" i="7"/>
  <c r="C17" i="7"/>
  <c r="C6" i="7"/>
  <c r="C14" i="7"/>
  <c r="E5" i="7"/>
  <c r="D16" i="7" s="1"/>
  <c r="C16" i="7"/>
  <c r="C15" i="7"/>
  <c r="D10" i="7"/>
  <c r="D6" i="7"/>
  <c r="E6" i="7"/>
  <c r="E10" i="7"/>
  <c r="E9" i="7"/>
  <c r="B9" i="7"/>
  <c r="F9" i="7"/>
  <c r="C9" i="7"/>
  <c r="D9" i="7"/>
  <c r="B10" i="7"/>
  <c r="C10" i="7"/>
  <c r="F6" i="7"/>
  <c r="I4" i="7"/>
  <c r="J4" i="7"/>
  <c r="J7" i="7" s="1"/>
  <c r="K4" i="7"/>
  <c r="H4" i="7"/>
  <c r="H10" i="7" s="1"/>
  <c r="H21" i="7" l="1"/>
  <c r="H18" i="7"/>
  <c r="L9" i="7"/>
  <c r="F17" i="7"/>
  <c r="H17" i="7"/>
  <c r="F20" i="7"/>
  <c r="H20" i="7"/>
  <c r="F19" i="7"/>
  <c r="H19" i="7"/>
  <c r="L5" i="7"/>
  <c r="F21" i="7"/>
  <c r="I9" i="7"/>
  <c r="F18" i="7"/>
  <c r="L6" i="7"/>
  <c r="L7" i="7" s="1"/>
  <c r="K7" i="7"/>
  <c r="J9" i="7"/>
  <c r="H9" i="7"/>
  <c r="K9" i="7"/>
  <c r="J6" i="7"/>
  <c r="I6" i="7"/>
  <c r="I7" i="7" s="1"/>
  <c r="K6" i="7"/>
  <c r="E7" i="7"/>
  <c r="E8" i="7" s="1"/>
  <c r="J5" i="7"/>
  <c r="I5" i="7"/>
  <c r="K5" i="7"/>
  <c r="H6" i="7"/>
  <c r="I19" i="7" l="1"/>
  <c r="G19" i="7"/>
  <c r="J10" i="7"/>
  <c r="I20" i="7"/>
  <c r="G20" i="7"/>
  <c r="I21" i="7"/>
  <c r="G21" i="7"/>
  <c r="K10" i="7"/>
  <c r="L10" i="7"/>
  <c r="G18" i="7"/>
  <c r="I18" i="7"/>
  <c r="I10" i="7"/>
  <c r="H7" i="7"/>
  <c r="H8" i="7" s="1"/>
  <c r="L8" i="7"/>
  <c r="J8" i="7"/>
  <c r="I8" i="7"/>
  <c r="K8" i="7"/>
  <c r="M10" i="7" l="1"/>
  <c r="F10" i="7" s="1"/>
  <c r="L2" i="7" s="1"/>
  <c r="M8" i="7"/>
  <c r="N8" i="7" s="1"/>
  <c r="F7" i="7" l="1"/>
  <c r="F8" i="7" s="1"/>
  <c r="N10" i="7"/>
  <c r="H30" i="9"/>
  <c r="H32" i="9"/>
  <c r="H14" i="9"/>
  <c r="H33" i="9"/>
  <c r="H15" i="9"/>
  <c r="H23" i="9"/>
  <c r="I24" i="9"/>
  <c r="J24" i="9" s="1"/>
  <c r="K24" i="9" s="1"/>
  <c r="L24" i="9" s="1"/>
  <c r="D24" i="9" s="1"/>
  <c r="I14" i="9"/>
  <c r="J14" i="9" s="1"/>
  <c r="K14" i="9" s="1"/>
  <c r="L14" i="9" s="1"/>
  <c r="D14" i="9" s="1"/>
  <c r="I30" i="9"/>
  <c r="J30" i="9" s="1"/>
  <c r="K30" i="9" s="1"/>
  <c r="L30" i="9" s="1"/>
  <c r="D30" i="9" s="1"/>
  <c r="I15" i="9"/>
  <c r="J15" i="9" s="1"/>
  <c r="K15" i="9" s="1"/>
  <c r="L15" i="9" s="1"/>
  <c r="D15" i="9" s="1"/>
  <c r="I27" i="9"/>
  <c r="J27" i="9" s="1"/>
  <c r="K27" i="9" s="1"/>
  <c r="L27" i="9" s="1"/>
  <c r="D27" i="9" s="1"/>
  <c r="I25" i="9"/>
  <c r="J25" i="9" s="1"/>
  <c r="K25" i="9" s="1"/>
  <c r="L25" i="9" s="1"/>
  <c r="I19" i="9"/>
  <c r="J19" i="9" s="1"/>
  <c r="K19" i="9" s="1"/>
  <c r="L19" i="9" s="1"/>
  <c r="H20" i="9"/>
  <c r="I18" i="9"/>
  <c r="J18" i="9" s="1"/>
  <c r="K18" i="9" s="1"/>
  <c r="L18" i="9" s="1"/>
  <c r="D18" i="9" s="1"/>
  <c r="I22" i="9"/>
  <c r="J22" i="9" s="1"/>
  <c r="K22" i="9" s="1"/>
  <c r="L22" i="9" s="1"/>
  <c r="D22" i="9" s="1"/>
  <c r="H17" i="9"/>
  <c r="H18" i="9"/>
  <c r="H19" i="9"/>
  <c r="I17" i="9"/>
  <c r="J17" i="9" s="1"/>
  <c r="K17" i="9" s="1"/>
  <c r="L17" i="9" s="1"/>
  <c r="D17" i="9" s="1"/>
  <c r="I32" i="9"/>
  <c r="J32" i="9" s="1"/>
  <c r="K32" i="9" s="1"/>
  <c r="L32" i="9" s="1"/>
  <c r="D32" i="9" s="1"/>
  <c r="H16" i="9"/>
  <c r="H26" i="9"/>
  <c r="I20" i="9"/>
  <c r="J20" i="9" s="1"/>
  <c r="K20" i="9" s="1"/>
  <c r="L20" i="9" s="1"/>
  <c r="I31" i="9"/>
  <c r="J31" i="9" s="1"/>
  <c r="K31" i="9" s="1"/>
  <c r="L31" i="9" s="1"/>
  <c r="D31" i="9" s="1"/>
  <c r="H24" i="9"/>
  <c r="I23" i="9"/>
  <c r="J23" i="9" s="1"/>
  <c r="K23" i="9" s="1"/>
  <c r="L23" i="9" s="1"/>
  <c r="H28" i="9"/>
  <c r="I21" i="9"/>
  <c r="J21" i="9" s="1"/>
  <c r="K21" i="9" s="1"/>
  <c r="L21" i="9" s="1"/>
  <c r="D21" i="9" s="1"/>
  <c r="H25" i="9"/>
  <c r="H13" i="9"/>
  <c r="H27" i="9"/>
  <c r="C7" i="7" s="1"/>
  <c r="C8" i="7" s="1"/>
  <c r="H29" i="9"/>
  <c r="D7" i="7" s="1"/>
  <c r="D8" i="7" s="1"/>
  <c r="H22" i="9"/>
  <c r="I28" i="9"/>
  <c r="J28" i="9" s="1"/>
  <c r="K28" i="9" s="1"/>
  <c r="L28" i="9" s="1"/>
  <c r="D28" i="9" s="1"/>
  <c r="I26" i="9"/>
  <c r="J26" i="9" s="1"/>
  <c r="K26" i="9" s="1"/>
  <c r="L26" i="9" s="1"/>
  <c r="D26" i="9" s="1"/>
  <c r="H31" i="9"/>
  <c r="I33" i="9"/>
  <c r="J33" i="9" s="1"/>
  <c r="K33" i="9" s="1"/>
  <c r="L33" i="9" s="1"/>
  <c r="D33" i="9" s="1"/>
  <c r="I29" i="9"/>
  <c r="J29" i="9" s="1"/>
  <c r="K29" i="9" s="1"/>
  <c r="L29" i="9" s="1"/>
  <c r="D29" i="9" s="1"/>
  <c r="I16" i="9"/>
  <c r="J16" i="9" s="1"/>
  <c r="K16" i="9" s="1"/>
  <c r="L16" i="9" s="1"/>
  <c r="K13" i="9"/>
  <c r="L13" i="9" s="1"/>
  <c r="D13" i="9" s="1"/>
  <c r="H21" i="9"/>
  <c r="D19" i="9" l="1"/>
  <c r="D20" i="9"/>
  <c r="D25" i="9"/>
  <c r="B7" i="7"/>
  <c r="B8" i="7" s="1"/>
  <c r="F2" i="7" s="1"/>
  <c r="H2" i="7" s="1"/>
  <c r="J2" i="7" s="1"/>
  <c r="M2" i="7" s="1"/>
  <c r="D16" i="9"/>
  <c r="D23" i="9"/>
</calcChain>
</file>

<file path=xl/sharedStrings.xml><?xml version="1.0" encoding="utf-8"?>
<sst xmlns="http://schemas.openxmlformats.org/spreadsheetml/2006/main" count="1044" uniqueCount="361">
  <si>
    <t>縫紉</t>
    <phoneticPr fontId="1" type="noConversion"/>
  </si>
  <si>
    <t>鑄造</t>
    <phoneticPr fontId="1" type="noConversion"/>
  </si>
  <si>
    <t>帽</t>
    <phoneticPr fontId="1" type="noConversion"/>
  </si>
  <si>
    <t>手</t>
    <phoneticPr fontId="1" type="noConversion"/>
  </si>
  <si>
    <t>褲</t>
    <phoneticPr fontId="1" type="noConversion"/>
  </si>
  <si>
    <t>腳</t>
    <phoneticPr fontId="1" type="noConversion"/>
  </si>
  <si>
    <t>鹹骨粥</t>
    <phoneticPr fontId="1" type="noConversion"/>
  </si>
  <si>
    <t>灌湯包</t>
    <phoneticPr fontId="1" type="noConversion"/>
  </si>
  <si>
    <t>上品靜心丸</t>
    <phoneticPr fontId="1" type="noConversion"/>
  </si>
  <si>
    <t>上品展鳳散</t>
    <phoneticPr fontId="1" type="noConversion"/>
  </si>
  <si>
    <t>部位</t>
    <phoneticPr fontId="1" type="noConversion"/>
  </si>
  <si>
    <t>技能</t>
    <phoneticPr fontId="1" type="noConversion"/>
  </si>
  <si>
    <t>數值</t>
    <phoneticPr fontId="1" type="noConversion"/>
  </si>
  <si>
    <t>貓眼石</t>
  </si>
  <si>
    <t>貓眼石</t>
    <phoneticPr fontId="1" type="noConversion"/>
  </si>
  <si>
    <t>沉香木</t>
    <phoneticPr fontId="1" type="noConversion"/>
  </si>
  <si>
    <t>紫檀</t>
    <phoneticPr fontId="1" type="noConversion"/>
  </si>
  <si>
    <t>黃銅錠</t>
  </si>
  <si>
    <t>黃銅錠</t>
    <phoneticPr fontId="1" type="noConversion"/>
  </si>
  <si>
    <t>木炭</t>
  </si>
  <si>
    <t>木炭</t>
    <phoneticPr fontId="1" type="noConversion"/>
  </si>
  <si>
    <t>拍賣價格</t>
    <phoneticPr fontId="1" type="noConversion"/>
  </si>
  <si>
    <t>瑪瑙</t>
  </si>
  <si>
    <t>瑪瑙</t>
    <phoneticPr fontId="1" type="noConversion"/>
  </si>
  <si>
    <t>武器</t>
    <phoneticPr fontId="1" type="noConversion"/>
  </si>
  <si>
    <t>鉛錠</t>
  </si>
  <si>
    <t>鉛錠</t>
    <phoneticPr fontId="1" type="noConversion"/>
  </si>
  <si>
    <t>寶石</t>
  </si>
  <si>
    <t>寶石</t>
    <phoneticPr fontId="1" type="noConversion"/>
  </si>
  <si>
    <t>菜籽油</t>
  </si>
  <si>
    <t>菜籽油</t>
    <phoneticPr fontId="1" type="noConversion"/>
  </si>
  <si>
    <t>青銅錠</t>
  </si>
  <si>
    <t>青銅錠</t>
    <phoneticPr fontId="1" type="noConversion"/>
  </si>
  <si>
    <t>硼砂</t>
  </si>
  <si>
    <t>硼砂</t>
    <phoneticPr fontId="1" type="noConversion"/>
  </si>
  <si>
    <t>火墨</t>
  </si>
  <si>
    <t>火墨</t>
    <phoneticPr fontId="1" type="noConversion"/>
  </si>
  <si>
    <t>名稱</t>
    <phoneticPr fontId="1" type="noConversion"/>
  </si>
  <si>
    <t>密銀錠</t>
  </si>
  <si>
    <t>密銀錠</t>
    <phoneticPr fontId="1" type="noConversion"/>
  </si>
  <si>
    <t>煤炭</t>
  </si>
  <si>
    <t>煤炭</t>
    <phoneticPr fontId="1" type="noConversion"/>
  </si>
  <si>
    <t>熔錠(紫)</t>
    <phoneticPr fontId="1" type="noConversion"/>
  </si>
  <si>
    <t>熔錠(藍)</t>
    <phoneticPr fontId="1" type="noConversion"/>
  </si>
  <si>
    <t>煉火石</t>
    <phoneticPr fontId="1" type="noConversion"/>
  </si>
  <si>
    <t>鑌鐵錠</t>
  </si>
  <si>
    <t>鑌鐵錠</t>
    <phoneticPr fontId="1" type="noConversion"/>
  </si>
  <si>
    <t>鐵礦</t>
    <phoneticPr fontId="1" type="noConversion"/>
  </si>
  <si>
    <t>銀礦</t>
    <phoneticPr fontId="1" type="noConversion"/>
  </si>
  <si>
    <t>銅礦</t>
    <phoneticPr fontId="1" type="noConversion"/>
  </si>
  <si>
    <t>鉛鋅礦</t>
    <phoneticPr fontId="1" type="noConversion"/>
  </si>
  <si>
    <t>錫礦</t>
    <phoneticPr fontId="1" type="noConversion"/>
  </si>
  <si>
    <t>布料</t>
    <phoneticPr fontId="1" type="noConversion"/>
  </si>
  <si>
    <t>百股線</t>
    <phoneticPr fontId="1" type="noConversion"/>
  </si>
  <si>
    <t>百染線</t>
    <phoneticPr fontId="1" type="noConversion"/>
  </si>
  <si>
    <t>紡絲</t>
    <phoneticPr fontId="1" type="noConversion"/>
  </si>
  <si>
    <t>百花線</t>
    <phoneticPr fontId="1" type="noConversion"/>
  </si>
  <si>
    <t>金線</t>
    <phoneticPr fontId="1" type="noConversion"/>
  </si>
  <si>
    <t>棉線</t>
    <phoneticPr fontId="1" type="noConversion"/>
  </si>
  <si>
    <t>石灰</t>
    <phoneticPr fontId="1" type="noConversion"/>
  </si>
  <si>
    <t>製作目標</t>
    <phoneticPr fontId="1" type="noConversion"/>
  </si>
  <si>
    <t>珠貝母</t>
  </si>
  <si>
    <t>錫錠</t>
  </si>
  <si>
    <t>生鐵錠</t>
  </si>
  <si>
    <t>熟鐵錠</t>
  </si>
  <si>
    <t>銀鱗</t>
  </si>
  <si>
    <t>珠貝母</t>
    <phoneticPr fontId="1" type="noConversion"/>
  </si>
  <si>
    <t>製作成本</t>
    <phoneticPr fontId="1" type="noConversion"/>
  </si>
  <si>
    <t>七彩線</t>
    <phoneticPr fontId="1" type="noConversion"/>
  </si>
  <si>
    <t>銀絲緞</t>
    <phoneticPr fontId="1" type="noConversion"/>
  </si>
  <si>
    <t>百花布</t>
    <phoneticPr fontId="1" type="noConversion"/>
  </si>
  <si>
    <t>蜀染布</t>
    <phoneticPr fontId="1" type="noConversion"/>
  </si>
  <si>
    <t>五色石</t>
    <phoneticPr fontId="1" type="noConversion"/>
  </si>
  <si>
    <t>仙蹤·墜宵熔錠（內傷）</t>
    <phoneticPr fontId="1" type="noConversion"/>
  </si>
  <si>
    <t>仙蹤·瀑沙熔錠（外傷）</t>
    <phoneticPr fontId="1" type="noConversion"/>
  </si>
  <si>
    <t>仙蹤·絮泊熔錠（療傷）</t>
    <phoneticPr fontId="1" type="noConversion"/>
  </si>
  <si>
    <t>仙蹤·頭·鑄（外功）</t>
  </si>
  <si>
    <t>仙蹤·頭·鑄（內功）</t>
  </si>
  <si>
    <t>仙蹤·頭·鑄（命中）</t>
  </si>
  <si>
    <t>仙蹤·頭·鑄（急速）</t>
  </si>
  <si>
    <t>仙蹤·褲·鑄（內破）</t>
  </si>
  <si>
    <t>仙蹤·褲·鑄（外破）</t>
  </si>
  <si>
    <t>仙蹤·褲·鑄（會心）</t>
  </si>
  <si>
    <t>仙蹤·褲·鑄（無雙）</t>
  </si>
  <si>
    <t>仙蹤·兵·鑄（外傷）</t>
  </si>
  <si>
    <t>仙蹤·兵·鑄（內傷）</t>
  </si>
  <si>
    <t>仙蹤·兵·鑄（療傷）</t>
  </si>
  <si>
    <t>仙蹤·兵·鑄（武傷）</t>
  </si>
  <si>
    <t>仙蹤·鞋·繡（命中）</t>
    <phoneticPr fontId="1" type="noConversion"/>
  </si>
  <si>
    <t>仙蹤·腕·繡（內破）</t>
    <phoneticPr fontId="1" type="noConversion"/>
  </si>
  <si>
    <t>仙蹤·腕·繡（外破）</t>
    <phoneticPr fontId="1" type="noConversion"/>
  </si>
  <si>
    <t>仙蹤·鞋·繡（急速）</t>
    <phoneticPr fontId="1" type="noConversion"/>
  </si>
  <si>
    <t>仙蹤·腕·繡（會心）</t>
    <phoneticPr fontId="1" type="noConversion"/>
  </si>
  <si>
    <t>仙蹤·腕·繡（無雙）</t>
    <phoneticPr fontId="1" type="noConversion"/>
  </si>
  <si>
    <t>仙蹤·鞋·繡（外功）</t>
    <phoneticPr fontId="1" type="noConversion"/>
  </si>
  <si>
    <t>仙蹤·鞋·繡（內功）</t>
    <phoneticPr fontId="1" type="noConversion"/>
  </si>
  <si>
    <t>銀鱗</t>
    <phoneticPr fontId="1" type="noConversion"/>
  </si>
  <si>
    <t>類別</t>
    <phoneticPr fontId="1" type="noConversion"/>
  </si>
  <si>
    <t>材料</t>
    <phoneticPr fontId="1" type="noConversion"/>
  </si>
  <si>
    <t>鑄鐵</t>
    <phoneticPr fontId="1" type="noConversion"/>
  </si>
  <si>
    <t>輔助類藥品(藍)</t>
    <phoneticPr fontId="1" type="noConversion"/>
  </si>
  <si>
    <t>中品輕身丹</t>
    <phoneticPr fontId="1" type="noConversion"/>
  </si>
  <si>
    <t>中品聚魂丹</t>
    <phoneticPr fontId="1" type="noConversion"/>
  </si>
  <si>
    <t>中品大力丸</t>
    <phoneticPr fontId="1" type="noConversion"/>
  </si>
  <si>
    <t>中品靜心丸</t>
    <phoneticPr fontId="1" type="noConversion"/>
  </si>
  <si>
    <t>中品健體丸</t>
    <phoneticPr fontId="1" type="noConversion"/>
  </si>
  <si>
    <t>藥引</t>
    <phoneticPr fontId="1" type="noConversion"/>
  </si>
  <si>
    <t>金針</t>
  </si>
  <si>
    <t>金針</t>
    <phoneticPr fontId="1" type="noConversion"/>
  </si>
  <si>
    <t>芍藥</t>
  </si>
  <si>
    <t>芍藥</t>
    <phoneticPr fontId="1" type="noConversion"/>
  </si>
  <si>
    <t>甘草</t>
  </si>
  <si>
    <t>甘草</t>
    <phoneticPr fontId="1" type="noConversion"/>
  </si>
  <si>
    <t>蟲草</t>
  </si>
  <si>
    <t>蟲草</t>
    <phoneticPr fontId="1" type="noConversion"/>
  </si>
  <si>
    <t>藥丸</t>
    <phoneticPr fontId="1" type="noConversion"/>
  </si>
  <si>
    <t>銀針</t>
  </si>
  <si>
    <t>銀針</t>
    <phoneticPr fontId="1" type="noConversion"/>
  </si>
  <si>
    <t>彼岸花</t>
  </si>
  <si>
    <t>彼岸花</t>
    <phoneticPr fontId="1" type="noConversion"/>
  </si>
  <si>
    <t>大黃</t>
  </si>
  <si>
    <t>大黃</t>
    <phoneticPr fontId="1" type="noConversion"/>
  </si>
  <si>
    <t>珊瑚</t>
  </si>
  <si>
    <t>珊瑚</t>
    <phoneticPr fontId="1" type="noConversion"/>
  </si>
  <si>
    <t>藥料</t>
  </si>
  <si>
    <t>藥料</t>
    <phoneticPr fontId="1" type="noConversion"/>
  </si>
  <si>
    <t>藥膏</t>
    <phoneticPr fontId="1" type="noConversion"/>
  </si>
  <si>
    <t>千里香</t>
  </si>
  <si>
    <t>千里香</t>
    <phoneticPr fontId="1" type="noConversion"/>
  </si>
  <si>
    <t>五味子</t>
  </si>
  <si>
    <t>五味子</t>
    <phoneticPr fontId="1" type="noConversion"/>
  </si>
  <si>
    <t>葫蘆</t>
  </si>
  <si>
    <t>葫蘆</t>
    <phoneticPr fontId="1" type="noConversion"/>
  </si>
  <si>
    <t>枸杞</t>
  </si>
  <si>
    <t>枸杞</t>
    <phoneticPr fontId="1" type="noConversion"/>
  </si>
  <si>
    <t>藥用黃丹</t>
  </si>
  <si>
    <t>藥用黃丹</t>
    <phoneticPr fontId="1" type="noConversion"/>
  </si>
  <si>
    <t>增強類藥品(藍)</t>
    <phoneticPr fontId="1" type="noConversion"/>
  </si>
  <si>
    <t>中品玉璃散</t>
    <phoneticPr fontId="1" type="noConversion"/>
  </si>
  <si>
    <t>中品破穢散</t>
    <phoneticPr fontId="1" type="noConversion"/>
  </si>
  <si>
    <t>中品凝神散</t>
    <phoneticPr fontId="1" type="noConversion"/>
  </si>
  <si>
    <t>中品亢龍散</t>
    <phoneticPr fontId="1" type="noConversion"/>
  </si>
  <si>
    <t>中品展鳳散</t>
    <phoneticPr fontId="1" type="noConversion"/>
  </si>
  <si>
    <t>中品活氣散</t>
    <phoneticPr fontId="1" type="noConversion"/>
  </si>
  <si>
    <t>中品益氣散</t>
    <phoneticPr fontId="1" type="noConversion"/>
  </si>
  <si>
    <t>中品長恨散</t>
    <phoneticPr fontId="1" type="noConversion"/>
  </si>
  <si>
    <t>川貝</t>
  </si>
  <si>
    <t>川貝</t>
    <phoneticPr fontId="1" type="noConversion"/>
  </si>
  <si>
    <t>藥罐</t>
  </si>
  <si>
    <t>藥罐</t>
    <phoneticPr fontId="1" type="noConversion"/>
  </si>
  <si>
    <t>藥囊</t>
  </si>
  <si>
    <t>藥囊</t>
    <phoneticPr fontId="1" type="noConversion"/>
  </si>
  <si>
    <t>上品輕身丹</t>
    <phoneticPr fontId="1" type="noConversion"/>
  </si>
  <si>
    <t>上品聚魂丹</t>
    <phoneticPr fontId="1" type="noConversion"/>
  </si>
  <si>
    <t>上品大力丸</t>
    <phoneticPr fontId="1" type="noConversion"/>
  </si>
  <si>
    <t>上品健體丸</t>
    <phoneticPr fontId="1" type="noConversion"/>
  </si>
  <si>
    <t>輔助類藥品(紫)</t>
    <phoneticPr fontId="1" type="noConversion"/>
  </si>
  <si>
    <t>蜂王漿</t>
    <phoneticPr fontId="1" type="noConversion"/>
  </si>
  <si>
    <t>增強類藥品(紫)</t>
    <phoneticPr fontId="1" type="noConversion"/>
  </si>
  <si>
    <t>上品玉璃散</t>
    <phoneticPr fontId="1" type="noConversion"/>
  </si>
  <si>
    <t>上品破穢散</t>
    <phoneticPr fontId="1" type="noConversion"/>
  </si>
  <si>
    <t>上品亢龍散</t>
    <phoneticPr fontId="1" type="noConversion"/>
  </si>
  <si>
    <t>上品益氣散</t>
    <phoneticPr fontId="1" type="noConversion"/>
  </si>
  <si>
    <t>上品活氣散</t>
    <phoneticPr fontId="1" type="noConversion"/>
  </si>
  <si>
    <t>上品凝神散</t>
    <phoneticPr fontId="1" type="noConversion"/>
  </si>
  <si>
    <t>上品長恨散</t>
    <phoneticPr fontId="1" type="noConversion"/>
  </si>
  <si>
    <t>輔助類食品(藍)</t>
    <phoneticPr fontId="1" type="noConversion"/>
  </si>
  <si>
    <t>老火骨湯</t>
    <phoneticPr fontId="1" type="noConversion"/>
  </si>
  <si>
    <t>貢丸湯</t>
    <phoneticPr fontId="1" type="noConversion"/>
  </si>
  <si>
    <t>雜碎湯</t>
    <phoneticPr fontId="1" type="noConversion"/>
  </si>
  <si>
    <t>三鮮湯</t>
    <phoneticPr fontId="1" type="noConversion"/>
  </si>
  <si>
    <t>魚頭豆腐湯</t>
    <phoneticPr fontId="1" type="noConversion"/>
  </si>
  <si>
    <t>菌菇</t>
  </si>
  <si>
    <t>菌菇</t>
    <phoneticPr fontId="1" type="noConversion"/>
  </si>
  <si>
    <t>滷料</t>
    <phoneticPr fontId="1" type="noConversion"/>
  </si>
  <si>
    <t>骨頭</t>
  </si>
  <si>
    <t>骨頭</t>
    <phoneticPr fontId="1" type="noConversion"/>
  </si>
  <si>
    <t>料酒</t>
  </si>
  <si>
    <t>料酒</t>
    <phoneticPr fontId="1" type="noConversion"/>
  </si>
  <si>
    <t>血</t>
  </si>
  <si>
    <t>血</t>
    <phoneticPr fontId="1" type="noConversion"/>
  </si>
  <si>
    <t>碎肉</t>
  </si>
  <si>
    <t>碎肉</t>
    <phoneticPr fontId="1" type="noConversion"/>
  </si>
  <si>
    <t>餡料</t>
    <phoneticPr fontId="1" type="noConversion"/>
  </si>
  <si>
    <t>青菜</t>
  </si>
  <si>
    <t>青菜</t>
    <phoneticPr fontId="1" type="noConversion"/>
  </si>
  <si>
    <t>魚肉</t>
  </si>
  <si>
    <t>魚肉</t>
    <phoneticPr fontId="1" type="noConversion"/>
  </si>
  <si>
    <t>雜碎</t>
  </si>
  <si>
    <t>雜碎</t>
    <phoneticPr fontId="1" type="noConversion"/>
  </si>
  <si>
    <t>調料</t>
  </si>
  <si>
    <t>調料</t>
    <phoneticPr fontId="1" type="noConversion"/>
  </si>
  <si>
    <t>老豆腐</t>
  </si>
  <si>
    <t>老豆腐</t>
    <phoneticPr fontId="1" type="noConversion"/>
  </si>
  <si>
    <t>醬料</t>
    <phoneticPr fontId="1" type="noConversion"/>
  </si>
  <si>
    <t>生粉</t>
  </si>
  <si>
    <t>生粉</t>
    <phoneticPr fontId="1" type="noConversion"/>
  </si>
  <si>
    <t>新鮮冬瓜</t>
    <phoneticPr fontId="1" type="noConversion"/>
  </si>
  <si>
    <t>精肉</t>
  </si>
  <si>
    <t>精肉</t>
    <phoneticPr fontId="1" type="noConversion"/>
  </si>
  <si>
    <t>增強類食品(藍)</t>
    <phoneticPr fontId="1" type="noConversion"/>
  </si>
  <si>
    <t>水煮肉片</t>
    <phoneticPr fontId="1" type="noConversion"/>
  </si>
  <si>
    <t>煎餅果子</t>
    <phoneticPr fontId="1" type="noConversion"/>
  </si>
  <si>
    <t>魚香肉絲</t>
    <phoneticPr fontId="1" type="noConversion"/>
  </si>
  <si>
    <t>鮮肉包子</t>
    <phoneticPr fontId="1" type="noConversion"/>
  </si>
  <si>
    <t>白汁蘆筋</t>
    <phoneticPr fontId="1" type="noConversion"/>
  </si>
  <si>
    <t>毛血旺</t>
    <phoneticPr fontId="1" type="noConversion"/>
  </si>
  <si>
    <t>栗子燒肉</t>
    <phoneticPr fontId="1" type="noConversion"/>
  </si>
  <si>
    <t>雜碎面</t>
    <phoneticPr fontId="1" type="noConversion"/>
  </si>
  <si>
    <t>大蔥</t>
  </si>
  <si>
    <t>大蔥</t>
    <phoneticPr fontId="1" type="noConversion"/>
  </si>
  <si>
    <t>白糖</t>
  </si>
  <si>
    <t>白糖</t>
    <phoneticPr fontId="1" type="noConversion"/>
  </si>
  <si>
    <t>精製麵粉</t>
  </si>
  <si>
    <t>精製麵粉</t>
    <phoneticPr fontId="1" type="noConversion"/>
  </si>
  <si>
    <t>老薑</t>
  </si>
  <si>
    <t>老薑</t>
    <phoneticPr fontId="1" type="noConversion"/>
  </si>
  <si>
    <t>紅辣椒</t>
  </si>
  <si>
    <t>紅辣椒</t>
    <phoneticPr fontId="1" type="noConversion"/>
  </si>
  <si>
    <t>胡椒粉</t>
  </si>
  <si>
    <t>胡椒粉</t>
    <phoneticPr fontId="1" type="noConversion"/>
  </si>
  <si>
    <t>栗米</t>
  </si>
  <si>
    <t>栗米</t>
    <phoneticPr fontId="1" type="noConversion"/>
  </si>
  <si>
    <t>輔助類食品(紫)</t>
    <phoneticPr fontId="1" type="noConversion"/>
  </si>
  <si>
    <t>雜錦魚球粥</t>
    <phoneticPr fontId="1" type="noConversion"/>
  </si>
  <si>
    <t>三鮮粥</t>
    <phoneticPr fontId="1" type="noConversion"/>
  </si>
  <si>
    <t>蒜苗</t>
    <phoneticPr fontId="1" type="noConversion"/>
  </si>
  <si>
    <t>皮蛋瘦肉粥</t>
    <phoneticPr fontId="1" type="noConversion"/>
  </si>
  <si>
    <t>魚片砂鍋粥</t>
    <phoneticPr fontId="1" type="noConversion"/>
  </si>
  <si>
    <t>蛋</t>
  </si>
  <si>
    <t>蛋</t>
    <phoneticPr fontId="1" type="noConversion"/>
  </si>
  <si>
    <t>紅燒排骨</t>
    <phoneticPr fontId="1" type="noConversion"/>
  </si>
  <si>
    <t>太后餅</t>
    <phoneticPr fontId="1" type="noConversion"/>
  </si>
  <si>
    <t>酸菜魚</t>
    <phoneticPr fontId="1" type="noConversion"/>
  </si>
  <si>
    <t>白肉血腸</t>
    <phoneticPr fontId="1" type="noConversion"/>
  </si>
  <si>
    <t>骨肉相連</t>
    <phoneticPr fontId="1" type="noConversion"/>
  </si>
  <si>
    <t>炸醬麵</t>
    <phoneticPr fontId="1" type="noConversion"/>
  </si>
  <si>
    <t>紅燒扣肉</t>
    <phoneticPr fontId="1" type="noConversion"/>
  </si>
  <si>
    <t>增強類食品(紫)</t>
    <phoneticPr fontId="1" type="noConversion"/>
  </si>
  <si>
    <t>食材</t>
    <phoneticPr fontId="1" type="noConversion"/>
  </si>
  <si>
    <t>人蔘</t>
    <phoneticPr fontId="1" type="noConversion"/>
  </si>
  <si>
    <t>露水</t>
    <phoneticPr fontId="1" type="noConversion"/>
  </si>
  <si>
    <t>藥材</t>
    <phoneticPr fontId="1" type="noConversion"/>
  </si>
  <si>
    <t>醫術‧藍</t>
    <phoneticPr fontId="1" type="noConversion"/>
  </si>
  <si>
    <t>醫術‧紫</t>
    <phoneticPr fontId="1" type="noConversion"/>
  </si>
  <si>
    <t>鑄造·熔錠</t>
    <phoneticPr fontId="1" type="noConversion"/>
  </si>
  <si>
    <t>烹飪·藍</t>
    <phoneticPr fontId="1" type="noConversion"/>
  </si>
  <si>
    <t>烹飪·紫</t>
    <phoneticPr fontId="1" type="noConversion"/>
  </si>
  <si>
    <t>庖丁</t>
    <phoneticPr fontId="1" type="noConversion"/>
  </si>
  <si>
    <t>神農</t>
    <phoneticPr fontId="1" type="noConversion"/>
  </si>
  <si>
    <t>精力消耗</t>
    <phoneticPr fontId="1" type="noConversion"/>
  </si>
  <si>
    <t>出處</t>
    <phoneticPr fontId="1" type="noConversion"/>
  </si>
  <si>
    <t>購買單價</t>
    <phoneticPr fontId="1" type="noConversion"/>
  </si>
  <si>
    <t>自採成本</t>
    <phoneticPr fontId="1" type="noConversion"/>
  </si>
  <si>
    <t>醫術基礎</t>
    <phoneticPr fontId="1" type="noConversion"/>
  </si>
  <si>
    <t>烹飪基礎</t>
    <phoneticPr fontId="1" type="noConversion"/>
  </si>
  <si>
    <t>縫紉基礎</t>
    <phoneticPr fontId="1" type="noConversion"/>
  </si>
  <si>
    <t>鑄造基礎</t>
    <phoneticPr fontId="1" type="noConversion"/>
  </si>
  <si>
    <t>需求數量</t>
    <phoneticPr fontId="1" type="noConversion"/>
  </si>
  <si>
    <t>單次產量</t>
    <phoneticPr fontId="1" type="noConversion"/>
  </si>
  <si>
    <t>利潤</t>
    <phoneticPr fontId="1" type="noConversion"/>
  </si>
  <si>
    <t>屬性</t>
    <phoneticPr fontId="1" type="noConversion"/>
  </si>
  <si>
    <t>加成</t>
    <phoneticPr fontId="1" type="noConversion"/>
  </si>
  <si>
    <t>外功攻擊</t>
    <phoneticPr fontId="1" type="noConversion"/>
  </si>
  <si>
    <t>內功攻擊</t>
    <phoneticPr fontId="1" type="noConversion"/>
  </si>
  <si>
    <t>命中</t>
    <phoneticPr fontId="1" type="noConversion"/>
  </si>
  <si>
    <t>加速</t>
    <phoneticPr fontId="1" type="noConversion"/>
  </si>
  <si>
    <t>內功破防</t>
    <phoneticPr fontId="1" type="noConversion"/>
  </si>
  <si>
    <t>外功破防</t>
    <phoneticPr fontId="1" type="noConversion"/>
  </si>
  <si>
    <t>會心</t>
    <phoneticPr fontId="1" type="noConversion"/>
  </si>
  <si>
    <t>無雙</t>
    <phoneticPr fontId="1" type="noConversion"/>
  </si>
  <si>
    <t>治療量</t>
    <phoneticPr fontId="1" type="noConversion"/>
  </si>
  <si>
    <t>武器傷害</t>
    <phoneticPr fontId="1" type="noConversion"/>
  </si>
  <si>
    <t>身法</t>
    <phoneticPr fontId="1" type="noConversion"/>
  </si>
  <si>
    <t>根骨</t>
    <phoneticPr fontId="1" type="noConversion"/>
  </si>
  <si>
    <t>力道</t>
    <phoneticPr fontId="1" type="noConversion"/>
  </si>
  <si>
    <t>體質</t>
    <phoneticPr fontId="1" type="noConversion"/>
  </si>
  <si>
    <t>元氣</t>
    <phoneticPr fontId="1" type="noConversion"/>
  </si>
  <si>
    <t>破防</t>
    <phoneticPr fontId="1" type="noConversion"/>
  </si>
  <si>
    <t>仇恨</t>
    <phoneticPr fontId="1" type="noConversion"/>
  </si>
  <si>
    <t>紫材</t>
    <phoneticPr fontId="1" type="noConversion"/>
  </si>
  <si>
    <t>藍材</t>
    <phoneticPr fontId="1" type="noConversion"/>
  </si>
  <si>
    <t>調味料商</t>
    <phoneticPr fontId="1" type="noConversion"/>
  </si>
  <si>
    <t>蔬菜商</t>
    <phoneticPr fontId="1" type="noConversion"/>
  </si>
  <si>
    <t>炭火商</t>
    <phoneticPr fontId="1" type="noConversion"/>
  </si>
  <si>
    <t>針線商</t>
    <phoneticPr fontId="1" type="noConversion"/>
  </si>
  <si>
    <t>醫術材料商</t>
    <phoneticPr fontId="1" type="noConversion"/>
  </si>
  <si>
    <t>淡水魚（七秀洛道巴陵金水太原成都揚州）</t>
    <phoneticPr fontId="1" type="noConversion"/>
  </si>
  <si>
    <t>常見動物</t>
    <phoneticPr fontId="1" type="noConversion"/>
  </si>
  <si>
    <t>明教、惡人谷、龍門荒漠、崑崙、黑戈壁、陰山大草原、龍泉府、五臺山、蒼雲、太原、霸刀山莊、天策戰亂、洛陽、洛陽戰亂、少林、洛道、成都、白龍口、唐門</t>
    <phoneticPr fontId="1" type="noConversion"/>
  </si>
  <si>
    <t>明教、惡人谷、龍門荒漠、崑崙、黑戈壁、陰山大草原、龍泉府、五臺山、蒼雲、太原、霸刀山莊、瞿塘峽、萬花、五毒、融天嶺、蒼山渳海、無量山、黑龍沼</t>
    <phoneticPr fontId="1" type="noConversion"/>
  </si>
  <si>
    <t>金水鎮、七秀、純陽、楓華谷戰亂、揚州、南屏山、藏劍山莊、巴陵、丐幫、浩氣盟、長歌、千島湖、長安戰亂、馬嵬驛、寇島</t>
    <phoneticPr fontId="1" type="noConversion"/>
  </si>
  <si>
    <t>金水鎮、七秀、揚州、巴陵、丐幫、浩氣盟、瞿塘峽、萬花、五毒、融天嶺、蒼山渳海、無量山、黑龍沼、俠客島、洞天福地島、經首道源島、蓬萊、鯤鵬島</t>
    <phoneticPr fontId="1" type="noConversion"/>
  </si>
  <si>
    <t>少林、純陽、南屏山、藏劍山莊、長歌、千島湖、成都、白龍口、唐門、寇島、俠客島、洞天福地島、經首道源島、蓬萊、鯤鵬島</t>
    <phoneticPr fontId="1" type="noConversion"/>
  </si>
  <si>
    <t>黑龍沼、融天嶺、無量山、五毒、唐門、成都、白龍口、萬花、瞿塘峽、蒼山渳海</t>
    <phoneticPr fontId="1" type="noConversion"/>
  </si>
  <si>
    <t>萬花、洛陽、少林、揚州、長歌</t>
    <phoneticPr fontId="1" type="noConversion"/>
  </si>
  <si>
    <t>俠客島、洞天福地島、經首道源島、蓬萊、鯤鵬島</t>
    <phoneticPr fontId="1" type="noConversion"/>
  </si>
  <si>
    <t>明教、惡人谷、黑戈壁、龍門荒漠、崑崙、唐門、成都、白龍口、純陽、蒼雲、金水鎮、七秀、龍泉府、鯤鵬島</t>
    <phoneticPr fontId="1" type="noConversion"/>
  </si>
  <si>
    <t>明教、惡人谷、黑戈壁、龍門荒漠、黑龍沼、融天嶺、無量山、五毒、巴陵、丐幫、浩氣盟、蒼山渳海</t>
    <phoneticPr fontId="1" type="noConversion"/>
  </si>
  <si>
    <t>崑崙、純陽、蒼雲、龍泉府</t>
    <phoneticPr fontId="1" type="noConversion"/>
  </si>
  <si>
    <t>太原、陰山大草原、五臺山、霸刀山莊、巴陵、丐幫、浩氣盟、南屏山、藏劍山莊、長歌、千島湖、寇島、俠客島、洞天福地島、經首道源島、蓬萊</t>
    <phoneticPr fontId="1" type="noConversion"/>
  </si>
  <si>
    <t>馬嵬驛、長安戰亂、楓華谷戰亂、蒼雲、洛陽戰亂、天策戰亂、洛道、巴陵、金水鎮</t>
    <phoneticPr fontId="1" type="noConversion"/>
  </si>
  <si>
    <t>萬花、瞿塘峽、金水鎮、揚州、南屏山、藏劍山莊、七秀、長歌、千島湖、寇島、俠客島、洞天福地島、經首道源島、蓬萊、鯤鵬島</t>
    <phoneticPr fontId="1" type="noConversion"/>
  </si>
  <si>
    <t>馬嵬驛、長安戰亂、楓華谷戰亂、太原、洛陽、洛陽戰亂、陰山大草原、五臺山、霸刀山莊、天策戰亂、少林、洛道、龍泉府</t>
    <phoneticPr fontId="1" type="noConversion"/>
  </si>
  <si>
    <t>副本產出</t>
    <phoneticPr fontId="1" type="noConversion"/>
  </si>
  <si>
    <t>公共任務</t>
    <phoneticPr fontId="1" type="noConversion"/>
  </si>
  <si>
    <t>挖寶</t>
    <phoneticPr fontId="1" type="noConversion"/>
  </si>
  <si>
    <t>神農、挖寶</t>
    <phoneticPr fontId="1" type="noConversion"/>
  </si>
  <si>
    <t>採金</t>
    <phoneticPr fontId="1" type="noConversion"/>
  </si>
  <si>
    <t>採金、挖寶</t>
    <phoneticPr fontId="1" type="noConversion"/>
  </si>
  <si>
    <t>庖丁、挖寶</t>
    <phoneticPr fontId="1" type="noConversion"/>
  </si>
  <si>
    <t>公共任務、挖寶、庖丁</t>
    <phoneticPr fontId="1" type="noConversion"/>
  </si>
  <si>
    <t>單個成本</t>
    <phoneticPr fontId="1" type="noConversion"/>
  </si>
  <si>
    <t>交易行單價</t>
    <phoneticPr fontId="1" type="noConversion"/>
  </si>
  <si>
    <t>精力</t>
    <phoneticPr fontId="1" type="noConversion"/>
  </si>
  <si>
    <t>仙蹤·墜宵磨石（內傷）</t>
    <phoneticPr fontId="1" type="noConversion"/>
  </si>
  <si>
    <t>仙蹤·瀑沙磨石（外傷）</t>
    <phoneticPr fontId="1" type="noConversion"/>
  </si>
  <si>
    <t>仙蹤·絮泊磨石（療傷）</t>
    <phoneticPr fontId="1" type="noConversion"/>
  </si>
  <si>
    <t>總精力</t>
    <phoneticPr fontId="1" type="noConversion"/>
  </si>
  <si>
    <t>利潤/精力</t>
    <phoneticPr fontId="1" type="noConversion"/>
  </si>
  <si>
    <t>→</t>
    <phoneticPr fontId="1" type="noConversion"/>
  </si>
  <si>
    <t>精力=?金</t>
    <phoneticPr fontId="1" type="noConversion"/>
  </si>
  <si>
    <t>=</t>
    <phoneticPr fontId="1" type="noConversion"/>
  </si>
  <si>
    <t>X</t>
    <phoneticPr fontId="1" type="noConversion"/>
  </si>
  <si>
    <t>合計(*2.5)</t>
    <phoneticPr fontId="1" type="noConversion"/>
  </si>
  <si>
    <t>成本*需求數量</t>
    <phoneticPr fontId="1" type="noConversion"/>
  </si>
  <si>
    <t>非洲人需準備</t>
    <phoneticPr fontId="1" type="noConversion"/>
  </si>
  <si>
    <t>平均需準備</t>
    <phoneticPr fontId="1" type="noConversion"/>
  </si>
  <si>
    <t>合計(單位)</t>
    <phoneticPr fontId="1" type="noConversion"/>
  </si>
  <si>
    <t>鱷、龜、蛇（五毒聖獸潭、萬花千機閣下）</t>
    <phoneticPr fontId="1" type="noConversion"/>
  </si>
  <si>
    <t>獅子、羊、蛙、鳥、猴、兔（萬花）</t>
    <phoneticPr fontId="1" type="noConversion"/>
  </si>
  <si>
    <t>豬、狗、狼（成都、揚州、萬花）</t>
    <phoneticPr fontId="1" type="noConversion"/>
  </si>
  <si>
    <t>虎、鹿、熊、牛（長安、太原、五毒、萬花）</t>
    <phoneticPr fontId="1" type="noConversion"/>
  </si>
  <si>
    <t>最低成本</t>
    <phoneticPr fontId="1" type="noConversion"/>
  </si>
  <si>
    <t>3級</t>
    <phoneticPr fontId="1" type="noConversion"/>
  </si>
  <si>
    <t>1級</t>
    <phoneticPr fontId="1" type="noConversion"/>
  </si>
  <si>
    <t>4級</t>
    <phoneticPr fontId="1" type="noConversion"/>
  </si>
  <si>
    <t>6級</t>
    <phoneticPr fontId="1" type="noConversion"/>
  </si>
  <si>
    <t>總成本</t>
    <phoneticPr fontId="1" type="noConversion"/>
  </si>
  <si>
    <t>手續費</t>
    <phoneticPr fontId="1" type="noConversion"/>
  </si>
  <si>
    <t>售價</t>
    <phoneticPr fontId="1" type="noConversion"/>
  </si>
  <si>
    <t>成本</t>
    <phoneticPr fontId="1" type="noConversion"/>
  </si>
  <si>
    <t>五行石材料</t>
    <phoneticPr fontId="1" type="noConversion"/>
  </si>
  <si>
    <t>合成成本</t>
    <phoneticPr fontId="1" type="noConversion"/>
  </si>
  <si>
    <t>自採成本（-藍材）</t>
    <phoneticPr fontId="1" type="noConversion"/>
  </si>
  <si>
    <t>採集產量</t>
    <phoneticPr fontId="1" type="noConversion"/>
  </si>
  <si>
    <t>自採利潤</t>
    <phoneticPr fontId="1" type="noConversion"/>
  </si>
  <si>
    <t>五行石</t>
    <phoneticPr fontId="1" type="noConversion"/>
  </si>
  <si>
    <t>值得採集？</t>
    <phoneticPr fontId="1" type="noConversion"/>
  </si>
  <si>
    <t>4=3個3+7個1</t>
    <phoneticPr fontId="1" type="noConversion"/>
  </si>
  <si>
    <t>6=11個4+6個3</t>
    <phoneticPr fontId="1" type="noConversion"/>
  </si>
  <si>
    <t>4=1個3+16個1</t>
    <phoneticPr fontId="1" type="noConversion"/>
  </si>
  <si>
    <t>的總需求材料為：</t>
    <phoneticPr fontId="1" type="noConversion"/>
  </si>
  <si>
    <t>製作</t>
    <phoneticPr fontId="1" type="noConversion"/>
  </si>
  <si>
    <t>子材料（X2.5）</t>
    <phoneticPr fontId="1" type="noConversion"/>
  </si>
  <si>
    <t>傲血戰意 - 東方灸/東方邡 製作</t>
    <phoneticPr fontId="1" type="noConversion"/>
  </si>
  <si>
    <t>龍血磨石</t>
    <phoneticPr fontId="1" type="noConversion"/>
  </si>
  <si>
    <t>武器</t>
    <phoneticPr fontId="1" type="noConversion"/>
  </si>
  <si>
    <t>吸血</t>
    <phoneticPr fontId="1" type="noConversion"/>
  </si>
  <si>
    <t>縫紉</t>
  </si>
  <si>
    <t>仙蹤·腕·繡（會心）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</si>
</sst>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);[Red]\(0.00\)"/>
    <numFmt numFmtId="177" formatCode="m&quot;月&quot;d&quot;日&quot;"/>
  </numFmts>
  <fonts count="1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0"/>
      <name val="微軟正黑體"/>
      <family val="2"/>
      <charset val="136"/>
    </font>
    <font>
      <sz val="12"/>
      <color theme="1"/>
      <name val="微軟正黑體"/>
      <family val="2"/>
      <charset val="136"/>
    </font>
    <font>
      <sz val="12"/>
      <name val="微軟正黑體"/>
      <family val="2"/>
      <charset val="136"/>
    </font>
    <font>
      <sz val="12"/>
      <color theme="0"/>
      <name val="蒙纳盈富体"/>
      <family val="3"/>
      <charset val="136"/>
    </font>
    <font>
      <sz val="12"/>
      <color theme="1"/>
      <name val="蒙纳盈富体"/>
      <family val="3"/>
      <charset val="136"/>
    </font>
    <font>
      <sz val="12"/>
      <name val="蒙纳盈富体"/>
      <family val="3"/>
      <charset val="136"/>
    </font>
    <font>
      <sz val="12"/>
      <color theme="8"/>
      <name val="蒙纳盈富体"/>
      <family val="3"/>
      <charset val="136"/>
    </font>
    <font>
      <sz val="12"/>
      <color theme="8" tint="-0.249977111117893"/>
      <name val="蒙纳盈富体"/>
      <family val="3"/>
      <charset val="136"/>
    </font>
    <font>
      <sz val="12"/>
      <color rgb="FF7030A0"/>
      <name val="蒙纳盈富体"/>
      <family val="3"/>
      <charset val="136"/>
    </font>
    <font>
      <sz val="12"/>
      <color rgb="FF0070C0"/>
      <name val="蒙纳盈富体"/>
      <family val="3"/>
      <charset val="136"/>
    </font>
    <font>
      <sz val="12"/>
      <color theme="1" tint="0.249977111117893"/>
      <name val="蒙纳盈富体"/>
      <family val="3"/>
      <charset val="136"/>
    </font>
  </fonts>
  <fills count="32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66A6A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</borders>
  <cellStyleXfs count="1">
    <xf numFmtId="0" fontId="0" fillId="0" borderId="0">
      <alignment vertical="center"/>
    </xf>
  </cellStyleXfs>
  <cellXfs count="83">
    <xf numFmtId="0" fontId="0" fillId="0" borderId="0" xfId="0">
      <alignment vertical="center"/>
    </xf>
    <xf numFmtId="0" fontId="4" fillId="7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4" fillId="6" borderId="0" xfId="0" applyFont="1" applyFill="1" applyAlignment="1">
      <alignment horizontal="center" vertical="center"/>
    </xf>
    <xf numFmtId="0" fontId="4" fillId="9" borderId="0" xfId="0" applyFont="1" applyFill="1" applyAlignment="1">
      <alignment horizontal="center" vertical="center"/>
    </xf>
    <xf numFmtId="0" fontId="4" fillId="13" borderId="0" xfId="0" applyFont="1" applyFill="1" applyAlignment="1">
      <alignment horizontal="center" vertical="center"/>
    </xf>
    <xf numFmtId="0" fontId="3" fillId="0" borderId="0" xfId="0" applyFont="1">
      <alignment vertical="center"/>
    </xf>
    <xf numFmtId="0" fontId="4" fillId="11" borderId="0" xfId="0" applyFont="1" applyFill="1" applyAlignment="1">
      <alignment horizontal="center" vertical="center"/>
    </xf>
    <xf numFmtId="0" fontId="4" fillId="17" borderId="0" xfId="0" applyFont="1" applyFill="1" applyAlignment="1">
      <alignment horizontal="center" vertical="center"/>
    </xf>
    <xf numFmtId="0" fontId="4" fillId="16" borderId="0" xfId="0" applyFont="1" applyFill="1" applyAlignment="1">
      <alignment horizontal="center" vertical="center"/>
    </xf>
    <xf numFmtId="0" fontId="4" fillId="19" borderId="0" xfId="0" applyFont="1" applyFill="1" applyAlignment="1">
      <alignment horizontal="center" vertical="center"/>
    </xf>
    <xf numFmtId="0" fontId="2" fillId="24" borderId="0" xfId="0" applyFont="1" applyFill="1" applyAlignment="1">
      <alignment horizontal="center" vertical="center"/>
    </xf>
    <xf numFmtId="0" fontId="2" fillId="21" borderId="0" xfId="0" applyFont="1" applyFill="1" applyAlignment="1">
      <alignment horizontal="center" vertical="center"/>
    </xf>
    <xf numFmtId="0" fontId="5" fillId="10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10" borderId="0" xfId="0" applyFont="1" applyFill="1" applyAlignment="1">
      <alignment horizontal="center" vertical="center"/>
    </xf>
    <xf numFmtId="0" fontId="6" fillId="25" borderId="0" xfId="0" applyFont="1" applyFill="1" applyAlignment="1">
      <alignment horizontal="center" vertical="center"/>
    </xf>
    <xf numFmtId="0" fontId="7" fillId="10" borderId="0" xfId="0" applyFont="1" applyFill="1" applyAlignment="1">
      <alignment horizontal="center" vertical="center"/>
    </xf>
    <xf numFmtId="176" fontId="6" fillId="0" borderId="0" xfId="0" applyNumberFormat="1" applyFont="1" applyAlignment="1">
      <alignment horizontal="center" vertical="center"/>
    </xf>
    <xf numFmtId="0" fontId="6" fillId="26" borderId="0" xfId="0" applyFont="1" applyFill="1" applyAlignment="1">
      <alignment horizontal="center" vertical="center"/>
    </xf>
    <xf numFmtId="0" fontId="7" fillId="26" borderId="0" xfId="0" applyFont="1" applyFill="1" applyAlignment="1">
      <alignment horizontal="center" vertical="center"/>
    </xf>
    <xf numFmtId="0" fontId="9" fillId="26" borderId="0" xfId="0" applyFont="1" applyFill="1" applyAlignment="1">
      <alignment horizontal="center" vertical="center"/>
    </xf>
    <xf numFmtId="0" fontId="6" fillId="0" borderId="0" xfId="0" applyNumberFormat="1" applyFont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7" fillId="7" borderId="0" xfId="0" applyFont="1" applyFill="1" applyAlignment="1">
      <alignment horizontal="center" vertical="center"/>
    </xf>
    <xf numFmtId="0" fontId="7" fillId="6" borderId="0" xfId="0" applyFont="1" applyFill="1" applyAlignment="1">
      <alignment horizontal="center" vertical="center"/>
    </xf>
    <xf numFmtId="0" fontId="5" fillId="12" borderId="0" xfId="0" applyFont="1" applyFill="1" applyAlignment="1">
      <alignment vertical="center"/>
    </xf>
    <xf numFmtId="0" fontId="11" fillId="0" borderId="0" xfId="0" applyFont="1" applyFill="1" applyAlignment="1">
      <alignment horizontal="center" vertical="center"/>
    </xf>
    <xf numFmtId="0" fontId="7" fillId="8" borderId="0" xfId="0" applyFont="1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7" fillId="9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9" fontId="7" fillId="0" borderId="0" xfId="0" applyNumberFormat="1" applyFont="1" applyFill="1" applyAlignment="1">
      <alignment horizontal="center" vertical="center"/>
    </xf>
    <xf numFmtId="0" fontId="5" fillId="14" borderId="0" xfId="0" applyFont="1" applyFill="1" applyAlignment="1">
      <alignment vertical="center"/>
    </xf>
    <xf numFmtId="0" fontId="5" fillId="14" borderId="0" xfId="0" applyFont="1" applyFill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0" fontId="5" fillId="15" borderId="0" xfId="0" applyFont="1" applyFill="1" applyAlignment="1">
      <alignment vertical="center"/>
    </xf>
    <xf numFmtId="0" fontId="2" fillId="24" borderId="0" xfId="0" applyFont="1" applyFill="1">
      <alignment vertical="center"/>
    </xf>
    <xf numFmtId="14" fontId="3" fillId="0" borderId="0" xfId="0" applyNumberFormat="1" applyFont="1">
      <alignment vertical="center"/>
    </xf>
    <xf numFmtId="177" fontId="3" fillId="0" borderId="0" xfId="0" applyNumberFormat="1" applyFont="1">
      <alignment vertical="center"/>
    </xf>
    <xf numFmtId="176" fontId="6" fillId="0" borderId="0" xfId="0" applyNumberFormat="1" applyFont="1" applyAlignment="1">
      <alignment horizontal="center" vertical="center"/>
    </xf>
    <xf numFmtId="0" fontId="6" fillId="28" borderId="0" xfId="0" applyFont="1" applyFill="1" applyAlignment="1">
      <alignment horizontal="center" vertical="center"/>
    </xf>
    <xf numFmtId="0" fontId="7" fillId="26" borderId="0" xfId="0" applyFont="1" applyFill="1" applyAlignment="1">
      <alignment horizontal="left" vertical="center"/>
    </xf>
    <xf numFmtId="0" fontId="6" fillId="10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176" fontId="6" fillId="0" borderId="0" xfId="0" applyNumberFormat="1" applyFont="1" applyAlignment="1">
      <alignment horizontal="center" vertical="center"/>
    </xf>
    <xf numFmtId="0" fontId="7" fillId="26" borderId="0" xfId="0" applyFont="1" applyFill="1" applyAlignment="1">
      <alignment horizontal="center" vertical="center"/>
    </xf>
    <xf numFmtId="0" fontId="6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3" fillId="29" borderId="0" xfId="0" applyFont="1" applyFill="1">
      <alignment vertical="center"/>
    </xf>
    <xf numFmtId="0" fontId="3" fillId="29" borderId="1" xfId="0" applyFont="1" applyFill="1" applyBorder="1">
      <alignment vertical="center"/>
    </xf>
    <xf numFmtId="0" fontId="7" fillId="29" borderId="1" xfId="0" applyFont="1" applyFill="1" applyBorder="1" applyAlignment="1">
      <alignment horizontal="center" vertical="center"/>
    </xf>
    <xf numFmtId="0" fontId="6" fillId="6" borderId="0" xfId="0" applyFont="1" applyFill="1" applyAlignment="1">
      <alignment horizontal="center" vertical="center"/>
    </xf>
    <xf numFmtId="0" fontId="6" fillId="30" borderId="0" xfId="0" applyFont="1" applyFill="1" applyAlignment="1">
      <alignment horizontal="center" vertical="center"/>
    </xf>
    <xf numFmtId="0" fontId="6" fillId="7" borderId="0" xfId="0" applyFont="1" applyFill="1" applyAlignment="1">
      <alignment horizontal="center" vertical="center"/>
    </xf>
    <xf numFmtId="176" fontId="6" fillId="30" borderId="0" xfId="0" applyNumberFormat="1" applyFont="1" applyFill="1" applyAlignment="1">
      <alignment horizontal="center" vertical="center"/>
    </xf>
    <xf numFmtId="0" fontId="6" fillId="31" borderId="0" xfId="0" applyFont="1" applyFill="1" applyAlignment="1">
      <alignment horizontal="center" vertical="center"/>
    </xf>
    <xf numFmtId="0" fontId="12" fillId="10" borderId="0" xfId="0" applyFont="1" applyFill="1" applyAlignment="1">
      <alignment horizontal="center" vertical="center"/>
    </xf>
    <xf numFmtId="0" fontId="12" fillId="26" borderId="0" xfId="0" applyFont="1" applyFill="1" applyAlignment="1">
      <alignment horizontal="center" vertical="center"/>
    </xf>
    <xf numFmtId="10" fontId="7" fillId="0" borderId="0" xfId="0" applyNumberFormat="1" applyFont="1" applyFill="1" applyAlignment="1">
      <alignment horizontal="center" vertical="center"/>
    </xf>
    <xf numFmtId="0" fontId="6" fillId="27" borderId="0" xfId="0" applyFont="1" applyFill="1" applyAlignment="1">
      <alignment horizontal="center" vertical="center"/>
    </xf>
    <xf numFmtId="0" fontId="7" fillId="26" borderId="0" xfId="0" applyFont="1" applyFill="1" applyAlignment="1">
      <alignment horizontal="center" vertical="center"/>
    </xf>
    <xf numFmtId="0" fontId="5" fillId="10" borderId="0" xfId="0" applyFont="1" applyFill="1" applyAlignment="1">
      <alignment horizontal="center" vertical="center"/>
    </xf>
    <xf numFmtId="0" fontId="5" fillId="24" borderId="0" xfId="0" applyFont="1" applyFill="1" applyAlignment="1">
      <alignment horizontal="center" vertical="center"/>
    </xf>
    <xf numFmtId="0" fontId="5" fillId="12" borderId="0" xfId="0" applyFont="1" applyFill="1" applyAlignment="1">
      <alignment horizontal="center" vertical="center"/>
    </xf>
    <xf numFmtId="0" fontId="5" fillId="15" borderId="0" xfId="0" applyFont="1" applyFill="1" applyAlignment="1">
      <alignment horizontal="center" vertical="center"/>
    </xf>
    <xf numFmtId="0" fontId="5" fillId="14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4" fillId="18" borderId="0" xfId="0" applyFont="1" applyFill="1" applyAlignment="1">
      <alignment horizontal="center" vertical="center"/>
    </xf>
    <xf numFmtId="0" fontId="4" fillId="7" borderId="0" xfId="0" applyFont="1" applyFill="1" applyAlignment="1">
      <alignment horizontal="center" vertical="center"/>
    </xf>
    <xf numFmtId="0" fontId="2" fillId="23" borderId="0" xfId="0" applyFont="1" applyFill="1" applyAlignment="1">
      <alignment horizontal="center" vertical="center"/>
    </xf>
    <xf numFmtId="0" fontId="2" fillId="14" borderId="0" xfId="0" applyFont="1" applyFill="1" applyAlignment="1">
      <alignment horizontal="center" vertical="center"/>
    </xf>
    <xf numFmtId="0" fontId="2" fillId="22" borderId="0" xfId="0" applyFont="1" applyFill="1" applyAlignment="1">
      <alignment horizontal="center" vertical="center"/>
    </xf>
    <xf numFmtId="0" fontId="2" fillId="21" borderId="0" xfId="0" applyFont="1" applyFill="1" applyAlignment="1">
      <alignment horizontal="center" vertical="center"/>
    </xf>
    <xf numFmtId="0" fontId="3" fillId="18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20" borderId="0" xfId="0" applyFont="1" applyFill="1" applyAlignment="1">
      <alignment horizontal="center" vertical="center"/>
    </xf>
  </cellXfs>
  <cellStyles count="1">
    <cellStyle name="一般" xfId="0" builtinId="0"/>
  </cellStyles>
  <dxfs count="100">
    <dxf>
      <font>
        <color rgb="FF0070C0"/>
      </font>
    </dxf>
    <dxf>
      <font>
        <color rgb="FFFF0000"/>
      </font>
    </dxf>
    <dxf>
      <font>
        <color theme="0"/>
      </font>
      <fill>
        <patternFill>
          <bgColor rgb="FFC00000"/>
        </patternFill>
      </fill>
    </dxf>
    <dxf>
      <fill>
        <patternFill>
          <bgColor rgb="FFFF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/>
      </font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/>
      </font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/>
      </font>
    </dxf>
    <dxf>
      <font>
        <color theme="0"/>
      </font>
    </dxf>
    <dxf>
      <font>
        <color theme="1" tint="0.24994659260841701"/>
      </font>
      <fill>
        <patternFill>
          <bgColor theme="1" tint="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ont>
        <color theme="8"/>
      </font>
    </dxf>
    <dxf>
      <font>
        <color theme="8" tint="-0.24994659260841701"/>
      </font>
      <fill>
        <patternFill>
          <bgColor theme="4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color theme="0"/>
      </font>
    </dxf>
    <dxf>
      <fill>
        <patternFill>
          <bgColor rgb="FFCC99FF"/>
        </patternFill>
      </fill>
    </dxf>
    <dxf>
      <font>
        <color theme="2"/>
      </font>
      <fill>
        <patternFill>
          <bgColor theme="4" tint="-0.24994659260841701"/>
        </patternFill>
      </fill>
    </dxf>
    <dxf>
      <font>
        <color theme="2"/>
      </font>
      <fill>
        <patternFill>
          <bgColor rgb="FF7030A0"/>
        </patternFill>
      </fill>
    </dxf>
    <dxf>
      <font>
        <color theme="0"/>
      </font>
      <fill>
        <patternFill>
          <bgColor theme="5" tint="-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</dxfs>
  <tableStyles count="0" defaultTableStyle="TableStyleMedium2" defaultPivotStyle="PivotStyleLight16"/>
  <colors>
    <mruColors>
      <color rgb="FFF66A6A"/>
      <color rgb="FF9966FF"/>
      <color rgb="FFCC99FF"/>
      <color rgb="FF9933FF"/>
      <color rgb="FF9999FF"/>
      <color rgb="FFCCCCFF"/>
      <color rgb="FFF9595D"/>
      <color rgb="FF0000FF"/>
      <color rgb="FFE340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20904</xdr:colOff>
      <xdr:row>33</xdr:row>
      <xdr:rowOff>66675</xdr:rowOff>
    </xdr:from>
    <xdr:to>
      <xdr:col>16</xdr:col>
      <xdr:colOff>627567</xdr:colOff>
      <xdr:row>59</xdr:row>
      <xdr:rowOff>28575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01086684-B3F1-4270-A22E-B15CA88D48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02729" y="2466975"/>
          <a:ext cx="6769338" cy="51625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34BF2-3ED1-4338-B33D-52906DAE1272}">
  <dimension ref="A1:O50"/>
  <sheetViews>
    <sheetView tabSelected="1" workbookViewId="0">
      <selection activeCell="G20" sqref="G20"/>
    </sheetView>
  </sheetViews>
  <sheetFormatPr defaultRowHeight="18.75" x14ac:dyDescent="0.25"/>
  <cols>
    <col min="1" max="1" width="15.875" style="15" customWidth="1"/>
    <col min="2" max="2" width="19.625" style="15" customWidth="1"/>
    <col min="3" max="3" width="13.875" style="15" customWidth="1"/>
    <col min="4" max="4" width="9.75" style="15" customWidth="1"/>
    <col min="5" max="5" width="14.25" style="15" customWidth="1"/>
    <col min="6" max="6" width="13.75" style="15" customWidth="1"/>
    <col min="7" max="7" width="14.25" style="15" customWidth="1"/>
    <col min="8" max="8" width="10.75" style="15" customWidth="1"/>
    <col min="9" max="9" width="12.625" style="15" customWidth="1"/>
    <col min="10" max="10" width="10.25" style="15" bestFit="1" customWidth="1"/>
    <col min="11" max="11" width="10.375" style="15" customWidth="1"/>
    <col min="12" max="12" width="10" style="15" customWidth="1"/>
    <col min="13" max="13" width="9.875" style="15" customWidth="1"/>
    <col min="14" max="14" width="9.25" style="15" bestFit="1" customWidth="1"/>
    <col min="15" max="16384" width="9" style="15"/>
  </cols>
  <sheetData>
    <row r="1" spans="1:14" s="14" customFormat="1" x14ac:dyDescent="0.25">
      <c r="A1" s="14" t="s">
        <v>97</v>
      </c>
      <c r="B1" s="14" t="s">
        <v>60</v>
      </c>
      <c r="C1" s="14" t="s">
        <v>10</v>
      </c>
      <c r="D1" s="14" t="s">
        <v>261</v>
      </c>
      <c r="E1" s="14" t="s">
        <v>262</v>
      </c>
      <c r="F1" s="14" t="s">
        <v>253</v>
      </c>
      <c r="G1" s="14" t="s">
        <v>259</v>
      </c>
      <c r="H1" s="14" t="s">
        <v>312</v>
      </c>
      <c r="I1" s="14" t="s">
        <v>21</v>
      </c>
      <c r="J1" s="14" t="s">
        <v>260</v>
      </c>
      <c r="K1" s="14" t="s">
        <v>314</v>
      </c>
      <c r="L1" s="14" t="s">
        <v>318</v>
      </c>
      <c r="M1" s="14" t="s">
        <v>319</v>
      </c>
    </row>
    <row r="2" spans="1:14" x14ac:dyDescent="0.25">
      <c r="A2" s="15" t="s">
        <v>359</v>
      </c>
      <c r="B2" s="15" t="s">
        <v>360</v>
      </c>
      <c r="C2" s="15" t="str">
        <f>VLOOKUP($B$2,後台!$B$2:$M$121,2,FALSE)</f>
        <v>手</v>
      </c>
      <c r="D2" s="15" t="str">
        <f>VLOOKUP($B$2,後台!$B$2:$M$121,3,FALSE)</f>
        <v>會心</v>
      </c>
      <c r="E2" s="15">
        <f>VLOOKUP($B$2,後台!$B$2:$M$121,4,FALSE)</f>
        <v>152</v>
      </c>
      <c r="F2" s="19">
        <f>SUM(B8:F8)</f>
        <v>4021</v>
      </c>
      <c r="G2" s="57">
        <f>IF(OR($A$2="鑄造",$A$2="縫紉"),1,2.5)</f>
        <v>1</v>
      </c>
      <c r="H2" s="58">
        <f>F2/G2</f>
        <v>4021</v>
      </c>
      <c r="I2" s="59">
        <f>VLOOKUP($B$2,後台!$B$2:$M$121,11,FALSE)</f>
        <v>4407</v>
      </c>
      <c r="J2" s="15">
        <f>I2-H2</f>
        <v>386</v>
      </c>
      <c r="K2" s="15">
        <f>VLOOKUP($B$2,後台!$B$2:$M$121,10,FALSE)</f>
        <v>120</v>
      </c>
      <c r="L2" s="60">
        <f>K2+F10</f>
        <v>200</v>
      </c>
      <c r="M2" s="61">
        <f>J2/L2</f>
        <v>1.93</v>
      </c>
    </row>
    <row r="3" spans="1:14" s="46" customFormat="1" x14ac:dyDescent="0.25"/>
    <row r="4" spans="1:14" x14ac:dyDescent="0.25">
      <c r="A4" s="14" t="s">
        <v>98</v>
      </c>
      <c r="B4" s="15" t="str">
        <f>VLOOKUP($B$2,後台!$B$2:$M$121,5,FALSE)</f>
        <v>沉香木</v>
      </c>
      <c r="C4" s="15" t="str">
        <f>VLOOKUP($B$2,後台!$B$2:$M$121,6,FALSE)</f>
        <v>珠貝母</v>
      </c>
      <c r="D4" s="15" t="str">
        <f>VLOOKUP($B$2,後台!$B$2:$M$121,7,FALSE)</f>
        <v>寶石</v>
      </c>
      <c r="E4" s="15" t="str">
        <f>VLOOKUP($B$2,後台!$B$2:$M$121,9,FALSE)</f>
        <v>金線</v>
      </c>
      <c r="F4" s="15" t="str">
        <f>VLOOKUP($B$2,後台!$B$2:$M$121,8,FALSE)</f>
        <v>五色石</v>
      </c>
      <c r="G4" s="14" t="s">
        <v>320</v>
      </c>
      <c r="H4" s="15" t="str">
        <f>VLOOKUP($F$4,後台!$B$2:$M$121,5,FALSE)</f>
        <v>紫檀</v>
      </c>
      <c r="I4" s="15" t="str">
        <f>VLOOKUP($F$4,後台!$B$2:$M$121,6,FALSE)</f>
        <v>百股線</v>
      </c>
      <c r="J4" s="15" t="str">
        <f>VLOOKUP($F$4,後台!$B$2:$M$121,7,FALSE)</f>
        <v>百染線</v>
      </c>
      <c r="K4" s="15" t="str">
        <f>VLOOKUP($F$4,後台!$B$2:$M$121,8,FALSE)</f>
        <v>金線</v>
      </c>
      <c r="L4" s="15">
        <f>VLOOKUP($F$4,後台!$B$2:$M$121,9,FALSE)</f>
        <v>0</v>
      </c>
      <c r="M4" s="17" t="s">
        <v>324</v>
      </c>
      <c r="N4" s="17" t="s">
        <v>328</v>
      </c>
    </row>
    <row r="5" spans="1:14" ht="16.5" customHeight="1" x14ac:dyDescent="0.25">
      <c r="A5" s="14" t="s">
        <v>258</v>
      </c>
      <c r="B5" s="15">
        <f>IF(OR($A$2="鑄造·紫熔錠",$A$2="鑄造·藍熔錠",$A$2="烹飪·紫",$A$2="醫術·紫"),1,5)</f>
        <v>5</v>
      </c>
      <c r="C5" s="15">
        <f>IF($A$2="醫術·紫",10,IF($A$2="烹飪·紫",15,5))</f>
        <v>5</v>
      </c>
      <c r="D5" s="15">
        <f>IF($A$2="鑄造",20,IF($A$2="烹飪·藍",5,10))</f>
        <v>10</v>
      </c>
      <c r="E5" s="15">
        <f>IF(E4=0,0,IF(OR($A$2="醫術·藍",$A$2="烹飪·紫",$A$2="烹飪·藍"),10,20))</f>
        <v>20</v>
      </c>
      <c r="F5" s="15">
        <f>IF($A$2="鑄造",20,IF($A$2="鑄造·紫熔錠",5,IF($A$2="縫紉",10,IF($A$2="醫術·紫",4,IF($A$2="烹飪·紫",3,1)))))</f>
        <v>10</v>
      </c>
      <c r="G5" s="67" t="s">
        <v>354</v>
      </c>
      <c r="H5" s="15">
        <v>2</v>
      </c>
      <c r="I5" s="15">
        <f>IF(OR($A$2="鑄造",$A$2="鑄造·紫熔錠",$A$2="鑄造·藍熔錠"),IF(I4&lt;&gt;0,5,0),1)</f>
        <v>1</v>
      </c>
      <c r="J5" s="15">
        <f>IF(OR($A$2="鑄造",$A$2="鑄造·紫熔錠",$A$2="鑄造·藍熔錠"),IF(J4&lt;&gt;0,5,0),IF(OR($A$2="烹飪·藍",$A$2="烹飪·紫"),5,10))</f>
        <v>10</v>
      </c>
      <c r="K5" s="15">
        <f>IF(OR($A$2="鑄造",$A$2="鑄造·紫熔錠",$A$2="鑄造·藍熔錠"),IF($K$4&lt;&gt;0,10,0),IF(OR($A$2="烹飪·藍",$A$2="烹飪·紫"),5,10))</f>
        <v>10</v>
      </c>
      <c r="L5" s="15">
        <f>IF(OR($A$2="鑄造",$A$2="鑄造·紫熔錠",$A$2="鑄造·藍熔錠"),IF(L4&lt;&gt;0,20,0),IF(OR($A$2="烹飪·藍",$A$2="烹飪·紫"),20,0))</f>
        <v>0</v>
      </c>
    </row>
    <row r="6" spans="1:14" x14ac:dyDescent="0.25">
      <c r="A6" s="14" t="s">
        <v>313</v>
      </c>
      <c r="B6" s="15">
        <f>VLOOKUP(B4,全材料,2,FALSE)</f>
        <v>325</v>
      </c>
      <c r="C6" s="15">
        <f>VLOOKUP(C4,全材料,2,FALSE)</f>
        <v>124</v>
      </c>
      <c r="D6" s="15">
        <f>IFERROR(VLOOKUP(D4,全材料,2,FALSE),0)</f>
        <v>26</v>
      </c>
      <c r="E6" s="15">
        <f>IFERROR(VLOOKUP(E4,全材料,2,FALSE),0)</f>
        <v>0.6</v>
      </c>
      <c r="F6" s="15">
        <f>VLOOKUP(F4,全材料,2,FALSE)</f>
        <v>0</v>
      </c>
      <c r="G6" s="67"/>
      <c r="H6" s="15">
        <f>VLOOKUP(H4,全材料,2,FALSE)</f>
        <v>155</v>
      </c>
      <c r="I6" s="15">
        <f>IFERROR(VLOOKUP(I4,全材料,2,FALSE),0)</f>
        <v>30</v>
      </c>
      <c r="J6" s="15">
        <f>IFERROR(VLOOKUP(J4,全材料,2,FALSE),0)</f>
        <v>3</v>
      </c>
      <c r="K6" s="15">
        <f>IFERROR(VLOOKUP(K4,全材料,2,FALSE),0)</f>
        <v>0.6</v>
      </c>
      <c r="L6" s="15">
        <f>IFERROR(VLOOKUP(L4,全材料,2,FALSE),0)</f>
        <v>0</v>
      </c>
    </row>
    <row r="7" spans="1:14" x14ac:dyDescent="0.25">
      <c r="A7" s="14" t="s">
        <v>312</v>
      </c>
      <c r="B7" s="19">
        <f>IFERROR(VLOOKUP(B4,全材料,3,FALSE),0)</f>
        <v>325</v>
      </c>
      <c r="C7" s="19">
        <f>IFERROR(VLOOKUP(C4,全材料,3,FALSE),0)</f>
        <v>124</v>
      </c>
      <c r="D7" s="19">
        <f>IFERROR(VLOOKUP(D4,全材料,3,FALSE),0)</f>
        <v>26</v>
      </c>
      <c r="E7" s="15">
        <f>E6</f>
        <v>0.6</v>
      </c>
      <c r="F7" s="19">
        <f>N8</f>
        <v>150.4</v>
      </c>
      <c r="G7" s="67"/>
      <c r="H7" s="15">
        <f>H6</f>
        <v>155</v>
      </c>
      <c r="I7" s="19">
        <f>I6</f>
        <v>30</v>
      </c>
      <c r="J7" s="19">
        <f>IFERROR(VLOOKUP(J4,全材料,3,FALSE),0)</f>
        <v>3</v>
      </c>
      <c r="K7" s="19">
        <f>IFERROR(VLOOKUP(K4,全材料,3,FALSE),0)</f>
        <v>0.6</v>
      </c>
      <c r="L7" s="15">
        <f>L6</f>
        <v>0</v>
      </c>
    </row>
    <row r="8" spans="1:14" x14ac:dyDescent="0.25">
      <c r="A8" s="14" t="s">
        <v>325</v>
      </c>
      <c r="B8" s="19">
        <f>B7*B5</f>
        <v>1625</v>
      </c>
      <c r="C8" s="19">
        <f>C7*C5</f>
        <v>620</v>
      </c>
      <c r="D8" s="19">
        <f>D7*D5</f>
        <v>260</v>
      </c>
      <c r="E8" s="15">
        <f>E7*E5</f>
        <v>12</v>
      </c>
      <c r="F8" s="19">
        <f>F7*F5</f>
        <v>1504</v>
      </c>
      <c r="G8" s="67"/>
      <c r="H8" s="15">
        <f>H7*H5</f>
        <v>310</v>
      </c>
      <c r="I8" s="19">
        <f>I7*I5</f>
        <v>30</v>
      </c>
      <c r="J8" s="19">
        <f>J7*J5</f>
        <v>30</v>
      </c>
      <c r="K8" s="19">
        <f>K7*K5</f>
        <v>6</v>
      </c>
      <c r="L8" s="15">
        <f>L7*L5</f>
        <v>0</v>
      </c>
      <c r="M8" s="19">
        <f>SUM(H8:L8)</f>
        <v>376</v>
      </c>
      <c r="N8" s="19">
        <f>M8/2.5</f>
        <v>150.4</v>
      </c>
    </row>
    <row r="9" spans="1:14" x14ac:dyDescent="0.25">
      <c r="A9" s="14" t="s">
        <v>251</v>
      </c>
      <c r="B9" s="15" t="str">
        <f>IFERROR(VLOOKUP(B4,全材料,4,FALSE),0)</f>
        <v>挖寶</v>
      </c>
      <c r="C9" s="15" t="str">
        <f>IFERROR(VLOOKUP(C4,全材料,4,FALSE),0)</f>
        <v>公共任務</v>
      </c>
      <c r="D9" s="15" t="str">
        <f>IFERROR(VLOOKUP(D4,全材料,4,FALSE),0)</f>
        <v>庖丁、挖寶</v>
      </c>
      <c r="E9" s="15" t="str">
        <f>IFERROR(VLOOKUP(E4,全材料,4,FALSE),0)</f>
        <v>針線商</v>
      </c>
      <c r="F9" s="15">
        <f>IFERROR(VLOOKUP(F4,全材料,4,FALSE),0)</f>
        <v>0</v>
      </c>
      <c r="G9" s="67"/>
      <c r="H9" s="15" t="str">
        <f>IFERROR(VLOOKUP(H4,全材料,4,FALSE),0)</f>
        <v>挖寶</v>
      </c>
      <c r="I9" s="15" t="str">
        <f>IFERROR(VLOOKUP(I4,全材料,4,FALSE),0)</f>
        <v>針線商</v>
      </c>
      <c r="J9" s="15" t="str">
        <f>IFERROR(VLOOKUP(J4,全材料,4,FALSE),0)</f>
        <v>針線商</v>
      </c>
      <c r="K9" s="15" t="str">
        <f>IFERROR(VLOOKUP(K4,全材料,4,FALSE),0)</f>
        <v>針線商</v>
      </c>
      <c r="L9" s="15">
        <f>IFERROR(VLOOKUP(L4,全材料,4,FALSE),0)</f>
        <v>0</v>
      </c>
    </row>
    <row r="10" spans="1:14" x14ac:dyDescent="0.25">
      <c r="A10" s="14" t="s">
        <v>314</v>
      </c>
      <c r="B10" s="15">
        <f>VLOOKUP(B4,全材料,5,FALSE)</f>
        <v>0</v>
      </c>
      <c r="C10" s="15">
        <f>VLOOKUP(C4,全材料,5,FALSE)</f>
        <v>0</v>
      </c>
      <c r="D10" s="15">
        <f>IFERROR(VLOOKUP(D4,全材料,5,FALSE),0)</f>
        <v>0</v>
      </c>
      <c r="E10" s="15">
        <f>IFERROR(VLOOKUP(E4,全材料,5,FALSE),0)</f>
        <v>0</v>
      </c>
      <c r="F10" s="45">
        <f>(VLOOKUP(F4,全材料,5,FALSE)+M10)/2.5*F5</f>
        <v>80</v>
      </c>
      <c r="G10" s="67"/>
      <c r="H10" s="45">
        <f>IFERROR(VLOOKUP(H4,全材料,5,FALSE)*H5/VLOOKUP(H4,全材料,6,FALSE),0)</f>
        <v>0</v>
      </c>
      <c r="I10" s="45">
        <f>IFERROR(VLOOKUP(I4,全材料,5,FALSE)*I5/VLOOKUP(I4,全材料,6,FALSE),0)</f>
        <v>0</v>
      </c>
      <c r="J10" s="45">
        <f>IFERROR(VLOOKUP(J4,全材料,5,FALSE)*J5/VLOOKUP(J4,全材料,6,FALSE),0)</f>
        <v>0</v>
      </c>
      <c r="K10" s="45">
        <f>IFERROR(VLOOKUP(K4,全材料,5,FALSE)*K5/VLOOKUP(K4,全材料,6,FALSE),0)</f>
        <v>0</v>
      </c>
      <c r="L10" s="45">
        <f>IFERROR(VLOOKUP(L4,全材料,5,FALSE)*L5/VLOOKUP(L4,全材料,6,FALSE),0)</f>
        <v>0</v>
      </c>
      <c r="M10" s="45">
        <f>SUM(H10:L10)</f>
        <v>0</v>
      </c>
      <c r="N10" s="45">
        <f>M10/2.5</f>
        <v>0</v>
      </c>
    </row>
    <row r="11" spans="1:14" s="46" customFormat="1" x14ac:dyDescent="0.25"/>
    <row r="12" spans="1:14" s="20" customFormat="1" x14ac:dyDescent="0.25">
      <c r="A12" s="20" t="s">
        <v>353</v>
      </c>
      <c r="B12" s="66" t="str">
        <f>B2</f>
        <v>仙蹤·腕·繡（會心）</v>
      </c>
      <c r="C12" s="49" t="s">
        <v>323</v>
      </c>
      <c r="D12" s="22">
        <f>G2</f>
        <v>1</v>
      </c>
      <c r="E12" s="47" t="s">
        <v>352</v>
      </c>
      <c r="F12" s="51"/>
      <c r="G12" s="51"/>
      <c r="H12" s="51"/>
      <c r="I12" s="51"/>
      <c r="J12" s="21"/>
      <c r="K12" s="21"/>
      <c r="L12" s="21"/>
    </row>
    <row r="13" spans="1:14" s="16" customFormat="1" x14ac:dyDescent="0.25">
      <c r="A13" s="62" t="s">
        <v>355</v>
      </c>
      <c r="B13" s="66"/>
      <c r="C13" s="48" t="str">
        <f>B4</f>
        <v>沉香木</v>
      </c>
      <c r="D13" s="49">
        <f>B5</f>
        <v>5</v>
      </c>
      <c r="E13" s="48"/>
      <c r="F13" s="48"/>
      <c r="G13" s="48"/>
      <c r="H13" s="48"/>
      <c r="I13" s="48"/>
    </row>
    <row r="14" spans="1:14" s="16" customFormat="1" x14ac:dyDescent="0.25">
      <c r="B14" s="66"/>
      <c r="C14" s="48" t="str">
        <f>C4</f>
        <v>珠貝母</v>
      </c>
      <c r="D14" s="49">
        <f>C5</f>
        <v>5</v>
      </c>
      <c r="E14" s="48"/>
      <c r="F14" s="48"/>
      <c r="G14" s="48"/>
      <c r="H14" s="48"/>
      <c r="I14" s="48"/>
    </row>
    <row r="15" spans="1:14" s="16" customFormat="1" x14ac:dyDescent="0.25">
      <c r="B15" s="66"/>
      <c r="C15" s="48" t="str">
        <f>D4</f>
        <v>寶石</v>
      </c>
      <c r="D15" s="23">
        <f>D5</f>
        <v>10</v>
      </c>
      <c r="E15" s="48"/>
      <c r="F15" s="48"/>
      <c r="G15" s="48"/>
      <c r="H15" s="48"/>
      <c r="I15" s="48"/>
    </row>
    <row r="16" spans="1:14" s="16" customFormat="1" x14ac:dyDescent="0.25">
      <c r="B16" s="66"/>
      <c r="C16" s="48" t="str">
        <f>E4</f>
        <v>金線</v>
      </c>
      <c r="D16" s="23">
        <f>E5</f>
        <v>20</v>
      </c>
      <c r="E16" s="48"/>
      <c r="F16" s="68" t="s">
        <v>326</v>
      </c>
      <c r="G16" s="68"/>
      <c r="H16" s="65" t="s">
        <v>327</v>
      </c>
      <c r="I16" s="65"/>
    </row>
    <row r="17" spans="2:11" s="16" customFormat="1" x14ac:dyDescent="0.25">
      <c r="B17" s="66"/>
      <c r="C17" s="48" t="str">
        <f>F4</f>
        <v>五色石</v>
      </c>
      <c r="D17" s="49">
        <f>F5</f>
        <v>10</v>
      </c>
      <c r="E17" s="50" t="s">
        <v>322</v>
      </c>
      <c r="F17" s="48" t="str">
        <f>H4</f>
        <v>紫檀</v>
      </c>
      <c r="G17" s="23">
        <f>_xlfn.CEILING.MATH(H5*$D$17/2)</f>
        <v>10</v>
      </c>
      <c r="H17" s="48" t="str">
        <f>H4</f>
        <v>紫檀</v>
      </c>
      <c r="I17" s="23">
        <f>_xlfn.CEILING.MATH(H5*$D$17/2.5)</f>
        <v>8</v>
      </c>
      <c r="K17" s="62" t="s">
        <v>355</v>
      </c>
    </row>
    <row r="18" spans="2:11" s="16" customFormat="1" x14ac:dyDescent="0.25">
      <c r="B18" s="66"/>
      <c r="C18" s="48"/>
      <c r="D18" s="49"/>
      <c r="E18" s="50"/>
      <c r="F18" s="48" t="str">
        <f>I4</f>
        <v>百股線</v>
      </c>
      <c r="G18" s="23">
        <f>_xlfn.CEILING.MATH(I5*$D$17/2)</f>
        <v>5</v>
      </c>
      <c r="H18" s="48" t="str">
        <f>I4</f>
        <v>百股線</v>
      </c>
      <c r="I18" s="23">
        <f>_xlfn.CEILING.MATH(I5*$D$17/2.5)</f>
        <v>4</v>
      </c>
    </row>
    <row r="19" spans="2:11" s="16" customFormat="1" x14ac:dyDescent="0.25">
      <c r="B19" s="66"/>
      <c r="C19" s="48"/>
      <c r="D19" s="49"/>
      <c r="E19" s="50"/>
      <c r="F19" s="48" t="str">
        <f>J4</f>
        <v>百染線</v>
      </c>
      <c r="G19" s="23">
        <f>_xlfn.CEILING.MATH(J5*$D$17/2)</f>
        <v>50</v>
      </c>
      <c r="H19" s="48" t="str">
        <f>J4</f>
        <v>百染線</v>
      </c>
      <c r="I19" s="23">
        <f>_xlfn.CEILING.MATH(J5*$D$17/2.5)</f>
        <v>40</v>
      </c>
    </row>
    <row r="20" spans="2:11" s="16" customFormat="1" x14ac:dyDescent="0.25">
      <c r="B20" s="66"/>
      <c r="C20" s="48"/>
      <c r="D20" s="49"/>
      <c r="E20" s="50"/>
      <c r="F20" s="48" t="str">
        <f>K4</f>
        <v>金線</v>
      </c>
      <c r="G20" s="23">
        <f>_xlfn.CEILING.MATH(K5*$D$17/2)</f>
        <v>50</v>
      </c>
      <c r="H20" s="48" t="str">
        <f>K4</f>
        <v>金線</v>
      </c>
      <c r="I20" s="23">
        <f>_xlfn.CEILING.MATH(K5*$D$17/2.5)</f>
        <v>40</v>
      </c>
    </row>
    <row r="21" spans="2:11" s="16" customFormat="1" x14ac:dyDescent="0.25">
      <c r="B21" s="66"/>
      <c r="C21" s="48"/>
      <c r="D21" s="49"/>
      <c r="E21" s="50"/>
      <c r="F21" s="48">
        <f>L4</f>
        <v>0</v>
      </c>
      <c r="G21" s="23">
        <f>_xlfn.CEILING.MATH(L5*$D$17/2)</f>
        <v>0</v>
      </c>
      <c r="H21" s="48">
        <f>L4</f>
        <v>0</v>
      </c>
      <c r="I21" s="23">
        <f>_xlfn.CEILING.MATH(L5*$D$17/2.5)</f>
        <v>0</v>
      </c>
    </row>
    <row r="22" spans="2:11" s="16" customFormat="1" x14ac:dyDescent="0.25"/>
    <row r="23" spans="2:11" s="16" customFormat="1" x14ac:dyDescent="0.25"/>
    <row r="24" spans="2:11" s="16" customFormat="1" x14ac:dyDescent="0.25"/>
    <row r="25" spans="2:11" s="16" customFormat="1" x14ac:dyDescent="0.25"/>
    <row r="26" spans="2:11" s="16" customFormat="1" x14ac:dyDescent="0.25"/>
    <row r="27" spans="2:11" s="16" customFormat="1" x14ac:dyDescent="0.25"/>
    <row r="28" spans="2:11" s="16" customFormat="1" x14ac:dyDescent="0.25"/>
    <row r="29" spans="2:11" s="16" customFormat="1" x14ac:dyDescent="0.25"/>
    <row r="30" spans="2:11" s="16" customFormat="1" x14ac:dyDescent="0.25"/>
    <row r="31" spans="2:11" s="16" customFormat="1" x14ac:dyDescent="0.25"/>
    <row r="32" spans="2:11" s="16" customFormat="1" x14ac:dyDescent="0.25"/>
    <row r="33" spans="1:15" s="16" customFormat="1" x14ac:dyDescent="0.25"/>
    <row r="34" spans="1:15" s="16" customFormat="1" x14ac:dyDescent="0.25"/>
    <row r="35" spans="1:15" s="16" customFormat="1" x14ac:dyDescent="0.25"/>
    <row r="36" spans="1:15" s="16" customFormat="1" x14ac:dyDescent="0.25">
      <c r="B36" s="18"/>
      <c r="C36" s="18"/>
      <c r="D36" s="18"/>
      <c r="E36" s="18"/>
      <c r="F36" s="18"/>
      <c r="G36" s="18"/>
      <c r="H36" s="18"/>
      <c r="I36" s="18"/>
      <c r="J36" s="18"/>
    </row>
    <row r="37" spans="1:15" s="16" customFormat="1" x14ac:dyDescent="0.25"/>
    <row r="38" spans="1:15" s="16" customFormat="1" x14ac:dyDescent="0.25"/>
    <row r="39" spans="1:15" s="16" customFormat="1" x14ac:dyDescent="0.25"/>
    <row r="40" spans="1:15" s="16" customFormat="1" x14ac:dyDescent="0.25"/>
    <row r="41" spans="1:15" s="16" customFormat="1" x14ac:dyDescent="0.25">
      <c r="A41" s="18"/>
      <c r="B41" s="18"/>
      <c r="C41" s="18"/>
      <c r="D41" s="18"/>
      <c r="E41" s="18"/>
      <c r="F41" s="18"/>
      <c r="G41" s="18"/>
      <c r="H41" s="18"/>
    </row>
    <row r="42" spans="1:15" s="16" customFormat="1" x14ac:dyDescent="0.25"/>
    <row r="43" spans="1:15" s="16" customFormat="1" x14ac:dyDescent="0.25"/>
    <row r="44" spans="1:15" s="16" customFormat="1" x14ac:dyDescent="0.25"/>
    <row r="45" spans="1:15" s="16" customFormat="1" x14ac:dyDescent="0.25"/>
    <row r="46" spans="1:15" s="16" customFormat="1" x14ac:dyDescent="0.25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</row>
    <row r="47" spans="1:15" s="16" customFormat="1" x14ac:dyDescent="0.25"/>
    <row r="48" spans="1:15" s="16" customFormat="1" x14ac:dyDescent="0.25"/>
    <row r="49" s="16" customFormat="1" x14ac:dyDescent="0.25"/>
    <row r="50" s="16" customFormat="1" x14ac:dyDescent="0.25"/>
  </sheetData>
  <mergeCells count="4">
    <mergeCell ref="H16:I16"/>
    <mergeCell ref="B12:B21"/>
    <mergeCell ref="G5:G10"/>
    <mergeCell ref="F16:G16"/>
  </mergeCells>
  <phoneticPr fontId="1" type="noConversion"/>
  <conditionalFormatting sqref="A5:A10">
    <cfRule type="containsText" dxfId="99" priority="96" stopIfTrue="1" operator="containsText" text="炭">
      <formula>NOT(ISERROR(SEARCH("炭",A5)))</formula>
    </cfRule>
    <cfRule type="cellIs" dxfId="98" priority="97" operator="equal">
      <formula>"火墨"</formula>
    </cfRule>
    <cfRule type="cellIs" dxfId="97" priority="98" operator="equal">
      <formula>"菜籽油"</formula>
    </cfRule>
    <cfRule type="cellIs" dxfId="96" priority="99" operator="equal">
      <formula>"煉火石"</formula>
    </cfRule>
    <cfRule type="cellIs" dxfId="95" priority="100" operator="equal">
      <formula>"石灰"</formula>
    </cfRule>
    <cfRule type="cellIs" dxfId="94" priority="101" operator="equal">
      <formula>"紡絲"</formula>
    </cfRule>
    <cfRule type="cellIs" dxfId="93" priority="102" stopIfTrue="1" operator="equal">
      <formula>"金線"</formula>
    </cfRule>
    <cfRule type="cellIs" dxfId="92" priority="103" stopIfTrue="1" operator="equal">
      <formula>"七彩線"</formula>
    </cfRule>
    <cfRule type="cellIs" dxfId="91" priority="104" operator="equal">
      <formula>"銀絲緞"</formula>
    </cfRule>
    <cfRule type="cellIs" dxfId="90" priority="105" operator="equal">
      <formula>"五色石"</formula>
    </cfRule>
    <cfRule type="containsText" dxfId="89" priority="106" operator="containsText" text="布">
      <formula>NOT(ISERROR(SEARCH("布",A5)))</formula>
    </cfRule>
    <cfRule type="containsText" dxfId="88" priority="107" operator="containsText" text="錠">
      <formula>NOT(ISERROR(SEARCH("錠",A5)))</formula>
    </cfRule>
    <cfRule type="cellIs" dxfId="87" priority="108" stopIfTrue="1" operator="equal">
      <formula>"百染線"</formula>
    </cfRule>
    <cfRule type="cellIs" dxfId="86" priority="109" stopIfTrue="1" operator="equal">
      <formula>"百股線"</formula>
    </cfRule>
    <cfRule type="cellIs" dxfId="85" priority="110" operator="equal">
      <formula>"瑪瑙"</formula>
    </cfRule>
    <cfRule type="cellIs" dxfId="84" priority="111" operator="equal">
      <formula>"硼砂"</formula>
    </cfRule>
    <cfRule type="cellIs" dxfId="83" priority="112" operator="equal">
      <formula>"紫檀"</formula>
    </cfRule>
    <cfRule type="cellIs" dxfId="82" priority="113" operator="equal">
      <formula>"銀鱗"</formula>
    </cfRule>
    <cfRule type="cellIs" dxfId="81" priority="114" operator="equal">
      <formula>"寶石"</formula>
    </cfRule>
    <cfRule type="cellIs" dxfId="80" priority="115" operator="equal">
      <formula>"珠貝母"</formula>
    </cfRule>
    <cfRule type="cellIs" dxfId="79" priority="116" operator="equal">
      <formula>"貓眼石"</formula>
    </cfRule>
    <cfRule type="cellIs" dxfId="78" priority="117" operator="equal">
      <formula>"沉香木"</formula>
    </cfRule>
  </conditionalFormatting>
  <conditionalFormatting sqref="A5:A10">
    <cfRule type="cellIs" dxfId="77" priority="94" operator="equal">
      <formula>"棉線"</formula>
    </cfRule>
    <cfRule type="containsText" dxfId="76" priority="95" stopIfTrue="1" operator="containsText" text="礦">
      <formula>NOT(ISERROR(SEARCH("礦",A5)))</formula>
    </cfRule>
  </conditionalFormatting>
  <conditionalFormatting sqref="A2">
    <cfRule type="containsText" dxfId="75" priority="92" operator="containsText" text="烹飪">
      <formula>NOT(ISERROR(SEARCH("烹飪",A2)))</formula>
    </cfRule>
    <cfRule type="containsText" dxfId="74" priority="93" operator="containsText" text="醫術">
      <formula>NOT(ISERROR(SEARCH("醫術",A2)))</formula>
    </cfRule>
    <cfRule type="cellIs" dxfId="73" priority="187" operator="equal">
      <formula>"縫紉"</formula>
    </cfRule>
  </conditionalFormatting>
  <conditionalFormatting sqref="B4:XFD4">
    <cfRule type="cellIs" dxfId="72" priority="181" operator="equal">
      <formula>"珠貝母"</formula>
    </cfRule>
  </conditionalFormatting>
  <conditionalFormatting sqref="A5:XFD5">
    <cfRule type="cellIs" dxfId="71" priority="22" operator="equal">
      <formula>0</formula>
    </cfRule>
  </conditionalFormatting>
  <conditionalFormatting sqref="J2">
    <cfRule type="cellIs" dxfId="70" priority="14" operator="lessThan">
      <formula>0</formula>
    </cfRule>
    <cfRule type="cellIs" dxfId="69" priority="15" operator="greaterThan">
      <formula>0</formula>
    </cfRule>
  </conditionalFormatting>
  <conditionalFormatting sqref="M2">
    <cfRule type="cellIs" dxfId="68" priority="13" operator="greaterThan">
      <formula>3</formula>
    </cfRule>
  </conditionalFormatting>
  <conditionalFormatting sqref="B4:N4 C13:C17 F17:F21 H17:H21">
    <cfRule type="cellIs" dxfId="67" priority="1" operator="equal">
      <formula>"藥罐"</formula>
    </cfRule>
    <cfRule type="cellIs" dxfId="66" priority="2" operator="equal">
      <formula>"藥囊"</formula>
    </cfRule>
    <cfRule type="cellIs" dxfId="65" priority="17" operator="equal">
      <formula>"調料"</formula>
    </cfRule>
    <cfRule type="cellIs" dxfId="64" priority="18" operator="equal">
      <formula>"藥用黃丹"</formula>
    </cfRule>
    <cfRule type="cellIs" dxfId="63" priority="19" operator="equal">
      <formula>"煉火石"</formula>
    </cfRule>
    <cfRule type="cellIs" dxfId="62" priority="20" operator="equal">
      <formula>"百染線"</formula>
    </cfRule>
    <cfRule type="cellIs" dxfId="61" priority="21" operator="equal">
      <formula>"百股線"</formula>
    </cfRule>
    <cfRule type="cellIs" dxfId="60" priority="23" operator="equal">
      <formula>"五味子"</formula>
    </cfRule>
    <cfRule type="cellIs" dxfId="59" priority="24" operator="equal">
      <formula>"千里香"</formula>
    </cfRule>
    <cfRule type="cellIs" dxfId="58" priority="25" operator="equal">
      <formula>"彼岸花"</formula>
    </cfRule>
    <cfRule type="cellIs" dxfId="57" priority="26" operator="equal">
      <formula>"大黃"</formula>
    </cfRule>
    <cfRule type="cellIs" dxfId="56" priority="27" operator="equal">
      <formula>"蟲草"</formula>
    </cfRule>
    <cfRule type="cellIs" dxfId="55" priority="28" operator="equal">
      <formula>"枸杞"</formula>
    </cfRule>
    <cfRule type="cellIs" dxfId="54" priority="29" operator="equal">
      <formula>"甘草"</formula>
    </cfRule>
    <cfRule type="cellIs" dxfId="53" priority="30" operator="equal">
      <formula>"珊瑚"</formula>
    </cfRule>
    <cfRule type="cellIs" dxfId="52" priority="31" operator="equal">
      <formula>"芍藥"</formula>
    </cfRule>
    <cfRule type="cellIs" dxfId="51" priority="32" operator="equal">
      <formula>"川貝"</formula>
    </cfRule>
    <cfRule type="cellIs" dxfId="50" priority="33" operator="equal">
      <formula>"骨頭"</formula>
    </cfRule>
    <cfRule type="cellIs" dxfId="49" priority="34" operator="equal">
      <formula>"雜碎"</formula>
    </cfRule>
    <cfRule type="cellIs" dxfId="48" priority="35" operator="equal">
      <formula>"血"</formula>
    </cfRule>
    <cfRule type="endsWith" dxfId="47" priority="36" stopIfTrue="1" operator="endsWith" text="肉">
      <formula>RIGHT(B4,LEN("肉"))="肉"</formula>
    </cfRule>
    <cfRule type="containsText" dxfId="46" priority="39" stopIfTrue="1" operator="containsText" text="礦">
      <formula>NOT(ISERROR(SEARCH("礦",B4)))</formula>
    </cfRule>
    <cfRule type="cellIs" dxfId="45" priority="43" operator="equal">
      <formula>"煉火石"</formula>
    </cfRule>
    <cfRule type="cellIs" dxfId="44" priority="47" stopIfTrue="1" operator="equal">
      <formula>"七彩線"</formula>
    </cfRule>
    <cfRule type="cellIs" dxfId="43" priority="48" operator="equal">
      <formula>"銀絲緞"</formula>
    </cfRule>
    <cfRule type="cellIs" dxfId="42" priority="49" operator="equal">
      <formula>"五色石"</formula>
    </cfRule>
    <cfRule type="containsText" dxfId="41" priority="50" operator="containsText" text="布">
      <formula>NOT(ISERROR(SEARCH("布",B4)))</formula>
    </cfRule>
    <cfRule type="containsText" dxfId="40" priority="51" operator="containsText" text="錠">
      <formula>NOT(ISERROR(SEARCH("錠",B4)))</formula>
    </cfRule>
    <cfRule type="cellIs" dxfId="39" priority="54" operator="equal">
      <formula>"瑪瑙"</formula>
    </cfRule>
    <cfRule type="cellIs" dxfId="38" priority="55" operator="equal">
      <formula>"硼砂"</formula>
    </cfRule>
    <cfRule type="cellIs" dxfId="37" priority="56" operator="equal">
      <formula>"紫檀"</formula>
    </cfRule>
    <cfRule type="cellIs" dxfId="36" priority="57" operator="equal">
      <formula>"銀鱗"</formula>
    </cfRule>
    <cfRule type="cellIs" dxfId="35" priority="58" operator="equal">
      <formula>"寶石"</formula>
    </cfRule>
    <cfRule type="cellIs" dxfId="34" priority="59" operator="equal">
      <formula>"珠貝母"</formula>
    </cfRule>
    <cfRule type="cellIs" dxfId="33" priority="60" operator="equal">
      <formula>"貓眼石"</formula>
    </cfRule>
    <cfRule type="cellIs" dxfId="32" priority="61" operator="equal">
      <formula>"沉香木"</formula>
    </cfRule>
    <cfRule type="beginsWith" dxfId="31" priority="62" stopIfTrue="1" operator="beginsWith" text="藥">
      <formula>LEFT(B4,LEN("藥"))="藥"</formula>
    </cfRule>
    <cfRule type="endsWith" dxfId="30" priority="87" operator="endsWith" text="料">
      <formula>RIGHT(B4,LEN("料"))="料"</formula>
    </cfRule>
    <cfRule type="containsText" dxfId="29" priority="89" operator="containsText" text="礦">
      <formula>NOT(ISERROR(SEARCH("礦",B4)))</formula>
    </cfRule>
    <cfRule type="cellIs" dxfId="28" priority="166" operator="equal">
      <formula>"七彩線"</formula>
    </cfRule>
    <cfRule type="cellIs" dxfId="27" priority="167" operator="equal">
      <formula>"銀絲緞"</formula>
    </cfRule>
    <cfRule type="cellIs" dxfId="26" priority="168" operator="equal">
      <formula>"五色石"</formula>
    </cfRule>
    <cfRule type="containsText" dxfId="25" priority="169" operator="containsText" text="布">
      <formula>NOT(ISERROR(SEARCH("布",B4)))</formula>
    </cfRule>
    <cfRule type="containsText" dxfId="24" priority="170" operator="containsText" text="錠">
      <formula>NOT(ISERROR(SEARCH("錠",B4)))</formula>
    </cfRule>
    <cfRule type="cellIs" dxfId="23" priority="174" operator="equal">
      <formula>"露水"</formula>
    </cfRule>
    <cfRule type="cellIs" dxfId="22" priority="175" operator="equal">
      <formula>"人蔘"</formula>
    </cfRule>
    <cfRule type="cellIs" dxfId="21" priority="176" operator="equal">
      <formula>"瑪瑙"</formula>
    </cfRule>
    <cfRule type="cellIs" dxfId="20" priority="177" operator="equal">
      <formula>"硼砂"</formula>
    </cfRule>
    <cfRule type="cellIs" dxfId="19" priority="178" operator="equal">
      <formula>"紫檀"</formula>
    </cfRule>
    <cfRule type="cellIs" dxfId="18" priority="179" operator="equal">
      <formula>"銀鱗"</formula>
    </cfRule>
    <cfRule type="cellIs" dxfId="17" priority="180" operator="equal">
      <formula>"寶石"</formula>
    </cfRule>
    <cfRule type="cellIs" dxfId="16" priority="182" operator="equal">
      <formula>"貓眼石"</formula>
    </cfRule>
    <cfRule type="cellIs" dxfId="15" priority="183" operator="equal">
      <formula>"蜂王漿"</formula>
    </cfRule>
    <cfRule type="cellIs" dxfId="14" priority="184" operator="equal">
      <formula>"沉香木"</formula>
    </cfRule>
    <cfRule type="cellIs" dxfId="13" priority="185" operator="notEqual">
      <formula>0</formula>
    </cfRule>
  </conditionalFormatting>
  <conditionalFormatting sqref="B4:N5 F17:F21 C13:C17 H17:H21">
    <cfRule type="cellIs" dxfId="12" priority="37" operator="equal">
      <formula>0</formula>
    </cfRule>
  </conditionalFormatting>
  <conditionalFormatting sqref="I17">
    <cfRule type="cellIs" dxfId="11" priority="5" operator="equal">
      <formula>0</formula>
    </cfRule>
  </conditionalFormatting>
  <conditionalFormatting sqref="D13">
    <cfRule type="cellIs" dxfId="10" priority="11" operator="equal">
      <formula>0</formula>
    </cfRule>
  </conditionalFormatting>
  <conditionalFormatting sqref="D13">
    <cfRule type="cellIs" dxfId="9" priority="12" operator="equal">
      <formula>0</formula>
    </cfRule>
  </conditionalFormatting>
  <conditionalFormatting sqref="G17">
    <cfRule type="cellIs" dxfId="8" priority="9" operator="equal">
      <formula>0</formula>
    </cfRule>
  </conditionalFormatting>
  <conditionalFormatting sqref="G17">
    <cfRule type="cellIs" dxfId="7" priority="10" operator="equal">
      <formula>0</formula>
    </cfRule>
  </conditionalFormatting>
  <conditionalFormatting sqref="I17">
    <cfRule type="cellIs" dxfId="6" priority="6" operator="equal">
      <formula>0</formula>
    </cfRule>
  </conditionalFormatting>
  <conditionalFormatting sqref="C12">
    <cfRule type="cellIs" dxfId="5" priority="3" operator="equal">
      <formula>0</formula>
    </cfRule>
  </conditionalFormatting>
  <conditionalFormatting sqref="C12">
    <cfRule type="cellIs" dxfId="4" priority="4" operator="equal">
      <formula>0</formula>
    </cfRule>
  </conditionalFormatting>
  <dataValidations count="2">
    <dataValidation type="list" allowBlank="1" showInputMessage="1" showErrorMessage="1" sqref="B2" xr:uid="{399B1C11-DD46-46C8-8823-D3C930133678}">
      <formula1>INDIRECT($A$2)</formula1>
    </dataValidation>
    <dataValidation type="list" allowBlank="1" showInputMessage="1" showErrorMessage="1" sqref="A2" xr:uid="{EDF47190-CE62-4340-9E70-F7B865D16923}">
      <formula1>"鑄造,鑄造·紫熔錠,鑄造·藍熔錠,縫紉,醫術·藍,醫術·紫,烹飪·藍,烹飪·紫"</formula1>
    </dataValidation>
  </dataValidations>
  <pageMargins left="0.7" right="0.7" top="0.75" bottom="0.75" header="0.3" footer="0.3"/>
  <pageSetup paperSize="0" orientation="portrait" horizontalDpi="0" verticalDpi="0" copie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6" operator="containsText" id="{3C269BB7-F360-4696-95A0-2C08780B0F9B}">
            <xm:f>NOT(ISERROR(SEARCH("合計",A4)))</xm:f>
            <xm:f>"合計"</xm:f>
            <x14:dxf>
              <fill>
                <patternFill>
                  <bgColor rgb="FFFF0000"/>
                </patternFill>
              </fill>
            </x14:dxf>
          </x14:cfRule>
          <xm:sqref>A4:XFD4</xm:sqref>
        </x14:conditionalFormatting>
        <x14:conditionalFormatting xmlns:xm="http://schemas.microsoft.com/office/excel/2006/main">
          <x14:cfRule type="containsText" priority="188" operator="containsText" id="{7394BFD9-D9C1-4C59-B8E7-7D3BEF7DF8F2}">
            <xm:f>NOT(ISERROR(SEARCH("鑄造",A2)))</xm:f>
            <xm:f>"鑄造"</xm:f>
            <x14:dxf>
              <font>
                <color theme="0"/>
              </font>
              <fill>
                <patternFill>
                  <bgColor rgb="FFC00000"/>
                </patternFill>
              </fill>
            </x14:dxf>
          </x14:cfRule>
          <xm:sqref>A2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A3FCA-3E41-46A4-8C32-128668136754}">
  <dimension ref="A1:M115"/>
  <sheetViews>
    <sheetView workbookViewId="0">
      <selection activeCell="C12" sqref="C12"/>
    </sheetView>
  </sheetViews>
  <sheetFormatPr defaultRowHeight="18.75" x14ac:dyDescent="0.25"/>
  <cols>
    <col min="1" max="1" width="9" style="25"/>
    <col min="2" max="2" width="20.875" style="25" customWidth="1"/>
    <col min="3" max="11" width="9" style="25"/>
    <col min="12" max="12" width="12" style="25" customWidth="1"/>
    <col min="13" max="13" width="17" style="25" customWidth="1"/>
    <col min="14" max="16384" width="9" style="25"/>
  </cols>
  <sheetData>
    <row r="1" spans="1:13" x14ac:dyDescent="0.25">
      <c r="A1" s="24" t="s">
        <v>11</v>
      </c>
      <c r="B1" s="24" t="s">
        <v>37</v>
      </c>
      <c r="C1" s="24" t="s">
        <v>10</v>
      </c>
      <c r="D1" s="24" t="s">
        <v>261</v>
      </c>
      <c r="E1" s="24" t="s">
        <v>12</v>
      </c>
      <c r="F1" s="24">
        <v>5</v>
      </c>
      <c r="G1" s="24">
        <v>5</v>
      </c>
      <c r="H1" s="24">
        <v>20</v>
      </c>
      <c r="I1" s="24">
        <v>20</v>
      </c>
      <c r="J1" s="24">
        <v>20</v>
      </c>
      <c r="K1" s="24" t="s">
        <v>314</v>
      </c>
      <c r="L1" s="24" t="s">
        <v>21</v>
      </c>
      <c r="M1" s="24" t="s">
        <v>67</v>
      </c>
    </row>
    <row r="2" spans="1:13" x14ac:dyDescent="0.25">
      <c r="A2" s="69" t="s">
        <v>1</v>
      </c>
      <c r="B2" s="26" t="s">
        <v>76</v>
      </c>
      <c r="C2" s="24" t="s">
        <v>2</v>
      </c>
      <c r="D2" s="25" t="s">
        <v>263</v>
      </c>
      <c r="E2" s="25">
        <v>68</v>
      </c>
      <c r="F2" s="27" t="s">
        <v>14</v>
      </c>
      <c r="G2" s="27" t="s">
        <v>15</v>
      </c>
      <c r="H2" s="28" t="s">
        <v>16</v>
      </c>
      <c r="I2" s="29" t="s">
        <v>18</v>
      </c>
      <c r="J2" s="30" t="s">
        <v>20</v>
      </c>
      <c r="K2" s="30">
        <v>120</v>
      </c>
      <c r="L2" s="56">
        <v>7295</v>
      </c>
    </row>
    <row r="3" spans="1:13" x14ac:dyDescent="0.25">
      <c r="A3" s="69"/>
      <c r="B3" s="26" t="s">
        <v>77</v>
      </c>
      <c r="C3" s="24" t="s">
        <v>2</v>
      </c>
      <c r="D3" s="25" t="s">
        <v>264</v>
      </c>
      <c r="E3" s="25">
        <v>82</v>
      </c>
      <c r="F3" s="27" t="s">
        <v>13</v>
      </c>
      <c r="G3" s="27" t="s">
        <v>61</v>
      </c>
      <c r="H3" s="28" t="s">
        <v>27</v>
      </c>
      <c r="I3" s="29" t="s">
        <v>62</v>
      </c>
      <c r="J3" s="30" t="s">
        <v>40</v>
      </c>
      <c r="K3" s="30">
        <v>120</v>
      </c>
      <c r="L3" s="56">
        <v>3220</v>
      </c>
    </row>
    <row r="4" spans="1:13" x14ac:dyDescent="0.25">
      <c r="A4" s="69"/>
      <c r="B4" s="26" t="s">
        <v>78</v>
      </c>
      <c r="C4" s="24" t="s">
        <v>2</v>
      </c>
      <c r="D4" s="25" t="s">
        <v>265</v>
      </c>
      <c r="E4" s="25">
        <v>152</v>
      </c>
      <c r="F4" s="27" t="s">
        <v>14</v>
      </c>
      <c r="G4" s="27" t="s">
        <v>15</v>
      </c>
      <c r="H4" s="28" t="s">
        <v>23</v>
      </c>
      <c r="I4" s="29" t="s">
        <v>63</v>
      </c>
      <c r="J4" s="30" t="s">
        <v>35</v>
      </c>
      <c r="K4" s="30">
        <v>120</v>
      </c>
      <c r="L4" s="56">
        <v>4300</v>
      </c>
    </row>
    <row r="5" spans="1:13" x14ac:dyDescent="0.25">
      <c r="A5" s="69"/>
      <c r="B5" s="26" t="s">
        <v>79</v>
      </c>
      <c r="C5" s="24" t="s">
        <v>2</v>
      </c>
      <c r="D5" s="25" t="s">
        <v>266</v>
      </c>
      <c r="E5" s="25">
        <v>152</v>
      </c>
      <c r="F5" s="27" t="s">
        <v>13</v>
      </c>
      <c r="G5" s="27" t="s">
        <v>61</v>
      </c>
      <c r="H5" s="28" t="s">
        <v>65</v>
      </c>
      <c r="I5" s="29" t="s">
        <v>64</v>
      </c>
      <c r="J5" s="30" t="s">
        <v>19</v>
      </c>
      <c r="K5" s="30">
        <v>120</v>
      </c>
      <c r="L5" s="56">
        <v>3320</v>
      </c>
    </row>
    <row r="6" spans="1:13" x14ac:dyDescent="0.25">
      <c r="A6" s="69"/>
      <c r="B6" s="26" t="s">
        <v>80</v>
      </c>
      <c r="C6" s="24" t="s">
        <v>4</v>
      </c>
      <c r="D6" s="25" t="s">
        <v>267</v>
      </c>
      <c r="E6" s="25">
        <v>152</v>
      </c>
      <c r="F6" s="27" t="s">
        <v>14</v>
      </c>
      <c r="G6" s="27" t="s">
        <v>15</v>
      </c>
      <c r="H6" s="28" t="s">
        <v>33</v>
      </c>
      <c r="I6" s="29" t="s">
        <v>38</v>
      </c>
      <c r="J6" s="30" t="s">
        <v>40</v>
      </c>
      <c r="K6" s="30">
        <v>120</v>
      </c>
      <c r="L6" s="56">
        <v>4998</v>
      </c>
    </row>
    <row r="7" spans="1:13" x14ac:dyDescent="0.25">
      <c r="A7" s="69"/>
      <c r="B7" s="26" t="s">
        <v>81</v>
      </c>
      <c r="C7" s="24" t="s">
        <v>4</v>
      </c>
      <c r="D7" s="25" t="s">
        <v>268</v>
      </c>
      <c r="E7" s="25">
        <v>152</v>
      </c>
      <c r="F7" s="27" t="s">
        <v>15</v>
      </c>
      <c r="G7" s="27" t="s">
        <v>61</v>
      </c>
      <c r="H7" s="28" t="s">
        <v>27</v>
      </c>
      <c r="I7" s="29" t="s">
        <v>64</v>
      </c>
      <c r="J7" s="30" t="s">
        <v>19</v>
      </c>
      <c r="K7" s="30">
        <v>120</v>
      </c>
      <c r="L7" s="56">
        <v>4196</v>
      </c>
    </row>
    <row r="8" spans="1:13" x14ac:dyDescent="0.25">
      <c r="A8" s="69"/>
      <c r="B8" s="26" t="s">
        <v>82</v>
      </c>
      <c r="C8" s="24" t="s">
        <v>4</v>
      </c>
      <c r="D8" s="25" t="s">
        <v>269</v>
      </c>
      <c r="E8" s="25">
        <v>152</v>
      </c>
      <c r="F8" s="27" t="s">
        <v>13</v>
      </c>
      <c r="G8" s="27" t="s">
        <v>61</v>
      </c>
      <c r="H8" s="28" t="s">
        <v>22</v>
      </c>
      <c r="I8" s="29" t="s">
        <v>45</v>
      </c>
      <c r="J8" s="30" t="s">
        <v>29</v>
      </c>
      <c r="K8" s="30">
        <v>120</v>
      </c>
      <c r="L8" s="56">
        <v>3659</v>
      </c>
    </row>
    <row r="9" spans="1:13" x14ac:dyDescent="0.25">
      <c r="A9" s="69"/>
      <c r="B9" s="26" t="s">
        <v>83</v>
      </c>
      <c r="C9" s="24" t="s">
        <v>4</v>
      </c>
      <c r="D9" s="25" t="s">
        <v>270</v>
      </c>
      <c r="E9" s="25">
        <v>152</v>
      </c>
      <c r="F9" s="27" t="s">
        <v>15</v>
      </c>
      <c r="G9" s="27" t="s">
        <v>61</v>
      </c>
      <c r="H9" s="28" t="s">
        <v>65</v>
      </c>
      <c r="I9" s="29" t="s">
        <v>31</v>
      </c>
      <c r="J9" s="30" t="s">
        <v>35</v>
      </c>
      <c r="K9" s="30">
        <v>120</v>
      </c>
      <c r="L9" s="56">
        <v>4050</v>
      </c>
    </row>
    <row r="10" spans="1:13" x14ac:dyDescent="0.25">
      <c r="A10" s="69"/>
      <c r="B10" s="26" t="s">
        <v>84</v>
      </c>
      <c r="C10" s="24" t="s">
        <v>24</v>
      </c>
      <c r="D10" s="25" t="s">
        <v>263</v>
      </c>
      <c r="E10" s="25">
        <v>75</v>
      </c>
      <c r="F10" s="27" t="s">
        <v>13</v>
      </c>
      <c r="G10" s="27" t="s">
        <v>61</v>
      </c>
      <c r="H10" s="28" t="s">
        <v>23</v>
      </c>
      <c r="I10" s="29" t="s">
        <v>32</v>
      </c>
      <c r="J10" s="30" t="s">
        <v>35</v>
      </c>
      <c r="K10" s="30">
        <v>120</v>
      </c>
      <c r="L10" s="56">
        <v>3592</v>
      </c>
    </row>
    <row r="11" spans="1:13" x14ac:dyDescent="0.25">
      <c r="A11" s="69"/>
      <c r="B11" s="26" t="s">
        <v>85</v>
      </c>
      <c r="C11" s="24" t="s">
        <v>24</v>
      </c>
      <c r="D11" s="25" t="s">
        <v>264</v>
      </c>
      <c r="E11" s="25">
        <v>89</v>
      </c>
      <c r="F11" s="27" t="s">
        <v>15</v>
      </c>
      <c r="G11" s="27" t="s">
        <v>61</v>
      </c>
      <c r="H11" s="28" t="s">
        <v>65</v>
      </c>
      <c r="I11" s="29" t="s">
        <v>18</v>
      </c>
      <c r="J11" s="30" t="s">
        <v>20</v>
      </c>
      <c r="K11" s="30">
        <v>120</v>
      </c>
      <c r="L11" s="56">
        <v>4558</v>
      </c>
    </row>
    <row r="12" spans="1:13" x14ac:dyDescent="0.25">
      <c r="A12" s="69"/>
      <c r="B12" s="26" t="s">
        <v>86</v>
      </c>
      <c r="C12" s="24" t="s">
        <v>24</v>
      </c>
      <c r="D12" s="25" t="s">
        <v>271</v>
      </c>
      <c r="E12" s="25">
        <v>81</v>
      </c>
      <c r="F12" s="27" t="s">
        <v>13</v>
      </c>
      <c r="G12" s="27" t="s">
        <v>15</v>
      </c>
      <c r="H12" s="28" t="s">
        <v>16</v>
      </c>
      <c r="I12" s="29" t="s">
        <v>62</v>
      </c>
      <c r="J12" s="30" t="s">
        <v>40</v>
      </c>
      <c r="K12" s="30">
        <v>120</v>
      </c>
      <c r="L12" s="56">
        <v>7346</v>
      </c>
    </row>
    <row r="13" spans="1:13" x14ac:dyDescent="0.25">
      <c r="A13" s="69"/>
      <c r="B13" s="26" t="s">
        <v>87</v>
      </c>
      <c r="C13" s="24" t="s">
        <v>24</v>
      </c>
      <c r="D13" s="25" t="s">
        <v>272</v>
      </c>
      <c r="E13" s="25">
        <v>112</v>
      </c>
      <c r="F13" s="27" t="s">
        <v>13</v>
      </c>
      <c r="G13" s="27" t="s">
        <v>61</v>
      </c>
      <c r="H13" s="28" t="s">
        <v>28</v>
      </c>
      <c r="I13" s="29" t="s">
        <v>26</v>
      </c>
      <c r="J13" s="30" t="s">
        <v>30</v>
      </c>
      <c r="K13" s="30">
        <v>120</v>
      </c>
      <c r="L13" s="56">
        <v>3664</v>
      </c>
    </row>
    <row r="14" spans="1:13" x14ac:dyDescent="0.25">
      <c r="A14" s="69"/>
      <c r="B14" s="26" t="s">
        <v>356</v>
      </c>
      <c r="C14" s="24" t="s">
        <v>357</v>
      </c>
      <c r="D14" s="25" t="s">
        <v>358</v>
      </c>
      <c r="E14" s="64">
        <v>2.0500000000000001E-2</v>
      </c>
      <c r="F14" s="27" t="s">
        <v>13</v>
      </c>
      <c r="G14" s="27" t="s">
        <v>15</v>
      </c>
      <c r="H14" s="28" t="s">
        <v>33</v>
      </c>
      <c r="I14" s="29" t="s">
        <v>64</v>
      </c>
      <c r="J14" s="30" t="s">
        <v>19</v>
      </c>
      <c r="K14" s="30">
        <v>120</v>
      </c>
      <c r="L14" s="56">
        <v>6999</v>
      </c>
    </row>
    <row r="15" spans="1:13" x14ac:dyDescent="0.25">
      <c r="A15" s="31"/>
      <c r="B15" s="24" t="s">
        <v>42</v>
      </c>
      <c r="C15" s="24"/>
      <c r="D15" s="24"/>
      <c r="E15" s="24"/>
      <c r="F15" s="24">
        <v>1</v>
      </c>
      <c r="G15" s="24">
        <v>5</v>
      </c>
      <c r="H15" s="24">
        <v>10</v>
      </c>
      <c r="I15" s="24">
        <v>5</v>
      </c>
      <c r="J15" s="24"/>
      <c r="K15" s="24" t="s">
        <v>314</v>
      </c>
      <c r="L15" s="24" t="s">
        <v>21</v>
      </c>
      <c r="M15" s="24" t="s">
        <v>67</v>
      </c>
    </row>
    <row r="16" spans="1:13" x14ac:dyDescent="0.25">
      <c r="A16" s="69" t="s">
        <v>245</v>
      </c>
      <c r="B16" s="26" t="s">
        <v>73</v>
      </c>
      <c r="C16" s="24" t="s">
        <v>42</v>
      </c>
      <c r="D16" s="25" t="s">
        <v>264</v>
      </c>
      <c r="E16" s="25">
        <v>134</v>
      </c>
      <c r="F16" s="27" t="s">
        <v>15</v>
      </c>
      <c r="G16" s="28" t="s">
        <v>23</v>
      </c>
      <c r="H16" s="30" t="s">
        <v>20</v>
      </c>
      <c r="I16" s="29" t="s">
        <v>64</v>
      </c>
      <c r="K16" s="25">
        <v>60</v>
      </c>
      <c r="L16" s="56">
        <v>329</v>
      </c>
    </row>
    <row r="17" spans="1:13" x14ac:dyDescent="0.25">
      <c r="A17" s="69"/>
      <c r="B17" s="26" t="s">
        <v>75</v>
      </c>
      <c r="C17" s="24" t="s">
        <v>42</v>
      </c>
      <c r="D17" s="25" t="s">
        <v>271</v>
      </c>
      <c r="E17" s="25">
        <v>120</v>
      </c>
      <c r="F17" s="27" t="s">
        <v>14</v>
      </c>
      <c r="G17" s="28" t="s">
        <v>65</v>
      </c>
      <c r="H17" s="30" t="s">
        <v>41</v>
      </c>
      <c r="I17" s="29" t="s">
        <v>39</v>
      </c>
      <c r="K17" s="25">
        <v>60</v>
      </c>
      <c r="L17" s="56">
        <v>263</v>
      </c>
    </row>
    <row r="18" spans="1:13" x14ac:dyDescent="0.25">
      <c r="A18" s="69"/>
      <c r="B18" s="26" t="s">
        <v>74</v>
      </c>
      <c r="C18" s="24" t="s">
        <v>42</v>
      </c>
      <c r="D18" s="25" t="s">
        <v>263</v>
      </c>
      <c r="E18" s="25">
        <v>112</v>
      </c>
      <c r="F18" s="27" t="s">
        <v>61</v>
      </c>
      <c r="G18" s="28" t="s">
        <v>34</v>
      </c>
      <c r="H18" s="30" t="s">
        <v>36</v>
      </c>
      <c r="I18" s="29" t="s">
        <v>63</v>
      </c>
      <c r="K18" s="25">
        <v>60</v>
      </c>
      <c r="L18" s="56">
        <v>333</v>
      </c>
    </row>
    <row r="19" spans="1:13" x14ac:dyDescent="0.25">
      <c r="A19" s="69"/>
      <c r="B19" s="24" t="s">
        <v>43</v>
      </c>
      <c r="C19" s="24"/>
      <c r="D19" s="24"/>
      <c r="E19" s="24"/>
      <c r="F19" s="24">
        <v>1</v>
      </c>
      <c r="G19" s="24">
        <v>5</v>
      </c>
      <c r="H19" s="24">
        <v>10</v>
      </c>
      <c r="I19" s="24">
        <v>1</v>
      </c>
      <c r="J19" s="24"/>
      <c r="K19" s="24" t="s">
        <v>314</v>
      </c>
      <c r="L19" s="24" t="s">
        <v>21</v>
      </c>
      <c r="M19" s="24" t="s">
        <v>67</v>
      </c>
    </row>
    <row r="20" spans="1:13" x14ac:dyDescent="0.25">
      <c r="A20" s="69"/>
      <c r="B20" s="32" t="s">
        <v>317</v>
      </c>
      <c r="C20" s="24" t="s">
        <v>43</v>
      </c>
      <c r="D20" s="25" t="s">
        <v>271</v>
      </c>
      <c r="F20" s="28" t="s">
        <v>28</v>
      </c>
      <c r="G20" s="33" t="s">
        <v>44</v>
      </c>
      <c r="H20" s="30" t="s">
        <v>30</v>
      </c>
      <c r="I20" s="29" t="s">
        <v>46</v>
      </c>
      <c r="K20" s="25">
        <v>30</v>
      </c>
    </row>
    <row r="21" spans="1:13" x14ac:dyDescent="0.25">
      <c r="A21" s="69"/>
      <c r="B21" s="32" t="s">
        <v>316</v>
      </c>
      <c r="C21" s="24" t="s">
        <v>43</v>
      </c>
      <c r="D21" s="25" t="s">
        <v>263</v>
      </c>
      <c r="F21" s="28" t="s">
        <v>65</v>
      </c>
      <c r="G21" s="33" t="s">
        <v>44</v>
      </c>
      <c r="H21" s="30" t="s">
        <v>20</v>
      </c>
      <c r="I21" s="29" t="s">
        <v>64</v>
      </c>
      <c r="K21" s="25">
        <v>30</v>
      </c>
    </row>
    <row r="22" spans="1:13" x14ac:dyDescent="0.25">
      <c r="A22" s="69"/>
      <c r="B22" s="32" t="s">
        <v>315</v>
      </c>
      <c r="C22" s="24" t="s">
        <v>43</v>
      </c>
      <c r="D22" s="25" t="s">
        <v>264</v>
      </c>
      <c r="F22" s="28" t="s">
        <v>16</v>
      </c>
      <c r="G22" s="33" t="s">
        <v>44</v>
      </c>
      <c r="H22" s="30" t="s">
        <v>41</v>
      </c>
      <c r="I22" s="29" t="s">
        <v>39</v>
      </c>
      <c r="K22" s="25">
        <v>30</v>
      </c>
    </row>
    <row r="23" spans="1:13" x14ac:dyDescent="0.25">
      <c r="A23" s="31"/>
      <c r="B23" s="34"/>
      <c r="C23" s="24"/>
      <c r="D23" s="24"/>
      <c r="E23" s="24"/>
      <c r="F23" s="24">
        <v>2</v>
      </c>
      <c r="G23" s="24">
        <v>5</v>
      </c>
      <c r="H23" s="24">
        <v>5</v>
      </c>
      <c r="I23" s="24">
        <v>10</v>
      </c>
      <c r="J23" s="24">
        <v>20</v>
      </c>
      <c r="K23" s="24"/>
      <c r="L23" s="24" t="s">
        <v>21</v>
      </c>
      <c r="M23" s="24" t="s">
        <v>67</v>
      </c>
    </row>
    <row r="24" spans="1:13" x14ac:dyDescent="0.25">
      <c r="A24" s="69" t="s">
        <v>1</v>
      </c>
      <c r="B24" s="29" t="s">
        <v>64</v>
      </c>
      <c r="C24" s="24" t="s">
        <v>99</v>
      </c>
      <c r="F24" s="28" t="s">
        <v>34</v>
      </c>
      <c r="G24" s="35" t="s">
        <v>47</v>
      </c>
      <c r="H24" s="35"/>
      <c r="I24" s="35"/>
      <c r="J24" s="30" t="s">
        <v>20</v>
      </c>
      <c r="K24" s="30">
        <v>20</v>
      </c>
    </row>
    <row r="25" spans="1:13" x14ac:dyDescent="0.25">
      <c r="A25" s="69"/>
      <c r="B25" s="29" t="s">
        <v>38</v>
      </c>
      <c r="C25" s="24" t="s">
        <v>99</v>
      </c>
      <c r="F25" s="28" t="s">
        <v>34</v>
      </c>
      <c r="G25" s="35"/>
      <c r="H25" s="35"/>
      <c r="I25" s="35" t="s">
        <v>48</v>
      </c>
      <c r="J25" s="30" t="s">
        <v>41</v>
      </c>
      <c r="K25" s="30">
        <v>20</v>
      </c>
    </row>
    <row r="26" spans="1:13" x14ac:dyDescent="0.25">
      <c r="A26" s="69"/>
      <c r="B26" s="29" t="s">
        <v>17</v>
      </c>
      <c r="C26" s="24" t="s">
        <v>99</v>
      </c>
      <c r="F26" s="28" t="s">
        <v>34</v>
      </c>
      <c r="G26" s="35" t="s">
        <v>49</v>
      </c>
      <c r="H26" s="35" t="s">
        <v>50</v>
      </c>
      <c r="I26" s="35"/>
      <c r="J26" s="30" t="s">
        <v>20</v>
      </c>
      <c r="K26" s="30">
        <v>20</v>
      </c>
    </row>
    <row r="27" spans="1:13" x14ac:dyDescent="0.25">
      <c r="A27" s="69"/>
      <c r="B27" s="29" t="s">
        <v>31</v>
      </c>
      <c r="C27" s="24" t="s">
        <v>99</v>
      </c>
      <c r="F27" s="28" t="s">
        <v>34</v>
      </c>
      <c r="G27" s="35" t="s">
        <v>49</v>
      </c>
      <c r="H27" s="35" t="s">
        <v>51</v>
      </c>
      <c r="I27" s="35"/>
      <c r="J27" s="30" t="s">
        <v>36</v>
      </c>
      <c r="K27" s="30">
        <v>20</v>
      </c>
    </row>
    <row r="28" spans="1:13" x14ac:dyDescent="0.25">
      <c r="A28" s="69"/>
      <c r="B28" s="29" t="s">
        <v>62</v>
      </c>
      <c r="C28" s="24" t="s">
        <v>99</v>
      </c>
      <c r="F28" s="28" t="s">
        <v>34</v>
      </c>
      <c r="G28" s="35"/>
      <c r="H28" s="35"/>
      <c r="I28" s="35" t="s">
        <v>51</v>
      </c>
      <c r="J28" s="30" t="s">
        <v>41</v>
      </c>
      <c r="K28" s="30">
        <v>20</v>
      </c>
    </row>
    <row r="29" spans="1:13" x14ac:dyDescent="0.25">
      <c r="A29" s="69"/>
      <c r="B29" s="29" t="s">
        <v>46</v>
      </c>
      <c r="C29" s="24" t="s">
        <v>99</v>
      </c>
      <c r="F29" s="28" t="s">
        <v>34</v>
      </c>
      <c r="G29" s="35" t="s">
        <v>47</v>
      </c>
      <c r="H29" s="35" t="s">
        <v>50</v>
      </c>
      <c r="I29" s="35"/>
      <c r="J29" s="30" t="s">
        <v>30</v>
      </c>
      <c r="K29" s="30">
        <v>20</v>
      </c>
    </row>
    <row r="30" spans="1:13" x14ac:dyDescent="0.25">
      <c r="A30" s="69"/>
      <c r="B30" s="29" t="s">
        <v>63</v>
      </c>
      <c r="C30" s="24" t="s">
        <v>99</v>
      </c>
      <c r="F30" s="28" t="s">
        <v>34</v>
      </c>
      <c r="G30" s="35" t="s">
        <v>47</v>
      </c>
      <c r="H30" s="35"/>
      <c r="I30" s="35"/>
      <c r="J30" s="30" t="s">
        <v>36</v>
      </c>
      <c r="K30" s="30">
        <v>20</v>
      </c>
    </row>
    <row r="31" spans="1:13" x14ac:dyDescent="0.25">
      <c r="A31" s="69"/>
      <c r="B31" s="29" t="s">
        <v>25</v>
      </c>
      <c r="C31" s="24" t="s">
        <v>99</v>
      </c>
      <c r="F31" s="28" t="s">
        <v>34</v>
      </c>
      <c r="G31" s="35"/>
      <c r="H31" s="35"/>
      <c r="I31" s="35" t="s">
        <v>50</v>
      </c>
      <c r="J31" s="30" t="s">
        <v>30</v>
      </c>
      <c r="K31" s="30">
        <v>20</v>
      </c>
    </row>
    <row r="32" spans="1:13" x14ac:dyDescent="0.25">
      <c r="A32" s="24" t="s">
        <v>11</v>
      </c>
      <c r="B32" s="24" t="s">
        <v>37</v>
      </c>
      <c r="C32" s="24" t="s">
        <v>10</v>
      </c>
      <c r="D32" s="24"/>
      <c r="E32" s="24" t="s">
        <v>12</v>
      </c>
      <c r="F32" s="24">
        <v>5</v>
      </c>
      <c r="G32" s="24">
        <v>5</v>
      </c>
      <c r="H32" s="24">
        <v>10</v>
      </c>
      <c r="I32" s="24">
        <v>10</v>
      </c>
      <c r="J32" s="24">
        <v>20</v>
      </c>
      <c r="K32" s="24" t="s">
        <v>314</v>
      </c>
      <c r="L32" s="24" t="s">
        <v>21</v>
      </c>
      <c r="M32" s="24" t="s">
        <v>67</v>
      </c>
    </row>
    <row r="33" spans="1:13" x14ac:dyDescent="0.25">
      <c r="A33" s="72" t="s">
        <v>0</v>
      </c>
      <c r="B33" s="26" t="s">
        <v>89</v>
      </c>
      <c r="C33" s="24" t="s">
        <v>3</v>
      </c>
      <c r="D33" s="25" t="s">
        <v>267</v>
      </c>
      <c r="E33" s="25">
        <v>152</v>
      </c>
      <c r="F33" s="27" t="s">
        <v>14</v>
      </c>
      <c r="G33" s="27" t="s">
        <v>66</v>
      </c>
      <c r="H33" s="28" t="s">
        <v>16</v>
      </c>
      <c r="I33" s="29" t="s">
        <v>71</v>
      </c>
      <c r="J33" s="30" t="s">
        <v>55</v>
      </c>
      <c r="K33" s="30">
        <v>120</v>
      </c>
      <c r="L33" s="56">
        <v>3365</v>
      </c>
    </row>
    <row r="34" spans="1:13" x14ac:dyDescent="0.25">
      <c r="A34" s="72"/>
      <c r="B34" s="26" t="s">
        <v>90</v>
      </c>
      <c r="C34" s="24" t="s">
        <v>3</v>
      </c>
      <c r="D34" s="25" t="s">
        <v>268</v>
      </c>
      <c r="E34" s="25">
        <v>152</v>
      </c>
      <c r="F34" s="27" t="s">
        <v>14</v>
      </c>
      <c r="G34" s="27" t="s">
        <v>15</v>
      </c>
      <c r="H34" s="28" t="s">
        <v>96</v>
      </c>
      <c r="I34" s="29" t="s">
        <v>70</v>
      </c>
      <c r="J34" s="30" t="s">
        <v>58</v>
      </c>
      <c r="K34" s="30">
        <v>120</v>
      </c>
      <c r="L34" s="56">
        <v>3946</v>
      </c>
    </row>
    <row r="35" spans="1:13" x14ac:dyDescent="0.25">
      <c r="A35" s="72"/>
      <c r="B35" s="26" t="s">
        <v>92</v>
      </c>
      <c r="C35" s="24" t="s">
        <v>3</v>
      </c>
      <c r="D35" s="25" t="s">
        <v>269</v>
      </c>
      <c r="E35" s="25">
        <v>152</v>
      </c>
      <c r="F35" s="27" t="s">
        <v>15</v>
      </c>
      <c r="G35" s="27" t="s">
        <v>66</v>
      </c>
      <c r="H35" s="28" t="s">
        <v>27</v>
      </c>
      <c r="I35" s="29" t="s">
        <v>72</v>
      </c>
      <c r="J35" s="30" t="s">
        <v>57</v>
      </c>
      <c r="K35" s="30">
        <v>120</v>
      </c>
      <c r="L35" s="56">
        <v>4407</v>
      </c>
    </row>
    <row r="36" spans="1:13" x14ac:dyDescent="0.25">
      <c r="A36" s="72"/>
      <c r="B36" s="26" t="s">
        <v>93</v>
      </c>
      <c r="C36" s="24" t="s">
        <v>3</v>
      </c>
      <c r="D36" s="25" t="s">
        <v>270</v>
      </c>
      <c r="E36" s="25">
        <v>152</v>
      </c>
      <c r="F36" s="27" t="s">
        <v>14</v>
      </c>
      <c r="G36" s="27" t="s">
        <v>15</v>
      </c>
      <c r="H36" s="28" t="s">
        <v>23</v>
      </c>
      <c r="I36" s="29" t="s">
        <v>69</v>
      </c>
      <c r="J36" s="30" t="s">
        <v>56</v>
      </c>
      <c r="K36" s="30">
        <v>120</v>
      </c>
      <c r="L36" s="56">
        <v>3307</v>
      </c>
    </row>
    <row r="37" spans="1:13" x14ac:dyDescent="0.25">
      <c r="A37" s="72"/>
      <c r="B37" s="26" t="s">
        <v>88</v>
      </c>
      <c r="C37" s="24" t="s">
        <v>5</v>
      </c>
      <c r="D37" s="25" t="s">
        <v>265</v>
      </c>
      <c r="E37" s="25">
        <v>152</v>
      </c>
      <c r="F37" s="27" t="s">
        <v>14</v>
      </c>
      <c r="G37" s="27" t="s">
        <v>66</v>
      </c>
      <c r="H37" s="28" t="s">
        <v>23</v>
      </c>
      <c r="I37" s="29" t="s">
        <v>72</v>
      </c>
      <c r="J37" s="30" t="s">
        <v>57</v>
      </c>
      <c r="K37" s="30">
        <v>120</v>
      </c>
      <c r="L37" s="56">
        <v>3324</v>
      </c>
    </row>
    <row r="38" spans="1:13" x14ac:dyDescent="0.25">
      <c r="A38" s="72"/>
      <c r="B38" s="26" t="s">
        <v>91</v>
      </c>
      <c r="C38" s="24" t="s">
        <v>5</v>
      </c>
      <c r="D38" s="25" t="s">
        <v>266</v>
      </c>
      <c r="E38" s="25">
        <v>152</v>
      </c>
      <c r="F38" s="27" t="s">
        <v>15</v>
      </c>
      <c r="G38" s="27" t="s">
        <v>66</v>
      </c>
      <c r="H38" s="28" t="s">
        <v>96</v>
      </c>
      <c r="I38" s="29" t="s">
        <v>69</v>
      </c>
      <c r="J38" s="30" t="s">
        <v>56</v>
      </c>
      <c r="K38" s="30">
        <v>120</v>
      </c>
      <c r="L38" s="56">
        <v>3447</v>
      </c>
    </row>
    <row r="39" spans="1:13" x14ac:dyDescent="0.25">
      <c r="A39" s="72"/>
      <c r="B39" s="26" t="s">
        <v>94</v>
      </c>
      <c r="C39" s="24" t="s">
        <v>5</v>
      </c>
      <c r="D39" s="25" t="s">
        <v>263</v>
      </c>
      <c r="E39" s="25">
        <v>68</v>
      </c>
      <c r="F39" s="27" t="s">
        <v>14</v>
      </c>
      <c r="G39" s="27" t="s">
        <v>66</v>
      </c>
      <c r="H39" s="28" t="s">
        <v>96</v>
      </c>
      <c r="I39" s="29" t="s">
        <v>68</v>
      </c>
      <c r="J39" s="30" t="s">
        <v>59</v>
      </c>
      <c r="K39" s="30">
        <v>120</v>
      </c>
      <c r="L39" s="56">
        <v>2333</v>
      </c>
    </row>
    <row r="40" spans="1:13" x14ac:dyDescent="0.25">
      <c r="A40" s="72"/>
      <c r="B40" s="26" t="s">
        <v>95</v>
      </c>
      <c r="C40" s="24" t="s">
        <v>5</v>
      </c>
      <c r="D40" s="25" t="s">
        <v>264</v>
      </c>
      <c r="E40" s="25">
        <v>82</v>
      </c>
      <c r="F40" s="27" t="s">
        <v>15</v>
      </c>
      <c r="G40" s="27" t="s">
        <v>66</v>
      </c>
      <c r="H40" s="28" t="s">
        <v>16</v>
      </c>
      <c r="I40" s="29" t="s">
        <v>70</v>
      </c>
      <c r="J40" s="30" t="s">
        <v>58</v>
      </c>
      <c r="K40" s="30">
        <v>120</v>
      </c>
      <c r="L40" s="56">
        <v>4659</v>
      </c>
    </row>
    <row r="41" spans="1:13" x14ac:dyDescent="0.25">
      <c r="A41" s="72"/>
      <c r="B41" s="34"/>
      <c r="C41" s="24"/>
      <c r="D41" s="24"/>
      <c r="E41" s="24"/>
      <c r="F41" s="24">
        <v>2</v>
      </c>
      <c r="G41" s="24">
        <v>1</v>
      </c>
      <c r="H41" s="24">
        <v>10</v>
      </c>
      <c r="I41" s="24">
        <v>10</v>
      </c>
      <c r="J41" s="24"/>
      <c r="K41" s="24"/>
      <c r="L41" s="24"/>
      <c r="M41" s="24"/>
    </row>
    <row r="42" spans="1:13" x14ac:dyDescent="0.25">
      <c r="A42" s="72"/>
      <c r="B42" s="29" t="s">
        <v>71</v>
      </c>
      <c r="C42" s="24" t="s">
        <v>52</v>
      </c>
      <c r="F42" s="28" t="s">
        <v>65</v>
      </c>
      <c r="G42" s="35" t="s">
        <v>53</v>
      </c>
      <c r="H42" s="33" t="s">
        <v>54</v>
      </c>
      <c r="I42" s="30" t="s">
        <v>55</v>
      </c>
      <c r="K42" s="25">
        <v>20</v>
      </c>
    </row>
    <row r="43" spans="1:13" x14ac:dyDescent="0.25">
      <c r="A43" s="72"/>
      <c r="B43" s="29" t="s">
        <v>69</v>
      </c>
      <c r="C43" s="24" t="s">
        <v>52</v>
      </c>
      <c r="F43" s="28" t="s">
        <v>28</v>
      </c>
      <c r="G43" s="35" t="s">
        <v>53</v>
      </c>
      <c r="H43" s="33" t="s">
        <v>54</v>
      </c>
      <c r="I43" s="30" t="s">
        <v>56</v>
      </c>
      <c r="K43" s="25">
        <v>20</v>
      </c>
    </row>
    <row r="44" spans="1:13" x14ac:dyDescent="0.25">
      <c r="A44" s="72"/>
      <c r="B44" s="29" t="s">
        <v>72</v>
      </c>
      <c r="C44" s="24" t="s">
        <v>52</v>
      </c>
      <c r="F44" s="28" t="s">
        <v>16</v>
      </c>
      <c r="G44" s="35" t="s">
        <v>53</v>
      </c>
      <c r="H44" s="33" t="s">
        <v>54</v>
      </c>
      <c r="I44" s="30" t="s">
        <v>57</v>
      </c>
      <c r="K44" s="25">
        <v>20</v>
      </c>
    </row>
    <row r="45" spans="1:13" x14ac:dyDescent="0.25">
      <c r="A45" s="72"/>
      <c r="B45" s="29" t="s">
        <v>70</v>
      </c>
      <c r="C45" s="24" t="s">
        <v>52</v>
      </c>
      <c r="F45" s="28" t="s">
        <v>23</v>
      </c>
      <c r="G45" s="35" t="s">
        <v>53</v>
      </c>
      <c r="H45" s="33" t="s">
        <v>54</v>
      </c>
      <c r="I45" s="30" t="s">
        <v>58</v>
      </c>
      <c r="K45" s="25">
        <v>20</v>
      </c>
    </row>
    <row r="46" spans="1:13" x14ac:dyDescent="0.25">
      <c r="A46" s="72"/>
      <c r="B46" s="29" t="s">
        <v>68</v>
      </c>
      <c r="C46" s="24" t="s">
        <v>52</v>
      </c>
      <c r="F46" s="28" t="s">
        <v>34</v>
      </c>
      <c r="G46" s="35" t="s">
        <v>53</v>
      </c>
      <c r="H46" s="33" t="s">
        <v>54</v>
      </c>
      <c r="I46" s="30" t="s">
        <v>59</v>
      </c>
      <c r="K46" s="25">
        <v>20</v>
      </c>
    </row>
    <row r="47" spans="1:13" x14ac:dyDescent="0.25">
      <c r="A47" s="24" t="s">
        <v>11</v>
      </c>
      <c r="B47" s="24" t="s">
        <v>100</v>
      </c>
      <c r="C47" s="24" t="s">
        <v>10</v>
      </c>
      <c r="D47" s="24"/>
      <c r="E47" s="24" t="s">
        <v>12</v>
      </c>
      <c r="F47" s="24">
        <v>5</v>
      </c>
      <c r="G47" s="24">
        <v>5</v>
      </c>
      <c r="H47" s="24">
        <v>10</v>
      </c>
      <c r="I47" s="24">
        <v>1</v>
      </c>
      <c r="J47" s="24">
        <v>10</v>
      </c>
      <c r="K47" s="24" t="s">
        <v>314</v>
      </c>
      <c r="L47" s="24" t="s">
        <v>21</v>
      </c>
      <c r="M47" s="24" t="s">
        <v>67</v>
      </c>
    </row>
    <row r="48" spans="1:13" x14ac:dyDescent="0.25">
      <c r="A48" s="71" t="s">
        <v>243</v>
      </c>
      <c r="B48" s="36" t="s">
        <v>101</v>
      </c>
      <c r="C48" s="24" t="s">
        <v>100</v>
      </c>
      <c r="D48" s="25" t="s">
        <v>273</v>
      </c>
      <c r="E48" s="25">
        <v>42</v>
      </c>
      <c r="F48" s="35" t="s">
        <v>109</v>
      </c>
      <c r="G48" s="35" t="s">
        <v>111</v>
      </c>
      <c r="H48" s="35" t="s">
        <v>113</v>
      </c>
      <c r="I48" s="29" t="s">
        <v>106</v>
      </c>
      <c r="J48" s="30" t="s">
        <v>108</v>
      </c>
      <c r="K48" s="30">
        <v>60</v>
      </c>
      <c r="L48" s="56">
        <v>90</v>
      </c>
    </row>
    <row r="49" spans="1:13" x14ac:dyDescent="0.25">
      <c r="A49" s="71"/>
      <c r="B49" s="36" t="s">
        <v>102</v>
      </c>
      <c r="C49" s="24" t="s">
        <v>100</v>
      </c>
      <c r="D49" s="25" t="s">
        <v>277</v>
      </c>
      <c r="E49" s="25">
        <v>42</v>
      </c>
      <c r="F49" s="35" t="s">
        <v>110</v>
      </c>
      <c r="G49" s="35" t="s">
        <v>121</v>
      </c>
      <c r="H49" s="35" t="s">
        <v>119</v>
      </c>
      <c r="I49" s="29" t="s">
        <v>115</v>
      </c>
      <c r="J49" s="30" t="s">
        <v>117</v>
      </c>
      <c r="K49" s="30">
        <v>60</v>
      </c>
      <c r="L49" s="56">
        <v>190</v>
      </c>
    </row>
    <row r="50" spans="1:13" x14ac:dyDescent="0.25">
      <c r="A50" s="71"/>
      <c r="B50" s="36" t="s">
        <v>103</v>
      </c>
      <c r="C50" s="24" t="s">
        <v>100</v>
      </c>
      <c r="D50" s="25" t="s">
        <v>275</v>
      </c>
      <c r="E50" s="25">
        <v>42</v>
      </c>
      <c r="F50" s="35" t="s">
        <v>128</v>
      </c>
      <c r="G50" s="35" t="s">
        <v>119</v>
      </c>
      <c r="H50" s="35" t="s">
        <v>123</v>
      </c>
      <c r="I50" s="29" t="s">
        <v>126</v>
      </c>
      <c r="J50" s="30" t="s">
        <v>125</v>
      </c>
      <c r="K50" s="30">
        <v>60</v>
      </c>
      <c r="L50" s="56">
        <v>150</v>
      </c>
    </row>
    <row r="51" spans="1:13" x14ac:dyDescent="0.25">
      <c r="A51" s="71"/>
      <c r="B51" s="36" t="s">
        <v>104</v>
      </c>
      <c r="C51" s="24" t="s">
        <v>100</v>
      </c>
      <c r="D51" s="25" t="s">
        <v>274</v>
      </c>
      <c r="E51" s="25">
        <v>42</v>
      </c>
      <c r="F51" s="35" t="s">
        <v>123</v>
      </c>
      <c r="G51" s="35" t="s">
        <v>130</v>
      </c>
      <c r="H51" s="35" t="s">
        <v>114</v>
      </c>
      <c r="I51" s="29" t="s">
        <v>126</v>
      </c>
      <c r="J51" s="30" t="s">
        <v>132</v>
      </c>
      <c r="K51" s="30">
        <v>60</v>
      </c>
      <c r="L51" s="56">
        <v>110</v>
      </c>
    </row>
    <row r="52" spans="1:13" x14ac:dyDescent="0.25">
      <c r="A52" s="71"/>
      <c r="B52" s="36" t="s">
        <v>105</v>
      </c>
      <c r="C52" s="24" t="s">
        <v>100</v>
      </c>
      <c r="D52" s="25" t="s">
        <v>276</v>
      </c>
      <c r="E52" s="25">
        <v>69</v>
      </c>
      <c r="F52" s="35" t="s">
        <v>123</v>
      </c>
      <c r="G52" s="35" t="s">
        <v>134</v>
      </c>
      <c r="H52" s="35" t="s">
        <v>112</v>
      </c>
      <c r="I52" s="29" t="s">
        <v>106</v>
      </c>
      <c r="J52" s="30" t="s">
        <v>136</v>
      </c>
      <c r="K52" s="30">
        <v>60</v>
      </c>
      <c r="L52" s="56">
        <v>130</v>
      </c>
    </row>
    <row r="53" spans="1:13" x14ac:dyDescent="0.25">
      <c r="A53" s="71"/>
      <c r="B53" s="24" t="s">
        <v>137</v>
      </c>
      <c r="C53" s="24"/>
      <c r="D53" s="24"/>
      <c r="E53" s="24"/>
      <c r="F53" s="24">
        <v>5</v>
      </c>
      <c r="G53" s="24">
        <v>5</v>
      </c>
      <c r="H53" s="24">
        <v>10</v>
      </c>
      <c r="I53" s="24">
        <v>1</v>
      </c>
      <c r="J53" s="24">
        <v>10</v>
      </c>
      <c r="K53" s="24"/>
      <c r="L53" s="24"/>
      <c r="M53" s="24"/>
    </row>
    <row r="54" spans="1:13" x14ac:dyDescent="0.25">
      <c r="A54" s="71"/>
      <c r="B54" s="36" t="s">
        <v>138</v>
      </c>
      <c r="C54" s="24" t="s">
        <v>137</v>
      </c>
      <c r="D54" s="25" t="s">
        <v>269</v>
      </c>
      <c r="E54" s="25">
        <v>187</v>
      </c>
      <c r="F54" s="35" t="s">
        <v>128</v>
      </c>
      <c r="G54" s="35" t="s">
        <v>121</v>
      </c>
      <c r="H54" s="35" t="s">
        <v>134</v>
      </c>
      <c r="I54" s="29" t="s">
        <v>115</v>
      </c>
      <c r="J54" s="30" t="s">
        <v>108</v>
      </c>
      <c r="K54" s="30">
        <v>60</v>
      </c>
      <c r="L54" s="56">
        <v>120</v>
      </c>
    </row>
    <row r="55" spans="1:13" x14ac:dyDescent="0.25">
      <c r="A55" s="71"/>
      <c r="B55" s="36" t="s">
        <v>139</v>
      </c>
      <c r="C55" s="24" t="s">
        <v>137</v>
      </c>
      <c r="D55" s="25" t="s">
        <v>278</v>
      </c>
      <c r="E55" s="25">
        <v>187</v>
      </c>
      <c r="F55" s="35" t="s">
        <v>147</v>
      </c>
      <c r="G55" s="35" t="s">
        <v>134</v>
      </c>
      <c r="H55" s="35" t="s">
        <v>128</v>
      </c>
      <c r="I55" s="29" t="s">
        <v>126</v>
      </c>
      <c r="J55" s="30" t="s">
        <v>117</v>
      </c>
      <c r="K55" s="30">
        <v>60</v>
      </c>
      <c r="L55" s="56">
        <v>105</v>
      </c>
    </row>
    <row r="56" spans="1:13" x14ac:dyDescent="0.25">
      <c r="A56" s="71"/>
      <c r="B56" s="36" t="s">
        <v>141</v>
      </c>
      <c r="C56" s="24" t="s">
        <v>137</v>
      </c>
      <c r="D56" s="25" t="s">
        <v>263</v>
      </c>
      <c r="E56" s="25">
        <v>84</v>
      </c>
      <c r="F56" s="35" t="s">
        <v>113</v>
      </c>
      <c r="G56" s="35" t="s">
        <v>130</v>
      </c>
      <c r="H56" s="35" t="s">
        <v>110</v>
      </c>
      <c r="I56" s="29" t="s">
        <v>126</v>
      </c>
      <c r="J56" s="30" t="s">
        <v>149</v>
      </c>
      <c r="K56" s="30">
        <v>60</v>
      </c>
      <c r="L56" s="56">
        <v>75</v>
      </c>
    </row>
    <row r="57" spans="1:13" x14ac:dyDescent="0.25">
      <c r="A57" s="71"/>
      <c r="B57" s="36" t="s">
        <v>142</v>
      </c>
      <c r="C57" s="24" t="s">
        <v>137</v>
      </c>
      <c r="D57" s="25" t="s">
        <v>264</v>
      </c>
      <c r="E57" s="25">
        <v>100</v>
      </c>
      <c r="F57" s="35" t="s">
        <v>110</v>
      </c>
      <c r="G57" s="35" t="s">
        <v>113</v>
      </c>
      <c r="H57" s="35" t="s">
        <v>119</v>
      </c>
      <c r="I57" s="29" t="s">
        <v>106</v>
      </c>
      <c r="J57" s="30" t="s">
        <v>151</v>
      </c>
      <c r="K57" s="30">
        <v>60</v>
      </c>
      <c r="L57" s="56">
        <v>62.5</v>
      </c>
    </row>
    <row r="58" spans="1:13" x14ac:dyDescent="0.25">
      <c r="A58" s="71"/>
      <c r="B58" s="36" t="s">
        <v>144</v>
      </c>
      <c r="C58" s="24" t="s">
        <v>137</v>
      </c>
      <c r="D58" s="25" t="s">
        <v>271</v>
      </c>
      <c r="E58" s="25">
        <v>90</v>
      </c>
      <c r="F58" s="35" t="s">
        <v>110</v>
      </c>
      <c r="G58" s="35" t="s">
        <v>119</v>
      </c>
      <c r="H58" s="35" t="s">
        <v>123</v>
      </c>
      <c r="I58" s="29" t="s">
        <v>115</v>
      </c>
      <c r="J58" s="30" t="s">
        <v>132</v>
      </c>
      <c r="K58" s="30">
        <v>60</v>
      </c>
      <c r="L58" s="56">
        <v>150</v>
      </c>
    </row>
    <row r="59" spans="1:13" x14ac:dyDescent="0.25">
      <c r="A59" s="71"/>
      <c r="B59" s="36" t="s">
        <v>143</v>
      </c>
      <c r="C59" s="24" t="s">
        <v>137</v>
      </c>
      <c r="D59" s="25" t="s">
        <v>266</v>
      </c>
      <c r="E59" s="25">
        <v>187</v>
      </c>
      <c r="F59" s="35" t="s">
        <v>147</v>
      </c>
      <c r="G59" s="35" t="s">
        <v>130</v>
      </c>
      <c r="H59" s="35" t="s">
        <v>114</v>
      </c>
      <c r="I59" s="29" t="s">
        <v>115</v>
      </c>
      <c r="J59" s="30" t="s">
        <v>136</v>
      </c>
      <c r="K59" s="30">
        <v>60</v>
      </c>
      <c r="L59" s="56">
        <v>185</v>
      </c>
    </row>
    <row r="60" spans="1:13" x14ac:dyDescent="0.25">
      <c r="A60" s="71"/>
      <c r="B60" s="36" t="s">
        <v>140</v>
      </c>
      <c r="C60" s="24" t="s">
        <v>137</v>
      </c>
      <c r="D60" s="25" t="s">
        <v>265</v>
      </c>
      <c r="E60" s="25">
        <v>187</v>
      </c>
      <c r="F60" s="35" t="s">
        <v>147</v>
      </c>
      <c r="G60" s="35" t="s">
        <v>134</v>
      </c>
      <c r="H60" s="35" t="s">
        <v>130</v>
      </c>
      <c r="I60" s="29" t="s">
        <v>106</v>
      </c>
      <c r="J60" s="30" t="s">
        <v>125</v>
      </c>
      <c r="K60" s="30">
        <v>60</v>
      </c>
      <c r="L60" s="56">
        <v>150</v>
      </c>
    </row>
    <row r="61" spans="1:13" x14ac:dyDescent="0.25">
      <c r="A61" s="71"/>
      <c r="B61" s="36" t="s">
        <v>145</v>
      </c>
      <c r="C61" s="24" t="s">
        <v>137</v>
      </c>
      <c r="D61" s="37" t="s">
        <v>279</v>
      </c>
      <c r="E61" s="37">
        <v>0.3</v>
      </c>
      <c r="F61" s="35" t="s">
        <v>123</v>
      </c>
      <c r="G61" s="35" t="s">
        <v>119</v>
      </c>
      <c r="H61" s="35" t="s">
        <v>111</v>
      </c>
      <c r="I61" s="29" t="s">
        <v>126</v>
      </c>
      <c r="J61" s="30" t="s">
        <v>108</v>
      </c>
      <c r="K61" s="30">
        <v>60</v>
      </c>
      <c r="L61" s="56">
        <v>185</v>
      </c>
    </row>
    <row r="62" spans="1:13" x14ac:dyDescent="0.25">
      <c r="A62" s="38"/>
      <c r="B62" s="24" t="s">
        <v>156</v>
      </c>
      <c r="C62" s="24" t="s">
        <v>10</v>
      </c>
      <c r="D62" s="24"/>
      <c r="E62" s="24" t="s">
        <v>12</v>
      </c>
      <c r="F62" s="24">
        <v>1</v>
      </c>
      <c r="G62" s="24">
        <v>10</v>
      </c>
      <c r="H62" s="24">
        <v>10</v>
      </c>
      <c r="I62" s="24">
        <v>4</v>
      </c>
      <c r="J62" s="24">
        <v>20</v>
      </c>
      <c r="K62" s="24"/>
      <c r="L62" s="24" t="s">
        <v>21</v>
      </c>
      <c r="M62" s="24" t="s">
        <v>67</v>
      </c>
    </row>
    <row r="63" spans="1:13" x14ac:dyDescent="0.25">
      <c r="A63" s="71" t="s">
        <v>244</v>
      </c>
      <c r="B63" s="26" t="s">
        <v>152</v>
      </c>
      <c r="C63" s="24" t="s">
        <v>156</v>
      </c>
      <c r="D63" s="25" t="s">
        <v>273</v>
      </c>
      <c r="F63" s="27" t="s">
        <v>66</v>
      </c>
      <c r="G63" s="35" t="s">
        <v>121</v>
      </c>
      <c r="H63" s="35" t="s">
        <v>128</v>
      </c>
      <c r="I63" s="29" t="s">
        <v>115</v>
      </c>
      <c r="J63" s="30" t="s">
        <v>125</v>
      </c>
      <c r="K63" s="30">
        <v>90</v>
      </c>
      <c r="L63" s="56">
        <v>350</v>
      </c>
    </row>
    <row r="64" spans="1:13" x14ac:dyDescent="0.25">
      <c r="A64" s="71"/>
      <c r="B64" s="26" t="s">
        <v>153</v>
      </c>
      <c r="C64" s="24" t="s">
        <v>156</v>
      </c>
      <c r="D64" s="25" t="s">
        <v>277</v>
      </c>
      <c r="F64" s="27" t="s">
        <v>157</v>
      </c>
      <c r="G64" s="35" t="s">
        <v>134</v>
      </c>
      <c r="H64" s="35" t="s">
        <v>128</v>
      </c>
      <c r="I64" s="29" t="s">
        <v>126</v>
      </c>
      <c r="J64" s="30" t="s">
        <v>136</v>
      </c>
      <c r="K64" s="30">
        <v>90</v>
      </c>
      <c r="L64" s="56">
        <v>300</v>
      </c>
    </row>
    <row r="65" spans="1:13" x14ac:dyDescent="0.25">
      <c r="A65" s="71"/>
      <c r="B65" s="26" t="s">
        <v>154</v>
      </c>
      <c r="C65" s="24" t="s">
        <v>156</v>
      </c>
      <c r="D65" s="25" t="s">
        <v>275</v>
      </c>
      <c r="F65" s="27" t="s">
        <v>15</v>
      </c>
      <c r="G65" s="35" t="s">
        <v>134</v>
      </c>
      <c r="H65" s="35" t="s">
        <v>147</v>
      </c>
      <c r="I65" s="29" t="s">
        <v>106</v>
      </c>
      <c r="J65" s="30" t="s">
        <v>149</v>
      </c>
      <c r="K65" s="30">
        <v>90</v>
      </c>
      <c r="L65" s="56">
        <v>349</v>
      </c>
    </row>
    <row r="66" spans="1:13" x14ac:dyDescent="0.25">
      <c r="A66" s="71"/>
      <c r="B66" s="26" t="s">
        <v>8</v>
      </c>
      <c r="C66" s="24" t="s">
        <v>156</v>
      </c>
      <c r="D66" s="25" t="s">
        <v>274</v>
      </c>
      <c r="F66" s="27" t="s">
        <v>66</v>
      </c>
      <c r="G66" s="35" t="s">
        <v>130</v>
      </c>
      <c r="H66" s="35" t="s">
        <v>147</v>
      </c>
      <c r="I66" s="29" t="s">
        <v>115</v>
      </c>
      <c r="J66" s="30" t="s">
        <v>151</v>
      </c>
      <c r="K66" s="30">
        <v>90</v>
      </c>
      <c r="L66" s="56">
        <v>310</v>
      </c>
    </row>
    <row r="67" spans="1:13" x14ac:dyDescent="0.25">
      <c r="A67" s="71"/>
      <c r="B67" s="26" t="s">
        <v>155</v>
      </c>
      <c r="C67" s="24" t="s">
        <v>156</v>
      </c>
      <c r="D67" s="25" t="s">
        <v>276</v>
      </c>
      <c r="F67" s="27" t="s">
        <v>15</v>
      </c>
      <c r="G67" s="35" t="s">
        <v>121</v>
      </c>
      <c r="H67" s="35" t="s">
        <v>111</v>
      </c>
      <c r="I67" s="29" t="s">
        <v>106</v>
      </c>
      <c r="J67" s="30" t="s">
        <v>117</v>
      </c>
      <c r="K67" s="30">
        <v>90</v>
      </c>
      <c r="L67" s="56">
        <v>325</v>
      </c>
    </row>
    <row r="68" spans="1:13" x14ac:dyDescent="0.25">
      <c r="A68" s="71"/>
      <c r="B68" s="24" t="s">
        <v>158</v>
      </c>
      <c r="C68" s="24"/>
      <c r="D68" s="24"/>
      <c r="E68" s="24"/>
      <c r="F68" s="24">
        <v>1</v>
      </c>
      <c r="G68" s="24">
        <v>10</v>
      </c>
      <c r="H68" s="24">
        <v>10</v>
      </c>
      <c r="I68" s="24">
        <v>4</v>
      </c>
      <c r="J68" s="24">
        <v>20</v>
      </c>
      <c r="K68" s="24"/>
      <c r="L68" s="24"/>
      <c r="M68" s="24"/>
    </row>
    <row r="69" spans="1:13" x14ac:dyDescent="0.25">
      <c r="A69" s="71"/>
      <c r="B69" s="26" t="s">
        <v>159</v>
      </c>
      <c r="C69" s="24" t="s">
        <v>158</v>
      </c>
      <c r="D69" s="25" t="s">
        <v>269</v>
      </c>
      <c r="F69" s="27" t="s">
        <v>66</v>
      </c>
      <c r="G69" s="35" t="s">
        <v>130</v>
      </c>
      <c r="H69" s="35" t="s">
        <v>147</v>
      </c>
      <c r="I69" s="29" t="s">
        <v>126</v>
      </c>
      <c r="J69" s="30" t="s">
        <v>132</v>
      </c>
      <c r="K69" s="30">
        <v>90</v>
      </c>
      <c r="L69" s="56">
        <v>399</v>
      </c>
    </row>
    <row r="70" spans="1:13" x14ac:dyDescent="0.25">
      <c r="A70" s="71"/>
      <c r="B70" s="26" t="s">
        <v>160</v>
      </c>
      <c r="C70" s="24" t="s">
        <v>158</v>
      </c>
      <c r="D70" s="25" t="s">
        <v>278</v>
      </c>
      <c r="F70" s="27" t="s">
        <v>157</v>
      </c>
      <c r="G70" s="35" t="s">
        <v>130</v>
      </c>
      <c r="H70" s="35" t="s">
        <v>113</v>
      </c>
      <c r="I70" s="29" t="s">
        <v>106</v>
      </c>
      <c r="J70" s="30" t="s">
        <v>108</v>
      </c>
      <c r="K70" s="30">
        <v>90</v>
      </c>
      <c r="L70" s="56">
        <v>256</v>
      </c>
    </row>
    <row r="71" spans="1:13" x14ac:dyDescent="0.25">
      <c r="A71" s="71"/>
      <c r="B71" s="26" t="s">
        <v>161</v>
      </c>
      <c r="C71" s="24" t="s">
        <v>158</v>
      </c>
      <c r="D71" s="25" t="s">
        <v>263</v>
      </c>
      <c r="F71" s="27" t="s">
        <v>157</v>
      </c>
      <c r="G71" s="35" t="s">
        <v>119</v>
      </c>
      <c r="H71" s="35" t="s">
        <v>123</v>
      </c>
      <c r="I71" s="29" t="s">
        <v>106</v>
      </c>
      <c r="J71" s="30" t="s">
        <v>136</v>
      </c>
      <c r="K71" s="30">
        <v>90</v>
      </c>
      <c r="L71" s="56">
        <v>205</v>
      </c>
    </row>
    <row r="72" spans="1:13" x14ac:dyDescent="0.25">
      <c r="A72" s="71"/>
      <c r="B72" s="26" t="s">
        <v>9</v>
      </c>
      <c r="C72" s="24" t="s">
        <v>158</v>
      </c>
      <c r="D72" s="25" t="s">
        <v>264</v>
      </c>
      <c r="F72" s="27" t="s">
        <v>15</v>
      </c>
      <c r="G72" s="35" t="s">
        <v>111</v>
      </c>
      <c r="H72" s="35" t="s">
        <v>123</v>
      </c>
      <c r="I72" s="29" t="s">
        <v>115</v>
      </c>
      <c r="J72" s="30" t="s">
        <v>149</v>
      </c>
      <c r="K72" s="30">
        <v>90</v>
      </c>
      <c r="L72" s="56">
        <v>444</v>
      </c>
    </row>
    <row r="73" spans="1:13" x14ac:dyDescent="0.25">
      <c r="A73" s="71"/>
      <c r="B73" s="26" t="s">
        <v>162</v>
      </c>
      <c r="C73" s="24" t="s">
        <v>158</v>
      </c>
      <c r="D73" s="25" t="s">
        <v>271</v>
      </c>
      <c r="F73" s="27" t="s">
        <v>66</v>
      </c>
      <c r="G73" s="35" t="s">
        <v>111</v>
      </c>
      <c r="H73" s="35" t="s">
        <v>121</v>
      </c>
      <c r="I73" s="29" t="s">
        <v>126</v>
      </c>
      <c r="J73" s="30" t="s">
        <v>151</v>
      </c>
      <c r="K73" s="30">
        <v>90</v>
      </c>
      <c r="L73" s="56">
        <v>300</v>
      </c>
    </row>
    <row r="74" spans="1:13" x14ac:dyDescent="0.25">
      <c r="A74" s="71"/>
      <c r="B74" s="26" t="s">
        <v>163</v>
      </c>
      <c r="C74" s="24" t="s">
        <v>158</v>
      </c>
      <c r="D74" s="25" t="s">
        <v>266</v>
      </c>
      <c r="F74" s="27" t="s">
        <v>66</v>
      </c>
      <c r="G74" s="35" t="s">
        <v>119</v>
      </c>
      <c r="H74" s="35" t="s">
        <v>110</v>
      </c>
      <c r="I74" s="29" t="s">
        <v>126</v>
      </c>
      <c r="J74" s="30" t="s">
        <v>125</v>
      </c>
      <c r="K74" s="30">
        <v>90</v>
      </c>
      <c r="L74" s="56">
        <v>149</v>
      </c>
    </row>
    <row r="75" spans="1:13" x14ac:dyDescent="0.25">
      <c r="A75" s="71"/>
      <c r="B75" s="26" t="s">
        <v>164</v>
      </c>
      <c r="C75" s="24" t="s">
        <v>158</v>
      </c>
      <c r="D75" s="25" t="s">
        <v>265</v>
      </c>
      <c r="F75" s="27" t="s">
        <v>15</v>
      </c>
      <c r="G75" s="35" t="s">
        <v>113</v>
      </c>
      <c r="H75" s="35" t="s">
        <v>110</v>
      </c>
      <c r="I75" s="29" t="s">
        <v>115</v>
      </c>
      <c r="J75" s="30" t="s">
        <v>117</v>
      </c>
      <c r="K75" s="30">
        <v>90</v>
      </c>
      <c r="L75" s="56">
        <v>555</v>
      </c>
    </row>
    <row r="76" spans="1:13" x14ac:dyDescent="0.25">
      <c r="A76" s="71"/>
      <c r="B76" s="26" t="s">
        <v>165</v>
      </c>
      <c r="C76" s="24" t="s">
        <v>158</v>
      </c>
      <c r="D76" s="37" t="s">
        <v>279</v>
      </c>
      <c r="F76" s="27" t="s">
        <v>157</v>
      </c>
      <c r="G76" s="35" t="s">
        <v>121</v>
      </c>
      <c r="H76" s="35" t="s">
        <v>128</v>
      </c>
      <c r="I76" s="29" t="s">
        <v>106</v>
      </c>
      <c r="J76" s="30" t="s">
        <v>132</v>
      </c>
      <c r="K76" s="30">
        <v>90</v>
      </c>
      <c r="L76" s="56">
        <v>399</v>
      </c>
    </row>
    <row r="77" spans="1:13" x14ac:dyDescent="0.25">
      <c r="A77" s="39"/>
      <c r="B77" s="40"/>
      <c r="C77" s="24"/>
      <c r="D77" s="24"/>
      <c r="E77" s="24"/>
      <c r="F77" s="24">
        <v>2</v>
      </c>
      <c r="G77" s="24">
        <v>1</v>
      </c>
      <c r="H77" s="24">
        <v>10</v>
      </c>
      <c r="I77" s="24">
        <v>10</v>
      </c>
      <c r="J77" s="24"/>
      <c r="K77" s="24"/>
      <c r="L77" s="24"/>
      <c r="M77" s="24"/>
    </row>
    <row r="78" spans="1:13" x14ac:dyDescent="0.25">
      <c r="A78" s="39"/>
      <c r="B78" s="29" t="s">
        <v>106</v>
      </c>
      <c r="C78" s="24" t="s">
        <v>242</v>
      </c>
      <c r="F78" s="28" t="s">
        <v>96</v>
      </c>
      <c r="G78" s="28" t="s">
        <v>241</v>
      </c>
      <c r="H78" s="30" t="s">
        <v>151</v>
      </c>
      <c r="I78" s="30" t="s">
        <v>149</v>
      </c>
      <c r="K78" s="25">
        <v>20</v>
      </c>
    </row>
    <row r="79" spans="1:13" x14ac:dyDescent="0.25">
      <c r="A79" s="39"/>
      <c r="B79" s="29" t="s">
        <v>115</v>
      </c>
      <c r="C79" s="24" t="s">
        <v>242</v>
      </c>
      <c r="F79" s="28" t="s">
        <v>16</v>
      </c>
      <c r="G79" s="28" t="s">
        <v>241</v>
      </c>
      <c r="H79" s="30" t="s">
        <v>151</v>
      </c>
      <c r="I79" s="30" t="s">
        <v>149</v>
      </c>
      <c r="K79" s="25">
        <v>20</v>
      </c>
    </row>
    <row r="80" spans="1:13" x14ac:dyDescent="0.25">
      <c r="A80" s="39"/>
      <c r="B80" s="29" t="s">
        <v>126</v>
      </c>
      <c r="C80" s="24" t="s">
        <v>242</v>
      </c>
      <c r="F80" s="28" t="s">
        <v>240</v>
      </c>
      <c r="G80" s="28" t="s">
        <v>241</v>
      </c>
      <c r="H80" s="30" t="s">
        <v>151</v>
      </c>
      <c r="I80" s="30" t="s">
        <v>149</v>
      </c>
      <c r="K80" s="25">
        <v>20</v>
      </c>
    </row>
    <row r="81" spans="1:13" x14ac:dyDescent="0.25">
      <c r="A81" s="24" t="s">
        <v>11</v>
      </c>
      <c r="B81" s="24" t="s">
        <v>166</v>
      </c>
      <c r="C81" s="24" t="s">
        <v>10</v>
      </c>
      <c r="D81" s="24"/>
      <c r="E81" s="24" t="s">
        <v>12</v>
      </c>
      <c r="F81" s="24">
        <v>5</v>
      </c>
      <c r="G81" s="24">
        <v>5</v>
      </c>
      <c r="H81" s="24">
        <v>5</v>
      </c>
      <c r="I81" s="24">
        <v>1</v>
      </c>
      <c r="J81" s="24">
        <v>10</v>
      </c>
      <c r="K81" s="24" t="s">
        <v>314</v>
      </c>
      <c r="L81" s="24" t="s">
        <v>21</v>
      </c>
      <c r="M81" s="24" t="s">
        <v>67</v>
      </c>
    </row>
    <row r="82" spans="1:13" x14ac:dyDescent="0.25">
      <c r="A82" s="70" t="s">
        <v>246</v>
      </c>
      <c r="B82" s="36" t="s">
        <v>169</v>
      </c>
      <c r="C82" s="24" t="s">
        <v>166</v>
      </c>
      <c r="D82" s="25" t="s">
        <v>273</v>
      </c>
      <c r="E82" s="25">
        <v>33</v>
      </c>
      <c r="F82" s="35" t="s">
        <v>182</v>
      </c>
      <c r="G82" s="35" t="s">
        <v>189</v>
      </c>
      <c r="H82" s="30" t="s">
        <v>191</v>
      </c>
      <c r="I82" s="29" t="s">
        <v>174</v>
      </c>
      <c r="J82" s="30" t="s">
        <v>193</v>
      </c>
      <c r="K82" s="30">
        <v>50</v>
      </c>
      <c r="L82" s="56">
        <v>45</v>
      </c>
    </row>
    <row r="83" spans="1:13" x14ac:dyDescent="0.25">
      <c r="A83" s="70"/>
      <c r="B83" s="36" t="s">
        <v>170</v>
      </c>
      <c r="C83" s="24" t="s">
        <v>166</v>
      </c>
      <c r="D83" s="25" t="s">
        <v>275</v>
      </c>
      <c r="E83" s="25">
        <v>33</v>
      </c>
      <c r="F83" s="35" t="s">
        <v>199</v>
      </c>
      <c r="G83" s="35" t="s">
        <v>176</v>
      </c>
      <c r="H83" s="30" t="s">
        <v>173</v>
      </c>
      <c r="I83" s="29" t="s">
        <v>183</v>
      </c>
      <c r="J83" s="30" t="s">
        <v>197</v>
      </c>
      <c r="K83" s="30">
        <v>50</v>
      </c>
      <c r="L83" s="56">
        <v>60</v>
      </c>
    </row>
    <row r="84" spans="1:13" x14ac:dyDescent="0.25">
      <c r="A84" s="70"/>
      <c r="B84" s="36" t="s">
        <v>167</v>
      </c>
      <c r="C84" s="24" t="s">
        <v>166</v>
      </c>
      <c r="D84" s="25" t="s">
        <v>274</v>
      </c>
      <c r="E84" s="25">
        <v>33</v>
      </c>
      <c r="F84" s="35" t="s">
        <v>180</v>
      </c>
      <c r="G84" s="35" t="s">
        <v>176</v>
      </c>
      <c r="H84" s="30" t="s">
        <v>178</v>
      </c>
      <c r="I84" s="29" t="s">
        <v>174</v>
      </c>
      <c r="J84" s="30" t="s">
        <v>173</v>
      </c>
      <c r="K84" s="30">
        <v>50</v>
      </c>
      <c r="L84" s="56">
        <v>75</v>
      </c>
    </row>
    <row r="85" spans="1:13" x14ac:dyDescent="0.25">
      <c r="A85" s="70"/>
      <c r="B85" s="36" t="s">
        <v>171</v>
      </c>
      <c r="C85" s="24" t="s">
        <v>166</v>
      </c>
      <c r="D85" s="25" t="s">
        <v>277</v>
      </c>
      <c r="E85" s="25">
        <v>33</v>
      </c>
      <c r="F85" s="35" t="s">
        <v>182</v>
      </c>
      <c r="G85" s="35" t="s">
        <v>187</v>
      </c>
      <c r="H85" s="30" t="s">
        <v>196</v>
      </c>
      <c r="I85" s="29" t="s">
        <v>194</v>
      </c>
      <c r="J85" s="30" t="s">
        <v>193</v>
      </c>
      <c r="K85" s="30">
        <v>50</v>
      </c>
      <c r="L85" s="56">
        <v>75</v>
      </c>
    </row>
    <row r="86" spans="1:13" x14ac:dyDescent="0.25">
      <c r="A86" s="70"/>
      <c r="B86" s="36" t="s">
        <v>168</v>
      </c>
      <c r="C86" s="24" t="s">
        <v>166</v>
      </c>
      <c r="D86" s="25" t="s">
        <v>276</v>
      </c>
      <c r="E86" s="25">
        <v>54</v>
      </c>
      <c r="F86" s="35" t="s">
        <v>182</v>
      </c>
      <c r="G86" s="35" t="s">
        <v>187</v>
      </c>
      <c r="H86" s="30" t="s">
        <v>214</v>
      </c>
      <c r="I86" s="29" t="s">
        <v>183</v>
      </c>
      <c r="J86" s="30" t="s">
        <v>185</v>
      </c>
      <c r="K86" s="30">
        <v>50</v>
      </c>
      <c r="L86" s="56">
        <v>50</v>
      </c>
    </row>
    <row r="87" spans="1:13" x14ac:dyDescent="0.25">
      <c r="A87" s="70"/>
      <c r="B87" s="24" t="s">
        <v>200</v>
      </c>
      <c r="C87" s="24"/>
      <c r="D87" s="24"/>
      <c r="E87" s="24"/>
      <c r="F87" s="24">
        <v>5</v>
      </c>
      <c r="G87" s="24">
        <v>5</v>
      </c>
      <c r="H87" s="24">
        <v>5</v>
      </c>
      <c r="I87" s="24">
        <v>1</v>
      </c>
      <c r="J87" s="24">
        <v>10</v>
      </c>
      <c r="K87" s="24"/>
      <c r="L87" s="24"/>
      <c r="M87" s="24"/>
    </row>
    <row r="88" spans="1:13" x14ac:dyDescent="0.25">
      <c r="A88" s="70"/>
      <c r="B88" s="36" t="s">
        <v>202</v>
      </c>
      <c r="C88" s="24" t="s">
        <v>200</v>
      </c>
      <c r="D88" s="25" t="s">
        <v>263</v>
      </c>
      <c r="E88" s="25">
        <v>66</v>
      </c>
      <c r="F88" s="35" t="s">
        <v>182</v>
      </c>
      <c r="G88" s="35" t="s">
        <v>199</v>
      </c>
      <c r="H88" s="30" t="s">
        <v>214</v>
      </c>
      <c r="I88" s="29" t="s">
        <v>183</v>
      </c>
      <c r="J88" s="30" t="s">
        <v>173</v>
      </c>
      <c r="K88" s="30">
        <v>50</v>
      </c>
      <c r="L88" s="56">
        <v>84</v>
      </c>
    </row>
    <row r="89" spans="1:13" x14ac:dyDescent="0.25">
      <c r="A89" s="70"/>
      <c r="B89" s="36" t="s">
        <v>201</v>
      </c>
      <c r="C89" s="24" t="s">
        <v>200</v>
      </c>
      <c r="D89" s="25" t="s">
        <v>278</v>
      </c>
      <c r="E89" s="25">
        <v>146</v>
      </c>
      <c r="F89" s="35" t="s">
        <v>187</v>
      </c>
      <c r="G89" s="35" t="s">
        <v>199</v>
      </c>
      <c r="H89" s="30" t="s">
        <v>178</v>
      </c>
      <c r="I89" s="29" t="s">
        <v>183</v>
      </c>
      <c r="J89" s="30" t="s">
        <v>218</v>
      </c>
      <c r="K89" s="30">
        <v>50</v>
      </c>
      <c r="L89" s="56">
        <v>60</v>
      </c>
    </row>
    <row r="90" spans="1:13" x14ac:dyDescent="0.25">
      <c r="A90" s="70"/>
      <c r="B90" s="36" t="s">
        <v>203</v>
      </c>
      <c r="C90" s="24" t="s">
        <v>200</v>
      </c>
      <c r="D90" s="25" t="s">
        <v>269</v>
      </c>
      <c r="E90" s="25">
        <v>146</v>
      </c>
      <c r="F90" s="35" t="s">
        <v>187</v>
      </c>
      <c r="G90" s="35" t="s">
        <v>176</v>
      </c>
      <c r="H90" s="30" t="s">
        <v>191</v>
      </c>
      <c r="I90" s="29" t="s">
        <v>194</v>
      </c>
      <c r="J90" s="30" t="s">
        <v>218</v>
      </c>
      <c r="K90" s="30">
        <v>50</v>
      </c>
      <c r="L90" s="56">
        <v>65</v>
      </c>
    </row>
    <row r="91" spans="1:13" x14ac:dyDescent="0.25">
      <c r="A91" s="70"/>
      <c r="B91" s="36" t="s">
        <v>204</v>
      </c>
      <c r="C91" s="24" t="s">
        <v>200</v>
      </c>
      <c r="D91" s="25" t="s">
        <v>264</v>
      </c>
      <c r="E91" s="25">
        <v>78</v>
      </c>
      <c r="F91" s="35" t="s">
        <v>182</v>
      </c>
      <c r="G91" s="35" t="s">
        <v>180</v>
      </c>
      <c r="H91" s="30" t="s">
        <v>214</v>
      </c>
      <c r="I91" s="29" t="s">
        <v>174</v>
      </c>
      <c r="J91" s="30" t="s">
        <v>216</v>
      </c>
      <c r="K91" s="30">
        <v>50</v>
      </c>
      <c r="L91" s="56">
        <v>60</v>
      </c>
    </row>
    <row r="92" spans="1:13" x14ac:dyDescent="0.25">
      <c r="A92" s="70"/>
      <c r="B92" s="36" t="s">
        <v>205</v>
      </c>
      <c r="C92" s="24" t="s">
        <v>200</v>
      </c>
      <c r="D92" s="25" t="s">
        <v>271</v>
      </c>
      <c r="E92" s="25">
        <v>71</v>
      </c>
      <c r="F92" s="35" t="s">
        <v>189</v>
      </c>
      <c r="G92" s="35" t="s">
        <v>176</v>
      </c>
      <c r="H92" s="30" t="s">
        <v>212</v>
      </c>
      <c r="I92" s="29" t="s">
        <v>194</v>
      </c>
      <c r="J92" s="30" t="s">
        <v>210</v>
      </c>
      <c r="K92" s="30">
        <v>50</v>
      </c>
      <c r="L92" s="56">
        <v>39</v>
      </c>
    </row>
    <row r="93" spans="1:13" x14ac:dyDescent="0.25">
      <c r="A93" s="70"/>
      <c r="B93" s="36" t="s">
        <v>206</v>
      </c>
      <c r="C93" s="24" t="s">
        <v>200</v>
      </c>
      <c r="D93" s="25" t="s">
        <v>265</v>
      </c>
      <c r="E93" s="25">
        <v>146</v>
      </c>
      <c r="F93" s="35" t="s">
        <v>189</v>
      </c>
      <c r="G93" s="35" t="s">
        <v>180</v>
      </c>
      <c r="H93" s="30" t="s">
        <v>220</v>
      </c>
      <c r="I93" s="29" t="s">
        <v>174</v>
      </c>
      <c r="J93" s="30" t="s">
        <v>191</v>
      </c>
      <c r="K93" s="30">
        <v>50</v>
      </c>
      <c r="L93" s="56">
        <v>60</v>
      </c>
    </row>
    <row r="94" spans="1:13" x14ac:dyDescent="0.25">
      <c r="A94" s="70"/>
      <c r="B94" s="36" t="s">
        <v>207</v>
      </c>
      <c r="C94" s="24" t="s">
        <v>200</v>
      </c>
      <c r="D94" s="25" t="s">
        <v>266</v>
      </c>
      <c r="E94" s="25">
        <v>146</v>
      </c>
      <c r="F94" s="35" t="s">
        <v>182</v>
      </c>
      <c r="G94" s="35" t="s">
        <v>199</v>
      </c>
      <c r="H94" s="30" t="s">
        <v>191</v>
      </c>
      <c r="I94" s="29" t="s">
        <v>194</v>
      </c>
      <c r="J94" s="30" t="s">
        <v>222</v>
      </c>
      <c r="K94" s="30">
        <v>50</v>
      </c>
      <c r="L94" s="56">
        <v>30</v>
      </c>
    </row>
    <row r="95" spans="1:13" x14ac:dyDescent="0.25">
      <c r="A95" s="70"/>
      <c r="B95" s="36" t="s">
        <v>208</v>
      </c>
      <c r="C95" s="24" t="s">
        <v>200</v>
      </c>
      <c r="D95" s="37" t="s">
        <v>279</v>
      </c>
      <c r="E95" s="37">
        <v>0.23</v>
      </c>
      <c r="F95" s="35" t="s">
        <v>189</v>
      </c>
      <c r="G95" s="35" t="s">
        <v>187</v>
      </c>
      <c r="H95" s="30" t="s">
        <v>191</v>
      </c>
      <c r="I95" s="29" t="s">
        <v>183</v>
      </c>
      <c r="J95" s="30" t="s">
        <v>214</v>
      </c>
      <c r="K95" s="30">
        <v>50</v>
      </c>
      <c r="L95" s="56">
        <v>50</v>
      </c>
    </row>
    <row r="96" spans="1:13" x14ac:dyDescent="0.25">
      <c r="A96" s="41"/>
      <c r="B96" s="24" t="s">
        <v>223</v>
      </c>
      <c r="C96" s="24" t="s">
        <v>10</v>
      </c>
      <c r="D96" s="24"/>
      <c r="E96" s="24" t="s">
        <v>12</v>
      </c>
      <c r="F96" s="24">
        <v>1</v>
      </c>
      <c r="G96" s="24">
        <v>15</v>
      </c>
      <c r="H96" s="24">
        <v>10</v>
      </c>
      <c r="I96" s="24">
        <v>3</v>
      </c>
      <c r="J96" s="24">
        <v>10</v>
      </c>
      <c r="K96" s="24" t="s">
        <v>314</v>
      </c>
      <c r="L96" s="24" t="s">
        <v>21</v>
      </c>
      <c r="M96" s="24" t="s">
        <v>67</v>
      </c>
    </row>
    <row r="97" spans="1:13" x14ac:dyDescent="0.25">
      <c r="A97" s="70" t="s">
        <v>247</v>
      </c>
      <c r="B97" s="26" t="s">
        <v>224</v>
      </c>
      <c r="C97" s="24" t="s">
        <v>223</v>
      </c>
      <c r="D97" s="25" t="s">
        <v>273</v>
      </c>
      <c r="E97" s="25">
        <v>65</v>
      </c>
      <c r="F97" s="27" t="s">
        <v>66</v>
      </c>
      <c r="G97" s="35" t="s">
        <v>187</v>
      </c>
      <c r="H97" s="30" t="s">
        <v>193</v>
      </c>
      <c r="I97" s="29" t="s">
        <v>194</v>
      </c>
      <c r="J97" s="30" t="s">
        <v>220</v>
      </c>
      <c r="K97" s="30">
        <v>75</v>
      </c>
      <c r="L97" s="56">
        <v>225</v>
      </c>
    </row>
    <row r="98" spans="1:13" x14ac:dyDescent="0.25">
      <c r="A98" s="70"/>
      <c r="B98" s="26" t="s">
        <v>225</v>
      </c>
      <c r="C98" s="24" t="s">
        <v>223</v>
      </c>
      <c r="D98" s="25" t="s">
        <v>275</v>
      </c>
      <c r="E98" s="25">
        <v>65</v>
      </c>
      <c r="F98" s="27" t="s">
        <v>66</v>
      </c>
      <c r="G98" s="35" t="s">
        <v>189</v>
      </c>
      <c r="H98" s="30" t="s">
        <v>196</v>
      </c>
      <c r="I98" s="29" t="s">
        <v>174</v>
      </c>
      <c r="J98" s="30" t="s">
        <v>216</v>
      </c>
      <c r="K98" s="30">
        <v>75</v>
      </c>
      <c r="L98" s="56">
        <v>230</v>
      </c>
    </row>
    <row r="99" spans="1:13" x14ac:dyDescent="0.25">
      <c r="A99" s="70"/>
      <c r="B99" s="26" t="s">
        <v>6</v>
      </c>
      <c r="C99" s="24" t="s">
        <v>223</v>
      </c>
      <c r="D99" s="25" t="s">
        <v>274</v>
      </c>
      <c r="E99" s="25">
        <v>65</v>
      </c>
      <c r="F99" s="27" t="s">
        <v>66</v>
      </c>
      <c r="G99" s="35" t="s">
        <v>176</v>
      </c>
      <c r="H99" s="30" t="s">
        <v>178</v>
      </c>
      <c r="I99" s="29" t="s">
        <v>194</v>
      </c>
      <c r="J99" s="30" t="s">
        <v>226</v>
      </c>
      <c r="K99" s="30">
        <v>75</v>
      </c>
      <c r="L99" s="56">
        <v>237.5</v>
      </c>
    </row>
    <row r="100" spans="1:13" x14ac:dyDescent="0.25">
      <c r="A100" s="70"/>
      <c r="B100" s="26" t="s">
        <v>228</v>
      </c>
      <c r="C100" s="24" t="s">
        <v>223</v>
      </c>
      <c r="D100" s="25" t="s">
        <v>277</v>
      </c>
      <c r="E100" s="25">
        <v>65</v>
      </c>
      <c r="F100" s="27" t="s">
        <v>66</v>
      </c>
      <c r="G100" s="35" t="s">
        <v>187</v>
      </c>
      <c r="H100" s="30" t="s">
        <v>191</v>
      </c>
      <c r="I100" s="29" t="s">
        <v>183</v>
      </c>
      <c r="J100" s="30" t="s">
        <v>216</v>
      </c>
      <c r="K100" s="30">
        <v>75</v>
      </c>
      <c r="L100" s="56">
        <v>240</v>
      </c>
    </row>
    <row r="101" spans="1:13" x14ac:dyDescent="0.25">
      <c r="A101" s="70"/>
      <c r="B101" s="26" t="s">
        <v>227</v>
      </c>
      <c r="C101" s="24" t="s">
        <v>223</v>
      </c>
      <c r="D101" s="25" t="s">
        <v>276</v>
      </c>
      <c r="E101" s="25">
        <v>108</v>
      </c>
      <c r="F101" s="27" t="s">
        <v>66</v>
      </c>
      <c r="G101" s="35" t="s">
        <v>199</v>
      </c>
      <c r="H101" s="30" t="s">
        <v>196</v>
      </c>
      <c r="I101" s="29" t="s">
        <v>174</v>
      </c>
      <c r="J101" s="30" t="s">
        <v>230</v>
      </c>
      <c r="K101" s="30">
        <v>75</v>
      </c>
      <c r="L101" s="56">
        <v>222</v>
      </c>
    </row>
    <row r="102" spans="1:13" x14ac:dyDescent="0.25">
      <c r="A102" s="70"/>
      <c r="B102" s="24" t="s">
        <v>238</v>
      </c>
      <c r="C102" s="24"/>
      <c r="D102" s="24"/>
      <c r="E102" s="24"/>
      <c r="F102" s="24">
        <v>1</v>
      </c>
      <c r="G102" s="24">
        <v>15</v>
      </c>
      <c r="H102" s="24">
        <v>10</v>
      </c>
      <c r="I102" s="24">
        <v>3</v>
      </c>
      <c r="J102" s="24">
        <v>10</v>
      </c>
      <c r="K102" s="24"/>
      <c r="L102" s="24"/>
      <c r="M102" s="24"/>
    </row>
    <row r="103" spans="1:13" x14ac:dyDescent="0.25">
      <c r="A103" s="70"/>
      <c r="B103" s="26" t="s">
        <v>232</v>
      </c>
      <c r="C103" s="24" t="s">
        <v>238</v>
      </c>
      <c r="D103" s="25" t="s">
        <v>263</v>
      </c>
      <c r="E103" s="25">
        <v>131</v>
      </c>
      <c r="F103" s="27" t="s">
        <v>157</v>
      </c>
      <c r="G103" s="35" t="s">
        <v>182</v>
      </c>
      <c r="H103" s="30" t="s">
        <v>214</v>
      </c>
      <c r="I103" s="29" t="s">
        <v>174</v>
      </c>
      <c r="J103" s="30" t="s">
        <v>230</v>
      </c>
      <c r="K103" s="30">
        <v>75</v>
      </c>
      <c r="L103" s="56">
        <v>215</v>
      </c>
    </row>
    <row r="104" spans="1:13" x14ac:dyDescent="0.25">
      <c r="A104" s="70"/>
      <c r="B104" s="26" t="s">
        <v>231</v>
      </c>
      <c r="C104" s="24" t="s">
        <v>238</v>
      </c>
      <c r="D104" s="25" t="s">
        <v>278</v>
      </c>
      <c r="E104" s="25">
        <v>291</v>
      </c>
      <c r="F104" s="27" t="s">
        <v>157</v>
      </c>
      <c r="G104" s="35" t="s">
        <v>176</v>
      </c>
      <c r="H104" s="30" t="s">
        <v>191</v>
      </c>
      <c r="I104" s="29" t="s">
        <v>174</v>
      </c>
      <c r="J104" s="30" t="s">
        <v>210</v>
      </c>
      <c r="K104" s="30">
        <v>75</v>
      </c>
      <c r="L104" s="56">
        <v>240</v>
      </c>
    </row>
    <row r="105" spans="1:13" x14ac:dyDescent="0.25">
      <c r="A105" s="70"/>
      <c r="B105" s="26" t="s">
        <v>233</v>
      </c>
      <c r="C105" s="24" t="s">
        <v>238</v>
      </c>
      <c r="D105" s="25" t="s">
        <v>269</v>
      </c>
      <c r="E105" s="25">
        <v>291</v>
      </c>
      <c r="F105" s="27" t="s">
        <v>157</v>
      </c>
      <c r="G105" s="35" t="s">
        <v>187</v>
      </c>
      <c r="H105" s="30" t="s">
        <v>218</v>
      </c>
      <c r="I105" s="29" t="s">
        <v>183</v>
      </c>
      <c r="J105" s="30" t="s">
        <v>216</v>
      </c>
      <c r="K105" s="30">
        <v>75</v>
      </c>
      <c r="L105" s="56">
        <v>222</v>
      </c>
    </row>
    <row r="106" spans="1:13" x14ac:dyDescent="0.25">
      <c r="A106" s="70"/>
      <c r="B106" s="26" t="s">
        <v>7</v>
      </c>
      <c r="C106" s="24" t="s">
        <v>238</v>
      </c>
      <c r="D106" s="25" t="s">
        <v>264</v>
      </c>
      <c r="E106" s="25">
        <v>156</v>
      </c>
      <c r="F106" s="27" t="s">
        <v>157</v>
      </c>
      <c r="G106" s="35" t="s">
        <v>182</v>
      </c>
      <c r="H106" s="30" t="s">
        <v>214</v>
      </c>
      <c r="I106" s="29" t="s">
        <v>194</v>
      </c>
      <c r="J106" s="30" t="s">
        <v>196</v>
      </c>
      <c r="K106" s="30">
        <v>75</v>
      </c>
      <c r="L106" s="56">
        <v>266</v>
      </c>
    </row>
    <row r="107" spans="1:13" x14ac:dyDescent="0.25">
      <c r="A107" s="70"/>
      <c r="B107" s="26" t="s">
        <v>235</v>
      </c>
      <c r="C107" s="24" t="s">
        <v>238</v>
      </c>
      <c r="D107" s="25" t="s">
        <v>271</v>
      </c>
      <c r="E107" s="25">
        <v>141</v>
      </c>
      <c r="F107" s="27" t="s">
        <v>157</v>
      </c>
      <c r="G107" s="35" t="s">
        <v>176</v>
      </c>
      <c r="H107" s="30" t="s">
        <v>178</v>
      </c>
      <c r="I107" s="29" t="s">
        <v>183</v>
      </c>
      <c r="J107" s="30" t="s">
        <v>191</v>
      </c>
      <c r="K107" s="30">
        <v>75</v>
      </c>
      <c r="L107" s="56">
        <v>230</v>
      </c>
    </row>
    <row r="108" spans="1:13" x14ac:dyDescent="0.25">
      <c r="A108" s="70"/>
      <c r="B108" s="26" t="s">
        <v>234</v>
      </c>
      <c r="C108" s="24" t="s">
        <v>238</v>
      </c>
      <c r="D108" s="25" t="s">
        <v>265</v>
      </c>
      <c r="E108" s="25">
        <v>291</v>
      </c>
      <c r="F108" s="27" t="s">
        <v>157</v>
      </c>
      <c r="G108" s="35" t="s">
        <v>180</v>
      </c>
      <c r="H108" s="30" t="s">
        <v>218</v>
      </c>
      <c r="I108" s="29" t="s">
        <v>194</v>
      </c>
      <c r="J108" s="30" t="s">
        <v>220</v>
      </c>
      <c r="K108" s="30">
        <v>75</v>
      </c>
      <c r="L108" s="56">
        <v>222</v>
      </c>
    </row>
    <row r="109" spans="1:13" x14ac:dyDescent="0.25">
      <c r="A109" s="70"/>
      <c r="B109" s="26" t="s">
        <v>237</v>
      </c>
      <c r="C109" s="24" t="s">
        <v>238</v>
      </c>
      <c r="D109" s="25" t="s">
        <v>266</v>
      </c>
      <c r="E109" s="25">
        <v>291</v>
      </c>
      <c r="F109" s="27" t="s">
        <v>157</v>
      </c>
      <c r="G109" s="35" t="s">
        <v>199</v>
      </c>
      <c r="H109" s="30" t="s">
        <v>212</v>
      </c>
      <c r="I109" s="29" t="s">
        <v>183</v>
      </c>
      <c r="J109" s="30" t="s">
        <v>220</v>
      </c>
      <c r="K109" s="30">
        <v>75</v>
      </c>
      <c r="L109" s="56">
        <v>222</v>
      </c>
    </row>
    <row r="110" spans="1:13" x14ac:dyDescent="0.25">
      <c r="A110" s="70"/>
      <c r="B110" s="26" t="s">
        <v>236</v>
      </c>
      <c r="C110" s="24" t="s">
        <v>238</v>
      </c>
      <c r="D110" s="37" t="s">
        <v>279</v>
      </c>
      <c r="E110" s="37">
        <v>0.46</v>
      </c>
      <c r="F110" s="27" t="s">
        <v>157</v>
      </c>
      <c r="G110" s="35" t="s">
        <v>189</v>
      </c>
      <c r="H110" s="30" t="s">
        <v>214</v>
      </c>
      <c r="I110" s="29" t="s">
        <v>174</v>
      </c>
      <c r="J110" s="30" t="s">
        <v>191</v>
      </c>
      <c r="K110" s="30">
        <v>75</v>
      </c>
      <c r="L110" s="56">
        <v>447.5</v>
      </c>
    </row>
    <row r="111" spans="1:13" x14ac:dyDescent="0.25">
      <c r="A111" s="41"/>
      <c r="B111" s="24"/>
      <c r="C111" s="24"/>
      <c r="D111" s="24"/>
      <c r="E111" s="24"/>
      <c r="F111" s="24">
        <v>2</v>
      </c>
      <c r="G111" s="24">
        <v>1</v>
      </c>
      <c r="H111" s="24">
        <v>5</v>
      </c>
      <c r="I111" s="24">
        <v>5</v>
      </c>
      <c r="J111" s="24">
        <v>20</v>
      </c>
      <c r="K111" s="24"/>
      <c r="L111" s="62" t="s">
        <v>355</v>
      </c>
      <c r="M111" s="24"/>
    </row>
    <row r="112" spans="1:13" x14ac:dyDescent="0.25">
      <c r="A112" s="41"/>
      <c r="B112" s="29" t="s">
        <v>194</v>
      </c>
      <c r="C112" s="24" t="s">
        <v>239</v>
      </c>
      <c r="F112" s="28" t="s">
        <v>241</v>
      </c>
      <c r="G112" s="28" t="s">
        <v>240</v>
      </c>
      <c r="H112" s="35" t="s">
        <v>182</v>
      </c>
      <c r="I112" s="35" t="s">
        <v>176</v>
      </c>
      <c r="J112" s="30" t="s">
        <v>218</v>
      </c>
      <c r="K112" s="30">
        <v>20</v>
      </c>
    </row>
    <row r="113" spans="1:13" x14ac:dyDescent="0.25">
      <c r="A113" s="41"/>
      <c r="B113" s="29" t="s">
        <v>183</v>
      </c>
      <c r="C113" s="24" t="s">
        <v>239</v>
      </c>
      <c r="F113" s="28" t="s">
        <v>241</v>
      </c>
      <c r="G113" s="28" t="s">
        <v>240</v>
      </c>
      <c r="H113" s="35" t="s">
        <v>187</v>
      </c>
      <c r="I113" s="35" t="s">
        <v>199</v>
      </c>
      <c r="J113" s="30" t="s">
        <v>230</v>
      </c>
      <c r="K113" s="30">
        <v>20</v>
      </c>
    </row>
    <row r="114" spans="1:13" x14ac:dyDescent="0.25">
      <c r="A114" s="41"/>
      <c r="B114" s="29" t="s">
        <v>174</v>
      </c>
      <c r="C114" s="24" t="s">
        <v>239</v>
      </c>
      <c r="F114" s="28" t="s">
        <v>241</v>
      </c>
      <c r="G114" s="28" t="s">
        <v>240</v>
      </c>
      <c r="H114" s="35" t="s">
        <v>180</v>
      </c>
      <c r="I114" s="35" t="s">
        <v>189</v>
      </c>
      <c r="J114" s="30" t="s">
        <v>191</v>
      </c>
      <c r="K114" s="30">
        <v>20</v>
      </c>
    </row>
    <row r="115" spans="1:13" x14ac:dyDescent="0.25">
      <c r="A115" s="24"/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62" t="s">
        <v>355</v>
      </c>
      <c r="M115" s="24"/>
    </row>
  </sheetData>
  <mergeCells count="8">
    <mergeCell ref="A2:A14"/>
    <mergeCell ref="A16:A22"/>
    <mergeCell ref="A24:A31"/>
    <mergeCell ref="A97:A110"/>
    <mergeCell ref="A82:A95"/>
    <mergeCell ref="A48:A61"/>
    <mergeCell ref="A63:A76"/>
    <mergeCell ref="A33:A46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A881E-D07D-4183-A5E7-7876BF83585B}">
  <dimension ref="A1:P87"/>
  <sheetViews>
    <sheetView workbookViewId="0">
      <selection activeCell="H7" sqref="H7"/>
    </sheetView>
  </sheetViews>
  <sheetFormatPr defaultRowHeight="15.75" x14ac:dyDescent="0.25"/>
  <cols>
    <col min="1" max="4" width="9" style="7"/>
    <col min="5" max="5" width="28.875" style="7" customWidth="1"/>
    <col min="6" max="6" width="9" style="7"/>
    <col min="7" max="7" width="8.75" style="7" customWidth="1"/>
    <col min="8" max="8" width="9" style="7"/>
    <col min="9" max="9" width="14.125" style="7" customWidth="1"/>
    <col min="10" max="11" width="9" style="7"/>
    <col min="12" max="12" width="10.5" style="53" customWidth="1"/>
    <col min="13" max="13" width="9" style="7"/>
    <col min="14" max="14" width="10.25" style="7" bestFit="1" customWidth="1"/>
    <col min="15" max="15" width="9" style="7" customWidth="1"/>
    <col min="16" max="16" width="10" style="7" customWidth="1"/>
    <col min="17" max="17" width="12.75" style="7" bestFit="1" customWidth="1"/>
    <col min="18" max="16384" width="9" style="7"/>
  </cols>
  <sheetData>
    <row r="1" spans="1:16" x14ac:dyDescent="0.25">
      <c r="A1" s="12" t="s">
        <v>97</v>
      </c>
      <c r="B1" s="12" t="s">
        <v>37</v>
      </c>
      <c r="C1" s="12" t="s">
        <v>252</v>
      </c>
      <c r="D1" s="12" t="s">
        <v>333</v>
      </c>
      <c r="E1" s="12" t="s">
        <v>251</v>
      </c>
      <c r="F1" s="12" t="s">
        <v>250</v>
      </c>
      <c r="G1" s="12" t="s">
        <v>345</v>
      </c>
      <c r="H1" s="12" t="s">
        <v>253</v>
      </c>
      <c r="I1" s="12" t="s">
        <v>344</v>
      </c>
      <c r="J1" s="12" t="s">
        <v>346</v>
      </c>
      <c r="K1" s="12" t="s">
        <v>319</v>
      </c>
      <c r="L1" s="12" t="s">
        <v>348</v>
      </c>
      <c r="P1" s="43"/>
    </row>
    <row r="2" spans="1:16" x14ac:dyDescent="0.25">
      <c r="A2" s="77" t="s">
        <v>280</v>
      </c>
      <c r="B2" s="10" t="s">
        <v>14</v>
      </c>
      <c r="C2" s="55">
        <v>126</v>
      </c>
      <c r="D2" s="7">
        <f t="shared" ref="D2:D12" si="0">C2</f>
        <v>126</v>
      </c>
      <c r="E2" s="7" t="s">
        <v>304</v>
      </c>
    </row>
    <row r="3" spans="1:16" x14ac:dyDescent="0.25">
      <c r="A3" s="77"/>
      <c r="B3" s="2" t="s">
        <v>66</v>
      </c>
      <c r="C3" s="55">
        <v>124</v>
      </c>
      <c r="D3" s="7">
        <f t="shared" si="0"/>
        <v>124</v>
      </c>
      <c r="E3" s="7" t="s">
        <v>305</v>
      </c>
      <c r="N3" s="44">
        <v>43814</v>
      </c>
    </row>
    <row r="4" spans="1:16" x14ac:dyDescent="0.25">
      <c r="A4" s="77"/>
      <c r="B4" s="10" t="s">
        <v>15</v>
      </c>
      <c r="C4" s="55">
        <v>325</v>
      </c>
      <c r="D4" s="7">
        <f t="shared" si="0"/>
        <v>325</v>
      </c>
      <c r="E4" s="7" t="s">
        <v>306</v>
      </c>
      <c r="M4" s="42" t="s">
        <v>321</v>
      </c>
      <c r="N4" s="42">
        <v>0.24</v>
      </c>
    </row>
    <row r="5" spans="1:16" x14ac:dyDescent="0.25">
      <c r="A5" s="77"/>
      <c r="B5" s="2" t="s">
        <v>157</v>
      </c>
      <c r="C5" s="55">
        <v>130</v>
      </c>
      <c r="D5" s="7">
        <f t="shared" si="0"/>
        <v>130</v>
      </c>
      <c r="E5" s="7" t="s">
        <v>306</v>
      </c>
      <c r="M5" s="54" t="s">
        <v>347</v>
      </c>
      <c r="N5" s="54">
        <f>五行石!D2</f>
        <v>0.12107313725490196</v>
      </c>
    </row>
    <row r="6" spans="1:16" x14ac:dyDescent="0.25">
      <c r="A6" s="76" t="s">
        <v>281</v>
      </c>
      <c r="B6" s="11" t="s">
        <v>16</v>
      </c>
      <c r="C6" s="55">
        <v>155</v>
      </c>
      <c r="D6" s="7">
        <f t="shared" si="0"/>
        <v>155</v>
      </c>
      <c r="E6" s="7" t="s">
        <v>306</v>
      </c>
    </row>
    <row r="7" spans="1:16" x14ac:dyDescent="0.25">
      <c r="A7" s="76"/>
      <c r="B7" s="3" t="s">
        <v>96</v>
      </c>
      <c r="C7" s="55">
        <v>28</v>
      </c>
      <c r="D7" s="7">
        <f t="shared" si="0"/>
        <v>28</v>
      </c>
      <c r="E7" s="7" t="s">
        <v>311</v>
      </c>
    </row>
    <row r="8" spans="1:16" x14ac:dyDescent="0.25">
      <c r="A8" s="76"/>
      <c r="B8" s="11" t="s">
        <v>28</v>
      </c>
      <c r="C8" s="55">
        <v>26</v>
      </c>
      <c r="D8" s="7">
        <f t="shared" si="0"/>
        <v>26</v>
      </c>
      <c r="E8" s="7" t="s">
        <v>310</v>
      </c>
      <c r="G8" s="7">
        <v>0.2</v>
      </c>
    </row>
    <row r="9" spans="1:16" x14ac:dyDescent="0.25">
      <c r="A9" s="76"/>
      <c r="B9" s="3" t="s">
        <v>23</v>
      </c>
      <c r="C9" s="55">
        <v>10</v>
      </c>
      <c r="D9" s="7">
        <f t="shared" si="0"/>
        <v>10</v>
      </c>
      <c r="E9" s="7" t="s">
        <v>304</v>
      </c>
    </row>
    <row r="10" spans="1:16" x14ac:dyDescent="0.25">
      <c r="A10" s="76"/>
      <c r="B10" s="11" t="s">
        <v>34</v>
      </c>
      <c r="C10" s="55">
        <v>34</v>
      </c>
      <c r="D10" s="7">
        <f t="shared" si="0"/>
        <v>34</v>
      </c>
      <c r="E10" s="7" t="s">
        <v>309</v>
      </c>
      <c r="G10" s="7">
        <v>0.2</v>
      </c>
    </row>
    <row r="11" spans="1:16" x14ac:dyDescent="0.25">
      <c r="A11" s="76"/>
      <c r="B11" s="3" t="s">
        <v>241</v>
      </c>
      <c r="C11" s="55">
        <v>25</v>
      </c>
      <c r="D11" s="7">
        <f t="shared" si="0"/>
        <v>25</v>
      </c>
      <c r="E11" s="7" t="s">
        <v>307</v>
      </c>
      <c r="G11" s="7">
        <v>0.2</v>
      </c>
    </row>
    <row r="12" spans="1:16" x14ac:dyDescent="0.25">
      <c r="A12" s="76"/>
      <c r="B12" s="11" t="s">
        <v>240</v>
      </c>
      <c r="C12" s="55">
        <v>166</v>
      </c>
      <c r="D12" s="7">
        <f t="shared" si="0"/>
        <v>166</v>
      </c>
      <c r="E12" s="7" t="s">
        <v>306</v>
      </c>
    </row>
    <row r="13" spans="1:16" x14ac:dyDescent="0.25">
      <c r="A13" s="79" t="s">
        <v>308</v>
      </c>
      <c r="B13" s="5" t="s">
        <v>47</v>
      </c>
      <c r="C13" s="55">
        <v>6.5</v>
      </c>
      <c r="D13" s="7">
        <f t="shared" ref="D13:D33" si="1">IF(L13="是",H13,C13)</f>
        <v>2.7428571428571429</v>
      </c>
      <c r="E13" s="7" t="s">
        <v>289</v>
      </c>
      <c r="F13" s="7">
        <v>40</v>
      </c>
      <c r="G13" s="7">
        <v>3.5</v>
      </c>
      <c r="H13" s="7">
        <f t="shared" ref="H13:H33" si="2">F13/G13*$N$4</f>
        <v>2.7428571428571429</v>
      </c>
      <c r="I13" s="7">
        <f>F13/G13*$N$4-$C$10*$G$10</f>
        <v>-4.0571428571428578</v>
      </c>
      <c r="J13" s="7">
        <f t="shared" ref="J13:J33" si="3">C13-I13</f>
        <v>10.557142857142857</v>
      </c>
      <c r="K13" s="7">
        <f t="shared" ref="K13:K33" si="4">J13/F13</f>
        <v>0.2639285714285714</v>
      </c>
      <c r="L13" s="53" t="str">
        <f t="shared" ref="L13:L33" si="5">IF(K13&gt;$N$4,"是","否")</f>
        <v>是</v>
      </c>
    </row>
    <row r="14" spans="1:16" x14ac:dyDescent="0.25">
      <c r="A14" s="79"/>
      <c r="B14" s="8" t="s">
        <v>49</v>
      </c>
      <c r="C14" s="55">
        <v>4</v>
      </c>
      <c r="D14" s="7">
        <f t="shared" si="1"/>
        <v>4</v>
      </c>
      <c r="E14" s="7" t="s">
        <v>290</v>
      </c>
      <c r="F14" s="7">
        <v>40</v>
      </c>
      <c r="G14" s="7">
        <v>3.5</v>
      </c>
      <c r="H14" s="7">
        <f t="shared" si="2"/>
        <v>2.7428571428571429</v>
      </c>
      <c r="I14" s="7">
        <f>F14/G14*$N$4-$C$10*$G$10</f>
        <v>-4.0571428571428578</v>
      </c>
      <c r="J14" s="7">
        <f t="shared" si="3"/>
        <v>8.0571428571428569</v>
      </c>
      <c r="K14" s="7">
        <f t="shared" si="4"/>
        <v>0.20142857142857143</v>
      </c>
      <c r="L14" s="53" t="str">
        <f t="shared" si="5"/>
        <v>否</v>
      </c>
    </row>
    <row r="15" spans="1:16" x14ac:dyDescent="0.25">
      <c r="A15" s="79"/>
      <c r="B15" s="5" t="s">
        <v>50</v>
      </c>
      <c r="C15" s="55">
        <v>8.5</v>
      </c>
      <c r="D15" s="7">
        <f t="shared" si="1"/>
        <v>2.7428571428571429</v>
      </c>
      <c r="E15" s="7" t="s">
        <v>291</v>
      </c>
      <c r="F15" s="7">
        <v>40</v>
      </c>
      <c r="G15" s="7">
        <v>3.5</v>
      </c>
      <c r="H15" s="7">
        <f t="shared" si="2"/>
        <v>2.7428571428571429</v>
      </c>
      <c r="I15" s="7">
        <f>F15/G15*$N$4-$C$10*$G$10</f>
        <v>-4.0571428571428578</v>
      </c>
      <c r="J15" s="7">
        <f t="shared" si="3"/>
        <v>12.557142857142857</v>
      </c>
      <c r="K15" s="7">
        <f t="shared" si="4"/>
        <v>0.31392857142857145</v>
      </c>
      <c r="L15" s="53" t="str">
        <f t="shared" si="5"/>
        <v>是</v>
      </c>
    </row>
    <row r="16" spans="1:16" x14ac:dyDescent="0.25">
      <c r="A16" s="79"/>
      <c r="B16" s="8" t="s">
        <v>51</v>
      </c>
      <c r="C16" s="55">
        <v>7</v>
      </c>
      <c r="D16" s="7">
        <f t="shared" si="1"/>
        <v>2.7428571428571429</v>
      </c>
      <c r="E16" s="7" t="s">
        <v>292</v>
      </c>
      <c r="F16" s="7">
        <v>40</v>
      </c>
      <c r="G16" s="7">
        <v>3.5</v>
      </c>
      <c r="H16" s="7">
        <f t="shared" si="2"/>
        <v>2.7428571428571429</v>
      </c>
      <c r="I16" s="7">
        <f>F16/G16*$N$4-$C$10*$G$10</f>
        <v>-4.0571428571428578</v>
      </c>
      <c r="J16" s="7">
        <f t="shared" si="3"/>
        <v>11.057142857142857</v>
      </c>
      <c r="K16" s="7">
        <f t="shared" si="4"/>
        <v>0.27642857142857141</v>
      </c>
      <c r="L16" s="53" t="str">
        <f t="shared" si="5"/>
        <v>是</v>
      </c>
    </row>
    <row r="17" spans="1:12" x14ac:dyDescent="0.25">
      <c r="A17" s="13"/>
      <c r="B17" s="5" t="s">
        <v>48</v>
      </c>
      <c r="C17" s="55">
        <v>5</v>
      </c>
      <c r="D17" s="7">
        <f t="shared" si="1"/>
        <v>5</v>
      </c>
      <c r="E17" s="7" t="s">
        <v>293</v>
      </c>
      <c r="F17" s="7">
        <v>40</v>
      </c>
      <c r="G17" s="7">
        <v>3.5</v>
      </c>
      <c r="H17" s="7">
        <f t="shared" si="2"/>
        <v>2.7428571428571429</v>
      </c>
      <c r="I17" s="7">
        <f>F17/G17*$N$4-$C$10*$G$10</f>
        <v>-4.0571428571428578</v>
      </c>
      <c r="J17" s="7">
        <f t="shared" si="3"/>
        <v>9.0571428571428569</v>
      </c>
      <c r="K17" s="7">
        <f t="shared" si="4"/>
        <v>0.22642857142857142</v>
      </c>
      <c r="L17" s="53" t="str">
        <f t="shared" si="5"/>
        <v>否</v>
      </c>
    </row>
    <row r="18" spans="1:12" x14ac:dyDescent="0.25">
      <c r="A18" s="78" t="s">
        <v>248</v>
      </c>
      <c r="B18" s="5" t="s">
        <v>179</v>
      </c>
      <c r="C18" s="55">
        <v>0.5</v>
      </c>
      <c r="D18" s="7">
        <f t="shared" si="1"/>
        <v>0.5</v>
      </c>
      <c r="E18" s="7" t="s">
        <v>288</v>
      </c>
      <c r="F18" s="7">
        <v>40</v>
      </c>
      <c r="G18" s="7">
        <v>3.5</v>
      </c>
      <c r="H18" s="7">
        <f t="shared" si="2"/>
        <v>2.7428571428571429</v>
      </c>
      <c r="I18" s="7">
        <f t="shared" ref="I18:I23" si="6">F18/G18*$N$4-$C$8*$G$8</f>
        <v>-2.4571428571428573</v>
      </c>
      <c r="J18" s="7">
        <f t="shared" si="3"/>
        <v>2.9571428571428573</v>
      </c>
      <c r="K18" s="7">
        <f t="shared" si="4"/>
        <v>7.3928571428571427E-2</v>
      </c>
      <c r="L18" s="53" t="str">
        <f t="shared" si="5"/>
        <v>否</v>
      </c>
    </row>
    <row r="19" spans="1:12" x14ac:dyDescent="0.25">
      <c r="A19" s="78"/>
      <c r="B19" s="8" t="s">
        <v>181</v>
      </c>
      <c r="C19" s="55">
        <v>8.5</v>
      </c>
      <c r="D19" s="7">
        <f t="shared" si="1"/>
        <v>2.7428571428571429</v>
      </c>
      <c r="E19" s="7" t="s">
        <v>329</v>
      </c>
      <c r="F19" s="7">
        <v>40</v>
      </c>
      <c r="G19" s="7">
        <v>3.5</v>
      </c>
      <c r="H19" s="7">
        <f t="shared" si="2"/>
        <v>2.7428571428571429</v>
      </c>
      <c r="I19" s="7">
        <f t="shared" si="6"/>
        <v>-2.4571428571428573</v>
      </c>
      <c r="J19" s="7">
        <f t="shared" si="3"/>
        <v>10.957142857142857</v>
      </c>
      <c r="K19" s="7">
        <f t="shared" si="4"/>
        <v>0.27392857142857141</v>
      </c>
      <c r="L19" s="53" t="str">
        <f t="shared" si="5"/>
        <v>是</v>
      </c>
    </row>
    <row r="20" spans="1:12" x14ac:dyDescent="0.25">
      <c r="A20" s="78"/>
      <c r="B20" s="5" t="s">
        <v>188</v>
      </c>
      <c r="C20" s="55">
        <v>8</v>
      </c>
      <c r="D20" s="7">
        <f t="shared" si="1"/>
        <v>2.7428571428571429</v>
      </c>
      <c r="E20" s="7" t="s">
        <v>330</v>
      </c>
      <c r="F20" s="7">
        <v>40</v>
      </c>
      <c r="G20" s="7">
        <v>3.5</v>
      </c>
      <c r="H20" s="7">
        <f t="shared" si="2"/>
        <v>2.7428571428571429</v>
      </c>
      <c r="I20" s="7">
        <f t="shared" si="6"/>
        <v>-2.4571428571428573</v>
      </c>
      <c r="J20" s="7">
        <f t="shared" si="3"/>
        <v>10.457142857142857</v>
      </c>
      <c r="K20" s="7">
        <f t="shared" si="4"/>
        <v>0.26142857142857145</v>
      </c>
      <c r="L20" s="53" t="str">
        <f t="shared" si="5"/>
        <v>是</v>
      </c>
    </row>
    <row r="21" spans="1:12" x14ac:dyDescent="0.25">
      <c r="A21" s="78"/>
      <c r="B21" s="8" t="s">
        <v>186</v>
      </c>
      <c r="C21" s="55">
        <v>6</v>
      </c>
      <c r="D21" s="7">
        <f t="shared" si="1"/>
        <v>6</v>
      </c>
      <c r="E21" s="7" t="s">
        <v>287</v>
      </c>
      <c r="F21" s="7">
        <v>40</v>
      </c>
      <c r="G21" s="7">
        <v>3.5</v>
      </c>
      <c r="H21" s="7">
        <f t="shared" si="2"/>
        <v>2.7428571428571429</v>
      </c>
      <c r="I21" s="7">
        <f t="shared" si="6"/>
        <v>-2.4571428571428573</v>
      </c>
      <c r="J21" s="7">
        <f t="shared" si="3"/>
        <v>8.4571428571428573</v>
      </c>
      <c r="K21" s="7">
        <f t="shared" si="4"/>
        <v>0.21142857142857144</v>
      </c>
      <c r="L21" s="53" t="str">
        <f t="shared" si="5"/>
        <v>否</v>
      </c>
    </row>
    <row r="22" spans="1:12" x14ac:dyDescent="0.25">
      <c r="A22" s="78"/>
      <c r="B22" s="5" t="s">
        <v>198</v>
      </c>
      <c r="C22" s="55">
        <v>3</v>
      </c>
      <c r="D22" s="7">
        <f t="shared" si="1"/>
        <v>3</v>
      </c>
      <c r="E22" s="7" t="s">
        <v>332</v>
      </c>
      <c r="F22" s="7">
        <v>40</v>
      </c>
      <c r="G22" s="7">
        <v>3.5</v>
      </c>
      <c r="H22" s="7">
        <f t="shared" si="2"/>
        <v>2.7428571428571429</v>
      </c>
      <c r="I22" s="7">
        <f t="shared" si="6"/>
        <v>-2.4571428571428573</v>
      </c>
      <c r="J22" s="7">
        <f t="shared" si="3"/>
        <v>5.4571428571428573</v>
      </c>
      <c r="K22" s="7">
        <f t="shared" si="4"/>
        <v>0.13642857142857143</v>
      </c>
      <c r="L22" s="53" t="str">
        <f t="shared" si="5"/>
        <v>否</v>
      </c>
    </row>
    <row r="23" spans="1:12" x14ac:dyDescent="0.25">
      <c r="A23" s="78"/>
      <c r="B23" s="8" t="s">
        <v>175</v>
      </c>
      <c r="C23" s="55">
        <v>9.5</v>
      </c>
      <c r="D23" s="7">
        <f t="shared" si="1"/>
        <v>2.7428571428571429</v>
      </c>
      <c r="E23" s="7" t="s">
        <v>331</v>
      </c>
      <c r="F23" s="7">
        <v>40</v>
      </c>
      <c r="G23" s="7">
        <v>3.5</v>
      </c>
      <c r="H23" s="7">
        <f t="shared" si="2"/>
        <v>2.7428571428571429</v>
      </c>
      <c r="I23" s="7">
        <f t="shared" si="6"/>
        <v>-2.4571428571428573</v>
      </c>
      <c r="J23" s="7">
        <f t="shared" si="3"/>
        <v>11.957142857142857</v>
      </c>
      <c r="K23" s="7">
        <f t="shared" si="4"/>
        <v>0.29892857142857143</v>
      </c>
      <c r="L23" s="53" t="str">
        <f t="shared" si="5"/>
        <v>是</v>
      </c>
    </row>
    <row r="24" spans="1:12" x14ac:dyDescent="0.25">
      <c r="A24" s="79" t="s">
        <v>249</v>
      </c>
      <c r="B24" s="5" t="s">
        <v>146</v>
      </c>
      <c r="C24" s="55">
        <v>7</v>
      </c>
      <c r="D24" s="7">
        <f t="shared" si="1"/>
        <v>7</v>
      </c>
      <c r="E24" s="7" t="s">
        <v>294</v>
      </c>
      <c r="F24" s="7">
        <v>40</v>
      </c>
      <c r="G24" s="7">
        <v>3.5</v>
      </c>
      <c r="H24" s="7">
        <f t="shared" si="2"/>
        <v>2.7428571428571429</v>
      </c>
      <c r="I24" s="7">
        <f t="shared" ref="I24:I33" si="7">F24/G24*$N$4-$C$11*$G$11</f>
        <v>-2.2571428571428571</v>
      </c>
      <c r="J24" s="7">
        <f t="shared" si="3"/>
        <v>9.2571428571428562</v>
      </c>
      <c r="K24" s="7">
        <f t="shared" si="4"/>
        <v>0.2314285714285714</v>
      </c>
      <c r="L24" s="53" t="str">
        <f t="shared" si="5"/>
        <v>否</v>
      </c>
    </row>
    <row r="25" spans="1:12" x14ac:dyDescent="0.25">
      <c r="A25" s="79"/>
      <c r="B25" s="8" t="s">
        <v>109</v>
      </c>
      <c r="C25" s="55">
        <v>10</v>
      </c>
      <c r="D25" s="7">
        <f t="shared" si="1"/>
        <v>2.7428571428571429</v>
      </c>
      <c r="E25" s="7" t="s">
        <v>295</v>
      </c>
      <c r="F25" s="7">
        <v>40</v>
      </c>
      <c r="G25" s="7">
        <v>3.5</v>
      </c>
      <c r="H25" s="7">
        <f t="shared" si="2"/>
        <v>2.7428571428571429</v>
      </c>
      <c r="I25" s="7">
        <f t="shared" si="7"/>
        <v>-2.2571428571428571</v>
      </c>
      <c r="J25" s="7">
        <f t="shared" si="3"/>
        <v>12.257142857142856</v>
      </c>
      <c r="K25" s="7">
        <f t="shared" si="4"/>
        <v>0.30642857142857138</v>
      </c>
      <c r="L25" s="53" t="str">
        <f t="shared" si="5"/>
        <v>是</v>
      </c>
    </row>
    <row r="26" spans="1:12" x14ac:dyDescent="0.25">
      <c r="A26" s="79"/>
      <c r="B26" s="5" t="s">
        <v>122</v>
      </c>
      <c r="C26" s="55">
        <v>10</v>
      </c>
      <c r="D26" s="7">
        <f t="shared" si="1"/>
        <v>2.7428571428571429</v>
      </c>
      <c r="E26" s="7" t="s">
        <v>296</v>
      </c>
      <c r="F26" s="7">
        <v>40</v>
      </c>
      <c r="G26" s="7">
        <v>3.5</v>
      </c>
      <c r="H26" s="7">
        <f t="shared" si="2"/>
        <v>2.7428571428571429</v>
      </c>
      <c r="I26" s="7">
        <f t="shared" si="7"/>
        <v>-2.2571428571428571</v>
      </c>
      <c r="J26" s="7">
        <f t="shared" si="3"/>
        <v>12.257142857142856</v>
      </c>
      <c r="K26" s="7">
        <f t="shared" si="4"/>
        <v>0.30642857142857138</v>
      </c>
      <c r="L26" s="53" t="str">
        <f t="shared" si="5"/>
        <v>是</v>
      </c>
    </row>
    <row r="27" spans="1:12" x14ac:dyDescent="0.25">
      <c r="A27" s="79"/>
      <c r="B27" s="8" t="s">
        <v>111</v>
      </c>
      <c r="C27" s="55">
        <v>5.5</v>
      </c>
      <c r="D27" s="7">
        <f t="shared" si="1"/>
        <v>5.5</v>
      </c>
      <c r="E27" s="7" t="s">
        <v>297</v>
      </c>
      <c r="F27" s="7">
        <v>40</v>
      </c>
      <c r="G27" s="7">
        <v>3.5</v>
      </c>
      <c r="H27" s="7">
        <f t="shared" si="2"/>
        <v>2.7428571428571429</v>
      </c>
      <c r="I27" s="7">
        <f t="shared" si="7"/>
        <v>-2.2571428571428571</v>
      </c>
      <c r="J27" s="7">
        <f t="shared" si="3"/>
        <v>7.7571428571428571</v>
      </c>
      <c r="K27" s="7">
        <f t="shared" si="4"/>
        <v>0.19392857142857142</v>
      </c>
      <c r="L27" s="53" t="str">
        <f t="shared" si="5"/>
        <v>否</v>
      </c>
    </row>
    <row r="28" spans="1:12" x14ac:dyDescent="0.25">
      <c r="A28" s="79"/>
      <c r="B28" s="5" t="s">
        <v>133</v>
      </c>
      <c r="C28" s="55">
        <v>10</v>
      </c>
      <c r="D28" s="7">
        <f t="shared" si="1"/>
        <v>2.7428571428571429</v>
      </c>
      <c r="E28" s="7" t="s">
        <v>298</v>
      </c>
      <c r="F28" s="7">
        <v>40</v>
      </c>
      <c r="G28" s="7">
        <v>3.5</v>
      </c>
      <c r="H28" s="7">
        <f t="shared" si="2"/>
        <v>2.7428571428571429</v>
      </c>
      <c r="I28" s="7">
        <f t="shared" si="7"/>
        <v>-2.2571428571428571</v>
      </c>
      <c r="J28" s="7">
        <f t="shared" si="3"/>
        <v>12.257142857142856</v>
      </c>
      <c r="K28" s="7">
        <f t="shared" si="4"/>
        <v>0.30642857142857138</v>
      </c>
      <c r="L28" s="53" t="str">
        <f t="shared" si="5"/>
        <v>是</v>
      </c>
    </row>
    <row r="29" spans="1:12" x14ac:dyDescent="0.25">
      <c r="A29" s="79"/>
      <c r="B29" s="8" t="s">
        <v>113</v>
      </c>
      <c r="C29" s="55">
        <v>7.5</v>
      </c>
      <c r="D29" s="7">
        <f t="shared" si="1"/>
        <v>2.7428571428571429</v>
      </c>
      <c r="E29" s="7" t="s">
        <v>299</v>
      </c>
      <c r="F29" s="7">
        <v>40</v>
      </c>
      <c r="G29" s="7">
        <v>3.5</v>
      </c>
      <c r="H29" s="7">
        <f t="shared" si="2"/>
        <v>2.7428571428571429</v>
      </c>
      <c r="I29" s="7">
        <f t="shared" si="7"/>
        <v>-2.2571428571428571</v>
      </c>
      <c r="J29" s="7">
        <f t="shared" si="3"/>
        <v>9.7571428571428562</v>
      </c>
      <c r="K29" s="7">
        <f t="shared" si="4"/>
        <v>0.24392857142857141</v>
      </c>
      <c r="L29" s="53" t="str">
        <f t="shared" si="5"/>
        <v>是</v>
      </c>
    </row>
    <row r="30" spans="1:12" x14ac:dyDescent="0.25">
      <c r="A30" s="79"/>
      <c r="B30" s="5" t="s">
        <v>120</v>
      </c>
      <c r="C30" s="55">
        <v>9</v>
      </c>
      <c r="D30" s="7">
        <f t="shared" si="1"/>
        <v>2.7428571428571429</v>
      </c>
      <c r="E30" s="7" t="s">
        <v>300</v>
      </c>
      <c r="F30" s="7">
        <v>40</v>
      </c>
      <c r="G30" s="7">
        <v>3.5</v>
      </c>
      <c r="H30" s="7">
        <f t="shared" si="2"/>
        <v>2.7428571428571429</v>
      </c>
      <c r="I30" s="7">
        <f t="shared" si="7"/>
        <v>-2.2571428571428571</v>
      </c>
      <c r="J30" s="7">
        <f t="shared" si="3"/>
        <v>11.257142857142856</v>
      </c>
      <c r="K30" s="7">
        <f t="shared" si="4"/>
        <v>0.28142857142857142</v>
      </c>
      <c r="L30" s="53" t="str">
        <f t="shared" si="5"/>
        <v>是</v>
      </c>
    </row>
    <row r="31" spans="1:12" x14ac:dyDescent="0.25">
      <c r="A31" s="79"/>
      <c r="B31" s="8" t="s">
        <v>118</v>
      </c>
      <c r="C31" s="55">
        <v>6</v>
      </c>
      <c r="D31" s="7">
        <f t="shared" si="1"/>
        <v>6</v>
      </c>
      <c r="E31" s="7" t="s">
        <v>301</v>
      </c>
      <c r="F31" s="7">
        <v>40</v>
      </c>
      <c r="G31" s="7">
        <v>3.5</v>
      </c>
      <c r="H31" s="7">
        <f t="shared" si="2"/>
        <v>2.7428571428571429</v>
      </c>
      <c r="I31" s="7">
        <f t="shared" si="7"/>
        <v>-2.2571428571428571</v>
      </c>
      <c r="J31" s="7">
        <f t="shared" si="3"/>
        <v>8.2571428571428562</v>
      </c>
      <c r="K31" s="7">
        <f t="shared" si="4"/>
        <v>0.20642857142857141</v>
      </c>
      <c r="L31" s="53" t="str">
        <f t="shared" si="5"/>
        <v>否</v>
      </c>
    </row>
    <row r="32" spans="1:12" x14ac:dyDescent="0.25">
      <c r="A32" s="79"/>
      <c r="B32" s="5" t="s">
        <v>127</v>
      </c>
      <c r="C32" s="55">
        <v>5.5</v>
      </c>
      <c r="D32" s="7">
        <f t="shared" si="1"/>
        <v>5.5</v>
      </c>
      <c r="E32" s="7" t="s">
        <v>302</v>
      </c>
      <c r="F32" s="7">
        <v>40</v>
      </c>
      <c r="G32" s="7">
        <v>3.5</v>
      </c>
      <c r="H32" s="7">
        <f t="shared" si="2"/>
        <v>2.7428571428571429</v>
      </c>
      <c r="I32" s="7">
        <f t="shared" si="7"/>
        <v>-2.2571428571428571</v>
      </c>
      <c r="J32" s="7">
        <f t="shared" si="3"/>
        <v>7.7571428571428571</v>
      </c>
      <c r="K32" s="7">
        <f t="shared" si="4"/>
        <v>0.19392857142857142</v>
      </c>
      <c r="L32" s="53" t="str">
        <f t="shared" si="5"/>
        <v>否</v>
      </c>
    </row>
    <row r="33" spans="1:12" x14ac:dyDescent="0.25">
      <c r="A33" s="79"/>
      <c r="B33" s="8" t="s">
        <v>129</v>
      </c>
      <c r="C33" s="55">
        <v>5</v>
      </c>
      <c r="D33" s="7">
        <f t="shared" si="1"/>
        <v>5</v>
      </c>
      <c r="E33" s="7" t="s">
        <v>303</v>
      </c>
      <c r="F33" s="7">
        <v>40</v>
      </c>
      <c r="G33" s="7">
        <v>3.5</v>
      </c>
      <c r="H33" s="7">
        <f t="shared" si="2"/>
        <v>2.7428571428571429</v>
      </c>
      <c r="I33" s="7">
        <f t="shared" si="7"/>
        <v>-2.2571428571428571</v>
      </c>
      <c r="J33" s="7">
        <f t="shared" si="3"/>
        <v>7.2571428571428571</v>
      </c>
      <c r="K33" s="7">
        <f t="shared" si="4"/>
        <v>0.18142857142857144</v>
      </c>
      <c r="L33" s="53" t="str">
        <f t="shared" si="5"/>
        <v>否</v>
      </c>
    </row>
    <row r="34" spans="1:12" x14ac:dyDescent="0.25">
      <c r="A34" s="81" t="s">
        <v>256</v>
      </c>
      <c r="B34" s="6" t="s">
        <v>54</v>
      </c>
      <c r="C34" s="7">
        <v>3</v>
      </c>
      <c r="D34" s="7">
        <v>3</v>
      </c>
      <c r="E34" s="7" t="s">
        <v>285</v>
      </c>
      <c r="H34" s="7">
        <v>3</v>
      </c>
    </row>
    <row r="35" spans="1:12" x14ac:dyDescent="0.25">
      <c r="A35" s="81"/>
      <c r="B35" s="4" t="s">
        <v>53</v>
      </c>
      <c r="C35" s="7">
        <v>30</v>
      </c>
      <c r="D35" s="7">
        <v>30</v>
      </c>
      <c r="E35" s="7" t="s">
        <v>285</v>
      </c>
      <c r="H35" s="7">
        <v>30</v>
      </c>
    </row>
    <row r="36" spans="1:12" x14ac:dyDescent="0.25">
      <c r="A36" s="81"/>
      <c r="B36" s="6" t="s">
        <v>55</v>
      </c>
      <c r="C36" s="7">
        <v>0.6</v>
      </c>
      <c r="D36" s="7">
        <v>0.6</v>
      </c>
      <c r="E36" s="7" t="s">
        <v>285</v>
      </c>
      <c r="H36" s="7">
        <v>0.6</v>
      </c>
    </row>
    <row r="37" spans="1:12" x14ac:dyDescent="0.25">
      <c r="A37" s="81"/>
      <c r="B37" s="4" t="s">
        <v>56</v>
      </c>
      <c r="C37" s="7">
        <v>0.6</v>
      </c>
      <c r="D37" s="7">
        <v>0.6</v>
      </c>
      <c r="E37" s="7" t="s">
        <v>285</v>
      </c>
      <c r="H37" s="7">
        <v>0.6</v>
      </c>
    </row>
    <row r="38" spans="1:12" x14ac:dyDescent="0.25">
      <c r="A38" s="81"/>
      <c r="B38" s="6" t="s">
        <v>57</v>
      </c>
      <c r="C38" s="7">
        <v>0.6</v>
      </c>
      <c r="D38" s="7">
        <v>0.6</v>
      </c>
      <c r="E38" s="7" t="s">
        <v>285</v>
      </c>
      <c r="H38" s="7">
        <v>0.6</v>
      </c>
    </row>
    <row r="39" spans="1:12" x14ac:dyDescent="0.25">
      <c r="A39" s="81"/>
      <c r="B39" s="4" t="s">
        <v>58</v>
      </c>
      <c r="C39" s="7">
        <v>0.6</v>
      </c>
      <c r="D39" s="7">
        <v>0.6</v>
      </c>
      <c r="E39" s="7" t="s">
        <v>285</v>
      </c>
      <c r="H39" s="7">
        <v>0.6</v>
      </c>
    </row>
    <row r="40" spans="1:12" x14ac:dyDescent="0.25">
      <c r="A40" s="81"/>
      <c r="B40" s="6" t="s">
        <v>59</v>
      </c>
      <c r="C40" s="7">
        <v>0.6</v>
      </c>
      <c r="D40" s="7">
        <v>0.6</v>
      </c>
      <c r="E40" s="7" t="s">
        <v>285</v>
      </c>
      <c r="H40" s="7">
        <v>0.6</v>
      </c>
    </row>
    <row r="41" spans="1:12" x14ac:dyDescent="0.25">
      <c r="A41" s="82" t="s">
        <v>257</v>
      </c>
      <c r="B41" s="4" t="s">
        <v>20</v>
      </c>
      <c r="C41" s="7">
        <v>0.6</v>
      </c>
      <c r="D41" s="7">
        <v>0.6</v>
      </c>
      <c r="E41" s="7" t="s">
        <v>284</v>
      </c>
      <c r="H41" s="7">
        <v>0.6</v>
      </c>
    </row>
    <row r="42" spans="1:12" x14ac:dyDescent="0.25">
      <c r="A42" s="82"/>
      <c r="B42" s="6" t="s">
        <v>41</v>
      </c>
      <c r="C42" s="7">
        <v>0.6</v>
      </c>
      <c r="D42" s="7">
        <v>0.6</v>
      </c>
      <c r="E42" s="7" t="s">
        <v>284</v>
      </c>
      <c r="H42" s="7">
        <v>0.6</v>
      </c>
    </row>
    <row r="43" spans="1:12" x14ac:dyDescent="0.25">
      <c r="A43" s="82"/>
      <c r="B43" s="4" t="s">
        <v>36</v>
      </c>
      <c r="C43" s="7">
        <v>0.6</v>
      </c>
      <c r="D43" s="7">
        <v>0.6</v>
      </c>
      <c r="E43" s="7" t="s">
        <v>284</v>
      </c>
      <c r="H43" s="7">
        <v>0.6</v>
      </c>
    </row>
    <row r="44" spans="1:12" x14ac:dyDescent="0.25">
      <c r="A44" s="82"/>
      <c r="B44" s="6" t="s">
        <v>30</v>
      </c>
      <c r="C44" s="7">
        <v>0.6</v>
      </c>
      <c r="D44" s="7">
        <v>0.6</v>
      </c>
      <c r="E44" s="7" t="s">
        <v>284</v>
      </c>
      <c r="H44" s="7">
        <v>0.6</v>
      </c>
    </row>
    <row r="45" spans="1:12" x14ac:dyDescent="0.25">
      <c r="A45" s="82"/>
      <c r="B45" s="4" t="s">
        <v>44</v>
      </c>
      <c r="C45" s="7">
        <v>3</v>
      </c>
      <c r="D45" s="7">
        <v>3</v>
      </c>
      <c r="E45" s="7" t="s">
        <v>284</v>
      </c>
      <c r="H45" s="7">
        <v>3</v>
      </c>
    </row>
    <row r="46" spans="1:12" x14ac:dyDescent="0.25">
      <c r="A46" s="81" t="s">
        <v>254</v>
      </c>
      <c r="B46" s="6" t="s">
        <v>107</v>
      </c>
      <c r="C46" s="7">
        <v>0.6</v>
      </c>
      <c r="D46" s="7">
        <v>0.6</v>
      </c>
      <c r="E46" s="7" t="s">
        <v>286</v>
      </c>
      <c r="H46" s="7">
        <v>0.6</v>
      </c>
    </row>
    <row r="47" spans="1:12" x14ac:dyDescent="0.25">
      <c r="A47" s="81"/>
      <c r="B47" s="4" t="s">
        <v>116</v>
      </c>
      <c r="C47" s="7">
        <v>0.6</v>
      </c>
      <c r="D47" s="7">
        <v>0.6</v>
      </c>
      <c r="E47" s="7" t="s">
        <v>286</v>
      </c>
      <c r="H47" s="7">
        <v>0.6</v>
      </c>
    </row>
    <row r="48" spans="1:12" x14ac:dyDescent="0.25">
      <c r="A48" s="81"/>
      <c r="B48" s="6" t="s">
        <v>124</v>
      </c>
      <c r="C48" s="7">
        <v>0.6</v>
      </c>
      <c r="D48" s="7">
        <v>0.6</v>
      </c>
      <c r="E48" s="7" t="s">
        <v>286</v>
      </c>
      <c r="H48" s="7">
        <v>0.6</v>
      </c>
    </row>
    <row r="49" spans="1:8" x14ac:dyDescent="0.25">
      <c r="A49" s="81"/>
      <c r="B49" s="4" t="s">
        <v>131</v>
      </c>
      <c r="C49" s="7">
        <v>0.6</v>
      </c>
      <c r="D49" s="7">
        <v>0.6</v>
      </c>
      <c r="E49" s="7" t="s">
        <v>286</v>
      </c>
      <c r="H49" s="7">
        <v>0.6</v>
      </c>
    </row>
    <row r="50" spans="1:8" x14ac:dyDescent="0.25">
      <c r="A50" s="81"/>
      <c r="B50" s="6" t="s">
        <v>135</v>
      </c>
      <c r="C50" s="7">
        <v>1.2</v>
      </c>
      <c r="D50" s="7">
        <v>1.2</v>
      </c>
      <c r="E50" s="7" t="s">
        <v>286</v>
      </c>
      <c r="H50" s="7">
        <v>1.2</v>
      </c>
    </row>
    <row r="51" spans="1:8" x14ac:dyDescent="0.25">
      <c r="A51" s="81"/>
      <c r="B51" s="4" t="s">
        <v>150</v>
      </c>
      <c r="C51" s="7">
        <v>0.6</v>
      </c>
      <c r="D51" s="7">
        <v>0.6</v>
      </c>
      <c r="E51" s="7" t="s">
        <v>286</v>
      </c>
      <c r="H51" s="7">
        <v>0.6</v>
      </c>
    </row>
    <row r="52" spans="1:8" x14ac:dyDescent="0.25">
      <c r="A52" s="81"/>
      <c r="B52" s="6" t="s">
        <v>148</v>
      </c>
      <c r="C52" s="7">
        <v>0.6</v>
      </c>
      <c r="D52" s="7">
        <v>0.6</v>
      </c>
      <c r="E52" s="7" t="s">
        <v>286</v>
      </c>
      <c r="H52" s="7">
        <v>0.6</v>
      </c>
    </row>
    <row r="53" spans="1:8" x14ac:dyDescent="0.25">
      <c r="A53" s="82" t="s">
        <v>255</v>
      </c>
      <c r="B53" s="4" t="s">
        <v>190</v>
      </c>
      <c r="C53" s="7">
        <v>0.6</v>
      </c>
      <c r="D53" s="7">
        <v>0.6</v>
      </c>
      <c r="E53" s="7" t="s">
        <v>282</v>
      </c>
      <c r="H53" s="7">
        <v>0.6</v>
      </c>
    </row>
    <row r="54" spans="1:8" x14ac:dyDescent="0.25">
      <c r="A54" s="82"/>
      <c r="B54" s="6" t="s">
        <v>177</v>
      </c>
      <c r="C54" s="7">
        <v>0.6</v>
      </c>
      <c r="D54" s="7">
        <v>0.6</v>
      </c>
      <c r="E54" s="7" t="s">
        <v>282</v>
      </c>
      <c r="H54" s="7">
        <v>0.6</v>
      </c>
    </row>
    <row r="55" spans="1:8" x14ac:dyDescent="0.25">
      <c r="A55" s="82"/>
      <c r="B55" s="4" t="s">
        <v>172</v>
      </c>
      <c r="C55" s="7">
        <v>0.6</v>
      </c>
      <c r="D55" s="7">
        <v>0.6</v>
      </c>
      <c r="E55" s="7" t="s">
        <v>283</v>
      </c>
      <c r="H55" s="7">
        <v>0.6</v>
      </c>
    </row>
    <row r="56" spans="1:8" x14ac:dyDescent="0.25">
      <c r="A56" s="82"/>
      <c r="B56" s="6" t="s">
        <v>195</v>
      </c>
      <c r="C56" s="7">
        <v>0.6</v>
      </c>
      <c r="D56" s="7">
        <v>0.6</v>
      </c>
      <c r="E56" s="7" t="s">
        <v>282</v>
      </c>
      <c r="H56" s="7">
        <v>0.6</v>
      </c>
    </row>
    <row r="57" spans="1:8" x14ac:dyDescent="0.25">
      <c r="A57" s="82"/>
      <c r="B57" s="4" t="s">
        <v>213</v>
      </c>
      <c r="C57" s="7">
        <v>0.6</v>
      </c>
      <c r="D57" s="7">
        <v>0.6</v>
      </c>
      <c r="E57" s="7" t="s">
        <v>282</v>
      </c>
      <c r="H57" s="7">
        <v>0.6</v>
      </c>
    </row>
    <row r="58" spans="1:8" x14ac:dyDescent="0.25">
      <c r="A58" s="82"/>
      <c r="B58" s="6" t="s">
        <v>192</v>
      </c>
      <c r="C58" s="7">
        <v>0.6</v>
      </c>
      <c r="D58" s="7">
        <v>0.6</v>
      </c>
      <c r="E58" s="7" t="s">
        <v>283</v>
      </c>
      <c r="H58" s="7">
        <v>0.6</v>
      </c>
    </row>
    <row r="59" spans="1:8" x14ac:dyDescent="0.25">
      <c r="A59" s="82"/>
      <c r="B59" s="4" t="s">
        <v>229</v>
      </c>
      <c r="C59" s="7">
        <v>0.6</v>
      </c>
      <c r="D59" s="7">
        <v>0.6</v>
      </c>
      <c r="E59" s="7" t="s">
        <v>283</v>
      </c>
      <c r="H59" s="7">
        <v>0.6</v>
      </c>
    </row>
    <row r="60" spans="1:8" x14ac:dyDescent="0.25">
      <c r="A60" s="82"/>
      <c r="B60" s="6" t="s">
        <v>184</v>
      </c>
      <c r="C60" s="7">
        <v>0.6</v>
      </c>
      <c r="D60" s="7">
        <v>0.6</v>
      </c>
      <c r="E60" s="7" t="s">
        <v>283</v>
      </c>
      <c r="H60" s="7">
        <v>0.6</v>
      </c>
    </row>
    <row r="61" spans="1:8" x14ac:dyDescent="0.25">
      <c r="A61" s="82"/>
      <c r="B61" s="4" t="s">
        <v>211</v>
      </c>
      <c r="C61" s="7">
        <v>0.6</v>
      </c>
      <c r="D61" s="7">
        <v>0.6</v>
      </c>
      <c r="E61" s="7" t="s">
        <v>282</v>
      </c>
      <c r="H61" s="7">
        <v>0.6</v>
      </c>
    </row>
    <row r="62" spans="1:8" x14ac:dyDescent="0.25">
      <c r="A62" s="82"/>
      <c r="B62" s="6" t="s">
        <v>217</v>
      </c>
      <c r="C62" s="7">
        <v>0.6</v>
      </c>
      <c r="D62" s="7">
        <v>0.6</v>
      </c>
      <c r="E62" s="7" t="s">
        <v>282</v>
      </c>
      <c r="H62" s="7">
        <v>0.6</v>
      </c>
    </row>
    <row r="63" spans="1:8" x14ac:dyDescent="0.25">
      <c r="A63" s="82"/>
      <c r="B63" s="4" t="s">
        <v>219</v>
      </c>
      <c r="C63" s="7">
        <v>0.6</v>
      </c>
      <c r="D63" s="7">
        <v>0.6</v>
      </c>
      <c r="E63" s="7" t="s">
        <v>282</v>
      </c>
      <c r="H63" s="7">
        <v>0.6</v>
      </c>
    </row>
    <row r="64" spans="1:8" x14ac:dyDescent="0.25">
      <c r="A64" s="82"/>
      <c r="B64" s="6" t="s">
        <v>209</v>
      </c>
      <c r="C64" s="7">
        <v>0.6</v>
      </c>
      <c r="D64" s="7">
        <v>0.6</v>
      </c>
      <c r="E64" s="7" t="s">
        <v>283</v>
      </c>
      <c r="H64" s="7">
        <v>0.6</v>
      </c>
    </row>
    <row r="65" spans="1:8" x14ac:dyDescent="0.25">
      <c r="A65" s="82"/>
      <c r="B65" s="4" t="s">
        <v>215</v>
      </c>
      <c r="C65" s="7">
        <v>0.6</v>
      </c>
      <c r="D65" s="7">
        <v>0.6</v>
      </c>
      <c r="E65" s="7" t="s">
        <v>283</v>
      </c>
      <c r="H65" s="7">
        <v>0.6</v>
      </c>
    </row>
    <row r="66" spans="1:8" x14ac:dyDescent="0.25">
      <c r="A66" s="82"/>
      <c r="B66" s="6" t="s">
        <v>226</v>
      </c>
      <c r="C66" s="7">
        <v>0.6</v>
      </c>
      <c r="D66" s="7">
        <v>0.6</v>
      </c>
      <c r="E66" s="7" t="s">
        <v>283</v>
      </c>
      <c r="H66" s="7">
        <v>0.6</v>
      </c>
    </row>
    <row r="67" spans="1:8" x14ac:dyDescent="0.25">
      <c r="A67" s="82"/>
      <c r="B67" s="6" t="s">
        <v>221</v>
      </c>
      <c r="C67" s="7">
        <v>0.6</v>
      </c>
      <c r="D67" s="7">
        <v>0.6</v>
      </c>
      <c r="E67" s="7" t="s">
        <v>283</v>
      </c>
      <c r="H67" s="7">
        <v>0.6</v>
      </c>
    </row>
    <row r="68" spans="1:8" x14ac:dyDescent="0.25">
      <c r="A68" s="80" t="s">
        <v>99</v>
      </c>
      <c r="B68" s="9" t="s">
        <v>64</v>
      </c>
      <c r="F68" s="7">
        <v>20</v>
      </c>
    </row>
    <row r="69" spans="1:8" x14ac:dyDescent="0.25">
      <c r="A69" s="80"/>
      <c r="B69" s="1" t="s">
        <v>38</v>
      </c>
      <c r="C69" s="7">
        <v>90</v>
      </c>
      <c r="F69" s="7">
        <v>20</v>
      </c>
    </row>
    <row r="70" spans="1:8" x14ac:dyDescent="0.25">
      <c r="A70" s="80"/>
      <c r="B70" s="9" t="s">
        <v>17</v>
      </c>
      <c r="C70" s="7">
        <v>150</v>
      </c>
      <c r="F70" s="7">
        <v>20</v>
      </c>
    </row>
    <row r="71" spans="1:8" x14ac:dyDescent="0.25">
      <c r="A71" s="80"/>
      <c r="B71" s="1" t="s">
        <v>31</v>
      </c>
      <c r="C71" s="7">
        <v>50</v>
      </c>
      <c r="F71" s="7">
        <v>20</v>
      </c>
    </row>
    <row r="72" spans="1:8" x14ac:dyDescent="0.25">
      <c r="A72" s="80"/>
      <c r="B72" s="9" t="s">
        <v>62</v>
      </c>
      <c r="F72" s="7">
        <v>20</v>
      </c>
    </row>
    <row r="73" spans="1:8" x14ac:dyDescent="0.25">
      <c r="A73" s="80"/>
      <c r="B73" s="1" t="s">
        <v>46</v>
      </c>
      <c r="C73" s="7">
        <v>250</v>
      </c>
      <c r="F73" s="7">
        <v>20</v>
      </c>
    </row>
    <row r="74" spans="1:8" x14ac:dyDescent="0.25">
      <c r="A74" s="80"/>
      <c r="B74" s="9" t="s">
        <v>63</v>
      </c>
      <c r="C74" s="7">
        <v>67</v>
      </c>
      <c r="F74" s="7">
        <v>20</v>
      </c>
    </row>
    <row r="75" spans="1:8" x14ac:dyDescent="0.25">
      <c r="A75" s="80"/>
      <c r="B75" s="1" t="s">
        <v>25</v>
      </c>
      <c r="C75" s="7">
        <v>199</v>
      </c>
      <c r="F75" s="7">
        <v>20</v>
      </c>
    </row>
    <row r="76" spans="1:8" x14ac:dyDescent="0.25">
      <c r="A76" s="73" t="s">
        <v>52</v>
      </c>
      <c r="B76" s="9" t="s">
        <v>71</v>
      </c>
      <c r="C76" s="7">
        <v>120</v>
      </c>
      <c r="F76" s="7">
        <v>20</v>
      </c>
    </row>
    <row r="77" spans="1:8" x14ac:dyDescent="0.25">
      <c r="A77" s="73"/>
      <c r="B77" s="1" t="s">
        <v>69</v>
      </c>
      <c r="C77" s="7">
        <v>89</v>
      </c>
      <c r="F77" s="7">
        <v>20</v>
      </c>
    </row>
    <row r="78" spans="1:8" x14ac:dyDescent="0.25">
      <c r="A78" s="73"/>
      <c r="B78" s="9" t="s">
        <v>72</v>
      </c>
      <c r="F78" s="7">
        <v>20</v>
      </c>
    </row>
    <row r="79" spans="1:8" x14ac:dyDescent="0.25">
      <c r="A79" s="73"/>
      <c r="B79" s="1" t="s">
        <v>70</v>
      </c>
      <c r="C79" s="7">
        <v>82.5</v>
      </c>
      <c r="F79" s="7">
        <v>20</v>
      </c>
    </row>
    <row r="80" spans="1:8" x14ac:dyDescent="0.25">
      <c r="A80" s="73"/>
      <c r="B80" s="9" t="s">
        <v>68</v>
      </c>
      <c r="C80" s="7">
        <v>178</v>
      </c>
      <c r="F80" s="7">
        <v>20</v>
      </c>
    </row>
    <row r="81" spans="1:13" x14ac:dyDescent="0.25">
      <c r="A81" s="74" t="s">
        <v>242</v>
      </c>
      <c r="B81" s="1" t="s">
        <v>106</v>
      </c>
      <c r="F81" s="7">
        <v>20</v>
      </c>
    </row>
    <row r="82" spans="1:13" x14ac:dyDescent="0.25">
      <c r="A82" s="74"/>
      <c r="B82" s="9" t="s">
        <v>115</v>
      </c>
      <c r="C82" s="7">
        <v>280</v>
      </c>
      <c r="F82" s="7">
        <v>20</v>
      </c>
    </row>
    <row r="83" spans="1:13" x14ac:dyDescent="0.25">
      <c r="A83" s="74"/>
      <c r="B83" s="1" t="s">
        <v>126</v>
      </c>
      <c r="C83" s="7">
        <v>199</v>
      </c>
      <c r="F83" s="7">
        <v>20</v>
      </c>
    </row>
    <row r="84" spans="1:13" x14ac:dyDescent="0.25">
      <c r="A84" s="75" t="s">
        <v>239</v>
      </c>
      <c r="B84" s="9" t="s">
        <v>194</v>
      </c>
      <c r="C84" s="7">
        <v>200</v>
      </c>
      <c r="F84" s="7">
        <v>20</v>
      </c>
    </row>
    <row r="85" spans="1:13" x14ac:dyDescent="0.25">
      <c r="A85" s="75"/>
      <c r="B85" s="1" t="s">
        <v>183</v>
      </c>
      <c r="C85" s="7">
        <v>140</v>
      </c>
      <c r="F85" s="7">
        <v>20</v>
      </c>
    </row>
    <row r="86" spans="1:13" x14ac:dyDescent="0.25">
      <c r="A86" s="75"/>
      <c r="B86" s="9" t="s">
        <v>174</v>
      </c>
      <c r="C86" s="7">
        <v>190</v>
      </c>
      <c r="F86" s="7">
        <v>20</v>
      </c>
    </row>
    <row r="87" spans="1:13" ht="18.75" x14ac:dyDescent="0.25">
      <c r="M87" s="63" t="s">
        <v>355</v>
      </c>
    </row>
  </sheetData>
  <mergeCells count="13">
    <mergeCell ref="A76:A80"/>
    <mergeCell ref="A81:A83"/>
    <mergeCell ref="A84:A86"/>
    <mergeCell ref="A6:A12"/>
    <mergeCell ref="A2:A5"/>
    <mergeCell ref="A18:A23"/>
    <mergeCell ref="A24:A33"/>
    <mergeCell ref="A68:A75"/>
    <mergeCell ref="A34:A40"/>
    <mergeCell ref="A41:A45"/>
    <mergeCell ref="A46:A52"/>
    <mergeCell ref="A53:A67"/>
    <mergeCell ref="A13:A16"/>
  </mergeCells>
  <phoneticPr fontId="1" type="noConversion"/>
  <conditionalFormatting sqref="L13:L33">
    <cfRule type="cellIs" dxfId="1" priority="1" operator="equal">
      <formula>"否"</formula>
    </cfRule>
    <cfRule type="cellIs" dxfId="0" priority="2" operator="equal">
      <formula>"是"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B8C12-1A23-4AA9-AB3E-8FF0E4758670}">
  <dimension ref="A1:N18"/>
  <sheetViews>
    <sheetView workbookViewId="0">
      <selection activeCell="N18" sqref="N18"/>
    </sheetView>
  </sheetViews>
  <sheetFormatPr defaultRowHeight="18.75" x14ac:dyDescent="0.25"/>
  <cols>
    <col min="1" max="16384" width="9" style="52"/>
  </cols>
  <sheetData>
    <row r="1" spans="1:7" x14ac:dyDescent="0.25">
      <c r="A1" s="52" t="s">
        <v>340</v>
      </c>
      <c r="B1" s="52" t="s">
        <v>341</v>
      </c>
      <c r="C1" s="52" t="s">
        <v>314</v>
      </c>
      <c r="D1" s="52" t="s">
        <v>319</v>
      </c>
    </row>
    <row r="2" spans="1:7" x14ac:dyDescent="0.25">
      <c r="A2" s="52">
        <v>550</v>
      </c>
      <c r="B2" s="52">
        <v>488.2527</v>
      </c>
      <c r="C2" s="52">
        <v>510</v>
      </c>
      <c r="D2" s="52">
        <f>(A2-B2)/C2</f>
        <v>0.12107313725490196</v>
      </c>
    </row>
    <row r="4" spans="1:7" x14ac:dyDescent="0.25">
      <c r="A4" s="52" t="s">
        <v>343</v>
      </c>
      <c r="B4" s="52" t="s">
        <v>335</v>
      </c>
      <c r="C4" s="52" t="s">
        <v>334</v>
      </c>
      <c r="D4" s="52" t="s">
        <v>336</v>
      </c>
      <c r="E4" s="52" t="s">
        <v>337</v>
      </c>
    </row>
    <row r="5" spans="1:7" x14ac:dyDescent="0.25">
      <c r="A5" s="52" t="s">
        <v>339</v>
      </c>
      <c r="B5" s="52">
        <v>0</v>
      </c>
      <c r="C5" s="52">
        <v>0.39</v>
      </c>
      <c r="D5" s="52">
        <v>1.4420999999999999</v>
      </c>
      <c r="E5" s="52">
        <v>19.179600000000001</v>
      </c>
      <c r="G5" s="52" t="s">
        <v>349</v>
      </c>
    </row>
    <row r="6" spans="1:7" x14ac:dyDescent="0.25">
      <c r="A6" s="52" t="s">
        <v>342</v>
      </c>
      <c r="B6" s="52">
        <v>0.75</v>
      </c>
      <c r="C6" s="52">
        <f>B6*13</f>
        <v>9.75</v>
      </c>
      <c r="D6" s="52">
        <f>3*C7+7*B7</f>
        <v>35.67</v>
      </c>
      <c r="E6" s="52">
        <f>11*D7+6*C7</f>
        <v>469.07309999999995</v>
      </c>
      <c r="G6" s="52" t="s">
        <v>350</v>
      </c>
    </row>
    <row r="7" spans="1:7" x14ac:dyDescent="0.25">
      <c r="A7" s="52" t="s">
        <v>338</v>
      </c>
      <c r="B7" s="52">
        <f>B5+B6</f>
        <v>0.75</v>
      </c>
      <c r="C7" s="52">
        <f>C5+C6</f>
        <v>10.14</v>
      </c>
      <c r="D7" s="52">
        <f>D5+D6</f>
        <v>37.112099999999998</v>
      </c>
      <c r="E7" s="52">
        <f>E5+E6</f>
        <v>488.25269999999995</v>
      </c>
    </row>
    <row r="8" spans="1:7" x14ac:dyDescent="0.25">
      <c r="A8" s="52" t="s">
        <v>314</v>
      </c>
      <c r="B8" s="52">
        <v>0</v>
      </c>
      <c r="C8" s="52">
        <v>10</v>
      </c>
      <c r="D8" s="52">
        <v>10</v>
      </c>
      <c r="E8" s="52">
        <v>10</v>
      </c>
    </row>
    <row r="9" spans="1:7" x14ac:dyDescent="0.25">
      <c r="A9" s="52" t="s">
        <v>318</v>
      </c>
      <c r="B9" s="52">
        <v>0</v>
      </c>
      <c r="C9" s="52">
        <f>C8+3*B8</f>
        <v>10</v>
      </c>
      <c r="D9" s="52">
        <f>D8+3*C8</f>
        <v>40</v>
      </c>
      <c r="E9" s="52">
        <f>E8+11*D9+6*C8</f>
        <v>510</v>
      </c>
    </row>
    <row r="11" spans="1:7" x14ac:dyDescent="0.25">
      <c r="A11" s="52" t="s">
        <v>343</v>
      </c>
      <c r="B11" s="52" t="s">
        <v>335</v>
      </c>
      <c r="C11" s="52" t="s">
        <v>334</v>
      </c>
      <c r="D11" s="52" t="s">
        <v>336</v>
      </c>
      <c r="E11" s="52" t="s">
        <v>337</v>
      </c>
    </row>
    <row r="12" spans="1:7" x14ac:dyDescent="0.25">
      <c r="A12" s="52" t="s">
        <v>339</v>
      </c>
      <c r="B12" s="52">
        <v>0</v>
      </c>
      <c r="C12" s="52">
        <v>0.39</v>
      </c>
      <c r="D12" s="52">
        <v>1.4420999999999999</v>
      </c>
      <c r="E12" s="52">
        <v>19.179600000000001</v>
      </c>
      <c r="G12" s="52" t="s">
        <v>351</v>
      </c>
    </row>
    <row r="13" spans="1:7" x14ac:dyDescent="0.25">
      <c r="A13" s="52" t="s">
        <v>342</v>
      </c>
      <c r="B13" s="52">
        <v>0.75</v>
      </c>
      <c r="C13" s="52">
        <f>B13*13</f>
        <v>9.75</v>
      </c>
      <c r="D13" s="52">
        <f>3*C14+7*B14</f>
        <v>35.67</v>
      </c>
      <c r="E13" s="52">
        <f>11*D14+6*C14</f>
        <v>469.07309999999995</v>
      </c>
      <c r="G13" s="52" t="s">
        <v>350</v>
      </c>
    </row>
    <row r="14" spans="1:7" x14ac:dyDescent="0.25">
      <c r="A14" s="52" t="s">
        <v>338</v>
      </c>
      <c r="B14" s="52">
        <f>B12+B13</f>
        <v>0.75</v>
      </c>
      <c r="C14" s="52">
        <f>C12+C13</f>
        <v>10.14</v>
      </c>
      <c r="D14" s="52">
        <f>D12+D13</f>
        <v>37.112099999999998</v>
      </c>
      <c r="E14" s="52">
        <f>E12+E13</f>
        <v>488.25269999999995</v>
      </c>
    </row>
    <row r="15" spans="1:7" x14ac:dyDescent="0.25">
      <c r="A15" s="52" t="s">
        <v>314</v>
      </c>
      <c r="B15" s="52">
        <v>0</v>
      </c>
      <c r="C15" s="52">
        <v>10</v>
      </c>
      <c r="D15" s="52">
        <v>10</v>
      </c>
      <c r="E15" s="52">
        <v>10</v>
      </c>
    </row>
    <row r="16" spans="1:7" x14ac:dyDescent="0.25">
      <c r="A16" s="52" t="s">
        <v>318</v>
      </c>
      <c r="B16" s="52">
        <v>0</v>
      </c>
      <c r="C16" s="52">
        <f>C15+3*B15</f>
        <v>10</v>
      </c>
      <c r="D16" s="52">
        <f>D15+3*C15</f>
        <v>40</v>
      </c>
      <c r="E16" s="52">
        <f>E15+11*D16+6*C15</f>
        <v>510</v>
      </c>
    </row>
    <row r="18" spans="14:14" x14ac:dyDescent="0.25">
      <c r="N18" s="63" t="s">
        <v>355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具名範圍</vt:lpstr>
      </vt:variant>
      <vt:variant>
        <vt:i4>14</vt:i4>
      </vt:variant>
    </vt:vector>
  </HeadingPairs>
  <TitlesOfParts>
    <vt:vector size="18" baseType="lpstr">
      <vt:lpstr>計算機</vt:lpstr>
      <vt:lpstr>後台</vt:lpstr>
      <vt:lpstr>材料</vt:lpstr>
      <vt:lpstr>五行石</vt:lpstr>
      <vt:lpstr>布料</vt:lpstr>
      <vt:lpstr>全材料</vt:lpstr>
      <vt:lpstr>商店材料</vt:lpstr>
      <vt:lpstr>基礎材料</vt:lpstr>
      <vt:lpstr>烹飪·紫</vt:lpstr>
      <vt:lpstr>烹飪·藍</vt:lpstr>
      <vt:lpstr>縫紉</vt:lpstr>
      <vt:lpstr>醫術·紫</vt:lpstr>
      <vt:lpstr>醫術·藍</vt:lpstr>
      <vt:lpstr>礦石</vt:lpstr>
      <vt:lpstr>鑄造</vt:lpstr>
      <vt:lpstr>鑄造·紫熔錠</vt:lpstr>
      <vt:lpstr>鑄造·藍熔錠</vt:lpstr>
      <vt:lpstr>鑄鐵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皮</dc:creator>
  <cp:lastModifiedBy>夏菲</cp:lastModifiedBy>
  <dcterms:created xsi:type="dcterms:W3CDTF">2018-05-15T14:33:55Z</dcterms:created>
  <dcterms:modified xsi:type="dcterms:W3CDTF">2020-03-10T12:49:10Z</dcterms:modified>
</cp:coreProperties>
</file>